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omments2.xml" ContentType="application/vnd.openxmlformats-officedocument.spreadsheetml.comments+xml"/>
  <Override PartName="/xl/drawings/drawing4.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56" windowHeight="9264"/>
  </bookViews>
  <sheets>
    <sheet name="江苏省工程总表 " sheetId="1" r:id="rId1"/>
    <sheet name="江苏省其他费用表" sheetId="2" r:id="rId2"/>
    <sheet name="江苏省其他费用底稿" sheetId="3" r:id="rId3"/>
    <sheet name="江苏省建设工程造价咨询服务费取费方法2014" sheetId="4" r:id="rId4"/>
    <sheet name="江苏省建设工程造价咨询服务费取费方法（苏建价协2022(7)号"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____q2">[1]!_____q2</definedName>
    <definedName name="_____xx3">[1]!_____xx3</definedName>
    <definedName name="____flh1">#REF!</definedName>
    <definedName name="____q2">#N/A</definedName>
    <definedName name="____slb1">#REF!</definedName>
    <definedName name="____xx3">#N/A</definedName>
    <definedName name="___flh1">#REF!</definedName>
    <definedName name="___q2">[0]!___q2</definedName>
    <definedName name="___slb1">#REF!</definedName>
    <definedName name="___xx3">[0]!___xx3</definedName>
    <definedName name="__flh1">#REF!</definedName>
    <definedName name="__q2">[0]!__q2</definedName>
    <definedName name="__slb1">#REF!</definedName>
    <definedName name="__xx3">[0]!__xx3</definedName>
    <definedName name="_10q2_">_10q2_</definedName>
    <definedName name="_11q2_">_11q2_</definedName>
    <definedName name="_12q2_">_12q2_</definedName>
    <definedName name="_13q2_">_13q2_</definedName>
    <definedName name="_14q2_">_14q2_</definedName>
    <definedName name="_15q2_">_15q2_</definedName>
    <definedName name="_16q2_">_16q2_</definedName>
    <definedName name="_17q2_">_17q2_</definedName>
    <definedName name="_18q2_">_18q2_</definedName>
    <definedName name="_19q2_">_19q2_</definedName>
    <definedName name="_1q2_">_1q2_</definedName>
    <definedName name="_20q2_">_20q2_</definedName>
    <definedName name="_21q2_">_21q2_</definedName>
    <definedName name="_22q2_">_22q2_</definedName>
    <definedName name="_23q2_">_23q2_</definedName>
    <definedName name="_24q2_">_24q2_</definedName>
    <definedName name="_25q2_">_25q2_</definedName>
    <definedName name="_26q2_">_26q2_</definedName>
    <definedName name="_2q2_">#N/A</definedName>
    <definedName name="_3q2_">_3q2_</definedName>
    <definedName name="_3t单筒卷扬机" localSheetId="4">[3]机械!#REF!</definedName>
    <definedName name="_3t单筒卷扬机" localSheetId="3">[3]机械!#REF!</definedName>
    <definedName name="_3t单筒卷扬机">[3]机械!#REF!</definedName>
    <definedName name="_5" localSheetId="4">#REF!</definedName>
    <definedName name="_5" localSheetId="3">#REF!</definedName>
    <definedName name="_5">#REF!</definedName>
    <definedName name="_6" localSheetId="4">#REF!</definedName>
    <definedName name="_6" localSheetId="3">#REF!</definedName>
    <definedName name="_6">#REF!</definedName>
    <definedName name="_6q2_">_6q2_</definedName>
    <definedName name="_7q2_">_7q2_</definedName>
    <definedName name="_8q2_">_8q2_</definedName>
    <definedName name="_9q2_">_9q2_</definedName>
    <definedName name="_Fill" hidden="1">#REF!</definedName>
    <definedName name="_flh1" localSheetId="4">#REF!</definedName>
    <definedName name="_flh1" localSheetId="3">#REF!</definedName>
    <definedName name="_flh1">#REF!</definedName>
    <definedName name="_g">#REF!</definedName>
    <definedName name="_q2" localSheetId="4">'江苏省建设工程造价咨询服务费取费方法（苏建价协2022(7)号'!_q2</definedName>
    <definedName name="_q2" localSheetId="3">江苏省建设工程造价咨询服务费取费方法2014!_q2</definedName>
    <definedName name="_q2">#N/A</definedName>
    <definedName name="_slb1" localSheetId="4">#REF!</definedName>
    <definedName name="_slb1" localSheetId="3">#REF!</definedName>
    <definedName name="_slb1">#REF!</definedName>
    <definedName name="_Toc390974819">#REF!</definedName>
    <definedName name="_xx3" localSheetId="4">'江苏省建设工程造价咨询服务费取费方法（苏建价协2022(7)号'!_xx3</definedName>
    <definedName name="_xx3" localSheetId="3">江苏省建设工程造价咨询服务费取费方法2014!_xx3</definedName>
    <definedName name="_xx3">#N/A</definedName>
    <definedName name="a" localSheetId="4">'江苏省建设工程造价咨询服务费取费方法（苏建价协2022(7)号'!a</definedName>
    <definedName name="a">#N/A</definedName>
    <definedName name="aa" localSheetId="4">'江苏省建设工程造价咨询服务费取费方法（苏建价协2022(7)号'!aa</definedName>
    <definedName name="aa">aa</definedName>
    <definedName name="abc">abc</definedName>
    <definedName name="abcdefghi">abcdefghi</definedName>
    <definedName name="as" localSheetId="4">'江苏省建设工程造价咨询服务费取费方法（苏建价协2022(7)号'!as</definedName>
    <definedName name="as" localSheetId="3">江苏省建设工程造价咨询服务费取费方法2014!as</definedName>
    <definedName name="as">#N/A</definedName>
    <definedName name="asd" localSheetId="4">'江苏省建设工程造价咨询服务费取费方法（苏建价协2022(7)号'!asd</definedName>
    <definedName name="asd" localSheetId="3">江苏省建设工程造价咨询服务费取费方法2014!asd</definedName>
    <definedName name="asd">#N/A</definedName>
    <definedName name="b" localSheetId="4">'江苏省建设工程造价咨询服务费取费方法（苏建价协2022(7)号'!b</definedName>
    <definedName name="b" localSheetId="3">江苏省建设工程造价咨询服务费取费方法2014!b</definedName>
    <definedName name="b">#N/A</definedName>
    <definedName name="Beginning_Balance" localSheetId="4">-FV('江苏省建设工程造价咨询服务费取费方法（苏建价协2022(7)号'!Interest_Rate/12,'江苏省建设工程造价咨询服务费取费方法（苏建价协2022(7)号'!Payment_Number-1,-'江苏省建设工程造价咨询服务费取费方法（苏建价协2022(7)号'!Monthly_Payment,'江苏省建设工程造价咨询服务费取费方法（苏建价协2022(7)号'!Loan_Amount)</definedName>
    <definedName name="Beginning_Balance" localSheetId="3">-FV(江苏省建设工程造价咨询服务费取费方法2014!Interest_Rate/12,江苏省建设工程造价咨询服务费取费方法2014!Payment_Number-1,-江苏省建设工程造价咨询服务费取费方法2014!Monthly_Payment,江苏省建设工程造价咨询服务费取费方法2014!Loan_Amount)</definedName>
    <definedName name="Beginning_Balance">-FV(Interest_Rate/12,Payment_Number-1,-Monthly_Payment,Loan_Amount)</definedName>
    <definedName name="cc" localSheetId="4">'江苏省建设工程造价咨询服务费取费方法（苏建价协2022(7)号'!cc</definedName>
    <definedName name="cc">#N/A</definedName>
    <definedName name="ccc" localSheetId="4">'江苏省建设工程造价咨询服务费取费方法（苏建价协2022(7)号'!ccc</definedName>
    <definedName name="ccc" localSheetId="3">江苏省建设工程造价咨询服务费取费方法2014!ccc</definedName>
    <definedName name="ccc">#N/A</definedName>
    <definedName name="cccc" localSheetId="4">'江苏省建设工程造价咨询服务费取费方法（苏建价协2022(7)号'!cccc</definedName>
    <definedName name="cccc" localSheetId="3">江苏省建设工程造价咨询服务费取费方法2014!cccc</definedName>
    <definedName name="cccc">#N/A</definedName>
    <definedName name="ccccc" localSheetId="4">'江苏省建设工程造价咨询服务费取费方法（苏建价协2022(7)号'!ccccc</definedName>
    <definedName name="ccccc" localSheetId="3">江苏省建设工程造价咨询服务费取费方法2014!ccccc</definedName>
    <definedName name="ccccc">#N/A</definedName>
    <definedName name="ccccccc" localSheetId="4">'江苏省建设工程造价咨询服务费取费方法（苏建价协2022(7)号'!ccccccc</definedName>
    <definedName name="ccccccc" localSheetId="3">江苏省建设工程造价咨询服务费取费方法2014!ccccccc</definedName>
    <definedName name="ccccccc">#N/A</definedName>
    <definedName name="_xlnm.Database" hidden="1">#REF!</definedName>
    <definedName name="dd" localSheetId="4">'江苏省建设工程造价咨询服务费取费方法（苏建价协2022(7)号'!dd</definedName>
    <definedName name="dd" localSheetId="3">江苏省建设工程造价咨询服务费取费方法2014!dd</definedName>
    <definedName name="dd">#N/A</definedName>
    <definedName name="ddd" localSheetId="4">'江苏省建设工程造价咨询服务费取费方法（苏建价协2022(7)号'!ddd</definedName>
    <definedName name="ddd" localSheetId="3">江苏省建设工程造价咨询服务费取费方法2014!ddd</definedName>
    <definedName name="ddd">#N/A</definedName>
    <definedName name="duibib" hidden="1">#REF!</definedName>
    <definedName name="Ending_Balance" localSheetId="4">-FV('江苏省建设工程造价咨询服务费取费方法（苏建价协2022(7)号'!Interest_Rate/12,'江苏省建设工程造价咨询服务费取费方法（苏建价协2022(7)号'!Payment_Number,-'江苏省建设工程造价咨询服务费取费方法（苏建价协2022(7)号'!Monthly_Payment,'江苏省建设工程造价咨询服务费取费方法（苏建价协2022(7)号'!Loan_Amount)</definedName>
    <definedName name="Ending_Balance" localSheetId="3">-FV(江苏省建设工程造价咨询服务费取费方法2014!Interest_Rate/12,江苏省建设工程造价咨询服务费取费方法2014!Payment_Number,-江苏省建设工程造价咨询服务费取费方法2014!Monthly_Payment,江苏省建设工程造价咨询服务费取费方法2014!Loan_Amount)</definedName>
    <definedName name="Ending_Balance">-FV(Interest_Rate/12,Payment_Number,-Monthly_Payment,Loan_Amount)</definedName>
    <definedName name="exit">[4]sis.xlm!$B$1</definedName>
    <definedName name="fuben">#REF!</definedName>
    <definedName name="Full_Print" localSheetId="4">#REF!</definedName>
    <definedName name="Full_Print" localSheetId="3">#REF!</definedName>
    <definedName name="Full_Print">#REF!</definedName>
    <definedName name="gh" localSheetId="4">'江苏省建设工程造价咨询服务费取费方法（苏建价协2022(7)号'!gh</definedName>
    <definedName name="gh" localSheetId="3">江苏省建设工程造价咨询服务费取费方法2014!gh</definedName>
    <definedName name="gh">#N/A</definedName>
    <definedName name="ghh" localSheetId="4">'江苏省建设工程造价咨询服务费取费方法（苏建价协2022(7)号'!ghh</definedName>
    <definedName name="ghh" localSheetId="3">江苏省建设工程造价咨询服务费取费方法2014!ghh</definedName>
    <definedName name="ghh">#N/A</definedName>
    <definedName name="ghjkgjkh">ghjkgjkh</definedName>
    <definedName name="Header_Row">ROW(#REF!)</definedName>
    <definedName name="Header_Row_Back">ROW(#REF!)</definedName>
    <definedName name="hh" localSheetId="4">'江苏省建设工程造价咨询服务费取费方法（苏建价协2022(7)号'!hh</definedName>
    <definedName name="hh" localSheetId="3">江苏省建设工程造价咨询服务费取费方法2014!hh</definedName>
    <definedName name="hh">#N/A</definedName>
    <definedName name="hj" localSheetId="4">'江苏省建设工程造价咨询服务费取费方法（苏建价协2022(7)号'!hj</definedName>
    <definedName name="hj" localSheetId="3">江苏省建设工程造价咨询服务费取费方法2014!hj</definedName>
    <definedName name="hj">#N/A</definedName>
    <definedName name="Interest" localSheetId="4">-IPMT('江苏省建设工程造价咨询服务费取费方法（苏建价协2022(7)号'!Interest_Rate/12,'江苏省建设工程造价咨询服务费取费方法（苏建价协2022(7)号'!Payment_Number,'江苏省建设工程造价咨询服务费取费方法（苏建价协2022(7)号'!Number_of_Payments,'江苏省建设工程造价咨询服务费取费方法（苏建价协2022(7)号'!Loan_Amount)</definedName>
    <definedName name="Interest" localSheetId="3">-IPMT(江苏省建设工程造价咨询服务费取费方法2014!Interest_Rate/12,江苏省建设工程造价咨询服务费取费方法2014!Payment_Number,江苏省建设工程造价咨询服务费取费方法2014!Number_of_Payments,江苏省建设工程造价咨询服务费取费方法2014!Loan_Amount)</definedName>
    <definedName name="Interest">-IPMT(Interest_Rate/12,Payment_Number,Number_of_Payments,Loan_Amount)</definedName>
    <definedName name="Interest_Rate" localSheetId="4">#REF!</definedName>
    <definedName name="Interest_Rate" localSheetId="3">#REF!</definedName>
    <definedName name="Interest_Rate">#REF!</definedName>
    <definedName name="io" localSheetId="4">'江苏省建设工程造价咨询服务费取费方法（苏建价协2022(7)号'!io</definedName>
    <definedName name="io" localSheetId="3">江苏省建设工程造价咨询服务费取费方法2014!io</definedName>
    <definedName name="io">#N/A</definedName>
    <definedName name="jk" localSheetId="4">'江苏省建设工程造价咨询服务费取费方法（苏建价协2022(7)号'!jk</definedName>
    <definedName name="jk" localSheetId="3">江苏省建设工程造价咨询服务费取费方法2014!jk</definedName>
    <definedName name="jk">#N/A</definedName>
    <definedName name="jkl" localSheetId="4">'江苏省建设工程造价咨询服务费取费方法（苏建价协2022(7)号'!jkl</definedName>
    <definedName name="jkl" localSheetId="3">江苏省建设工程造价咨询服务费取费方法2014!jkl</definedName>
    <definedName name="jkl">#N/A</definedName>
    <definedName name="Last_Row" localSheetId="4">IF('江苏省建设工程造价咨询服务费取费方法（苏建价协2022(7)号'!Values_Entered,Header_Row+'江苏省建设工程造价咨询服务费取费方法（苏建价协2022(7)号'!Number_of_Payments,Header_Row)</definedName>
    <definedName name="Last_Row" localSheetId="3">IF(江苏省建设工程造价咨询服务费取费方法2014!Values_Entered,Header_Row+江苏省建设工程造价咨询服务费取费方法2014!Number_of_Payments,Header_Row)</definedName>
    <definedName name="Last_Row">#N/A</definedName>
    <definedName name="liu" localSheetId="4">'江苏省建设工程造价咨询服务费取费方法（苏建价协2022(7)号'!liu</definedName>
    <definedName name="liu" localSheetId="3">江苏省建设工程造价咨询服务费取费方法2014!liu</definedName>
    <definedName name="liu">#N/A</definedName>
    <definedName name="Loan_Amount" localSheetId="4">#REF!</definedName>
    <definedName name="Loan_Amount" localSheetId="3">#REF!</definedName>
    <definedName name="Loan_Amount">#REF!</definedName>
    <definedName name="Loan_Not_Paid" localSheetId="4">IF('江苏省建设工程造价咨询服务费取费方法（苏建价协2022(7)号'!Payment_Number&lt;='江苏省建设工程造价咨询服务费取费方法（苏建价协2022(7)号'!Number_of_Payments,1,0)</definedName>
    <definedName name="Loan_Not_Paid" localSheetId="3">IF(江苏省建设工程造价咨询服务费取费方法2014!Payment_Number&lt;=江苏省建设工程造价咨询服务费取费方法2014!Number_of_Payments,1,0)</definedName>
    <definedName name="Loan_Not_Paid">IF(Payment_Number&lt;=Number_of_Payments,1,0)</definedName>
    <definedName name="Loan_Start" localSheetId="4">#REF!</definedName>
    <definedName name="Loan_Start" localSheetId="3">#REF!</definedName>
    <definedName name="Loan_Start">#REF!</definedName>
    <definedName name="Loan_Years" localSheetId="4">#REF!</definedName>
    <definedName name="Loan_Years" localSheetId="3">#REF!</definedName>
    <definedName name="Loan_Years">#REF!</definedName>
    <definedName name="lui" localSheetId="4">'江苏省建设工程造价咨询服务费取费方法（苏建价协2022(7)号'!lui</definedName>
    <definedName name="lui" localSheetId="3">江苏省建设工程造价咨询服务费取费方法2014!lui</definedName>
    <definedName name="lui">#N/A</definedName>
    <definedName name="Macro1">[4]sis.xlm!$V$25</definedName>
    <definedName name="Macro3">[4]sis.xlm!$H$1</definedName>
    <definedName name="Monthly_Payment" localSheetId="4">-PMT('江苏省建设工程造价咨询服务费取费方法（苏建价协2022(7)号'!Interest_Rate/12,'江苏省建设工程造价咨询服务费取费方法（苏建价协2022(7)号'!Number_of_Payments,'江苏省建设工程造价咨询服务费取费方法（苏建价协2022(7)号'!Loan_Amount)</definedName>
    <definedName name="Monthly_Payment" localSheetId="3">-PMT(江苏省建设工程造价咨询服务费取费方法2014!Interest_Rate/12,江苏省建设工程造价咨询服务费取费方法2014!Number_of_Payments,江苏省建设工程造价咨询服务费取费方法2014!Loan_Amount)</definedName>
    <definedName name="Monthly_Payment">-PMT(Interest_Rate/12,Number_of_Payments,Loan_Amount)</definedName>
    <definedName name="Number_of_Payments" localSheetId="4">#REF!</definedName>
    <definedName name="Number_of_Payments" localSheetId="3">#REF!</definedName>
    <definedName name="Number_of_Payments">#REF!</definedName>
    <definedName name="Payment_Date" localSheetId="4">DATE(YEAR('江苏省建设工程造价咨询服务费取费方法（苏建价协2022(7)号'!Loan_Start),MONTH('江苏省建设工程造价咨询服务费取费方法（苏建价协2022(7)号'!Loan_Start)+'江苏省建设工程造价咨询服务费取费方法（苏建价协2022(7)号'!Payment_Number,DAY('江苏省建设工程造价咨询服务费取费方法（苏建价协2022(7)号'!Loan_Start))</definedName>
    <definedName name="Payment_Date" localSheetId="3">DATE(YEAR(江苏省建设工程造价咨询服务费取费方法2014!Loan_Start),MONTH(江苏省建设工程造价咨询服务费取费方法2014!Loan_Start)+江苏省建设工程造价咨询服务费取费方法2014!Payment_Number,DAY(江苏省建设工程造价咨询服务费取费方法2014!Loan_Start))</definedName>
    <definedName name="Payment_Date">DATE(YEAR(Loan_Start),MONTH(Loan_Start)+Payment_Number,DAY(Loan_Start))</definedName>
    <definedName name="Payment_Number" localSheetId="4">ROW()-Header_Row</definedName>
    <definedName name="Payment_Number" localSheetId="3">ROW()-Header_Row</definedName>
    <definedName name="Payment_Number">ROW()-Header_Row</definedName>
    <definedName name="pi">[5]sheet1!$G$1</definedName>
    <definedName name="poio" localSheetId="4">'江苏省建设工程造价咨询服务费取费方法（苏建价协2022(7)号'!poio</definedName>
    <definedName name="poio" localSheetId="3">江苏省建设工程造价咨询服务费取费方法2014!poio</definedName>
    <definedName name="poio">#N/A</definedName>
    <definedName name="Principal" localSheetId="4">-PPMT('江苏省建设工程造价咨询服务费取费方法（苏建价协2022(7)号'!Interest_Rate/12,'江苏省建设工程造价咨询服务费取费方法（苏建价协2022(7)号'!Payment_Number,'江苏省建设工程造价咨询服务费取费方法（苏建价协2022(7)号'!Number_of_Payments,'江苏省建设工程造价咨询服务费取费方法（苏建价协2022(7)号'!Loan_Amount)</definedName>
    <definedName name="Principal" localSheetId="3">-PPMT(江苏省建设工程造价咨询服务费取费方法2014!Interest_Rate/12,江苏省建设工程造价咨询服务费取费方法2014!Payment_Number,江苏省建设工程造价咨询服务费取费方法2014!Number_of_Payments,江苏省建设工程造价咨询服务费取费方法2014!Loan_Amount)</definedName>
    <definedName name="Principal">-PPMT(Interest_Rate/12,Payment_Number,Number_of_Payments,Loan_Amount)</definedName>
    <definedName name="_xlnm.Print_Area" hidden="1">#REF!</definedName>
    <definedName name="_xlnm.Print_Titles" localSheetId="1">江苏省其他费用表!$4:$4</definedName>
    <definedName name="q" localSheetId="4">'江苏省建设工程造价咨询服务费取费方法（苏建价协2022(7)号'!q</definedName>
    <definedName name="q" localSheetId="3">江苏省建设工程造价咨询服务费取费方法2014!q</definedName>
    <definedName name="q">#N/A</definedName>
    <definedName name="re">[6]sis.xlm!$E$15:$E$16384</definedName>
    <definedName name="Recorder" hidden="1">[4]sis.xlm!$E$15:$E$16384</definedName>
    <definedName name="REGRESS_DATA" localSheetId="4">[7]REGRESS!$O$5:$P$9</definedName>
    <definedName name="REGRESS_DATA" localSheetId="3">[7]REGRESS!$O$5:$P$9</definedName>
    <definedName name="REGRESS_DATA">[8]REGRESS!$O$5:$P$9</definedName>
    <definedName name="s" localSheetId="4">'江苏省建设工程造价咨询服务费取费方法（苏建价协2022(7)号'!s</definedName>
    <definedName name="s" localSheetId="3">江苏省建设工程造价咨询服务费取费方法2014!s</definedName>
    <definedName name="s">#N/A</definedName>
    <definedName name="Total_Cost" localSheetId="4">#REF!</definedName>
    <definedName name="Total_Cost" localSheetId="3">#REF!</definedName>
    <definedName name="Total_Cost">#REF!</definedName>
    <definedName name="Total_Interest" localSheetId="4">#REF!</definedName>
    <definedName name="Total_Interest" localSheetId="3">#REF!</definedName>
    <definedName name="Total_Interest">#REF!</definedName>
    <definedName name="Values_Entered" localSheetId="4">IF('江苏省建设工程造价咨询服务费取费方法（苏建价协2022(7)号'!Loan_Amount*'江苏省建设工程造价咨询服务费取费方法（苏建价协2022(7)号'!Interest_Rate*'江苏省建设工程造价咨询服务费取费方法（苏建价协2022(7)号'!Loan_Years*'江苏省建设工程造价咨询服务费取费方法（苏建价协2022(7)号'!Loan_Start&gt;0,1,0)</definedName>
    <definedName name="Values_Entered" localSheetId="3">IF(江苏省建设工程造价咨询服务费取费方法2014!Loan_Amount*江苏省建设工程造价咨询服务费取费方法2014!Interest_Rate*江苏省建设工程造价咨询服务费取费方法2014!Loan_Years*江苏省建设工程造价咨询服务费取费方法2014!Loan_Start&gt;0,1,0)</definedName>
    <definedName name="Values_Entered">IF(Loan_Amount*Interest_Rate*Loan_Years*Loan_Start&gt;0,1,0)</definedName>
    <definedName name="wrn.gyy1." hidden="1">{#N/A,#N/A,FALSE,"流动资金估算表";#N/A,#N/A,FALSE,"投资筹措表";#N/A,#N/A,FALSE,"总成本估算表";#N/A,#N/A,FALSE,"折旧摊销表";#N/A,#N/A,FALSE,"贷款还本付息表";#N/A,#N/A,FALSE,"损益表";#N/A,#N/A,FALSE,"全部投资现金表";#N/A,#N/A,FALSE,"自有资金现金表";#N/A,#N/A,FALSE,"资金来源运用表";#N/A,#N/A,FALSE,"资产负债表";#N/A,#N/A,FALSE,"投资调整表";#N/A,#N/A,FALSE,"成本调整表";#N/A,#N/A,FALSE,"国评流量表1";#N/A,#N/A,FALSE,"国评流量表2";#N/A,#N/A,FALSE,"不确定分析图"}</definedName>
    <definedName name="x" localSheetId="4">'江苏省建设工程造价咨询服务费取费方法（苏建价协2022(7)号'!x</definedName>
    <definedName name="x" localSheetId="3">江苏省建设工程造价咨询服务费取费方法2014!x</definedName>
    <definedName name="x">#N/A</definedName>
    <definedName name="XLRPARAMS_GCMC" localSheetId="1" hidden="1">[9]XLR_NoRangeSheet!$B$6</definedName>
    <definedName name="XLRPARAMS_GCMC" hidden="1">[10]XLR_NoRangeSheet!$B$6</definedName>
    <definedName name="XLRPARAMS_ZYMC" localSheetId="1" hidden="1">[9]XLR_NoRangeSheet!$C$6</definedName>
    <definedName name="XLRPARAMS_ZYMC" hidden="1">[10]XLR_NoRangeSheet!$C$6</definedName>
    <definedName name="xx" localSheetId="4">'江苏省建设工程造价咨询服务费取费方法（苏建价协2022(7)号'!xx</definedName>
    <definedName name="xx" localSheetId="3">江苏省建设工程造价咨询服务费取费方法2014!xx</definedName>
    <definedName name="xx">#N/A</definedName>
    <definedName name="yuo" localSheetId="4">'江苏省建设工程造价咨询服务费取费方法（苏建价协2022(7)号'!yuo</definedName>
    <definedName name="yuo" localSheetId="3">江苏省建设工程造价咨询服务费取费方法2014!yuo</definedName>
    <definedName name="yuo">#N/A</definedName>
    <definedName name="yuo1" localSheetId="4">'江苏省建设工程造价咨询服务费取费方法（苏建价协2022(7)号'!yuo1</definedName>
    <definedName name="yuo1" localSheetId="3">江苏省建设工程造价咨询服务费取费方法2014!yuo1</definedName>
    <definedName name="yuo1">#N/A</definedName>
    <definedName name="z" localSheetId="4">'江苏省建设工程造价咨询服务费取费方法（苏建价协2022(7)号'!z</definedName>
    <definedName name="z" localSheetId="3">江苏省建设工程造价咨询服务费取费方法2014!z</definedName>
    <definedName name="z">#N/A</definedName>
    <definedName name="zb" localSheetId="4">'江苏省建设工程造价咨询服务费取费方法（苏建价协2022(7)号'!zb</definedName>
    <definedName name="zb" localSheetId="3">江苏省建设工程造价咨询服务费取费方法2014!zb</definedName>
    <definedName name="zb">#N/A</definedName>
    <definedName name="zq">[11]总表!$D$44</definedName>
    <definedName name="zx" localSheetId="4">'江苏省建设工程造价咨询服务费取费方法（苏建价协2022(7)号'!zx</definedName>
    <definedName name="zx" localSheetId="3">江苏省建设工程造价咨询服务费取费方法2014!zx</definedName>
    <definedName name="zx">#N/A</definedName>
    <definedName name="zz" localSheetId="4">'江苏省建设工程造价咨询服务费取费方法（苏建价协2022(7)号'!zz</definedName>
    <definedName name="zz" localSheetId="3">江苏省建设工程造价咨询服务费取费方法2014!zz</definedName>
    <definedName name="zz">#N/A</definedName>
    <definedName name="拌和机0.4立方米" localSheetId="4">[3]机械!#REF!</definedName>
    <definedName name="拌和机0.4立方米" localSheetId="3">[3]机械!#REF!</definedName>
    <definedName name="拌和机0.4立方米">[3]机械!#REF!</definedName>
    <definedName name="插入式震捣器2.2kw" localSheetId="4">[3]机械!#REF!</definedName>
    <definedName name="插入式震捣器2.2kw" localSheetId="3">[3]机械!#REF!</definedName>
    <definedName name="插入式震捣器2.2kw">[3]机械!#REF!</definedName>
    <definedName name="池" localSheetId="4">'江苏省建设工程造价咨询服务费取费方法（苏建价协2022(7)号'!池</definedName>
    <definedName name="池" localSheetId="3">江苏省建设工程造价咨询服务费取费方法2014!池</definedName>
    <definedName name="池">#N/A</definedName>
    <definedName name="池池" localSheetId="4">'江苏省建设工程造价咨询服务费取费方法（苏建价协2022(7)号'!池池</definedName>
    <definedName name="池池" localSheetId="3">江苏省建设工程造价咨询服务费取费方法2014!池池</definedName>
    <definedName name="池池">#N/A</definedName>
    <definedName name="池池池" localSheetId="4">'江苏省建设工程造价咨询服务费取费方法（苏建价协2022(7)号'!池池池</definedName>
    <definedName name="池池池" localSheetId="3">江苏省建设工程造价咨询服务费取费方法2014!池池池</definedName>
    <definedName name="池池池">#N/A</definedName>
    <definedName name="答">[12]sis.xlm!$B$1</definedName>
    <definedName name="单斗挖掘机0.6立方米" localSheetId="4">[3]机械!#REF!</definedName>
    <definedName name="单斗挖掘机0.6立方米" localSheetId="3">[3]机械!#REF!</definedName>
    <definedName name="单斗挖掘机0.6立方米">[3]机械!#REF!</definedName>
    <definedName name="单级离心水泵1.1_7kw" localSheetId="4">[3]机械!#REF!</definedName>
    <definedName name="单级离心水泵1.1_7kw">[3]机械!#REF!</definedName>
    <definedName name="导杆式柴油打桩机1.8t" localSheetId="4">[3]机械!#REF!</definedName>
    <definedName name="导杆式柴油打桩机1.8t" localSheetId="3">[3]机械!#REF!</definedName>
    <definedName name="导杆式柴油打桩机1.8t">[3]机械!#REF!</definedName>
    <definedName name="电焊交流机25_50" localSheetId="3">[3]机械!#REF!</definedName>
    <definedName name="电焊交流机25_50">[3]机械!#REF!</definedName>
    <definedName name="定">[12]sis.xlm!$H$1</definedName>
    <definedName name="斗车0.6立方米" localSheetId="4">[3]机械!#REF!</definedName>
    <definedName name="斗车0.6立方米" localSheetId="3">[3]机械!#REF!</definedName>
    <definedName name="斗车0.6立方米">[3]机械!#REF!</definedName>
    <definedName name="对焊机150" localSheetId="4">[3]机械!#REF!</definedName>
    <definedName name="对焊机150">[3]机械!#REF!</definedName>
    <definedName name="二" localSheetId="4">'江苏省建设工程造价咨询服务费取费方法（苏建价协2022(7)号'!二</definedName>
    <definedName name="二" localSheetId="3">江苏省建设工程造价咨询服务费取费方法2014!二</definedName>
    <definedName name="二">#N/A</definedName>
    <definedName name="二泵设备底稿" localSheetId="4">'江苏省建设工程造价咨询服务费取费方法（苏建价协2022(7)号'!二泵设备底稿</definedName>
    <definedName name="二泵设备底稿" localSheetId="3">江苏省建设工程造价咨询服务费取费方法2014!二泵设备底稿</definedName>
    <definedName name="二泵设备底稿">#N/A</definedName>
    <definedName name="二号泵站机械设备" localSheetId="4">#REF!</definedName>
    <definedName name="二号泵站机械设备" localSheetId="3">#REF!</definedName>
    <definedName name="二号泵站机械设备">#REF!</definedName>
    <definedName name="风机形式">[13]Sheet1!$E$7:$E$10</definedName>
    <definedName name="风机形式2">[14]Sheet1!$E$7:$E$10</definedName>
    <definedName name="风水枪" localSheetId="4">[3]机械!#REF!</definedName>
    <definedName name="风水枪" localSheetId="3">[3]机械!#REF!</definedName>
    <definedName name="风水枪">[3]机械!#REF!</definedName>
    <definedName name="钢筋切断机" localSheetId="4">[3]机械!#REF!</definedName>
    <definedName name="钢筋切断机" localSheetId="3">[3]机械!#REF!</definedName>
    <definedName name="钢筋切断机">[3]机械!#REF!</definedName>
    <definedName name="钢筋调直机" localSheetId="4">[3]机械!#REF!</definedName>
    <definedName name="钢筋调直机" localSheetId="3">[3]机械!#REF!</definedName>
    <definedName name="钢筋调直机">[3]机械!#REF!</definedName>
    <definedName name="钢筋弯曲机" localSheetId="4">[3]机械!#REF!</definedName>
    <definedName name="钢筋弯曲机" localSheetId="3">[3]机械!#REF!</definedName>
    <definedName name="钢筋弯曲机">[3]机械!#REF!</definedName>
    <definedName name="宏1">#REF!</definedName>
    <definedName name="宏11">#REF!</definedName>
    <definedName name="宏12">#REF!</definedName>
    <definedName name="宏13">#REF!</definedName>
    <definedName name="宏14">#REF!</definedName>
    <definedName name="宏15">#REF!</definedName>
    <definedName name="宏16">#REF!</definedName>
    <definedName name="宏17">#REF!</definedName>
    <definedName name="宏18">#REF!</definedName>
    <definedName name="宏19">#REF!</definedName>
    <definedName name="宏2">#REF!</definedName>
    <definedName name="宏20">#REF!</definedName>
    <definedName name="宏6">[15]Macro2!#REF!</definedName>
    <definedName name="沪南路机械设备" localSheetId="4">#REF!</definedName>
    <definedName name="沪南路机械设备" localSheetId="3">#REF!</definedName>
    <definedName name="沪南路机械设备">#REF!</definedName>
    <definedName name="建築">[16]sheet1!$G$1</definedName>
    <definedName name="交通1" localSheetId="4">#REF!</definedName>
    <definedName name="交通1" localSheetId="3">#REF!</definedName>
    <definedName name="交通1">#REF!</definedName>
    <definedName name="空压机9立方米" localSheetId="4">[3]机械!#REF!</definedName>
    <definedName name="空压机9立方米" localSheetId="3">[3]机械!#REF!</definedName>
    <definedName name="空压机9立方米">[3]机械!#REF!</definedName>
    <definedName name="立米" localSheetId="4">#REF!</definedName>
    <definedName name="立米" localSheetId="3">#REF!</definedName>
    <definedName name="立米">#REF!</definedName>
    <definedName name="连接方式">[13]Sheet1!$F$7:$F$9</definedName>
    <definedName name="龙东路机械设备" localSheetId="4">#REF!</definedName>
    <definedName name="龙东路机械设备" localSheetId="3">#REF!</definedName>
    <definedName name="龙东路机械设备">#REF!</definedName>
    <definedName name="_xlnm.Recorder" localSheetId="4">[17]sis.xlm!$E$15:$E$16384</definedName>
    <definedName name="_xlnm.Recorder" localSheetId="3">[17]sis.xlm!$E$15:$E$16384</definedName>
    <definedName name="_xlnm.Recorder">[18]sis.xlm!$E$15:$E$16384</definedName>
    <definedName name="排烟">#REF!,#REF!,#REF!,#REF!,#REF!,#REF!,#REF!,#REF!,#REF!,#REF!,#REF!,#REF!</definedName>
    <definedName name="排烟1">#REF!</definedName>
    <definedName name="配件">[19]水管表!$B$12:$B$59</definedName>
    <definedName name="皮带输送机15米" localSheetId="4">[3]机械!#REF!</definedName>
    <definedName name="皮带输送机15米" localSheetId="3">[3]机械!#REF!</definedName>
    <definedName name="皮带输送机15米">[3]机械!#REF!</definedName>
    <definedName name="起" localSheetId="4">'江苏省建设工程造价咨询服务费取费方法（苏建价协2022(7)号'!起</definedName>
    <definedName name="起" localSheetId="3">江苏省建设工程造价咨询服务费取费方法2014!起</definedName>
    <definedName name="起">#N/A</definedName>
    <definedName name="汽车起重机16t" localSheetId="4">[3]机械!#REF!</definedName>
    <definedName name="汽车起重机16t" localSheetId="3">[3]机械!#REF!</definedName>
    <definedName name="汽车起重机16t">[3]机械!#REF!</definedName>
    <definedName name="汽车起重机5t" localSheetId="4">[3]机械!#REF!</definedName>
    <definedName name="汽车起重机5t" localSheetId="3">[3]机械!#REF!</definedName>
    <definedName name="汽车起重机5t">[3]机械!#REF!</definedName>
    <definedName name="汽车起重机8t" localSheetId="4">[3]机械!#REF!</definedName>
    <definedName name="汽车起重机8t" localSheetId="3">[3]机械!#REF!</definedName>
    <definedName name="汽车起重机8t">[3]机械!#REF!</definedName>
    <definedName name="前向">[20]Sheet1!$E$2:$E$5</definedName>
    <definedName name="潜水泵2.2kw" localSheetId="4">[3]机械!#REF!</definedName>
    <definedName name="潜水泵2.2kw" localSheetId="3">[3]机械!#REF!</definedName>
    <definedName name="潜水泵2.2kw">[3]机械!#REF!</definedName>
    <definedName name="清" localSheetId="4">'江苏省建设工程造价咨询服务费取费方法（苏建价协2022(7)号'!清</definedName>
    <definedName name="清" localSheetId="3">江苏省建设工程造价咨询服务费取费方法2014!清</definedName>
    <definedName name="清">#N/A</definedName>
    <definedName name="清水池管配件" localSheetId="4">'江苏省建设工程造价咨询服务费取费方法（苏建价协2022(7)号'!清水池管配件</definedName>
    <definedName name="清水池管配件" localSheetId="3">江苏省建设工程造价咨询服务费取费方法2014!清水池管配件</definedName>
    <definedName name="清水池管配件">#N/A</definedName>
    <definedName name="清水池进口" localSheetId="4">'江苏省建设工程造价咨询服务费取费方法（苏建价协2022(7)号'!清水池进口</definedName>
    <definedName name="清水池进口" localSheetId="3">江苏省建设工程造价咨询服务费取费方法2014!清水池进口</definedName>
    <definedName name="清水池进口">#N/A</definedName>
    <definedName name="人工工资2">[21]材料单价!$B$3</definedName>
    <definedName name="三号泵站机械设备" localSheetId="4">#REF!</definedName>
    <definedName name="三号泵站机械设备" localSheetId="3">#REF!</definedName>
    <definedName name="三号泵站机械设备">#REF!</definedName>
    <definedName name="市场价" localSheetId="4">'江苏省建设工程造价咨询服务费取费方法（苏建价协2022(7)号'!市场价</definedName>
    <definedName name="市场价" localSheetId="3">江苏省建设工程造价咨询服务费取费方法2014!市场价</definedName>
    <definedName name="市场价">#N/A</definedName>
    <definedName name="数据查询" localSheetId="4">'江苏省建设工程造价咨询服务费取费方法（苏建价协2022(7)号'!数据查询</definedName>
    <definedName name="数据查询" localSheetId="3">江苏省建设工程造价咨询服务费取费方法2014!数据查询</definedName>
    <definedName name="数据查询">#N/A</definedName>
    <definedName name="数据库管理" localSheetId="4">'江苏省建设工程造价咨询服务费取费方法（苏建价协2022(7)号'!数据库管理</definedName>
    <definedName name="数据库管理" localSheetId="3">江苏省建设工程造价咨询服务费取费方法2014!数据库管理</definedName>
    <definedName name="数据库管理">#N/A</definedName>
    <definedName name="双胶轮车" localSheetId="4">[3]机械!#REF!</definedName>
    <definedName name="双胶轮车" localSheetId="3">[3]机械!#REF!</definedName>
    <definedName name="双胶轮车">[3]机械!#REF!</definedName>
    <definedName name="水力冲挖机组4pl_250" localSheetId="4">[3]机械!#REF!</definedName>
    <definedName name="水力冲挖机组4pl_250" localSheetId="3">[3]机械!#REF!</definedName>
    <definedName name="水力冲挖机组4pl_250">[3]机械!#REF!</definedName>
    <definedName name="土方工程" localSheetId="4">'江苏省建设工程造价咨询服务费取费方法（苏建价协2022(7)号'!土方工程</definedName>
    <definedName name="土方工程" localSheetId="3">江苏省建设工程造价咨询服务费取费方法2014!土方工程</definedName>
    <definedName name="土方工程">#N/A</definedName>
    <definedName name="推土机88kw" localSheetId="4">[3]机械!#REF!</definedName>
    <definedName name="推土机88kw" localSheetId="3">[3]机械!#REF!</definedName>
    <definedName name="推土机88kw">[3]机械!#REF!</definedName>
    <definedName name="我">[22]Sheet1!$E$2:$E$5</definedName>
    <definedName name="洗石机" localSheetId="4">[3]机械!#REF!</definedName>
    <definedName name="洗石机" localSheetId="3">[3]机械!#REF!</definedName>
    <definedName name="洗石机">[3]机械!#REF!</definedName>
    <definedName name="新表">[12]sis.xlm!$E$15:$E$16384</definedName>
    <definedName name="新山村" localSheetId="4">'江苏省建设工程造价咨询服务费取费方法（苏建价协2022(7)号'!新山村</definedName>
    <definedName name="新山村" localSheetId="3">江苏省建设工程造价咨询服务费取费方法2014!新山村</definedName>
    <definedName name="新山村">#N/A</definedName>
    <definedName name="一" localSheetId="4">'江苏省建设工程造价咨询服务费取费方法（苏建价协2022(7)号'!一</definedName>
    <definedName name="一" localSheetId="3">江苏省建设工程造价咨询服务费取费方法2014!一</definedName>
    <definedName name="一">#N/A</definedName>
    <definedName name="一号泵站机械设备" localSheetId="4">#REF!</definedName>
    <definedName name="一号泵站机械设备" localSheetId="3">#REF!</definedName>
    <definedName name="一号泵站机械设备">#REF!</definedName>
    <definedName name="有机肥生产车间" localSheetId="4">'江苏省建设工程造价咨询服务费取费方法（苏建价协2022(7)号'!有机肥生产车间</definedName>
    <definedName name="有机肥生产车间" localSheetId="3">江苏省建设工程造价咨询服务费取费方法2014!有机肥生产车间</definedName>
    <definedName name="有机肥生产车间">#N/A</definedName>
    <definedName name="圆形构筑物" localSheetId="4">'江苏省建设工程造价咨询服务费取费方法（苏建价协2022(7)号'!圆形构筑物</definedName>
    <definedName name="圆形构筑物" localSheetId="3">江苏省建设工程造价咨询服务费取费方法2014!圆形构筑物</definedName>
    <definedName name="圆形构筑物">#N/A</definedName>
    <definedName name="载重汽车10t" localSheetId="4">[3]机械!#REF!</definedName>
    <definedName name="载重汽车10t" localSheetId="3">[3]机械!#REF!</definedName>
    <definedName name="载重汽车10t">[3]机械!#REF!</definedName>
    <definedName name="载重汽车5t" localSheetId="4">[3]机械!#REF!</definedName>
    <definedName name="载重汽车5t" localSheetId="3">[3]机械!#REF!</definedName>
    <definedName name="载重汽车5t">[3]机械!#REF!</definedName>
    <definedName name="中" localSheetId="4">'江苏省建设工程造价咨询服务费取费方法（苏建价协2022(7)号'!中</definedName>
    <definedName name="中" localSheetId="3">江苏省建设工程造价咨询服务费取费方法2014!中</definedName>
    <definedName name="中">#N/A</definedName>
    <definedName name="朱冰" localSheetId="4">'江苏省建设工程造价咨询服务费取费方法（苏建价协2022(7)号'!朱冰</definedName>
    <definedName name="朱冰" localSheetId="3">江苏省建设工程造价咨询服务费取费方法2014!朱冰</definedName>
    <definedName name="朱冰">#N/A</definedName>
    <definedName name="装载机1.5立方米" localSheetId="4">[3]机械!#REF!</definedName>
    <definedName name="装载机1.5立方米" localSheetId="3">[3]机械!#REF!</definedName>
    <definedName name="装载机1.5立方米">[3]机械!#REF!</definedName>
    <definedName name="自卸汽车5_t" localSheetId="4">[3]机械!#REF!</definedName>
    <definedName name="自卸汽车5_t" localSheetId="3">[3]机械!#REF!</definedName>
    <definedName name="自卸汽车5_t">[3]机械!#REF!</definedName>
  </definedNames>
  <calcPr calcId="145621" iterate="1"/>
</workbook>
</file>

<file path=xl/calcChain.xml><?xml version="1.0" encoding="utf-8"?>
<calcChain xmlns="http://schemas.openxmlformats.org/spreadsheetml/2006/main">
  <c r="J59" i="5" l="1"/>
  <c r="D59" i="5"/>
  <c r="Q58" i="5"/>
  <c r="D58" i="5"/>
  <c r="D57" i="5"/>
  <c r="J56" i="5"/>
  <c r="H56" i="5"/>
  <c r="F56" i="5"/>
  <c r="D56" i="5"/>
  <c r="J54" i="5"/>
  <c r="D54" i="5"/>
  <c r="J53" i="5"/>
  <c r="D53" i="5"/>
  <c r="D52" i="5"/>
  <c r="Q50" i="5"/>
  <c r="J50" i="5"/>
  <c r="D50" i="5"/>
  <c r="Q49" i="5"/>
  <c r="D49" i="5"/>
  <c r="D48" i="5"/>
  <c r="Q47" i="5"/>
  <c r="J47" i="5"/>
  <c r="D47" i="5"/>
  <c r="Q46" i="5"/>
  <c r="J46" i="5"/>
  <c r="D46" i="5"/>
  <c r="D45" i="5"/>
  <c r="Q44" i="5"/>
  <c r="J44" i="5"/>
  <c r="D44" i="5"/>
  <c r="Q43" i="5"/>
  <c r="J43" i="5"/>
  <c r="D43" i="5"/>
  <c r="Q42" i="5"/>
  <c r="J42" i="5"/>
  <c r="Q41" i="5"/>
  <c r="J41" i="5"/>
  <c r="D41" i="5"/>
  <c r="D40" i="5"/>
  <c r="Q39" i="5"/>
  <c r="J39" i="5"/>
  <c r="D39" i="5"/>
  <c r="D38" i="5"/>
  <c r="J45" i="4"/>
  <c r="D45" i="4"/>
  <c r="Q44" i="4"/>
  <c r="D44" i="4"/>
  <c r="D43" i="4"/>
  <c r="Q42" i="4"/>
  <c r="D42" i="4"/>
  <c r="M41" i="4"/>
  <c r="V41" i="4" s="1"/>
  <c r="I41" i="4"/>
  <c r="D41" i="4"/>
  <c r="Q40" i="4"/>
  <c r="J40" i="4"/>
  <c r="I40" i="4"/>
  <c r="D40" i="4"/>
  <c r="S39" i="4"/>
  <c r="Q39" i="4"/>
  <c r="M39" i="4"/>
  <c r="V39" i="4" s="1"/>
  <c r="J39" i="4"/>
  <c r="I39" i="4"/>
  <c r="L39" i="4" s="1"/>
  <c r="D39" i="4"/>
  <c r="M38" i="4"/>
  <c r="I38" i="4"/>
  <c r="N38" i="4" s="1"/>
  <c r="D38" i="4"/>
  <c r="Q37" i="4"/>
  <c r="J37" i="4"/>
  <c r="D37" i="4"/>
  <c r="Q36" i="4"/>
  <c r="J36" i="4"/>
  <c r="D36" i="4"/>
  <c r="Q35" i="4"/>
  <c r="J35" i="4"/>
  <c r="I35" i="4"/>
  <c r="Q34" i="4"/>
  <c r="M34" i="4"/>
  <c r="J34" i="4"/>
  <c r="I34" i="4"/>
  <c r="L34" i="4" s="1"/>
  <c r="D34" i="4"/>
  <c r="D33" i="4"/>
  <c r="Q32" i="4"/>
  <c r="J32" i="4"/>
  <c r="D32" i="4"/>
  <c r="D31" i="4"/>
  <c r="I45" i="4"/>
  <c r="D351" i="3"/>
  <c r="H350" i="3"/>
  <c r="G350" i="3"/>
  <c r="F350" i="3"/>
  <c r="E350" i="3"/>
  <c r="E351" i="3" s="1"/>
  <c r="D350" i="3"/>
  <c r="D343" i="3"/>
  <c r="H342" i="3"/>
  <c r="G342" i="3"/>
  <c r="F342" i="3"/>
  <c r="E342" i="3"/>
  <c r="E343" i="3" s="1"/>
  <c r="D342" i="3"/>
  <c r="H334" i="3"/>
  <c r="G334" i="3"/>
  <c r="F334" i="3"/>
  <c r="E334" i="3"/>
  <c r="D334" i="3"/>
  <c r="D335" i="3" s="1"/>
  <c r="G327" i="3"/>
  <c r="H326" i="3"/>
  <c r="G326" i="3"/>
  <c r="F326" i="3"/>
  <c r="E326" i="3"/>
  <c r="D326" i="3"/>
  <c r="D327" i="3" s="1"/>
  <c r="E327" i="3" s="1"/>
  <c r="F327" i="3" s="1"/>
  <c r="E319" i="3"/>
  <c r="H318" i="3"/>
  <c r="G318" i="3"/>
  <c r="F318" i="3"/>
  <c r="F319" i="3" s="1"/>
  <c r="E318" i="3"/>
  <c r="D318" i="3"/>
  <c r="D319" i="3" s="1"/>
  <c r="F308" i="3"/>
  <c r="E308" i="3"/>
  <c r="D308" i="3"/>
  <c r="D309" i="3" s="1"/>
  <c r="X301" i="3"/>
  <c r="W301" i="3"/>
  <c r="I301" i="3"/>
  <c r="D301" i="3"/>
  <c r="X299" i="3"/>
  <c r="W299" i="3"/>
  <c r="V299" i="3"/>
  <c r="U299" i="3"/>
  <c r="U298" i="3" s="1"/>
  <c r="T299" i="3"/>
  <c r="S299" i="3"/>
  <c r="R299" i="3"/>
  <c r="Q299" i="3"/>
  <c r="Q298" i="3" s="1"/>
  <c r="P299" i="3"/>
  <c r="O299" i="3"/>
  <c r="N299" i="3"/>
  <c r="M299" i="3"/>
  <c r="M298" i="3" s="1"/>
  <c r="L299" i="3"/>
  <c r="K299" i="3"/>
  <c r="J299" i="3"/>
  <c r="I299" i="3"/>
  <c r="I298" i="3" s="1"/>
  <c r="H299" i="3"/>
  <c r="G299" i="3"/>
  <c r="F299" i="3"/>
  <c r="E299" i="3"/>
  <c r="E298" i="3" s="1"/>
  <c r="D299" i="3"/>
  <c r="X298" i="3"/>
  <c r="W298" i="3"/>
  <c r="V298" i="3"/>
  <c r="T298" i="3"/>
  <c r="S298" i="3"/>
  <c r="R298" i="3"/>
  <c r="P298" i="3"/>
  <c r="O298" i="3"/>
  <c r="N298" i="3"/>
  <c r="L298" i="3"/>
  <c r="K298" i="3"/>
  <c r="J298" i="3"/>
  <c r="H298" i="3"/>
  <c r="G298" i="3"/>
  <c r="F298" i="3"/>
  <c r="D298" i="3"/>
  <c r="E296" i="3"/>
  <c r="X293" i="3"/>
  <c r="W293" i="3"/>
  <c r="K293" i="3"/>
  <c r="G293" i="3"/>
  <c r="X291" i="3"/>
  <c r="X290" i="3" s="1"/>
  <c r="W291" i="3"/>
  <c r="V291" i="3"/>
  <c r="U291" i="3"/>
  <c r="T291" i="3"/>
  <c r="T290" i="3" s="1"/>
  <c r="S291" i="3"/>
  <c r="R291" i="3"/>
  <c r="Q291" i="3"/>
  <c r="P291" i="3"/>
  <c r="P290" i="3" s="1"/>
  <c r="O291" i="3"/>
  <c r="N291" i="3"/>
  <c r="M291" i="3"/>
  <c r="L291" i="3"/>
  <c r="L290" i="3" s="1"/>
  <c r="K291" i="3"/>
  <c r="J291" i="3"/>
  <c r="I291" i="3"/>
  <c r="H291" i="3"/>
  <c r="H290" i="3" s="1"/>
  <c r="G291" i="3"/>
  <c r="F291" i="3"/>
  <c r="E291" i="3"/>
  <c r="D291" i="3"/>
  <c r="D290" i="3" s="1"/>
  <c r="W290" i="3"/>
  <c r="V290" i="3"/>
  <c r="U290" i="3"/>
  <c r="S290" i="3"/>
  <c r="R290" i="3"/>
  <c r="Q290" i="3"/>
  <c r="O290" i="3"/>
  <c r="N290" i="3"/>
  <c r="M290" i="3"/>
  <c r="K290" i="3"/>
  <c r="J290" i="3"/>
  <c r="I290" i="3"/>
  <c r="G290" i="3"/>
  <c r="F290" i="3"/>
  <c r="E290" i="3"/>
  <c r="E288" i="3"/>
  <c r="O293" i="3" s="1"/>
  <c r="X285" i="3"/>
  <c r="W285" i="3"/>
  <c r="S285" i="3"/>
  <c r="G285" i="3"/>
  <c r="X283" i="3"/>
  <c r="X282" i="3" s="1"/>
  <c r="W283" i="3"/>
  <c r="V283" i="3"/>
  <c r="U283" i="3"/>
  <c r="T283" i="3"/>
  <c r="T282" i="3" s="1"/>
  <c r="S283" i="3"/>
  <c r="R283" i="3"/>
  <c r="Q283" i="3"/>
  <c r="P283" i="3"/>
  <c r="P282" i="3" s="1"/>
  <c r="O283" i="3"/>
  <c r="N283" i="3"/>
  <c r="M283" i="3"/>
  <c r="L283" i="3"/>
  <c r="L282" i="3" s="1"/>
  <c r="K283" i="3"/>
  <c r="J283" i="3"/>
  <c r="I283" i="3"/>
  <c r="H283" i="3"/>
  <c r="H282" i="3" s="1"/>
  <c r="G283" i="3"/>
  <c r="F283" i="3"/>
  <c r="E283" i="3"/>
  <c r="D283" i="3"/>
  <c r="D282" i="3" s="1"/>
  <c r="W282" i="3"/>
  <c r="V282" i="3"/>
  <c r="U282" i="3"/>
  <c r="S282" i="3"/>
  <c r="R282" i="3"/>
  <c r="Q282" i="3"/>
  <c r="O282" i="3"/>
  <c r="N282" i="3"/>
  <c r="M282" i="3"/>
  <c r="K282" i="3"/>
  <c r="J282" i="3"/>
  <c r="I282" i="3"/>
  <c r="G282" i="3"/>
  <c r="F282" i="3"/>
  <c r="E282" i="3"/>
  <c r="E280" i="3"/>
  <c r="K285" i="3" s="1"/>
  <c r="X277" i="3"/>
  <c r="W277" i="3"/>
  <c r="X275" i="3"/>
  <c r="X274" i="3" s="1"/>
  <c r="W275" i="3"/>
  <c r="W274" i="3" s="1"/>
  <c r="V275" i="3"/>
  <c r="V274" i="3" s="1"/>
  <c r="U275" i="3"/>
  <c r="T275" i="3"/>
  <c r="T274" i="3" s="1"/>
  <c r="S275" i="3"/>
  <c r="S274" i="3" s="1"/>
  <c r="R275" i="3"/>
  <c r="R274" i="3" s="1"/>
  <c r="Q275" i="3"/>
  <c r="P275" i="3"/>
  <c r="P274" i="3" s="1"/>
  <c r="O275" i="3"/>
  <c r="O274" i="3" s="1"/>
  <c r="N275" i="3"/>
  <c r="N274" i="3" s="1"/>
  <c r="M275" i="3"/>
  <c r="L275" i="3"/>
  <c r="L274" i="3" s="1"/>
  <c r="K275" i="3"/>
  <c r="K274" i="3" s="1"/>
  <c r="J275" i="3"/>
  <c r="J274" i="3" s="1"/>
  <c r="I275" i="3"/>
  <c r="H275" i="3"/>
  <c r="H274" i="3" s="1"/>
  <c r="G275" i="3"/>
  <c r="G274" i="3" s="1"/>
  <c r="F275" i="3"/>
  <c r="F274" i="3" s="1"/>
  <c r="E275" i="3"/>
  <c r="D275" i="3"/>
  <c r="D274" i="3" s="1"/>
  <c r="U274" i="3"/>
  <c r="Q274" i="3"/>
  <c r="M274" i="3"/>
  <c r="I274" i="3"/>
  <c r="E274" i="3"/>
  <c r="E272" i="3"/>
  <c r="G277" i="3" s="1"/>
  <c r="J266" i="3"/>
  <c r="I266" i="3"/>
  <c r="H266" i="3"/>
  <c r="H265" i="3" s="1"/>
  <c r="G266" i="3"/>
  <c r="F266" i="3"/>
  <c r="E266" i="3"/>
  <c r="D266" i="3"/>
  <c r="D265" i="3" s="1"/>
  <c r="J265" i="3"/>
  <c r="I265" i="3"/>
  <c r="G265" i="3"/>
  <c r="F265" i="3"/>
  <c r="E265" i="3"/>
  <c r="J258" i="3"/>
  <c r="J257" i="3" s="1"/>
  <c r="I258" i="3"/>
  <c r="H258" i="3"/>
  <c r="G258" i="3"/>
  <c r="F258" i="3"/>
  <c r="F257" i="3" s="1"/>
  <c r="E258" i="3"/>
  <c r="D258" i="3"/>
  <c r="I257" i="3"/>
  <c r="H257" i="3"/>
  <c r="G257" i="3"/>
  <c r="E257" i="3"/>
  <c r="D257" i="3"/>
  <c r="D250" i="3"/>
  <c r="H249" i="3"/>
  <c r="G249" i="3"/>
  <c r="F249" i="3"/>
  <c r="E249" i="3"/>
  <c r="E250" i="3" s="1"/>
  <c r="D249" i="3"/>
  <c r="P248" i="3"/>
  <c r="O248" i="3"/>
  <c r="N248" i="3"/>
  <c r="M248" i="3"/>
  <c r="L248" i="3"/>
  <c r="K248" i="3"/>
  <c r="E242" i="3"/>
  <c r="D242" i="3"/>
  <c r="H241" i="3"/>
  <c r="G241" i="3"/>
  <c r="F241" i="3"/>
  <c r="F242" i="3" s="1"/>
  <c r="E241" i="3"/>
  <c r="D241" i="3"/>
  <c r="D234" i="3"/>
  <c r="H233" i="3"/>
  <c r="G233" i="3"/>
  <c r="F233" i="3"/>
  <c r="E233" i="3"/>
  <c r="E234" i="3" s="1"/>
  <c r="D233" i="3"/>
  <c r="D226" i="3"/>
  <c r="H225" i="3"/>
  <c r="G225" i="3"/>
  <c r="F225" i="3"/>
  <c r="F226" i="3" s="1"/>
  <c r="G226" i="3" s="1"/>
  <c r="H226" i="3" s="1"/>
  <c r="E225" i="3"/>
  <c r="E226" i="3" s="1"/>
  <c r="D225" i="3"/>
  <c r="D218" i="3"/>
  <c r="H217" i="3"/>
  <c r="G217" i="3"/>
  <c r="F217" i="3"/>
  <c r="E217" i="3"/>
  <c r="E218" i="3" s="1"/>
  <c r="D217" i="3"/>
  <c r="D210" i="3"/>
  <c r="H209" i="3"/>
  <c r="G209" i="3"/>
  <c r="F209" i="3"/>
  <c r="E209" i="3"/>
  <c r="E210" i="3" s="1"/>
  <c r="D209" i="3"/>
  <c r="K201" i="3"/>
  <c r="G201" i="3"/>
  <c r="G200" i="3"/>
  <c r="L199" i="3"/>
  <c r="K199" i="3"/>
  <c r="J199" i="3"/>
  <c r="I199" i="3"/>
  <c r="H199" i="3"/>
  <c r="H200" i="3" s="1"/>
  <c r="G199" i="3"/>
  <c r="F199" i="3"/>
  <c r="D196" i="3"/>
  <c r="G192" i="3"/>
  <c r="L191" i="3"/>
  <c r="K191" i="3"/>
  <c r="J191" i="3"/>
  <c r="I191" i="3"/>
  <c r="H191" i="3"/>
  <c r="H192" i="3" s="1"/>
  <c r="G191" i="3"/>
  <c r="F191" i="3"/>
  <c r="K185" i="3"/>
  <c r="G185" i="3"/>
  <c r="G184" i="3"/>
  <c r="L183" i="3"/>
  <c r="K183" i="3"/>
  <c r="J183" i="3"/>
  <c r="I183" i="3"/>
  <c r="H183" i="3"/>
  <c r="H184" i="3" s="1"/>
  <c r="G183" i="3"/>
  <c r="F183" i="3"/>
  <c r="D180" i="3"/>
  <c r="D175" i="3"/>
  <c r="L174" i="3"/>
  <c r="K174" i="3"/>
  <c r="J174" i="3"/>
  <c r="I174" i="3"/>
  <c r="H174" i="3"/>
  <c r="G174" i="3"/>
  <c r="F174" i="3"/>
  <c r="E174" i="3"/>
  <c r="E175" i="3" s="1"/>
  <c r="D174" i="3"/>
  <c r="D171" i="3"/>
  <c r="D167" i="3"/>
  <c r="L166" i="3"/>
  <c r="K166" i="3"/>
  <c r="J166" i="3"/>
  <c r="I166" i="3"/>
  <c r="H166" i="3"/>
  <c r="G166" i="3"/>
  <c r="F166" i="3"/>
  <c r="E166" i="3"/>
  <c r="E167" i="3" s="1"/>
  <c r="D166" i="3"/>
  <c r="H160" i="3"/>
  <c r="E159" i="3"/>
  <c r="D159" i="3"/>
  <c r="L158" i="3"/>
  <c r="K158" i="3"/>
  <c r="J158" i="3"/>
  <c r="I158" i="3"/>
  <c r="H158" i="3"/>
  <c r="G158" i="3"/>
  <c r="F158" i="3"/>
  <c r="F159" i="3" s="1"/>
  <c r="E158" i="3"/>
  <c r="D158" i="3"/>
  <c r="D155" i="3"/>
  <c r="K160" i="3" s="1"/>
  <c r="I151" i="3"/>
  <c r="H151" i="3"/>
  <c r="D151" i="3"/>
  <c r="I149" i="3"/>
  <c r="H149" i="3"/>
  <c r="G149" i="3"/>
  <c r="F149" i="3"/>
  <c r="E149" i="3"/>
  <c r="D149" i="3"/>
  <c r="D150" i="3" s="1"/>
  <c r="D146" i="3"/>
  <c r="D141" i="3"/>
  <c r="I140" i="3"/>
  <c r="H140" i="3"/>
  <c r="G140" i="3"/>
  <c r="F140" i="3"/>
  <c r="E140" i="3"/>
  <c r="E141" i="3" s="1"/>
  <c r="D140" i="3"/>
  <c r="H134" i="3"/>
  <c r="D134" i="3"/>
  <c r="F133" i="3"/>
  <c r="G133" i="3" s="1"/>
  <c r="I132" i="3"/>
  <c r="H132" i="3"/>
  <c r="G132" i="3"/>
  <c r="F132" i="3"/>
  <c r="E132" i="3"/>
  <c r="E133" i="3" s="1"/>
  <c r="D132" i="3"/>
  <c r="D133" i="3" s="1"/>
  <c r="D129" i="3"/>
  <c r="G134" i="3" s="1"/>
  <c r="H124" i="3"/>
  <c r="G124" i="3"/>
  <c r="G123" i="3" s="1"/>
  <c r="F124" i="3"/>
  <c r="E124" i="3"/>
  <c r="E123" i="3" s="1"/>
  <c r="D124" i="3"/>
  <c r="H123" i="3"/>
  <c r="F123" i="3"/>
  <c r="D123" i="3"/>
  <c r="F117" i="3"/>
  <c r="E117" i="3"/>
  <c r="E116" i="3" s="1"/>
  <c r="D117" i="3"/>
  <c r="F116" i="3"/>
  <c r="D116" i="3"/>
  <c r="H110" i="3"/>
  <c r="G110" i="3"/>
  <c r="G109" i="3" s="1"/>
  <c r="F110" i="3"/>
  <c r="E110" i="3"/>
  <c r="E109" i="3" s="1"/>
  <c r="D110" i="3"/>
  <c r="H109" i="3"/>
  <c r="F109" i="3"/>
  <c r="D109" i="3"/>
  <c r="F103" i="3"/>
  <c r="E103" i="3"/>
  <c r="E102" i="3" s="1"/>
  <c r="D103" i="3"/>
  <c r="F102" i="3"/>
  <c r="D102" i="3"/>
  <c r="U94" i="3"/>
  <c r="T94" i="3"/>
  <c r="S94" i="3"/>
  <c r="S93" i="3" s="1"/>
  <c r="R94" i="3"/>
  <c r="R93" i="3" s="1"/>
  <c r="Q94" i="3"/>
  <c r="P94" i="3"/>
  <c r="O94" i="3"/>
  <c r="O93" i="3" s="1"/>
  <c r="N94" i="3"/>
  <c r="N93" i="3" s="1"/>
  <c r="M94" i="3"/>
  <c r="L94" i="3"/>
  <c r="K94" i="3"/>
  <c r="K93" i="3" s="1"/>
  <c r="J94" i="3"/>
  <c r="J93" i="3" s="1"/>
  <c r="I94" i="3"/>
  <c r="H94" i="3"/>
  <c r="G94" i="3"/>
  <c r="G93" i="3" s="1"/>
  <c r="F94" i="3"/>
  <c r="F93" i="3" s="1"/>
  <c r="U93" i="3"/>
  <c r="T93" i="3"/>
  <c r="Q93" i="3"/>
  <c r="P93" i="3"/>
  <c r="M93" i="3"/>
  <c r="L93" i="3"/>
  <c r="I93" i="3"/>
  <c r="H93" i="3"/>
  <c r="W88" i="3"/>
  <c r="V88" i="3"/>
  <c r="W86" i="3"/>
  <c r="V86" i="3"/>
  <c r="U86" i="3"/>
  <c r="T86" i="3"/>
  <c r="S86" i="3"/>
  <c r="R86" i="3"/>
  <c r="Q86" i="3"/>
  <c r="P86" i="3"/>
  <c r="O86" i="3"/>
  <c r="N86" i="3"/>
  <c r="M86" i="3"/>
  <c r="L86" i="3"/>
  <c r="K86" i="3"/>
  <c r="J86" i="3"/>
  <c r="I86" i="3"/>
  <c r="H86" i="3"/>
  <c r="G86" i="3"/>
  <c r="F86" i="3"/>
  <c r="E86" i="3"/>
  <c r="D86" i="3"/>
  <c r="W85" i="3"/>
  <c r="V85" i="3"/>
  <c r="U85" i="3"/>
  <c r="T85" i="3"/>
  <c r="S85" i="3"/>
  <c r="R85" i="3"/>
  <c r="Q85" i="3"/>
  <c r="P85" i="3"/>
  <c r="O85" i="3"/>
  <c r="N85" i="3"/>
  <c r="M85" i="3"/>
  <c r="L85" i="3"/>
  <c r="K85" i="3"/>
  <c r="J85" i="3"/>
  <c r="I85" i="3"/>
  <c r="H85" i="3"/>
  <c r="G85" i="3"/>
  <c r="F85" i="3"/>
  <c r="E85" i="3"/>
  <c r="D85" i="3"/>
  <c r="J77" i="3"/>
  <c r="I77" i="3"/>
  <c r="I76" i="3" s="1"/>
  <c r="H77" i="3"/>
  <c r="G77" i="3"/>
  <c r="G76" i="3" s="1"/>
  <c r="F77" i="3"/>
  <c r="J76" i="3"/>
  <c r="H76" i="3"/>
  <c r="F76" i="3"/>
  <c r="J70" i="3"/>
  <c r="I70" i="3"/>
  <c r="I69" i="3" s="1"/>
  <c r="H70" i="3"/>
  <c r="G70" i="3"/>
  <c r="G69" i="3" s="1"/>
  <c r="F70" i="3"/>
  <c r="J69" i="3"/>
  <c r="H69" i="3"/>
  <c r="F69" i="3"/>
  <c r="I66" i="3"/>
  <c r="I73" i="3" s="1"/>
  <c r="J63" i="3"/>
  <c r="I63" i="3"/>
  <c r="I62" i="3" s="1"/>
  <c r="H63" i="3"/>
  <c r="G63" i="3"/>
  <c r="G62" i="3" s="1"/>
  <c r="F63" i="3"/>
  <c r="J62" i="3"/>
  <c r="H62" i="3"/>
  <c r="F62" i="3"/>
  <c r="K59" i="3"/>
  <c r="I59" i="3"/>
  <c r="J56" i="3"/>
  <c r="I56" i="3"/>
  <c r="I55" i="3" s="1"/>
  <c r="H56" i="3"/>
  <c r="G56" i="3"/>
  <c r="G55" i="3" s="1"/>
  <c r="F56" i="3"/>
  <c r="J55" i="3"/>
  <c r="H55" i="3"/>
  <c r="F55" i="3"/>
  <c r="O26" i="3"/>
  <c r="O23" i="3"/>
  <c r="D16" i="3"/>
  <c r="E15" i="3" s="1"/>
  <c r="E14" i="3" s="1"/>
  <c r="Q15" i="3"/>
  <c r="P15" i="3"/>
  <c r="P14" i="3" s="1"/>
  <c r="O15" i="3"/>
  <c r="N15" i="3"/>
  <c r="N14" i="3" s="1"/>
  <c r="M15" i="3"/>
  <c r="L15" i="3"/>
  <c r="L14" i="3" s="1"/>
  <c r="K15" i="3"/>
  <c r="J15" i="3"/>
  <c r="J14" i="3" s="1"/>
  <c r="I15" i="3"/>
  <c r="H15" i="3"/>
  <c r="H14" i="3" s="1"/>
  <c r="G15" i="3"/>
  <c r="F15" i="3"/>
  <c r="F14" i="3" s="1"/>
  <c r="Q14" i="3"/>
  <c r="O14" i="3"/>
  <c r="M14" i="3"/>
  <c r="K14" i="3"/>
  <c r="I14" i="3"/>
  <c r="G14" i="3"/>
  <c r="D14" i="3"/>
  <c r="G7" i="3"/>
  <c r="H7" i="3" s="1"/>
  <c r="D7" i="3"/>
  <c r="I6" i="3"/>
  <c r="H6" i="3"/>
  <c r="G6" i="3"/>
  <c r="F6" i="3"/>
  <c r="F7" i="3" s="1"/>
  <c r="E6" i="3"/>
  <c r="E7" i="3" s="1"/>
  <c r="D6" i="3"/>
  <c r="C96" i="2"/>
  <c r="B96" i="2"/>
  <c r="C95" i="2"/>
  <c r="F94" i="2"/>
  <c r="C94" i="2"/>
  <c r="F93" i="2"/>
  <c r="D93" i="2"/>
  <c r="C93" i="2"/>
  <c r="C92" i="2"/>
  <c r="C91" i="2"/>
  <c r="E90" i="2"/>
  <c r="C90" i="2"/>
  <c r="C89" i="2"/>
  <c r="F88" i="2"/>
  <c r="D88" i="2"/>
  <c r="C88" i="2"/>
  <c r="C87" i="2"/>
  <c r="F86" i="2"/>
  <c r="C86" i="2"/>
  <c r="F85" i="2"/>
  <c r="E85" i="2"/>
  <c r="C85" i="2"/>
  <c r="F84" i="2"/>
  <c r="E84" i="2"/>
  <c r="C84" i="2"/>
  <c r="F83" i="2"/>
  <c r="E83" i="2"/>
  <c r="C83" i="2"/>
  <c r="F82" i="2"/>
  <c r="E82" i="2"/>
  <c r="C82" i="2"/>
  <c r="F81" i="2"/>
  <c r="E81" i="2"/>
  <c r="C81" i="2"/>
  <c r="F80" i="2"/>
  <c r="E80" i="2"/>
  <c r="C80" i="2"/>
  <c r="F79" i="2"/>
  <c r="C79" i="2"/>
  <c r="F78" i="2"/>
  <c r="C78" i="2"/>
  <c r="F77" i="2"/>
  <c r="C77" i="2"/>
  <c r="C76" i="2"/>
  <c r="C75" i="2"/>
  <c r="C74" i="2"/>
  <c r="F73" i="2"/>
  <c r="C73" i="2"/>
  <c r="F72" i="2"/>
  <c r="C72" i="2"/>
  <c r="C71" i="2"/>
  <c r="C70" i="2"/>
  <c r="B70" i="2"/>
  <c r="F69" i="2"/>
  <c r="D69" i="2"/>
  <c r="C69" i="2"/>
  <c r="F68" i="2"/>
  <c r="C68" i="2"/>
  <c r="C67" i="2"/>
  <c r="F66" i="2"/>
  <c r="E66" i="2"/>
  <c r="C66" i="2"/>
  <c r="F65" i="2"/>
  <c r="E65" i="2"/>
  <c r="C65" i="2"/>
  <c r="F64" i="2"/>
  <c r="E64" i="2"/>
  <c r="C64" i="2"/>
  <c r="F63" i="2"/>
  <c r="C63" i="2"/>
  <c r="F62" i="2"/>
  <c r="C62" i="2"/>
  <c r="F61" i="2"/>
  <c r="C61" i="2"/>
  <c r="D60" i="2"/>
  <c r="C60" i="2"/>
  <c r="C59" i="2"/>
  <c r="F58" i="2"/>
  <c r="C58" i="2"/>
  <c r="C57" i="2"/>
  <c r="F56" i="2"/>
  <c r="C56" i="2"/>
  <c r="D55" i="2"/>
  <c r="C55" i="2"/>
  <c r="F54" i="2"/>
  <c r="C54" i="2"/>
  <c r="C53" i="2"/>
  <c r="C52" i="2"/>
  <c r="I51" i="2"/>
  <c r="C51" i="2"/>
  <c r="I50" i="2"/>
  <c r="J50" i="2" s="1"/>
  <c r="J51" i="2" s="1"/>
  <c r="G50" i="2"/>
  <c r="C50" i="2"/>
  <c r="B50" i="2"/>
  <c r="C49" i="2"/>
  <c r="C48" i="2"/>
  <c r="C47" i="2"/>
  <c r="C46" i="2"/>
  <c r="F45" i="2"/>
  <c r="C45" i="2"/>
  <c r="C44" i="2"/>
  <c r="C43" i="2"/>
  <c r="F42" i="2"/>
  <c r="C42" i="2"/>
  <c r="F41" i="2"/>
  <c r="C41" i="2"/>
  <c r="F40" i="2"/>
  <c r="C40" i="2"/>
  <c r="F39" i="2"/>
  <c r="C39" i="2"/>
  <c r="C38" i="2"/>
  <c r="C37" i="2"/>
  <c r="C36" i="2"/>
  <c r="C35" i="2"/>
  <c r="C34" i="2"/>
  <c r="C33" i="2"/>
  <c r="C32" i="2"/>
  <c r="F31" i="2"/>
  <c r="C31" i="2"/>
  <c r="F30" i="2"/>
  <c r="C30" i="2"/>
  <c r="F29" i="2"/>
  <c r="C29" i="2"/>
  <c r="F28" i="2"/>
  <c r="C28" i="2"/>
  <c r="C27" i="2"/>
  <c r="C26" i="2"/>
  <c r="C25" i="2"/>
  <c r="C24" i="2"/>
  <c r="F23" i="2"/>
  <c r="C23" i="2"/>
  <c r="F22" i="2"/>
  <c r="C22" i="2"/>
  <c r="C21" i="2"/>
  <c r="I21" i="2" s="1"/>
  <c r="C20" i="2"/>
  <c r="C19" i="2"/>
  <c r="I18" i="2"/>
  <c r="J18" i="2" s="1"/>
  <c r="J21" i="2" s="1"/>
  <c r="C18" i="2"/>
  <c r="C17" i="2"/>
  <c r="C16" i="2"/>
  <c r="L15" i="2"/>
  <c r="G15" i="2"/>
  <c r="F15" i="2"/>
  <c r="C15" i="2"/>
  <c r="I15" i="2" s="1"/>
  <c r="J15" i="2" s="1"/>
  <c r="F14" i="2"/>
  <c r="C14" i="2"/>
  <c r="F13" i="2"/>
  <c r="C13" i="2"/>
  <c r="I13" i="2" s="1"/>
  <c r="C12" i="2"/>
  <c r="I11" i="2"/>
  <c r="J11" i="2" s="1"/>
  <c r="F11" i="2"/>
  <c r="C11" i="2"/>
  <c r="B11" i="2"/>
  <c r="D10" i="2"/>
  <c r="C10" i="2"/>
  <c r="F9" i="2"/>
  <c r="D9" i="2"/>
  <c r="C9" i="2"/>
  <c r="I9" i="2" s="1"/>
  <c r="F8" i="2"/>
  <c r="D8" i="2"/>
  <c r="C8" i="2"/>
  <c r="F7" i="2"/>
  <c r="D7" i="2"/>
  <c r="C7" i="2"/>
  <c r="I7" i="2" s="1"/>
  <c r="J7" i="2" s="1"/>
  <c r="J9" i="2" s="1"/>
  <c r="I6" i="2"/>
  <c r="F6" i="2"/>
  <c r="C6" i="2"/>
  <c r="B6" i="2"/>
  <c r="I5" i="2"/>
  <c r="J5" i="2" s="1"/>
  <c r="J6" i="2" s="1"/>
  <c r="F5" i="2"/>
  <c r="C5" i="2"/>
  <c r="B5" i="2"/>
  <c r="B3" i="2"/>
  <c r="D121" i="1"/>
  <c r="H120" i="1"/>
  <c r="H119" i="1"/>
  <c r="H118" i="1"/>
  <c r="H117" i="1"/>
  <c r="Q115" i="1"/>
  <c r="P115" i="1"/>
  <c r="N115" i="1"/>
  <c r="N114" i="1"/>
  <c r="H114" i="1"/>
  <c r="S112" i="1"/>
  <c r="Q114" i="1" s="1"/>
  <c r="F110" i="1"/>
  <c r="F121" i="1" s="1"/>
  <c r="E110" i="1"/>
  <c r="E121" i="1" s="1"/>
  <c r="F104" i="1"/>
  <c r="E104" i="1"/>
  <c r="D104" i="1"/>
  <c r="D110" i="1" s="1"/>
  <c r="C104" i="1"/>
  <c r="H102" i="1"/>
  <c r="E95" i="2" s="1"/>
  <c r="H101" i="1"/>
  <c r="E94" i="2" s="1"/>
  <c r="G100" i="1"/>
  <c r="H100" i="1" s="1"/>
  <c r="E93" i="2" s="1"/>
  <c r="L99" i="1"/>
  <c r="F92" i="2" s="1"/>
  <c r="G99" i="1"/>
  <c r="H99" i="1" s="1"/>
  <c r="E92" i="2" s="1"/>
  <c r="L98" i="1"/>
  <c r="F91" i="2" s="1"/>
  <c r="H96" i="1"/>
  <c r="E89" i="2" s="1"/>
  <c r="G95" i="1"/>
  <c r="H95" i="1" s="1"/>
  <c r="E88" i="2" s="1"/>
  <c r="H94" i="1"/>
  <c r="E87" i="2" s="1"/>
  <c r="H93" i="1"/>
  <c r="E86" i="2" s="1"/>
  <c r="H92" i="1"/>
  <c r="A91" i="1"/>
  <c r="B84" i="2" s="1"/>
  <c r="H86" i="1"/>
  <c r="E79" i="2" s="1"/>
  <c r="A86" i="1"/>
  <c r="B79" i="2" s="1"/>
  <c r="H85" i="1"/>
  <c r="E78" i="2" s="1"/>
  <c r="K84" i="1"/>
  <c r="D77" i="2" s="1"/>
  <c r="A81" i="1"/>
  <c r="B74" i="2" s="1"/>
  <c r="H79" i="1"/>
  <c r="E72" i="2" s="1"/>
  <c r="A79" i="1"/>
  <c r="B72" i="2" s="1"/>
  <c r="A77" i="1"/>
  <c r="H76" i="1"/>
  <c r="E69" i="2" s="1"/>
  <c r="G76" i="1"/>
  <c r="J75" i="1"/>
  <c r="D68" i="2" s="1"/>
  <c r="H75" i="1"/>
  <c r="E68" i="2" s="1"/>
  <c r="G75" i="1"/>
  <c r="L74" i="1"/>
  <c r="F67" i="2" s="1"/>
  <c r="H74" i="1"/>
  <c r="E67" i="2" s="1"/>
  <c r="G74" i="1"/>
  <c r="H70" i="1"/>
  <c r="E63" i="2" s="1"/>
  <c r="H69" i="1"/>
  <c r="E62" i="2" s="1"/>
  <c r="H68" i="1"/>
  <c r="E61" i="2" s="1"/>
  <c r="L67" i="1"/>
  <c r="F60" i="2" s="1"/>
  <c r="H67" i="1"/>
  <c r="E60" i="2" s="1"/>
  <c r="G67" i="1"/>
  <c r="A66" i="1"/>
  <c r="B59" i="2" s="1"/>
  <c r="J65" i="1"/>
  <c r="D58" i="2" s="1"/>
  <c r="A65" i="1"/>
  <c r="B58" i="2" s="1"/>
  <c r="H64" i="1"/>
  <c r="H63" i="1"/>
  <c r="E56" i="2" s="1"/>
  <c r="A63" i="1"/>
  <c r="B56" i="2" s="1"/>
  <c r="L62" i="1"/>
  <c r="F55" i="2" s="1"/>
  <c r="A62" i="1"/>
  <c r="B55" i="2" s="1"/>
  <c r="H61" i="1"/>
  <c r="E54" i="2" s="1"/>
  <c r="A61" i="1"/>
  <c r="B54" i="2" s="1"/>
  <c r="A60" i="1"/>
  <c r="B52" i="2" s="1"/>
  <c r="N57" i="1"/>
  <c r="L58" i="1" s="1"/>
  <c r="F51" i="2" s="1"/>
  <c r="A57" i="1"/>
  <c r="A58" i="1" s="1"/>
  <c r="B53" i="2" s="1"/>
  <c r="A54" i="1"/>
  <c r="B47" i="2" s="1"/>
  <c r="A52" i="1"/>
  <c r="B45" i="2" s="1"/>
  <c r="A51" i="1"/>
  <c r="B44" i="2" s="1"/>
  <c r="A50" i="1"/>
  <c r="B43" i="2" s="1"/>
  <c r="A47" i="1"/>
  <c r="B40" i="2" s="1"/>
  <c r="H46" i="1"/>
  <c r="E39" i="2" s="1"/>
  <c r="A46" i="1"/>
  <c r="B39" i="2" s="1"/>
  <c r="L45" i="1"/>
  <c r="F38" i="2" s="1"/>
  <c r="A45" i="1"/>
  <c r="B38" i="2" s="1"/>
  <c r="A44" i="1"/>
  <c r="B37" i="2" s="1"/>
  <c r="A43" i="1"/>
  <c r="B36" i="2" s="1"/>
  <c r="A40" i="1"/>
  <c r="B33" i="2" s="1"/>
  <c r="A39" i="1"/>
  <c r="B32" i="2" s="1"/>
  <c r="A38" i="1"/>
  <c r="B31" i="2" s="1"/>
  <c r="A35" i="1"/>
  <c r="B28" i="2" s="1"/>
  <c r="H34" i="1"/>
  <c r="A34" i="1"/>
  <c r="B27" i="2" s="1"/>
  <c r="A31" i="1"/>
  <c r="B24" i="2" s="1"/>
  <c r="H29" i="1"/>
  <c r="E22" i="2" s="1"/>
  <c r="A29" i="1"/>
  <c r="B22" i="2" s="1"/>
  <c r="N22" i="1"/>
  <c r="L23" i="1" s="1"/>
  <c r="F16" i="2" s="1"/>
  <c r="H22" i="1"/>
  <c r="E15" i="2" s="1"/>
  <c r="A22" i="1"/>
  <c r="A23" i="1" s="1"/>
  <c r="B16" i="2" s="1"/>
  <c r="A19" i="1"/>
  <c r="B12" i="2" s="1"/>
  <c r="H18" i="1"/>
  <c r="E11" i="2" s="1"/>
  <c r="H17" i="1"/>
  <c r="E9" i="2" s="1"/>
  <c r="A16" i="1"/>
  <c r="B9" i="2" s="1"/>
  <c r="H15" i="1"/>
  <c r="E8" i="2" s="1"/>
  <c r="A15" i="1"/>
  <c r="B8" i="2" s="1"/>
  <c r="G14" i="1"/>
  <c r="A14" i="1"/>
  <c r="B7" i="2" s="1"/>
  <c r="H13" i="1"/>
  <c r="E6" i="2" s="1"/>
  <c r="A13" i="1"/>
  <c r="A17" i="1" s="1"/>
  <c r="B10" i="2" s="1"/>
  <c r="H12" i="1"/>
  <c r="E5" i="2" s="1"/>
  <c r="O10" i="1"/>
  <c r="H9" i="1"/>
  <c r="G98" i="1" s="1"/>
  <c r="H98" i="1" s="1"/>
  <c r="E91" i="2" s="1"/>
  <c r="A27" i="1" l="1"/>
  <c r="B20" i="2" s="1"/>
  <c r="B15" i="2"/>
  <c r="A30" i="1"/>
  <c r="B23" i="2" s="1"/>
  <c r="A37" i="1"/>
  <c r="B30" i="2" s="1"/>
  <c r="A41" i="1"/>
  <c r="B34" i="2" s="1"/>
  <c r="A49" i="1"/>
  <c r="B42" i="2" s="1"/>
  <c r="A55" i="1"/>
  <c r="B48" i="2" s="1"/>
  <c r="G62" i="1"/>
  <c r="H62" i="1" s="1"/>
  <c r="E55" i="2" s="1"/>
  <c r="G65" i="1"/>
  <c r="H65" i="1" s="1"/>
  <c r="E58" i="2" s="1"/>
  <c r="A67" i="1"/>
  <c r="B60" i="2" s="1"/>
  <c r="A68" i="1"/>
  <c r="B61" i="2" s="1"/>
  <c r="A70" i="1"/>
  <c r="B63" i="2" s="1"/>
  <c r="A73" i="1"/>
  <c r="B66" i="2" s="1"/>
  <c r="A100" i="1"/>
  <c r="B93" i="2" s="1"/>
  <c r="A99" i="1"/>
  <c r="B92" i="2" s="1"/>
  <c r="A98" i="1"/>
  <c r="B91" i="2" s="1"/>
  <c r="A94" i="1"/>
  <c r="B87" i="2" s="1"/>
  <c r="A92" i="1"/>
  <c r="B85" i="2" s="1"/>
  <c r="A88" i="1"/>
  <c r="B81" i="2" s="1"/>
  <c r="A80" i="1"/>
  <c r="B73" i="2" s="1"/>
  <c r="A84" i="1"/>
  <c r="B77" i="2" s="1"/>
  <c r="A85" i="1"/>
  <c r="B78" i="2" s="1"/>
  <c r="A87" i="1"/>
  <c r="B80" i="2" s="1"/>
  <c r="A95" i="1"/>
  <c r="B88" i="2" s="1"/>
  <c r="A97" i="1"/>
  <c r="B90" i="2" s="1"/>
  <c r="A102" i="1"/>
  <c r="B95" i="2" s="1"/>
  <c r="J13" i="2"/>
  <c r="J176" i="3"/>
  <c r="F176" i="3"/>
  <c r="M176" i="3"/>
  <c r="I176" i="3"/>
  <c r="E176" i="3"/>
  <c r="L176" i="3"/>
  <c r="H176" i="3"/>
  <c r="D176" i="3"/>
  <c r="K176" i="3"/>
  <c r="G176" i="3"/>
  <c r="AA172" i="3" s="1" a="1"/>
  <c r="AA172" i="3" s="1"/>
  <c r="K53" i="2" s="1"/>
  <c r="G53" i="2" s="1"/>
  <c r="D53" i="2" s="1"/>
  <c r="A25" i="1"/>
  <c r="B18" i="2" s="1"/>
  <c r="O35" i="4"/>
  <c r="K35" i="4"/>
  <c r="N35" i="4"/>
  <c r="M35" i="4"/>
  <c r="L35" i="4"/>
  <c r="A21" i="1"/>
  <c r="B14" i="2" s="1"/>
  <c r="A28" i="1"/>
  <c r="B21" i="2" s="1"/>
  <c r="H14" i="1"/>
  <c r="E7" i="2" s="1"/>
  <c r="A20" i="1"/>
  <c r="B13" i="2" s="1"/>
  <c r="A24" i="1"/>
  <c r="B17" i="2" s="1"/>
  <c r="A26" i="1"/>
  <c r="B19" i="2" s="1"/>
  <c r="A33" i="1"/>
  <c r="B26" i="2" s="1"/>
  <c r="A36" i="1"/>
  <c r="B29" i="2" s="1"/>
  <c r="A42" i="1"/>
  <c r="B35" i="2" s="1"/>
  <c r="G45" i="1"/>
  <c r="H45" i="1" s="1"/>
  <c r="E38" i="2" s="1"/>
  <c r="A48" i="1"/>
  <c r="B41" i="2" s="1"/>
  <c r="A56" i="1"/>
  <c r="B49" i="2" s="1"/>
  <c r="A59" i="1"/>
  <c r="B51" i="2" s="1"/>
  <c r="A64" i="1"/>
  <c r="B57" i="2" s="1"/>
  <c r="A74" i="1"/>
  <c r="B67" i="2" s="1"/>
  <c r="A75" i="1"/>
  <c r="B68" i="2" s="1"/>
  <c r="A76" i="1"/>
  <c r="B69" i="2" s="1"/>
  <c r="A78" i="1"/>
  <c r="B71" i="2" s="1"/>
  <c r="A83" i="1"/>
  <c r="B76" i="2" s="1"/>
  <c r="G84" i="1"/>
  <c r="H84" i="1" s="1"/>
  <c r="E77" i="2" s="1"/>
  <c r="A89" i="1"/>
  <c r="B82" i="2" s="1"/>
  <c r="A93" i="1"/>
  <c r="B86" i="2" s="1"/>
  <c r="O115" i="1"/>
  <c r="S115" i="1" s="1"/>
  <c r="G112" i="1" s="1"/>
  <c r="H112" i="1" s="1"/>
  <c r="I7" i="3"/>
  <c r="K66" i="3"/>
  <c r="H133" i="3"/>
  <c r="F141" i="3"/>
  <c r="G141" i="3" s="1"/>
  <c r="H141" i="3" s="1"/>
  <c r="A72" i="1"/>
  <c r="B65" i="2" s="1"/>
  <c r="D339" i="3"/>
  <c r="D331" i="3"/>
  <c r="D305" i="3"/>
  <c r="F35" i="5"/>
  <c r="D347" i="3"/>
  <c r="D246" i="3"/>
  <c r="D238" i="3"/>
  <c r="D38" i="2"/>
  <c r="D230" i="3"/>
  <c r="D91" i="3"/>
  <c r="D222" i="3"/>
  <c r="D83" i="3"/>
  <c r="A32" i="1"/>
  <c r="B25" i="2" s="1"/>
  <c r="A53" i="1"/>
  <c r="B46" i="2" s="1"/>
  <c r="A69" i="1"/>
  <c r="B62" i="2" s="1"/>
  <c r="A71" i="1"/>
  <c r="B64" i="2" s="1"/>
  <c r="C12" i="3"/>
  <c r="A82" i="1"/>
  <c r="B75" i="2" s="1"/>
  <c r="A90" i="1"/>
  <c r="B83" i="2" s="1"/>
  <c r="A96" i="1"/>
  <c r="B89" i="2" s="1"/>
  <c r="A101" i="1"/>
  <c r="B94" i="2" s="1"/>
  <c r="C110" i="1"/>
  <c r="I133" i="3"/>
  <c r="O114" i="1"/>
  <c r="E134" i="3"/>
  <c r="E128" i="3" s="1"/>
  <c r="I134" i="3"/>
  <c r="AA130" i="3" s="1" a="1"/>
  <c r="AA130" i="3" s="1"/>
  <c r="F234" i="3"/>
  <c r="G234" i="3" s="1"/>
  <c r="H234" i="3" s="1"/>
  <c r="P114" i="1"/>
  <c r="F134" i="3"/>
  <c r="J134" i="3"/>
  <c r="J160" i="3"/>
  <c r="F160" i="3"/>
  <c r="M160" i="3"/>
  <c r="I160" i="3"/>
  <c r="E160" i="3"/>
  <c r="J159" i="3"/>
  <c r="K159" i="3" s="1"/>
  <c r="L159" i="3" s="1"/>
  <c r="D160" i="3"/>
  <c r="L160" i="3"/>
  <c r="L184" i="3"/>
  <c r="F210" i="3"/>
  <c r="G210" i="3" s="1"/>
  <c r="H210" i="3" s="1"/>
  <c r="F250" i="3"/>
  <c r="G250" i="3" s="1"/>
  <c r="H250" i="3" s="1"/>
  <c r="V277" i="3"/>
  <c r="R277" i="3"/>
  <c r="Y277" i="3"/>
  <c r="U277" i="3"/>
  <c r="Q277" i="3"/>
  <c r="T277" i="3"/>
  <c r="N277" i="3"/>
  <c r="J277" i="3"/>
  <c r="F277" i="3"/>
  <c r="S277" i="3"/>
  <c r="M277" i="3"/>
  <c r="I277" i="3"/>
  <c r="E277" i="3"/>
  <c r="P277" i="3"/>
  <c r="L277" i="3"/>
  <c r="H277" i="3"/>
  <c r="D277" i="3"/>
  <c r="K277" i="3"/>
  <c r="J151" i="3"/>
  <c r="F151" i="3"/>
  <c r="E150" i="3"/>
  <c r="F150" i="3" s="1"/>
  <c r="E151" i="3"/>
  <c r="G159" i="3"/>
  <c r="H159" i="3" s="1"/>
  <c r="I159" i="3" s="1"/>
  <c r="G160" i="3"/>
  <c r="F167" i="3"/>
  <c r="G167" i="3" s="1"/>
  <c r="H167" i="3" s="1"/>
  <c r="I167" i="3" s="1"/>
  <c r="J167" i="3" s="1"/>
  <c r="K167" i="3" s="1"/>
  <c r="L167" i="3" s="1"/>
  <c r="F175" i="3"/>
  <c r="G175" i="3" s="1"/>
  <c r="H175" i="3" s="1"/>
  <c r="I175" i="3" s="1"/>
  <c r="J175" i="3" s="1"/>
  <c r="K175" i="3" s="1"/>
  <c r="L175" i="3" s="1"/>
  <c r="J185" i="3"/>
  <c r="F185" i="3"/>
  <c r="M185" i="3"/>
  <c r="I185" i="3"/>
  <c r="L185" i="3"/>
  <c r="H185" i="3"/>
  <c r="AA181" i="3"/>
  <c r="L51" i="2" s="1"/>
  <c r="I184" i="3"/>
  <c r="J184" i="3" s="1"/>
  <c r="K184" i="3" s="1"/>
  <c r="I192" i="3"/>
  <c r="J192" i="3" s="1"/>
  <c r="K192" i="3" s="1"/>
  <c r="L192" i="3" s="1"/>
  <c r="J201" i="3"/>
  <c r="F201" i="3"/>
  <c r="M201" i="3"/>
  <c r="I201" i="3"/>
  <c r="L201" i="3"/>
  <c r="H201" i="3"/>
  <c r="AA197" i="3" s="1"/>
  <c r="L53" i="2" s="1"/>
  <c r="I200" i="3"/>
  <c r="J200" i="3" s="1"/>
  <c r="K200" i="3" s="1"/>
  <c r="L200" i="3" s="1"/>
  <c r="F218" i="3"/>
  <c r="G218" i="3" s="1"/>
  <c r="H218" i="3" s="1"/>
  <c r="G242" i="3"/>
  <c r="H242" i="3" s="1"/>
  <c r="O277" i="3"/>
  <c r="L40" i="4"/>
  <c r="O40" i="4"/>
  <c r="K40" i="4"/>
  <c r="N40" i="4"/>
  <c r="M40" i="4"/>
  <c r="T301" i="3"/>
  <c r="P301" i="3"/>
  <c r="L301" i="3"/>
  <c r="H301" i="3"/>
  <c r="R301" i="3"/>
  <c r="M301" i="3"/>
  <c r="G301" i="3"/>
  <c r="V301" i="3"/>
  <c r="Q301" i="3"/>
  <c r="K301" i="3"/>
  <c r="F301" i="3"/>
  <c r="Y301" i="3"/>
  <c r="AA296" i="3" s="1"/>
  <c r="D76" i="2" s="1"/>
  <c r="U301" i="3"/>
  <c r="O301" i="3"/>
  <c r="J301" i="3"/>
  <c r="E301" i="3"/>
  <c r="F295" i="3" s="1"/>
  <c r="G83" i="1" s="1"/>
  <c r="H83" i="1" s="1"/>
  <c r="E76" i="2" s="1"/>
  <c r="N301" i="3"/>
  <c r="G319" i="3"/>
  <c r="V285" i="3"/>
  <c r="R285" i="3"/>
  <c r="N285" i="3"/>
  <c r="J285" i="3"/>
  <c r="F285" i="3"/>
  <c r="Y285" i="3"/>
  <c r="U285" i="3"/>
  <c r="Q285" i="3"/>
  <c r="M285" i="3"/>
  <c r="I285" i="3"/>
  <c r="E285" i="3"/>
  <c r="T285" i="3"/>
  <c r="P285" i="3"/>
  <c r="L285" i="3"/>
  <c r="H285" i="3"/>
  <c r="D285" i="3"/>
  <c r="O285" i="3"/>
  <c r="V293" i="3"/>
  <c r="R293" i="3"/>
  <c r="N293" i="3"/>
  <c r="J293" i="3"/>
  <c r="F293" i="3"/>
  <c r="Y293" i="3"/>
  <c r="U293" i="3"/>
  <c r="Q293" i="3"/>
  <c r="M293" i="3"/>
  <c r="I293" i="3"/>
  <c r="E293" i="3"/>
  <c r="T293" i="3"/>
  <c r="P293" i="3"/>
  <c r="L293" i="3"/>
  <c r="H293" i="3"/>
  <c r="D293" i="3"/>
  <c r="F287" i="3" s="1"/>
  <c r="G82" i="1" s="1"/>
  <c r="H82" i="1" s="1"/>
  <c r="E75" i="2" s="1"/>
  <c r="S293" i="3"/>
  <c r="S301" i="3"/>
  <c r="E309" i="3"/>
  <c r="F309" i="3" s="1"/>
  <c r="M45" i="4"/>
  <c r="Q45" i="4" s="1"/>
  <c r="L45" i="4"/>
  <c r="N45" i="4"/>
  <c r="K45" i="4"/>
  <c r="O45" i="4"/>
  <c r="H327" i="3"/>
  <c r="H335" i="3"/>
  <c r="L38" i="4"/>
  <c r="O38" i="4"/>
  <c r="K38" i="4"/>
  <c r="O41" i="4"/>
  <c r="K41" i="4"/>
  <c r="N41" i="4"/>
  <c r="W41" i="4" s="1"/>
  <c r="J41" i="4"/>
  <c r="I42" i="4"/>
  <c r="H319" i="3"/>
  <c r="E335" i="3"/>
  <c r="F335" i="3" s="1"/>
  <c r="G335" i="3" s="1"/>
  <c r="F343" i="3"/>
  <c r="G343" i="3" s="1"/>
  <c r="H343" i="3" s="1"/>
  <c r="F351" i="3"/>
  <c r="G351" i="3" s="1"/>
  <c r="H351" i="3" s="1"/>
  <c r="O34" i="4"/>
  <c r="K34" i="4"/>
  <c r="N34" i="4"/>
  <c r="J38" i="4"/>
  <c r="O39" i="4"/>
  <c r="X39" i="4" s="1"/>
  <c r="K39" i="4"/>
  <c r="N39" i="4"/>
  <c r="W39" i="4" s="1"/>
  <c r="L41" i="4"/>
  <c r="I36" i="4"/>
  <c r="T39" i="4"/>
  <c r="T41" i="4"/>
  <c r="X41" i="4"/>
  <c r="I37" i="4"/>
  <c r="U39" i="4"/>
  <c r="U41" i="4"/>
  <c r="I43" i="4"/>
  <c r="G150" i="3" l="1"/>
  <c r="G151" i="3"/>
  <c r="AA147" i="3" s="1" a="1"/>
  <c r="AA147" i="3" s="1"/>
  <c r="M43" i="4"/>
  <c r="L43" i="4"/>
  <c r="N43" i="4"/>
  <c r="I44" i="4"/>
  <c r="K43" i="4"/>
  <c r="J43" i="4"/>
  <c r="O43" i="4"/>
  <c r="N36" i="4"/>
  <c r="M36" i="4"/>
  <c r="K36" i="4"/>
  <c r="O36" i="4"/>
  <c r="L36" i="4"/>
  <c r="R17" i="3"/>
  <c r="N17" i="3"/>
  <c r="J17" i="3"/>
  <c r="F17" i="3"/>
  <c r="Q17" i="3"/>
  <c r="M17" i="3"/>
  <c r="I17" i="3"/>
  <c r="E17" i="3"/>
  <c r="P17" i="3"/>
  <c r="L17" i="3"/>
  <c r="H17" i="3"/>
  <c r="D17" i="3"/>
  <c r="G17" i="3"/>
  <c r="O17" i="3"/>
  <c r="O20" i="3" s="1"/>
  <c r="K17" i="3"/>
  <c r="F235" i="3"/>
  <c r="I235" i="3"/>
  <c r="E235" i="3"/>
  <c r="H235" i="3"/>
  <c r="D235" i="3"/>
  <c r="G235" i="3"/>
  <c r="E170" i="3"/>
  <c r="O58" i="1" s="1"/>
  <c r="N58" i="1" s="1"/>
  <c r="G58" i="1" s="1"/>
  <c r="H58" i="1" s="1"/>
  <c r="E53" i="2" s="1"/>
  <c r="I141" i="3"/>
  <c r="F352" i="3"/>
  <c r="I352" i="3"/>
  <c r="E352" i="3"/>
  <c r="H352" i="3"/>
  <c r="G352" i="3"/>
  <c r="AA348" i="3" s="1"/>
  <c r="L21" i="2" s="1"/>
  <c r="D352" i="3"/>
  <c r="D346" i="3" s="1"/>
  <c r="P28" i="1" s="1"/>
  <c r="I344" i="3"/>
  <c r="E344" i="3"/>
  <c r="H344" i="3"/>
  <c r="AA340" i="3" s="1"/>
  <c r="L19" i="2" s="1"/>
  <c r="D344" i="3"/>
  <c r="G344" i="3"/>
  <c r="F344" i="3"/>
  <c r="AA288" i="3" a="1"/>
  <c r="AA288" i="3" s="1"/>
  <c r="D75" i="2" s="1"/>
  <c r="E195" i="3"/>
  <c r="P58" i="1" s="1"/>
  <c r="F227" i="3"/>
  <c r="I227" i="3"/>
  <c r="E227" i="3"/>
  <c r="H227" i="3"/>
  <c r="D227" i="3"/>
  <c r="G227" i="3"/>
  <c r="G243" i="3"/>
  <c r="F243" i="3"/>
  <c r="I243" i="3"/>
  <c r="E243" i="3"/>
  <c r="AA239" i="3"/>
  <c r="K20" i="2" s="1"/>
  <c r="G20" i="2" s="1"/>
  <c r="D20" i="2" s="1"/>
  <c r="D243" i="3"/>
  <c r="H243" i="3"/>
  <c r="E310" i="3"/>
  <c r="AA306" i="3"/>
  <c r="D45" i="2" s="1"/>
  <c r="G310" i="3"/>
  <c r="F310" i="3"/>
  <c r="D310" i="3"/>
  <c r="D304" i="3" s="1"/>
  <c r="G52" i="1" s="1"/>
  <c r="K73" i="3"/>
  <c r="M37" i="4"/>
  <c r="L37" i="4"/>
  <c r="O37" i="4"/>
  <c r="N37" i="4"/>
  <c r="K37" i="4"/>
  <c r="S41" i="4"/>
  <c r="Q41" i="4"/>
  <c r="AA280" i="3" a="1"/>
  <c r="AA280" i="3" s="1"/>
  <c r="D74" i="2" s="1"/>
  <c r="E179" i="3"/>
  <c r="P59" i="1" s="1"/>
  <c r="F271" i="3"/>
  <c r="G80" i="1" s="1"/>
  <c r="H80" i="1" s="1"/>
  <c r="E73" i="2" s="1"/>
  <c r="E154" i="3"/>
  <c r="O59" i="1" s="1"/>
  <c r="N59" i="1" s="1"/>
  <c r="G59" i="1" s="1"/>
  <c r="H59" i="1" s="1"/>
  <c r="E51" i="2" s="1"/>
  <c r="C121" i="1"/>
  <c r="V96" i="3"/>
  <c r="R96" i="3"/>
  <c r="N96" i="3"/>
  <c r="J96" i="3"/>
  <c r="F96" i="3"/>
  <c r="U96" i="3"/>
  <c r="Q96" i="3"/>
  <c r="M96" i="3"/>
  <c r="I96" i="3"/>
  <c r="E96" i="3"/>
  <c r="T96" i="3"/>
  <c r="P96" i="3"/>
  <c r="L96" i="3"/>
  <c r="H96" i="3"/>
  <c r="D96" i="3"/>
  <c r="K96" i="3"/>
  <c r="G96" i="3"/>
  <c r="O96" i="3"/>
  <c r="S96" i="3"/>
  <c r="F251" i="3"/>
  <c r="I251" i="3"/>
  <c r="E251" i="3"/>
  <c r="H251" i="3"/>
  <c r="D251" i="3"/>
  <c r="G251" i="3"/>
  <c r="AA247" i="3"/>
  <c r="K21" i="2" s="1"/>
  <c r="G21" i="2" s="1"/>
  <c r="D21" i="2" s="1"/>
  <c r="H336" i="3"/>
  <c r="D336" i="3"/>
  <c r="G336" i="3"/>
  <c r="I336" i="3"/>
  <c r="F336" i="3"/>
  <c r="E336" i="3"/>
  <c r="Q38" i="4"/>
  <c r="F279" i="3"/>
  <c r="G81" i="1" s="1"/>
  <c r="H81" i="1" s="1"/>
  <c r="E74" i="2" s="1"/>
  <c r="AA156" i="3" a="1"/>
  <c r="AA156" i="3" s="1"/>
  <c r="K51" i="2" s="1"/>
  <c r="G51" i="2" s="1"/>
  <c r="D51" i="2" s="1"/>
  <c r="AA272" i="3" a="1"/>
  <c r="AA272" i="3" s="1"/>
  <c r="D73" i="2" s="1"/>
  <c r="S88" i="3"/>
  <c r="O88" i="3"/>
  <c r="K88" i="3"/>
  <c r="G88" i="3"/>
  <c r="R88" i="3"/>
  <c r="N88" i="3"/>
  <c r="J88" i="3"/>
  <c r="F88" i="3"/>
  <c r="U88" i="3"/>
  <c r="Q88" i="3"/>
  <c r="M88" i="3"/>
  <c r="I88" i="3"/>
  <c r="E88" i="3"/>
  <c r="X88" i="3"/>
  <c r="P88" i="3"/>
  <c r="L88" i="3"/>
  <c r="D88" i="3"/>
  <c r="H88" i="3"/>
  <c r="T88" i="3"/>
  <c r="I59" i="5"/>
  <c r="I57" i="5"/>
  <c r="I56" i="5"/>
  <c r="I53" i="5"/>
  <c r="I48" i="5"/>
  <c r="S46" i="5"/>
  <c r="I46" i="5"/>
  <c r="I42" i="5"/>
  <c r="I41" i="5"/>
  <c r="I52" i="5"/>
  <c r="I47" i="5"/>
  <c r="I45" i="5"/>
  <c r="I43" i="5"/>
  <c r="I54" i="5"/>
  <c r="I50" i="5"/>
  <c r="I44" i="5"/>
  <c r="O50" i="5" l="1"/>
  <c r="K50" i="5"/>
  <c r="N50" i="5"/>
  <c r="L50" i="5"/>
  <c r="M50" i="5"/>
  <c r="N47" i="5"/>
  <c r="M47" i="5"/>
  <c r="L47" i="5"/>
  <c r="K47" i="5"/>
  <c r="O47" i="5"/>
  <c r="M42" i="5"/>
  <c r="L42" i="5"/>
  <c r="N42" i="5"/>
  <c r="K42" i="5"/>
  <c r="O42" i="5"/>
  <c r="M48" i="5"/>
  <c r="V48" i="5" s="1"/>
  <c r="I49" i="5"/>
  <c r="L48" i="5"/>
  <c r="U48" i="5" s="1"/>
  <c r="J48" i="5"/>
  <c r="O48" i="5"/>
  <c r="X48" i="5" s="1"/>
  <c r="N48" i="5"/>
  <c r="W48" i="5" s="1"/>
  <c r="K48" i="5"/>
  <c r="T48" i="5" s="1"/>
  <c r="M56" i="5"/>
  <c r="L56" i="5"/>
  <c r="N56" i="5"/>
  <c r="K56" i="5"/>
  <c r="AA83" i="3" a="1"/>
  <c r="AA83" i="3" s="1"/>
  <c r="AA332" i="3" a="1"/>
  <c r="AA332" i="3" s="1"/>
  <c r="L18" i="2" s="1"/>
  <c r="AA91" i="3"/>
  <c r="D40" i="2" s="1"/>
  <c r="E45" i="2"/>
  <c r="H52" i="1"/>
  <c r="L43" i="5"/>
  <c r="O43" i="5"/>
  <c r="K43" i="5"/>
  <c r="N43" i="5"/>
  <c r="M43" i="5"/>
  <c r="M41" i="5"/>
  <c r="L41" i="5"/>
  <c r="O41" i="5"/>
  <c r="N41" i="5"/>
  <c r="K41" i="5"/>
  <c r="M53" i="5"/>
  <c r="L53" i="5"/>
  <c r="O53" i="5"/>
  <c r="N53" i="5"/>
  <c r="K53" i="5"/>
  <c r="E90" i="3"/>
  <c r="G47" i="1" s="1"/>
  <c r="D237" i="3"/>
  <c r="O27" i="1" s="1"/>
  <c r="N27" i="1" s="1"/>
  <c r="G27" i="1" s="1"/>
  <c r="H27" i="1" s="1"/>
  <c r="E20" i="2" s="1"/>
  <c r="D338" i="3"/>
  <c r="P26" i="1" s="1"/>
  <c r="E145" i="3"/>
  <c r="G57" i="1" s="1"/>
  <c r="H57" i="1" s="1"/>
  <c r="E50" i="2" s="1"/>
  <c r="D229" i="3"/>
  <c r="O26" i="1" s="1"/>
  <c r="N26" i="1" s="1"/>
  <c r="G26" i="1" s="1"/>
  <c r="H26" i="1" s="1"/>
  <c r="E19" i="2" s="1"/>
  <c r="D11" i="3"/>
  <c r="G21" i="1" s="1"/>
  <c r="H21" i="1" s="1"/>
  <c r="O44" i="5"/>
  <c r="K44" i="5"/>
  <c r="N44" i="5"/>
  <c r="L44" i="5"/>
  <c r="M44" i="5"/>
  <c r="L54" i="5"/>
  <c r="O54" i="5"/>
  <c r="K54" i="5"/>
  <c r="M54" i="5"/>
  <c r="N54" i="5"/>
  <c r="M46" i="5"/>
  <c r="V46" i="5" s="1"/>
  <c r="L46" i="5"/>
  <c r="U46" i="5" s="1"/>
  <c r="O46" i="5"/>
  <c r="X46" i="5" s="1"/>
  <c r="N46" i="5"/>
  <c r="W46" i="5" s="1"/>
  <c r="K46" i="5"/>
  <c r="T46" i="5" s="1"/>
  <c r="M57" i="5"/>
  <c r="L57" i="5"/>
  <c r="N57" i="5"/>
  <c r="I58" i="5"/>
  <c r="K57" i="5"/>
  <c r="J57" i="5"/>
  <c r="O57" i="5"/>
  <c r="E82" i="3"/>
  <c r="AA223" i="3" a="1"/>
  <c r="AA223" i="3" s="1"/>
  <c r="K18" i="2" s="1"/>
  <c r="G18" i="2" s="1"/>
  <c r="D18" i="2" s="1"/>
  <c r="I150" i="3"/>
  <c r="H150" i="3"/>
  <c r="N45" i="5"/>
  <c r="J45" i="5"/>
  <c r="M45" i="5"/>
  <c r="K45" i="5"/>
  <c r="O45" i="5"/>
  <c r="L45" i="5"/>
  <c r="N52" i="5"/>
  <c r="J52" i="5"/>
  <c r="M52" i="5"/>
  <c r="K52" i="5"/>
  <c r="O52" i="5"/>
  <c r="L52" i="5"/>
  <c r="N59" i="5"/>
  <c r="M59" i="5"/>
  <c r="L59" i="5"/>
  <c r="O59" i="5"/>
  <c r="K59" i="5"/>
  <c r="D330" i="3"/>
  <c r="P25" i="1" s="1"/>
  <c r="D245" i="3"/>
  <c r="O28" i="1" s="1"/>
  <c r="N28" i="1" s="1"/>
  <c r="G28" i="1" s="1"/>
  <c r="H28" i="1" s="1"/>
  <c r="E21" i="2" s="1"/>
  <c r="D221" i="3"/>
  <c r="O25" i="1" s="1"/>
  <c r="N25" i="1" s="1"/>
  <c r="G25" i="1" s="1"/>
  <c r="H25" i="1" s="1"/>
  <c r="E18" i="2" s="1"/>
  <c r="AA231" i="3" a="1"/>
  <c r="AA231" i="3" s="1"/>
  <c r="K19" i="2" s="1"/>
  <c r="G19" i="2" s="1"/>
  <c r="D19" i="2" s="1"/>
  <c r="O22" i="3"/>
  <c r="O21" i="3"/>
  <c r="O25" i="3"/>
  <c r="O19" i="3"/>
  <c r="AA12" i="3"/>
  <c r="D14" i="2" s="1"/>
  <c r="Q43" i="4"/>
  <c r="Q57" i="5" l="1"/>
  <c r="G48" i="1"/>
  <c r="H48" i="1" s="1"/>
  <c r="E41" i="2" s="1"/>
  <c r="G49" i="1"/>
  <c r="H49" i="1" s="1"/>
  <c r="E42" i="2" s="1"/>
  <c r="G50" i="1"/>
  <c r="H47" i="1"/>
  <c r="E40" i="2" s="1"/>
  <c r="D42" i="2" s="1"/>
  <c r="Q48" i="5"/>
  <c r="S48" i="5"/>
  <c r="Q45" i="5"/>
  <c r="Q54" i="5"/>
  <c r="Q53" i="5"/>
  <c r="Q56" i="5"/>
  <c r="Q52" i="5"/>
  <c r="Q59" i="5"/>
  <c r="E14" i="2"/>
  <c r="D43" i="2" l="1"/>
  <c r="H50" i="1"/>
  <c r="E43" i="2" l="1"/>
  <c r="D137" i="3"/>
  <c r="D188" i="3"/>
  <c r="D163" i="3"/>
  <c r="J168" i="3" l="1"/>
  <c r="F168" i="3"/>
  <c r="M168" i="3"/>
  <c r="I168" i="3"/>
  <c r="E168" i="3"/>
  <c r="L168" i="3"/>
  <c r="D168" i="3"/>
  <c r="K168" i="3"/>
  <c r="H168" i="3"/>
  <c r="G168" i="3"/>
  <c r="J193" i="3"/>
  <c r="F193" i="3"/>
  <c r="M193" i="3"/>
  <c r="I193" i="3"/>
  <c r="L193" i="3"/>
  <c r="H193" i="3"/>
  <c r="AA189" i="3" s="1"/>
  <c r="L52" i="2" s="1"/>
  <c r="K193" i="3"/>
  <c r="G193" i="3"/>
  <c r="H142" i="3"/>
  <c r="D142" i="3"/>
  <c r="G142" i="3"/>
  <c r="J142" i="3"/>
  <c r="F142" i="3"/>
  <c r="E142" i="3"/>
  <c r="I142" i="3"/>
  <c r="E187" i="3" l="1"/>
  <c r="P60" i="1" s="1"/>
  <c r="E162" i="3"/>
  <c r="O60" i="1" s="1"/>
  <c r="N60" i="1" s="1"/>
  <c r="G60" i="1" s="1"/>
  <c r="H60" i="1" s="1"/>
  <c r="E52" i="2" s="1"/>
  <c r="AA138" i="3" a="1"/>
  <c r="AA138" i="3" s="1"/>
  <c r="AA164" i="3" a="1"/>
  <c r="AA164" i="3" s="1"/>
  <c r="K52" i="2" s="1"/>
  <c r="G52" i="2" s="1"/>
  <c r="D52" i="2" s="1"/>
  <c r="E136" i="3"/>
  <c r="I31" i="4" l="1"/>
  <c r="K31" i="4" s="1"/>
  <c r="J31" i="4"/>
  <c r="Q31" i="4" s="1"/>
  <c r="Q47" i="4" s="1"/>
  <c r="R47" i="4" s="1"/>
  <c r="L31" i="4"/>
  <c r="M31" i="4"/>
  <c r="N31" i="4"/>
  <c r="O31" i="4"/>
  <c r="I32" i="4"/>
  <c r="L32" i="4" s="1"/>
  <c r="K32" i="4"/>
  <c r="M32" i="4"/>
  <c r="N32" i="4"/>
  <c r="O32" i="4"/>
  <c r="I33" i="4"/>
  <c r="J33" i="4"/>
  <c r="K33" i="4"/>
  <c r="L33" i="4"/>
  <c r="M33" i="4"/>
  <c r="N33" i="4"/>
  <c r="O33" i="4"/>
  <c r="Q33" i="4"/>
  <c r="G20" i="1"/>
  <c r="H20" i="1"/>
  <c r="G23" i="1"/>
  <c r="H23" i="1"/>
  <c r="N23" i="1"/>
  <c r="O23" i="1"/>
  <c r="P23" i="1"/>
  <c r="G24" i="1"/>
  <c r="H24" i="1"/>
  <c r="N24" i="1"/>
  <c r="O24" i="1"/>
  <c r="P24" i="1"/>
  <c r="G30" i="1"/>
  <c r="H30" i="1"/>
  <c r="G31" i="1"/>
  <c r="H31" i="1"/>
  <c r="G32" i="1"/>
  <c r="H32" i="1"/>
  <c r="G33" i="1"/>
  <c r="H33" i="1"/>
  <c r="G35" i="1"/>
  <c r="H35" i="1"/>
  <c r="G36" i="1"/>
  <c r="H36" i="1"/>
  <c r="G37" i="1"/>
  <c r="H37" i="1"/>
  <c r="G38" i="1"/>
  <c r="H38" i="1"/>
  <c r="G103" i="1"/>
  <c r="H103" i="1"/>
  <c r="G104" i="1"/>
  <c r="H104" i="1"/>
  <c r="G106" i="1"/>
  <c r="H106" i="1"/>
  <c r="G109" i="1"/>
  <c r="H109" i="1"/>
  <c r="G110" i="1"/>
  <c r="H110" i="1"/>
  <c r="G121" i="1"/>
  <c r="H121" i="1"/>
  <c r="F36" i="5"/>
  <c r="I38" i="5"/>
  <c r="J38" i="5"/>
  <c r="K38" i="5"/>
  <c r="L38" i="5"/>
  <c r="M38" i="5"/>
  <c r="N38" i="5"/>
  <c r="O38" i="5"/>
  <c r="Q38" i="5"/>
  <c r="I39" i="5"/>
  <c r="K39" i="5"/>
  <c r="L39" i="5"/>
  <c r="M39" i="5"/>
  <c r="N39" i="5"/>
  <c r="O39" i="5"/>
  <c r="I40" i="5"/>
  <c r="J40" i="5"/>
  <c r="K40" i="5"/>
  <c r="L40" i="5"/>
  <c r="M40" i="5"/>
  <c r="N40" i="5"/>
  <c r="O40" i="5"/>
  <c r="Q40" i="5"/>
  <c r="Q60" i="5"/>
  <c r="R60" i="5"/>
  <c r="D13" i="2"/>
  <c r="E13" i="2"/>
  <c r="D16" i="2"/>
  <c r="E16" i="2"/>
  <c r="G16" i="2"/>
  <c r="K16" i="2"/>
  <c r="L16" i="2"/>
  <c r="D17" i="2"/>
  <c r="E17" i="2"/>
  <c r="G17" i="2"/>
  <c r="K17" i="2"/>
  <c r="L17" i="2"/>
  <c r="D23" i="2"/>
  <c r="E23" i="2"/>
  <c r="D24" i="2"/>
  <c r="E24" i="2"/>
  <c r="D25" i="2"/>
  <c r="E25" i="2"/>
  <c r="D26" i="2"/>
  <c r="E26" i="2"/>
  <c r="D28" i="2"/>
  <c r="E28" i="2"/>
  <c r="D29" i="2"/>
  <c r="E29" i="2"/>
  <c r="D30" i="2"/>
  <c r="E30" i="2"/>
  <c r="D31" i="2"/>
  <c r="E31" i="2"/>
  <c r="E98" i="2"/>
  <c r="D2" i="3"/>
  <c r="D3" i="3"/>
  <c r="AA4" i="3" a="1"/>
  <c r="AA4" i="3"/>
  <c r="D8" i="3"/>
  <c r="E8" i="3"/>
  <c r="F8" i="3"/>
  <c r="G8" i="3"/>
  <c r="H8" i="3"/>
  <c r="I8" i="3"/>
  <c r="J8" i="3"/>
  <c r="G52" i="3"/>
  <c r="F53" i="3"/>
  <c r="AA53" i="3"/>
  <c r="F58" i="3"/>
  <c r="G58" i="3"/>
  <c r="H58" i="3"/>
  <c r="I58" i="3"/>
  <c r="J58" i="3"/>
  <c r="K58" i="3"/>
  <c r="G59" i="3"/>
  <c r="F60" i="3"/>
  <c r="AA60" i="3" a="1"/>
  <c r="AA60" i="3"/>
  <c r="F65" i="3"/>
  <c r="G65" i="3"/>
  <c r="H65" i="3"/>
  <c r="I65" i="3"/>
  <c r="J65" i="3"/>
  <c r="K65" i="3"/>
  <c r="G66" i="3"/>
  <c r="F67" i="3"/>
  <c r="AA67" i="3" a="1"/>
  <c r="AA67" i="3"/>
  <c r="F72" i="3"/>
  <c r="G72" i="3"/>
  <c r="H72" i="3"/>
  <c r="I72" i="3"/>
  <c r="J72" i="3"/>
  <c r="K72" i="3"/>
  <c r="G73" i="3"/>
  <c r="F74" i="3"/>
  <c r="AA74" i="3" a="1"/>
  <c r="AA74" i="3"/>
  <c r="F79" i="3"/>
  <c r="G79" i="3"/>
  <c r="H79" i="3"/>
  <c r="I79" i="3"/>
  <c r="J79" i="3"/>
  <c r="K79" i="3"/>
  <c r="D93" i="3"/>
  <c r="E93" i="3"/>
  <c r="D94" i="3"/>
  <c r="E94" i="3"/>
  <c r="D95" i="3"/>
  <c r="D99" i="3"/>
  <c r="C100" i="3"/>
  <c r="AA100" i="3" a="1"/>
  <c r="AA100" i="3"/>
  <c r="D105" i="3"/>
  <c r="E105" i="3"/>
  <c r="F105" i="3"/>
  <c r="G105" i="3"/>
  <c r="H105" i="3"/>
  <c r="I105" i="3"/>
  <c r="D106" i="3"/>
  <c r="C107" i="3"/>
  <c r="AA107" i="3" a="1"/>
  <c r="AA107" i="3"/>
  <c r="D112" i="3"/>
  <c r="E112" i="3"/>
  <c r="F112" i="3"/>
  <c r="G112" i="3"/>
  <c r="H112" i="3"/>
  <c r="I112" i="3"/>
  <c r="D113" i="3"/>
  <c r="C114" i="3"/>
  <c r="AA114" i="3" a="1"/>
  <c r="AA114" i="3"/>
  <c r="D119" i="3"/>
  <c r="E119" i="3"/>
  <c r="F119" i="3"/>
  <c r="G119" i="3"/>
  <c r="H119" i="3"/>
  <c r="I119" i="3"/>
  <c r="D120" i="3"/>
  <c r="C121" i="3"/>
  <c r="AA121" i="3" a="1"/>
  <c r="AA121" i="3"/>
  <c r="D126" i="3"/>
  <c r="E126" i="3"/>
  <c r="F126" i="3"/>
  <c r="G126" i="3"/>
  <c r="H126" i="3"/>
  <c r="I126" i="3"/>
  <c r="D205" i="3"/>
  <c r="D206" i="3"/>
  <c r="AA207" i="3" a="1"/>
  <c r="AA207" i="3"/>
  <c r="D211" i="3"/>
  <c r="E211" i="3"/>
  <c r="F211" i="3"/>
  <c r="G211" i="3"/>
  <c r="H211" i="3"/>
  <c r="I211" i="3"/>
  <c r="D213" i="3"/>
  <c r="D214" i="3"/>
  <c r="AA215" i="3" a="1"/>
  <c r="AA215" i="3"/>
  <c r="D219" i="3"/>
  <c r="E219" i="3"/>
  <c r="F219" i="3"/>
  <c r="G219" i="3"/>
  <c r="H219" i="3"/>
  <c r="I219" i="3"/>
  <c r="G254" i="3"/>
  <c r="F255" i="3"/>
  <c r="AA255" i="3" a="1"/>
  <c r="AA255" i="3"/>
  <c r="D260" i="3"/>
  <c r="E260" i="3"/>
  <c r="F260" i="3"/>
  <c r="G260" i="3"/>
  <c r="H260" i="3"/>
  <c r="I260" i="3"/>
  <c r="J260" i="3"/>
  <c r="K260" i="3"/>
  <c r="G262" i="3"/>
  <c r="F263" i="3"/>
  <c r="AA263" i="3" a="1"/>
  <c r="AA263" i="3"/>
  <c r="D268" i="3"/>
  <c r="E268" i="3"/>
  <c r="F268" i="3"/>
  <c r="G268" i="3"/>
  <c r="H268" i="3"/>
  <c r="I268" i="3"/>
  <c r="J268" i="3"/>
  <c r="K268" i="3"/>
  <c r="D314" i="3"/>
  <c r="D315" i="3"/>
  <c r="AA316" i="3" a="1"/>
  <c r="AA316" i="3"/>
  <c r="D320" i="3"/>
  <c r="E320" i="3"/>
  <c r="F320" i="3"/>
  <c r="G320" i="3"/>
  <c r="H320" i="3"/>
  <c r="I320" i="3"/>
  <c r="D322" i="3"/>
  <c r="D323" i="3"/>
  <c r="AA324" i="3" a="1"/>
  <c r="AA324" i="3"/>
  <c r="D328" i="3"/>
  <c r="E328" i="3"/>
  <c r="F328" i="3"/>
  <c r="G328" i="3"/>
  <c r="H328" i="3"/>
  <c r="I328" i="3"/>
</calcChain>
</file>

<file path=xl/comments1.xml><?xml version="1.0" encoding="utf-8"?>
<comments xmlns="http://schemas.openxmlformats.org/spreadsheetml/2006/main">
  <authors>
    <author>郭宇飙</author>
    <author>tc={AA98C1F6-D2BF-4FEF-82CC-831FA594564E}</author>
    <author>Windows User</author>
  </authors>
  <commentList>
    <comment ref="M45" authorId="0">
      <text>
        <r>
          <rPr>
            <b/>
            <sz val="9"/>
            <color indexed="81"/>
            <rFont val="宋体"/>
            <family val="3"/>
            <charset val="134"/>
          </rPr>
          <t>工程费用×0.8%-1.1%:</t>
        </r>
        <r>
          <rPr>
            <sz val="9"/>
            <color indexed="81"/>
            <rFont val="宋体"/>
            <family val="3"/>
            <charset val="134"/>
          </rPr>
          <t xml:space="preserve">
</t>
        </r>
      </text>
    </comment>
    <comment ref="L50" authorId="1">
      <text>
        <r>
          <rPr>
            <sz val="11"/>
            <color theme="1"/>
            <rFont val="宋体"/>
            <family val="2"/>
            <charset val="134"/>
            <scheme val="minor"/>
          </rPr>
          <t>[线程批注]
你的Excel版本可读取此线程批注; 但如果在更新版本的Excel中打开文件，则对批注所作的任何改动都将被删除。了解详细信息: https://go.microsoft.com/fwlink/?linkid=870924
注释:
    10%~20%</t>
        </r>
      </text>
    </comment>
    <comment ref="M62" authorId="0">
      <text>
        <r>
          <rPr>
            <b/>
            <sz val="9"/>
            <color indexed="81"/>
            <rFont val="宋体"/>
            <family val="3"/>
            <charset val="134"/>
          </rPr>
          <t>工程费用×0.5%-1.5%:</t>
        </r>
        <r>
          <rPr>
            <sz val="9"/>
            <color indexed="81"/>
            <rFont val="宋体"/>
            <family val="3"/>
            <charset val="134"/>
          </rPr>
          <t xml:space="preserve">
</t>
        </r>
      </text>
    </comment>
    <comment ref="M67" authorId="2">
      <text>
        <r>
          <rPr>
            <b/>
            <sz val="9"/>
            <color indexed="81"/>
            <rFont val="宋体"/>
            <family val="3"/>
            <charset val="134"/>
          </rPr>
          <t>建安工程费用*0.5%-1.5%:</t>
        </r>
        <r>
          <rPr>
            <sz val="9"/>
            <color indexed="81"/>
            <rFont val="宋体"/>
            <family val="3"/>
            <charset val="134"/>
          </rPr>
          <t xml:space="preserve">
</t>
        </r>
      </text>
    </comment>
  </commentList>
</comments>
</file>

<file path=xl/comments2.xml><?xml version="1.0" encoding="utf-8"?>
<comments xmlns="http://schemas.openxmlformats.org/spreadsheetml/2006/main">
  <authors>
    <author>郭宇飙</author>
  </authors>
  <commentList>
    <comment ref="F29" authorId="0">
      <text>
        <r>
          <rPr>
            <b/>
            <sz val="9"/>
            <color indexed="81"/>
            <rFont val="宋体"/>
            <family val="3"/>
            <charset val="134"/>
          </rPr>
          <t>不包括征地、借地、动拆迁安置的费用</t>
        </r>
      </text>
    </comment>
  </commentList>
</comments>
</file>

<file path=xl/comments3.xml><?xml version="1.0" encoding="utf-8"?>
<comments xmlns="http://schemas.openxmlformats.org/spreadsheetml/2006/main">
  <authors>
    <author>郭宇飙</author>
  </authors>
  <commentList>
    <comment ref="F36" authorId="0">
      <text>
        <r>
          <rPr>
            <b/>
            <sz val="9"/>
            <color indexed="81"/>
            <rFont val="宋体"/>
            <family val="3"/>
            <charset val="134"/>
          </rPr>
          <t>不包括征地、借地、动拆迁安置的费用</t>
        </r>
      </text>
    </comment>
  </commentList>
</comments>
</file>

<file path=xl/sharedStrings.xml><?xml version="1.0" encoding="utf-8"?>
<sst xmlns="http://schemas.openxmlformats.org/spreadsheetml/2006/main" count="879" uniqueCount="562">
  <si>
    <r>
      <rPr>
        <b/>
        <sz val="16"/>
        <rFont val="宋体"/>
        <family val="1"/>
        <charset val="134"/>
      </rPr>
      <t>概</t>
    </r>
    <r>
      <rPr>
        <b/>
        <sz val="16"/>
        <rFont val="Times New Roman"/>
        <family val="1"/>
      </rPr>
      <t xml:space="preserve">  </t>
    </r>
    <r>
      <rPr>
        <b/>
        <sz val="16"/>
        <rFont val="宋体"/>
        <family val="3"/>
        <charset val="134"/>
      </rPr>
      <t>算</t>
    </r>
    <r>
      <rPr>
        <b/>
        <sz val="16"/>
        <rFont val="Times New Roman"/>
        <family val="1"/>
      </rPr>
      <t xml:space="preserve">  </t>
    </r>
    <r>
      <rPr>
        <b/>
        <sz val="16"/>
        <rFont val="宋体"/>
        <family val="3"/>
        <charset val="134"/>
      </rPr>
      <t>汇</t>
    </r>
    <r>
      <rPr>
        <b/>
        <sz val="16"/>
        <rFont val="Times New Roman"/>
        <family val="1"/>
      </rPr>
      <t xml:space="preserve"> </t>
    </r>
    <r>
      <rPr>
        <b/>
        <sz val="16"/>
        <rFont val="宋体"/>
        <family val="3"/>
        <charset val="134"/>
      </rPr>
      <t>总</t>
    </r>
    <r>
      <rPr>
        <b/>
        <sz val="16"/>
        <rFont val="Times New Roman"/>
        <family val="1"/>
      </rPr>
      <t xml:space="preserve"> </t>
    </r>
    <r>
      <rPr>
        <b/>
        <sz val="16"/>
        <rFont val="宋体"/>
        <family val="3"/>
        <charset val="134"/>
      </rPr>
      <t>表</t>
    </r>
    <phoneticPr fontId="8" type="noConversion"/>
  </si>
  <si>
    <t>工程名称：江苏省项目</t>
    <phoneticPr fontId="11" type="noConversion"/>
  </si>
  <si>
    <r>
      <rPr>
        <sz val="10"/>
        <rFont val="宋体"/>
        <family val="3"/>
        <charset val="134"/>
      </rPr>
      <t>表</t>
    </r>
    <r>
      <rPr>
        <sz val="10"/>
        <rFont val="Times New Roman"/>
        <family val="1"/>
      </rPr>
      <t>-1</t>
    </r>
    <phoneticPr fontId="7" type="noConversion"/>
  </si>
  <si>
    <t>概  算  价  值( 万 元)</t>
    <phoneticPr fontId="7" type="noConversion"/>
  </si>
  <si>
    <t>技术经济指标</t>
  </si>
  <si>
    <t>序号</t>
  </si>
  <si>
    <t>工程或费用名称</t>
  </si>
  <si>
    <t>建筑工程</t>
  </si>
  <si>
    <t>管件、材料及设备安装工程</t>
  </si>
  <si>
    <t>设备及工器具购置</t>
    <phoneticPr fontId="7" type="noConversion"/>
  </si>
  <si>
    <t>工器具购置</t>
    <phoneticPr fontId="7" type="noConversion"/>
  </si>
  <si>
    <t>其他费用</t>
    <phoneticPr fontId="7" type="noConversion"/>
  </si>
  <si>
    <t>合 计</t>
  </si>
  <si>
    <t>单位</t>
  </si>
  <si>
    <t>数量</t>
  </si>
  <si>
    <t>单位指标(元)</t>
    <phoneticPr fontId="11" type="noConversion"/>
  </si>
  <si>
    <t>备注</t>
  </si>
  <si>
    <t>Ⅰ</t>
    <phoneticPr fontId="11" type="noConversion"/>
  </si>
  <si>
    <t>工程费用</t>
  </si>
  <si>
    <t>第一部分工程费用小计</t>
    <phoneticPr fontId="7" type="noConversion"/>
  </si>
  <si>
    <t>II</t>
    <phoneticPr fontId="8" type="noConversion"/>
  </si>
  <si>
    <t>工程建设其他费用</t>
    <phoneticPr fontId="8" type="noConversion"/>
  </si>
  <si>
    <t>一</t>
    <phoneticPr fontId="11" type="noConversion"/>
  </si>
  <si>
    <t>建设用地费</t>
    <phoneticPr fontId="11" type="noConversion"/>
  </si>
  <si>
    <t>以出让等有偿方式取得</t>
    <phoneticPr fontId="7" type="noConversion"/>
  </si>
  <si>
    <t>土地征用及迁移补偿费</t>
  </si>
  <si>
    <t>亩</t>
    <phoneticPr fontId="11" type="noConversion"/>
  </si>
  <si>
    <t>青苗补偿</t>
    <phoneticPr fontId="11" type="noConversion"/>
  </si>
  <si>
    <t>被征地农民社会保障补贴</t>
  </si>
  <si>
    <t>管线搬迁及补偿费</t>
  </si>
  <si>
    <t>二</t>
    <phoneticPr fontId="11" type="noConversion"/>
  </si>
  <si>
    <t>与整个工程项目建设有关的费用</t>
    <phoneticPr fontId="7" type="noConversion"/>
  </si>
  <si>
    <t>建设管理费</t>
    <phoneticPr fontId="11" type="noConversion"/>
  </si>
  <si>
    <t>建设项目管理费</t>
    <phoneticPr fontId="11" type="noConversion"/>
  </si>
  <si>
    <r>
      <rPr>
        <sz val="10"/>
        <rFont val="宋体"/>
        <family val="3"/>
        <charset val="134"/>
      </rPr>
      <t>财建</t>
    </r>
    <r>
      <rPr>
        <sz val="10"/>
        <rFont val="Times New Roman"/>
        <family val="1"/>
      </rPr>
      <t>[2016]504</t>
    </r>
    <r>
      <rPr>
        <sz val="10"/>
        <rFont val="宋体"/>
        <family val="3"/>
        <charset val="134"/>
      </rPr>
      <t>号</t>
    </r>
    <phoneticPr fontId="11" type="noConversion"/>
  </si>
  <si>
    <t>建设工程监理费</t>
    <phoneticPr fontId="11" type="noConversion"/>
  </si>
  <si>
    <r>
      <rPr>
        <sz val="10"/>
        <rFont val="宋体"/>
        <family val="3"/>
        <charset val="134"/>
      </rPr>
      <t>发改价</t>
    </r>
    <r>
      <rPr>
        <sz val="10"/>
        <rFont val="Times New Roman"/>
        <family val="1"/>
      </rPr>
      <t>[2007]670</t>
    </r>
    <r>
      <rPr>
        <sz val="10"/>
        <rFont val="宋体"/>
        <family val="3"/>
        <charset val="134"/>
      </rPr>
      <t>号</t>
    </r>
    <phoneticPr fontId="11" type="noConversion"/>
  </si>
  <si>
    <t>工程造价咨询服务费</t>
    <phoneticPr fontId="7" type="noConversion"/>
  </si>
  <si>
    <r>
      <rPr>
        <sz val="10"/>
        <color theme="0" tint="-0.249977111117893"/>
        <rFont val="宋体"/>
        <family val="3"/>
        <charset val="134"/>
      </rPr>
      <t>苏建价协</t>
    </r>
    <r>
      <rPr>
        <sz val="10"/>
        <color theme="0" tint="-0.249977111117893"/>
        <rFont val="Times New Roman"/>
        <family val="1"/>
      </rPr>
      <t>2022(7)</t>
    </r>
    <r>
      <rPr>
        <sz val="10"/>
        <color theme="0" tint="-0.249977111117893"/>
        <rFont val="宋体"/>
        <family val="3"/>
        <charset val="134"/>
      </rPr>
      <t>号文</t>
    </r>
    <phoneticPr fontId="11" type="noConversion"/>
  </si>
  <si>
    <r>
      <rPr>
        <sz val="10"/>
        <color theme="0" tint="-0.249977111117893"/>
        <rFont val="Microsoft YaHei UI"/>
        <family val="1"/>
        <charset val="134"/>
      </rPr>
      <t>苏价服</t>
    </r>
    <r>
      <rPr>
        <sz val="10"/>
        <color theme="0" tint="-0.249977111117893"/>
        <rFont val="Times New Roman"/>
        <family val="1"/>
      </rPr>
      <t>2014[383]</t>
    </r>
    <r>
      <rPr>
        <sz val="10"/>
        <color theme="0" tint="-0.249977111117893"/>
        <rFont val="Microsoft YaHei UI"/>
        <family val="1"/>
        <charset val="134"/>
      </rPr>
      <t>号文</t>
    </r>
    <phoneticPr fontId="11" type="noConversion"/>
  </si>
  <si>
    <t>投资估算审核</t>
    <phoneticPr fontId="11" type="noConversion"/>
  </si>
  <si>
    <t>审核设计概算</t>
    <phoneticPr fontId="11" type="noConversion"/>
  </si>
  <si>
    <r>
      <rPr>
        <sz val="10"/>
        <color theme="0" tint="-0.249977111117893"/>
        <rFont val="宋体"/>
        <family val="3"/>
        <charset val="134"/>
      </rPr>
      <t>苏价服</t>
    </r>
    <r>
      <rPr>
        <sz val="10"/>
        <color theme="0" tint="-0.249977111117893"/>
        <rFont val="Times New Roman"/>
        <family val="1"/>
      </rPr>
      <t>2014[383]</t>
    </r>
    <r>
      <rPr>
        <sz val="10"/>
        <color theme="0" tint="-0.249977111117893"/>
        <rFont val="宋体"/>
        <family val="3"/>
        <charset val="134"/>
      </rPr>
      <t>号文</t>
    </r>
    <phoneticPr fontId="11" type="noConversion"/>
  </si>
  <si>
    <t>施工图预算、最高投标限价（含编制工程量清单）编制</t>
    <phoneticPr fontId="11" type="noConversion"/>
  </si>
  <si>
    <t>工程结算审核</t>
    <phoneticPr fontId="11" type="noConversion"/>
  </si>
  <si>
    <t>工程竣工决算审核</t>
    <phoneticPr fontId="11" type="noConversion"/>
  </si>
  <si>
    <t>施工阶段全过程工程造价控制</t>
    <phoneticPr fontId="11" type="noConversion"/>
  </si>
  <si>
    <t>建设项目前期工作咨询费</t>
    <phoneticPr fontId="11" type="noConversion"/>
  </si>
  <si>
    <t>编制项目建议书</t>
    <phoneticPr fontId="7" type="noConversion"/>
  </si>
  <si>
    <r>
      <rPr>
        <sz val="10"/>
        <rFont val="微软雅黑"/>
        <family val="1"/>
        <charset val="134"/>
      </rPr>
      <t>计价格</t>
    </r>
    <r>
      <rPr>
        <sz val="10"/>
        <rFont val="Times New Roman"/>
        <family val="1"/>
      </rPr>
      <t>[1999]1283</t>
    </r>
    <r>
      <rPr>
        <sz val="10"/>
        <rFont val="微软雅黑"/>
        <family val="1"/>
        <charset val="134"/>
      </rPr>
      <t>号文</t>
    </r>
    <phoneticPr fontId="11" type="noConversion"/>
  </si>
  <si>
    <t>编制可行性研究报告</t>
    <phoneticPr fontId="7" type="noConversion"/>
  </si>
  <si>
    <t>评估项目建议书</t>
    <phoneticPr fontId="7" type="noConversion"/>
  </si>
  <si>
    <t>评估可行性研究报告</t>
    <phoneticPr fontId="7" type="noConversion"/>
  </si>
  <si>
    <t>环境影响咨询服务费</t>
    <phoneticPr fontId="11" type="noConversion"/>
  </si>
  <si>
    <r>
      <rPr>
        <sz val="10"/>
        <rFont val="宋体"/>
        <family val="3"/>
        <charset val="134"/>
      </rPr>
      <t>计价格</t>
    </r>
    <r>
      <rPr>
        <sz val="10"/>
        <rFont val="Times New Roman"/>
        <family val="1"/>
      </rPr>
      <t>[2002]125</t>
    </r>
    <r>
      <rPr>
        <sz val="10"/>
        <rFont val="宋体"/>
        <family val="3"/>
        <charset val="134"/>
      </rPr>
      <t>号</t>
    </r>
    <phoneticPr fontId="11" type="noConversion"/>
  </si>
  <si>
    <t>编制环境影响报告表</t>
    <phoneticPr fontId="7" type="noConversion"/>
  </si>
  <si>
    <r>
      <rPr>
        <sz val="10"/>
        <rFont val="宋体"/>
        <family val="3"/>
        <charset val="134"/>
      </rPr>
      <t>计价格【</t>
    </r>
    <r>
      <rPr>
        <sz val="10"/>
        <rFont val="Times New Roman"/>
        <family val="1"/>
      </rPr>
      <t>2002</t>
    </r>
    <r>
      <rPr>
        <sz val="10"/>
        <rFont val="宋体"/>
        <family val="3"/>
        <charset val="134"/>
      </rPr>
      <t>】</t>
    </r>
    <r>
      <rPr>
        <sz val="10"/>
        <rFont val="Times New Roman"/>
        <family val="1"/>
      </rPr>
      <t>125</t>
    </r>
    <r>
      <rPr>
        <sz val="10"/>
        <rFont val="宋体"/>
        <family val="3"/>
        <charset val="134"/>
      </rPr>
      <t>号</t>
    </r>
    <phoneticPr fontId="11" type="noConversion"/>
  </si>
  <si>
    <t>编制环境影响报告书（含大纲）</t>
    <phoneticPr fontId="7" type="noConversion"/>
  </si>
  <si>
    <t>评估环境影响报告表</t>
    <phoneticPr fontId="7" type="noConversion"/>
  </si>
  <si>
    <t>评估环境影响报告书（含大纲）</t>
    <phoneticPr fontId="7" type="noConversion"/>
  </si>
  <si>
    <t>建设用地勘测定界费</t>
  </si>
  <si>
    <t>勘丈服务费</t>
  </si>
  <si>
    <t>拔地钉桩费</t>
  </si>
  <si>
    <t>修补测图服务费</t>
  </si>
  <si>
    <t>购买管线图费</t>
  </si>
  <si>
    <r>
      <t>工程勘察费</t>
    </r>
    <r>
      <rPr>
        <sz val="10"/>
        <rFont val="Times New Roman"/>
        <family val="1"/>
      </rPr>
      <t xml:space="preserve">   </t>
    </r>
    <phoneticPr fontId="11" type="noConversion"/>
  </si>
  <si>
    <t>%</t>
    <phoneticPr fontId="11" type="noConversion"/>
  </si>
  <si>
    <r>
      <t>工程设计费</t>
    </r>
    <r>
      <rPr>
        <sz val="10"/>
        <rFont val="Times New Roman"/>
        <family val="1"/>
      </rPr>
      <t xml:space="preserve">  </t>
    </r>
    <phoneticPr fontId="11" type="noConversion"/>
  </si>
  <si>
    <t>基本设计费</t>
    <phoneticPr fontId="11" type="noConversion"/>
  </si>
  <si>
    <r>
      <rPr>
        <sz val="10"/>
        <rFont val="宋体"/>
        <family val="3"/>
        <charset val="134"/>
      </rPr>
      <t>计价格</t>
    </r>
    <r>
      <rPr>
        <sz val="10"/>
        <rFont val="Times New Roman"/>
        <family val="1"/>
      </rPr>
      <t>[2002]10</t>
    </r>
    <r>
      <rPr>
        <sz val="10"/>
        <rFont val="宋体"/>
        <family val="3"/>
        <charset val="134"/>
      </rPr>
      <t>号</t>
    </r>
    <phoneticPr fontId="11" type="noConversion"/>
  </si>
  <si>
    <t>编制施工图预算</t>
    <phoneticPr fontId="11" type="noConversion"/>
  </si>
  <si>
    <r>
      <rPr>
        <sz val="10"/>
        <rFont val="宋体"/>
        <family val="3"/>
        <charset val="134"/>
      </rPr>
      <t>基本设计费</t>
    </r>
    <r>
      <rPr>
        <sz val="10"/>
        <rFont val="Times New Roman"/>
        <family val="1"/>
      </rPr>
      <t>*10%</t>
    </r>
    <phoneticPr fontId="11" type="noConversion"/>
  </si>
  <si>
    <t>编制竣工图</t>
    <phoneticPr fontId="11" type="noConversion"/>
  </si>
  <si>
    <r>
      <rPr>
        <sz val="10"/>
        <rFont val="宋体"/>
        <family val="3"/>
        <charset val="134"/>
      </rPr>
      <t>基本设计费</t>
    </r>
    <r>
      <rPr>
        <sz val="10"/>
        <rFont val="Times New Roman"/>
        <family val="1"/>
      </rPr>
      <t>×8%</t>
    </r>
    <phoneticPr fontId="11" type="noConversion"/>
  </si>
  <si>
    <t>BIM设计</t>
    <phoneticPr fontId="11" type="noConversion"/>
  </si>
  <si>
    <r>
      <rPr>
        <sz val="10"/>
        <rFont val="宋体"/>
        <family val="3"/>
        <charset val="134"/>
      </rPr>
      <t>基本设计费</t>
    </r>
    <r>
      <rPr>
        <sz val="10"/>
        <rFont val="Times New Roman"/>
        <family val="1"/>
      </rPr>
      <t>×20%</t>
    </r>
    <phoneticPr fontId="11" type="noConversion"/>
  </si>
  <si>
    <t>施工图、勘察文件审查费</t>
  </si>
  <si>
    <t>施工图审查费</t>
    <phoneticPr fontId="11" type="noConversion"/>
  </si>
  <si>
    <r>
      <rPr>
        <sz val="10"/>
        <rFont val="宋体"/>
        <family val="3"/>
        <charset val="134"/>
      </rPr>
      <t>苏价服（</t>
    </r>
    <r>
      <rPr>
        <sz val="10"/>
        <rFont val="Times New Roman"/>
        <family val="1"/>
      </rPr>
      <t>2015</t>
    </r>
    <r>
      <rPr>
        <sz val="10"/>
        <rFont val="宋体"/>
        <family val="3"/>
        <charset val="134"/>
      </rPr>
      <t>）</t>
    </r>
    <r>
      <rPr>
        <sz val="10"/>
        <rFont val="Times New Roman"/>
        <family val="1"/>
      </rPr>
      <t>20</t>
    </r>
    <r>
      <rPr>
        <sz val="10"/>
        <rFont val="宋体"/>
        <family val="3"/>
        <charset val="134"/>
      </rPr>
      <t>号</t>
    </r>
  </si>
  <si>
    <t>勘察文件审查费-建筑工程</t>
  </si>
  <si>
    <t>施工图审查费-市政及专项工程</t>
  </si>
  <si>
    <t>施工图审查费-建筑工程</t>
  </si>
  <si>
    <t>施工图审查费-深基坑工程</t>
  </si>
  <si>
    <t>招标代理服务费</t>
    <phoneticPr fontId="11" type="noConversion"/>
  </si>
  <si>
    <r>
      <rPr>
        <sz val="10"/>
        <color theme="0" tint="-0.249977111117893"/>
        <rFont val="宋体"/>
        <family val="3"/>
        <charset val="134"/>
      </rPr>
      <t>发改价格</t>
    </r>
    <r>
      <rPr>
        <sz val="10"/>
        <color theme="0" tint="-0.249977111117893"/>
        <rFont val="Times New Roman"/>
        <family val="1"/>
      </rPr>
      <t>[2011]534</t>
    </r>
    <r>
      <rPr>
        <sz val="10"/>
        <color theme="0" tint="-0.249977111117893"/>
        <rFont val="宋体"/>
        <family val="3"/>
        <charset val="134"/>
      </rPr>
      <t>号文</t>
    </r>
    <phoneticPr fontId="11" type="noConversion"/>
  </si>
  <si>
    <t>苏招协[2022]002号文件</t>
    <phoneticPr fontId="11" type="noConversion"/>
  </si>
  <si>
    <t>工程招标</t>
    <phoneticPr fontId="11" type="noConversion"/>
  </si>
  <si>
    <t>发改价格[2011]534号文</t>
    <phoneticPr fontId="11" type="noConversion"/>
  </si>
  <si>
    <t>货物招标</t>
    <phoneticPr fontId="11" type="noConversion"/>
  </si>
  <si>
    <t>苏招协[2022]002号文件</t>
    <phoneticPr fontId="11" type="noConversion"/>
  </si>
  <si>
    <t>服务招标</t>
    <phoneticPr fontId="11" type="noConversion"/>
  </si>
  <si>
    <t>专项费用</t>
  </si>
  <si>
    <t>场地准备费及临时设施费</t>
    <phoneticPr fontId="11" type="noConversion"/>
  </si>
  <si>
    <t>%</t>
    <phoneticPr fontId="11" type="noConversion"/>
  </si>
  <si>
    <t>建设工程交易服务费</t>
    <phoneticPr fontId="11" type="noConversion"/>
  </si>
  <si>
    <r>
      <rPr>
        <sz val="10"/>
        <rFont val="宋体"/>
        <family val="3"/>
        <charset val="134"/>
      </rPr>
      <t>苏发改收费发</t>
    </r>
    <r>
      <rPr>
        <sz val="10"/>
        <rFont val="Times New Roman"/>
        <family val="1"/>
      </rPr>
      <t>[2023]851</t>
    </r>
    <r>
      <rPr>
        <sz val="10"/>
        <rFont val="宋体"/>
        <family val="3"/>
        <charset val="134"/>
      </rPr>
      <t>号文</t>
    </r>
    <phoneticPr fontId="11" type="noConversion"/>
  </si>
  <si>
    <t>苏价服[2017]177号</t>
  </si>
  <si>
    <t>建设工程交易公证费</t>
  </si>
  <si>
    <t>防空地下室易地建设费</t>
    <phoneticPr fontId="7" type="noConversion"/>
  </si>
  <si>
    <t>m2</t>
    <phoneticPr fontId="11" type="noConversion"/>
  </si>
  <si>
    <r>
      <rPr>
        <sz val="10"/>
        <rFont val="宋体"/>
        <family val="3"/>
        <charset val="134"/>
      </rPr>
      <t>苏价服〔</t>
    </r>
    <r>
      <rPr>
        <sz val="10"/>
        <rFont val="Times New Roman"/>
        <family val="1"/>
      </rPr>
      <t>2017</t>
    </r>
    <r>
      <rPr>
        <sz val="10"/>
        <rFont val="宋体"/>
        <family val="3"/>
        <charset val="134"/>
      </rPr>
      <t>〕</t>
    </r>
    <r>
      <rPr>
        <sz val="10"/>
        <rFont val="Times New Roman"/>
        <family val="1"/>
      </rPr>
      <t>210</t>
    </r>
    <r>
      <rPr>
        <sz val="10"/>
        <rFont val="宋体"/>
        <family val="3"/>
        <charset val="134"/>
      </rPr>
      <t>号文，</t>
    </r>
    <phoneticPr fontId="11" type="noConversion"/>
  </si>
  <si>
    <t>按总建筑面积的一定比例建设防空地下室，单价按600元/m2。具体比例：南京9%、苏州8%、其他城市参照苏州。</t>
    <phoneticPr fontId="11" type="noConversion"/>
  </si>
  <si>
    <t>检测实验等相关费</t>
  </si>
  <si>
    <t>江苏省人防部门|2022年防空地下室易地建设费收费标准</t>
  </si>
  <si>
    <t>材料检测实验费用</t>
    <phoneticPr fontId="11" type="noConversion"/>
  </si>
  <si>
    <t>%</t>
    <phoneticPr fontId="11" type="noConversion"/>
  </si>
  <si>
    <t>第三方检测费</t>
    <phoneticPr fontId="11" type="noConversion"/>
  </si>
  <si>
    <r>
      <rPr>
        <sz val="10"/>
        <rFont val="宋体"/>
        <family val="3"/>
        <charset val="134"/>
      </rPr>
      <t>苏价服</t>
    </r>
    <r>
      <rPr>
        <sz val="10"/>
        <rFont val="Times New Roman"/>
        <family val="1"/>
      </rPr>
      <t>[2001]113</t>
    </r>
    <r>
      <rPr>
        <sz val="10"/>
        <rFont val="宋体"/>
        <family val="3"/>
        <charset val="134"/>
      </rPr>
      <t>号，其中质量检测管理费降为</t>
    </r>
    <r>
      <rPr>
        <sz val="10"/>
        <rFont val="Times New Roman"/>
        <family val="1"/>
      </rPr>
      <t>0.25%</t>
    </r>
    <phoneticPr fontId="11" type="noConversion"/>
  </si>
  <si>
    <t>消防设施检测合格证明</t>
  </si>
  <si>
    <t>桩基检测费</t>
  </si>
  <si>
    <t>估列</t>
    <phoneticPr fontId="11" type="noConversion"/>
  </si>
  <si>
    <r>
      <t xml:space="preserve">根据《人民防空工程建设管理规定》，财预〔2002〕584号，苏财预〔2002〕95号，苏价服〔2012〕159号，财税〔2014〕77号，苏财综〔2014〕105 号， </t>
    </r>
    <r>
      <rPr>
        <sz val="10"/>
        <color rgb="FFFF0000"/>
        <rFont val="宋体"/>
        <family val="3"/>
        <charset val="134"/>
        <scheme val="minor"/>
      </rPr>
      <t>苏价服〔2017〕210号</t>
    </r>
    <r>
      <rPr>
        <sz val="10"/>
        <color rgb="FF333333"/>
        <rFont val="宋体"/>
        <family val="3"/>
        <charset val="134"/>
        <scheme val="minor"/>
      </rPr>
      <t>，</t>
    </r>
    <r>
      <rPr>
        <sz val="10"/>
        <color rgb="FFFF0000"/>
        <rFont val="宋体"/>
        <family val="3"/>
        <charset val="134"/>
        <scheme val="minor"/>
      </rPr>
      <t>苏发改服价发〔2018〕1348号</t>
    </r>
    <r>
      <rPr>
        <sz val="10"/>
        <color rgb="FF333333"/>
        <rFont val="宋体"/>
        <family val="3"/>
        <charset val="134"/>
        <scheme val="minor"/>
      </rPr>
      <t>，财税〔2019〕53号，</t>
    </r>
    <r>
      <rPr>
        <sz val="10"/>
        <color rgb="FFFF0000"/>
        <rFont val="宋体"/>
        <family val="3"/>
        <charset val="134"/>
        <scheme val="minor"/>
      </rPr>
      <t>苏财综〔2019〕38号</t>
    </r>
    <r>
      <rPr>
        <sz val="10"/>
        <color rgb="FF333333"/>
        <rFont val="宋体"/>
        <family val="3"/>
        <charset val="134"/>
        <scheme val="minor"/>
      </rPr>
      <t>，财政部公告2019年第76号，苏政办发〔2022〕25号文件，江苏省2022年防空地下室易地建设费收费标准如下：</t>
    </r>
    <phoneticPr fontId="11" type="noConversion"/>
  </si>
  <si>
    <t>工程监测费</t>
  </si>
  <si>
    <t>估列</t>
    <phoneticPr fontId="11" type="noConversion"/>
  </si>
  <si>
    <t>1.600-2000元/平方米。中小学校舍安全建设工程、公共租赁住 房建设免收。</t>
  </si>
  <si>
    <t>CCTV检测费</t>
  </si>
  <si>
    <t>建设工程放线</t>
  </si>
  <si>
    <t>竣工测量费</t>
  </si>
  <si>
    <t>联合试运转费</t>
    <phoneticPr fontId="11" type="noConversion"/>
  </si>
  <si>
    <t>%</t>
    <phoneticPr fontId="11" type="noConversion"/>
  </si>
  <si>
    <t>2.自2015年1月1日起，对非营利性养老和医疗机构免征、营利性养老和医疗机构减半征收。</t>
  </si>
  <si>
    <t>生产准备费</t>
    <phoneticPr fontId="11" type="noConversion"/>
  </si>
  <si>
    <r>
      <rPr>
        <sz val="10"/>
        <rFont val="宋体"/>
        <family val="3"/>
        <charset val="134"/>
      </rPr>
      <t>人</t>
    </r>
    <r>
      <rPr>
        <sz val="10"/>
        <rFont val="宋体"/>
        <family val="1"/>
        <charset val="134"/>
      </rPr>
      <t>月</t>
    </r>
    <phoneticPr fontId="11" type="noConversion"/>
  </si>
  <si>
    <t>3.自2019年7月1日起， 对确因地质条件等原因无法修建防空地下室的易地扶贫搬迁项目免征。</t>
  </si>
  <si>
    <r>
      <t>办公及生活家具购置费</t>
    </r>
    <r>
      <rPr>
        <sz val="10"/>
        <rFont val="Times New Roman"/>
        <family val="1"/>
      </rPr>
      <t xml:space="preserve">  </t>
    </r>
    <phoneticPr fontId="11" type="noConversion"/>
  </si>
  <si>
    <t>人</t>
    <phoneticPr fontId="11" type="noConversion"/>
  </si>
  <si>
    <t>4.自2019年6月1日至2025年12月31日，为社区提供养老、托育、家政服务的机构，确因地质条件等原因无法修建防空地下室的免征。</t>
  </si>
  <si>
    <t>其他应计费用</t>
  </si>
  <si>
    <t>5.2022年4月1日至12月31日，标准下调20%。</t>
  </si>
  <si>
    <t>重大工程气候可行性论证、雷击灾害风险评估收费</t>
  </si>
  <si>
    <t>注 ：数据来源于江苏省发展和发改委员会。</t>
  </si>
  <si>
    <t>水土保持咨询服务费</t>
    <phoneticPr fontId="7" type="noConversion"/>
  </si>
  <si>
    <t>水土保持方案编制</t>
  </si>
  <si>
    <r>
      <rPr>
        <sz val="10"/>
        <rFont val="微软雅黑"/>
        <family val="1"/>
        <charset val="134"/>
      </rPr>
      <t>参保监</t>
    </r>
    <r>
      <rPr>
        <sz val="10"/>
        <rFont val="Times New Roman"/>
        <family val="1"/>
      </rPr>
      <t>[2005]22</t>
    </r>
    <r>
      <rPr>
        <sz val="10"/>
        <rFont val="微软雅黑"/>
        <family val="1"/>
        <charset val="134"/>
      </rPr>
      <t>号</t>
    </r>
    <phoneticPr fontId="11" type="noConversion"/>
  </si>
  <si>
    <t>水土保持施工期监测费</t>
  </si>
  <si>
    <t>水土保持设施竣工验收技术评估报告编制费</t>
  </si>
  <si>
    <t>水土保持技术文件咨询服务费</t>
  </si>
  <si>
    <t>水土保持补偿费</t>
    <phoneticPr fontId="11" type="noConversion"/>
  </si>
  <si>
    <t>弃方m3</t>
    <phoneticPr fontId="11" type="noConversion"/>
  </si>
  <si>
    <r>
      <rPr>
        <sz val="11"/>
        <rFont val="宋体"/>
        <family val="3"/>
        <charset val="134"/>
      </rPr>
      <t>苏财综</t>
    </r>
    <r>
      <rPr>
        <sz val="11"/>
        <rFont val="Times New Roman"/>
        <family val="1"/>
      </rPr>
      <t>[2014]39</t>
    </r>
    <r>
      <rPr>
        <sz val="11"/>
        <rFont val="宋体"/>
        <family val="3"/>
        <charset val="134"/>
      </rPr>
      <t>号文，
苏水农</t>
    </r>
    <r>
      <rPr>
        <sz val="11"/>
        <rFont val="Times New Roman"/>
        <family val="1"/>
      </rPr>
      <t>[2022]13</t>
    </r>
    <r>
      <rPr>
        <sz val="11"/>
        <rFont val="宋体"/>
        <family val="3"/>
        <charset val="134"/>
      </rPr>
      <t>号文</t>
    </r>
    <phoneticPr fontId="11" type="noConversion"/>
  </si>
  <si>
    <r>
      <t>苏南五市(南京、无锡、常州、苏州、镇江）为</t>
    </r>
    <r>
      <rPr>
        <b/>
        <sz val="10"/>
        <color rgb="FFFF0000"/>
        <rFont val="宋体"/>
        <family val="3"/>
        <charset val="134"/>
      </rPr>
      <t>1.5元/m2</t>
    </r>
    <r>
      <rPr>
        <sz val="10"/>
        <rFont val="宋体"/>
        <family val="3"/>
        <charset val="134"/>
      </rPr>
      <t>，其余地区按</t>
    </r>
    <r>
      <rPr>
        <b/>
        <sz val="10"/>
        <color rgb="FFFF0000"/>
        <rFont val="宋体"/>
        <family val="3"/>
        <charset val="134"/>
      </rPr>
      <t>1.0元/m2</t>
    </r>
    <phoneticPr fontId="11" type="noConversion"/>
  </si>
  <si>
    <t>地震安全性评价</t>
    <phoneticPr fontId="7" type="noConversion"/>
  </si>
  <si>
    <t>估列</t>
    <phoneticPr fontId="11" type="noConversion"/>
  </si>
  <si>
    <r>
      <t>根据“苏水农[2022]13号文”，减征20%，即</t>
    </r>
    <r>
      <rPr>
        <b/>
        <sz val="10"/>
        <color rgb="FFFF0000"/>
        <rFont val="宋体"/>
        <family val="3"/>
        <charset val="134"/>
      </rPr>
      <t>乘0.8系数</t>
    </r>
    <r>
      <rPr>
        <sz val="10"/>
        <rFont val="宋体"/>
        <family val="3"/>
        <charset val="134"/>
      </rPr>
      <t>。</t>
    </r>
    <phoneticPr fontId="11" type="noConversion"/>
  </si>
  <si>
    <t>地质灾害危险性评价费</t>
    <phoneticPr fontId="7" type="noConversion"/>
  </si>
  <si>
    <t>发改办价格[2006]745号文</t>
    <phoneticPr fontId="11" type="noConversion"/>
  </si>
  <si>
    <t>绿地临时占用费、树林砍伐、移值、修剪补偿费</t>
  </si>
  <si>
    <t>估列</t>
    <phoneticPr fontId="11" type="noConversion"/>
  </si>
  <si>
    <t>城市道路挖掘修复费</t>
  </si>
  <si>
    <t>估列</t>
    <phoneticPr fontId="11" type="noConversion"/>
  </si>
  <si>
    <t>河道堤防工程占用补偿费</t>
  </si>
  <si>
    <t>估列</t>
    <phoneticPr fontId="11" type="noConversion"/>
  </si>
  <si>
    <t>考古调查勘探经费</t>
  </si>
  <si>
    <t>估列</t>
    <phoneticPr fontId="11" type="noConversion"/>
  </si>
  <si>
    <t>水电燃气接入费</t>
  </si>
  <si>
    <t>社会稳定风险分析及评估报告编制费</t>
    <phoneticPr fontId="7" type="noConversion"/>
  </si>
  <si>
    <t>防洪影响评价咨询服务费</t>
  </si>
  <si>
    <t>估列</t>
    <phoneticPr fontId="11" type="noConversion"/>
  </si>
  <si>
    <t>交通维护费</t>
  </si>
  <si>
    <t>高可靠性供电费</t>
    <phoneticPr fontId="11" type="noConversion"/>
  </si>
  <si>
    <t>KVA</t>
    <phoneticPr fontId="11" type="noConversion"/>
  </si>
  <si>
    <r>
      <rPr>
        <sz val="10"/>
        <rFont val="宋体"/>
        <family val="3"/>
        <charset val="134"/>
      </rPr>
      <t>苏价工</t>
    </r>
    <r>
      <rPr>
        <sz val="10"/>
        <rFont val="Times New Roman"/>
        <family val="1"/>
      </rPr>
      <t>[2009]213</t>
    </r>
    <r>
      <rPr>
        <sz val="10"/>
        <rFont val="宋体"/>
        <family val="3"/>
        <charset val="134"/>
      </rPr>
      <t>号文</t>
    </r>
    <phoneticPr fontId="11" type="noConversion"/>
  </si>
  <si>
    <t>特殊设备安全监督检测费</t>
    <phoneticPr fontId="7" type="noConversion"/>
  </si>
  <si>
    <t>城镇垃圾处理费(建筑垃圾和工程渣土)</t>
    <phoneticPr fontId="11" type="noConversion"/>
  </si>
  <si>
    <t>劳动安全卫生评审费</t>
    <phoneticPr fontId="11" type="noConversion"/>
  </si>
  <si>
    <t>工程保险费</t>
    <phoneticPr fontId="11" type="noConversion"/>
  </si>
  <si>
    <t>基础设施配套费</t>
    <phoneticPr fontId="11" type="noConversion"/>
  </si>
  <si>
    <t>按总建筑面积为基数</t>
    <phoneticPr fontId="11" type="noConversion"/>
  </si>
  <si>
    <r>
      <rPr>
        <sz val="10"/>
        <color rgb="FFFF0000"/>
        <rFont val="宋体"/>
        <family val="3"/>
        <charset val="134"/>
      </rPr>
      <t>南京</t>
    </r>
    <r>
      <rPr>
        <sz val="10"/>
        <color rgb="FFFF0000"/>
        <rFont val="Times New Roman"/>
        <family val="1"/>
      </rPr>
      <t>150,</t>
    </r>
    <r>
      <rPr>
        <sz val="10"/>
        <color rgb="FFFF0000"/>
        <rFont val="宋体"/>
        <family val="3"/>
        <charset val="134"/>
      </rPr>
      <t>其他城市</t>
    </r>
    <r>
      <rPr>
        <sz val="10"/>
        <color rgb="FFFF0000"/>
        <rFont val="Times New Roman"/>
        <family val="1"/>
      </rPr>
      <t>105</t>
    </r>
    <phoneticPr fontId="11" type="noConversion"/>
  </si>
  <si>
    <t>供电外线</t>
    <phoneticPr fontId="11" type="noConversion"/>
  </si>
  <si>
    <t>涉铁费用</t>
    <phoneticPr fontId="11" type="noConversion"/>
  </si>
  <si>
    <t>第二部分费用小计</t>
  </si>
  <si>
    <t>第一、二部分费用小计</t>
    <phoneticPr fontId="11" type="noConversion"/>
  </si>
  <si>
    <t>III</t>
    <phoneticPr fontId="11" type="noConversion"/>
  </si>
  <si>
    <t>预备费</t>
    <phoneticPr fontId="11" type="noConversion"/>
  </si>
  <si>
    <t>基本预备费</t>
    <phoneticPr fontId="11" type="noConversion"/>
  </si>
  <si>
    <t>预备费小计</t>
    <phoneticPr fontId="11" type="noConversion"/>
  </si>
  <si>
    <t>第一、二、三部分费用小计</t>
  </si>
  <si>
    <t>利率</t>
    <phoneticPr fontId="11" type="noConversion"/>
  </si>
  <si>
    <r>
      <rPr>
        <b/>
        <sz val="10"/>
        <rFont val="宋体"/>
        <family val="3"/>
        <charset val="134"/>
      </rPr>
      <t>Ⅳ</t>
    </r>
  </si>
  <si>
    <t>建设期利息</t>
  </si>
  <si>
    <t>V</t>
  </si>
  <si>
    <t>铺底流动资金</t>
  </si>
  <si>
    <t>IV</t>
    <phoneticPr fontId="11" type="noConversion"/>
  </si>
  <si>
    <t>建设期贷款利息</t>
    <phoneticPr fontId="39" type="noConversion"/>
  </si>
  <si>
    <t>V</t>
    <phoneticPr fontId="11" type="noConversion"/>
  </si>
  <si>
    <t>铺底流动资金</t>
    <phoneticPr fontId="39" type="noConversion"/>
  </si>
  <si>
    <t>工程总投资</t>
    <phoneticPr fontId="11" type="noConversion"/>
  </si>
  <si>
    <t>工程建设其他费用计算表</t>
    <phoneticPr fontId="11" type="noConversion"/>
  </si>
  <si>
    <t>序号</t>
    <phoneticPr fontId="11" type="noConversion"/>
  </si>
  <si>
    <t>费   用   名   称</t>
    <phoneticPr fontId="11" type="noConversion"/>
  </si>
  <si>
    <t>说  明  及  计  算  式</t>
    <phoneticPr fontId="11" type="noConversion"/>
  </si>
  <si>
    <t>金 额 
(万元)</t>
    <phoneticPr fontId="11" type="noConversion"/>
  </si>
  <si>
    <t>备  注</t>
    <phoneticPr fontId="11" type="noConversion"/>
  </si>
  <si>
    <t>,</t>
    <phoneticPr fontId="11" type="noConversion"/>
  </si>
  <si>
    <t>,</t>
    <phoneticPr fontId="11" type="noConversion"/>
  </si>
  <si>
    <t>,</t>
    <phoneticPr fontId="11" type="noConversion"/>
  </si>
  <si>
    <t>,</t>
    <phoneticPr fontId="11" type="noConversion"/>
  </si>
  <si>
    <t>,</t>
    <phoneticPr fontId="11" type="noConversion"/>
  </si>
  <si>
    <t>苏建价协2022(7)号文</t>
    <phoneticPr fontId="11" type="noConversion"/>
  </si>
  <si>
    <t>,</t>
    <phoneticPr fontId="11" type="noConversion"/>
  </si>
  <si>
    <t>,</t>
    <phoneticPr fontId="11" type="noConversion"/>
  </si>
  <si>
    <t>发改价格[2011]534号文</t>
  </si>
  <si>
    <t>苏招协[2022]002号文件</t>
  </si>
  <si>
    <t>合计</t>
    <phoneticPr fontId="11" type="noConversion"/>
  </si>
  <si>
    <t>财建[2016]504号</t>
    <phoneticPr fontId="11" type="noConversion"/>
  </si>
  <si>
    <t xml:space="preserve"> </t>
    <phoneticPr fontId="11" type="noConversion"/>
  </si>
  <si>
    <t>建设单位管理费：</t>
  </si>
  <si>
    <t>总投资-自身-建设用地费</t>
    <phoneticPr fontId="11" type="noConversion"/>
  </si>
  <si>
    <t>&gt;200000</t>
    <phoneticPr fontId="7" type="noConversion"/>
  </si>
  <si>
    <t>公式展示</t>
    <phoneticPr fontId="7" type="noConversion"/>
  </si>
  <si>
    <t>费率</t>
  </si>
  <si>
    <r>
      <rPr>
        <sz val="10"/>
        <rFont val="宋体"/>
        <family val="3"/>
        <charset val="134"/>
      </rPr>
      <t>区间费</t>
    </r>
    <r>
      <rPr>
        <sz val="10"/>
        <rFont val="Times New Roman"/>
        <family val="1"/>
      </rPr>
      <t>(</t>
    </r>
    <r>
      <rPr>
        <sz val="10"/>
        <rFont val="宋体"/>
        <family val="3"/>
        <charset val="134"/>
      </rPr>
      <t>万元</t>
    </r>
    <r>
      <rPr>
        <sz val="10"/>
        <rFont val="Times New Roman"/>
        <family val="1"/>
      </rPr>
      <t>)</t>
    </r>
  </si>
  <si>
    <r>
      <rPr>
        <sz val="10"/>
        <rFont val="宋体"/>
        <family val="3"/>
        <charset val="134"/>
      </rPr>
      <t>小计</t>
    </r>
    <r>
      <rPr>
        <sz val="10"/>
        <rFont val="Times New Roman"/>
        <family val="1"/>
      </rPr>
      <t>(</t>
    </r>
    <r>
      <rPr>
        <sz val="10"/>
        <rFont val="宋体"/>
        <family val="3"/>
        <charset val="134"/>
      </rPr>
      <t>万元</t>
    </r>
    <r>
      <rPr>
        <sz val="10"/>
        <rFont val="Times New Roman"/>
        <family val="1"/>
      </rPr>
      <t>)</t>
    </r>
  </si>
  <si>
    <t>总投资</t>
  </si>
  <si>
    <t>发改价【2007】670号</t>
    <phoneticPr fontId="11" type="noConversion"/>
  </si>
  <si>
    <t xml:space="preserve"> </t>
    <phoneticPr fontId="7" type="noConversion"/>
  </si>
  <si>
    <t>施工监理费</t>
    <phoneticPr fontId="7" type="noConversion"/>
  </si>
  <si>
    <t>专业系数</t>
    <phoneticPr fontId="7" type="noConversion"/>
  </si>
  <si>
    <t>工程费+联合试运转</t>
    <phoneticPr fontId="11" type="noConversion"/>
  </si>
  <si>
    <t>工程费</t>
  </si>
  <si>
    <t>计价格[1999]1283号文</t>
    <phoneticPr fontId="11" type="noConversion"/>
  </si>
  <si>
    <t>0.8-1.2</t>
  </si>
  <si>
    <t>编制项目建议书</t>
    <phoneticPr fontId="7" type="noConversion"/>
  </si>
  <si>
    <t>行业系数</t>
  </si>
  <si>
    <t>复杂系数</t>
  </si>
  <si>
    <t>部分八折</t>
    <phoneticPr fontId="7" type="noConversion"/>
  </si>
  <si>
    <t>公式展示</t>
    <phoneticPr fontId="7" type="noConversion"/>
  </si>
  <si>
    <r>
      <rPr>
        <sz val="12"/>
        <rFont val="宋体"/>
        <family val="3"/>
        <charset val="134"/>
      </rPr>
      <t>区间费</t>
    </r>
    <r>
      <rPr>
        <sz val="12"/>
        <rFont val="Times New Roman"/>
        <family val="1"/>
      </rPr>
      <t>(</t>
    </r>
    <r>
      <rPr>
        <sz val="12"/>
        <rFont val="宋体"/>
        <family val="3"/>
        <charset val="134"/>
      </rPr>
      <t>万元</t>
    </r>
    <r>
      <rPr>
        <sz val="12"/>
        <rFont val="Times New Roman"/>
        <family val="1"/>
      </rPr>
      <t>)</t>
    </r>
  </si>
  <si>
    <r>
      <rPr>
        <sz val="12"/>
        <rFont val="宋体"/>
        <family val="3"/>
        <charset val="134"/>
      </rPr>
      <t>小计</t>
    </r>
    <r>
      <rPr>
        <sz val="12"/>
        <rFont val="Times New Roman"/>
        <family val="1"/>
      </rPr>
      <t>(</t>
    </r>
    <r>
      <rPr>
        <sz val="12"/>
        <rFont val="宋体"/>
        <family val="3"/>
        <charset val="134"/>
      </rPr>
      <t>万元</t>
    </r>
    <r>
      <rPr>
        <sz val="12"/>
        <rFont val="Times New Roman"/>
        <family val="1"/>
      </rPr>
      <t>)</t>
    </r>
  </si>
  <si>
    <t>编制可行性研究报告</t>
    <phoneticPr fontId="7" type="noConversion"/>
  </si>
  <si>
    <t>公式展示</t>
    <phoneticPr fontId="7" type="noConversion"/>
  </si>
  <si>
    <t>评估项目建议书</t>
    <phoneticPr fontId="7" type="noConversion"/>
  </si>
  <si>
    <t>评估可行性研究报告</t>
    <phoneticPr fontId="7" type="noConversion"/>
  </si>
  <si>
    <t>1.1~1.4</t>
    <phoneticPr fontId="7" type="noConversion"/>
  </si>
  <si>
    <t>湖南</t>
    <phoneticPr fontId="7" type="noConversion"/>
  </si>
  <si>
    <t>设计费</t>
  </si>
  <si>
    <t>修正系数</t>
    <phoneticPr fontId="7" type="noConversion"/>
  </si>
  <si>
    <t>专业系数</t>
  </si>
  <si>
    <t>工程费+试运转</t>
  </si>
  <si>
    <t>&gt;2000000</t>
    <phoneticPr fontId="7" type="noConversion"/>
  </si>
  <si>
    <r>
      <t>区间费</t>
    </r>
    <r>
      <rPr>
        <sz val="12"/>
        <color theme="0"/>
        <rFont val="Times New Roman"/>
        <family val="1"/>
      </rPr>
      <t>(</t>
    </r>
    <r>
      <rPr>
        <sz val="12"/>
        <color theme="0"/>
        <rFont val="宋体"/>
        <family val="3"/>
        <charset val="134"/>
      </rPr>
      <t>万元</t>
    </r>
    <r>
      <rPr>
        <sz val="12"/>
        <color theme="0"/>
        <rFont val="Times New Roman"/>
        <family val="1"/>
      </rPr>
      <t>)</t>
    </r>
  </si>
  <si>
    <r>
      <t>小计</t>
    </r>
    <r>
      <rPr>
        <sz val="12"/>
        <color theme="0"/>
        <rFont val="Times New Roman"/>
        <family val="1"/>
      </rPr>
      <t>(</t>
    </r>
    <r>
      <rPr>
        <sz val="12"/>
        <color theme="0"/>
        <rFont val="宋体"/>
        <family val="3"/>
        <charset val="134"/>
      </rPr>
      <t>万元</t>
    </r>
    <r>
      <rPr>
        <sz val="12"/>
        <color theme="0"/>
        <rFont val="Times New Roman"/>
        <family val="1"/>
      </rPr>
      <t>)</t>
    </r>
  </si>
  <si>
    <t>计价格[2002]10号</t>
    <phoneticPr fontId="11" type="noConversion"/>
  </si>
  <si>
    <t>改造系数</t>
  </si>
  <si>
    <t>参计价格[1999]1283号文</t>
  </si>
  <si>
    <t>0.8/1.2</t>
    <phoneticPr fontId="7" type="noConversion"/>
  </si>
  <si>
    <t>编制环境影响报告书表</t>
    <phoneticPr fontId="7" type="noConversion"/>
  </si>
  <si>
    <t>敏感系数</t>
    <phoneticPr fontId="7" type="noConversion"/>
  </si>
  <si>
    <t>&gt;=1000000</t>
    <phoneticPr fontId="11" type="noConversion"/>
  </si>
  <si>
    <t>编制环境影响报告书（含大纲）</t>
    <phoneticPr fontId="7" type="noConversion"/>
  </si>
  <si>
    <t>评估环境影响报告书表</t>
    <phoneticPr fontId="7" type="noConversion"/>
  </si>
  <si>
    <t>评估环境影响报告书（含大纲）</t>
    <phoneticPr fontId="7" type="noConversion"/>
  </si>
  <si>
    <t>湖南</t>
    <phoneticPr fontId="7" type="noConversion"/>
  </si>
  <si>
    <t>货物招标</t>
    <phoneticPr fontId="11" type="noConversion"/>
  </si>
  <si>
    <t>投资</t>
    <phoneticPr fontId="7" type="noConversion"/>
  </si>
  <si>
    <t>&gt;100000</t>
    <phoneticPr fontId="7" type="noConversion"/>
  </si>
  <si>
    <r>
      <t>区间费</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</si>
  <si>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r>
      <t>小计</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</si>
  <si>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t>服务招标</t>
    <phoneticPr fontId="11" type="noConversion"/>
  </si>
  <si>
    <t>投资</t>
    <phoneticPr fontId="7" type="noConversion"/>
  </si>
  <si>
    <t>&gt;100000</t>
    <phoneticPr fontId="7" type="noConversion"/>
  </si>
  <si>
    <r>
      <t>区间费</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</si>
  <si>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r>
      <t>小计</t>
    </r>
    <r>
      <rPr>
        <sz val="12"/>
        <color theme="0"/>
        <rFont val="Times New Roman"/>
        <family val="1"/>
      </rPr>
      <t>(</t>
    </r>
    <r>
      <rPr>
        <sz val="12"/>
        <color theme="0"/>
        <rFont val="宋体"/>
        <family val="3"/>
        <charset val="134"/>
      </rPr>
      <t>万元</t>
    </r>
    <r>
      <rPr>
        <sz val="12"/>
        <color theme="0"/>
        <rFont val="Times New Roman"/>
        <family val="1"/>
      </rPr>
      <t>)</t>
    </r>
    <phoneticPr fontId="11" type="noConversion"/>
  </si>
  <si>
    <t>工程招标</t>
    <phoneticPr fontId="11" type="noConversion"/>
  </si>
  <si>
    <t>参发改价格[2011]534号文</t>
  </si>
  <si>
    <r>
      <rPr>
        <sz val="12"/>
        <rFont val="宋体"/>
        <family val="3"/>
        <charset val="134"/>
      </rPr>
      <t>货物招标</t>
    </r>
  </si>
  <si>
    <r>
      <rPr>
        <sz val="12"/>
        <rFont val="宋体"/>
        <family val="3"/>
        <charset val="134"/>
      </rPr>
      <t>中标金额</t>
    </r>
  </si>
  <si>
    <r>
      <rPr>
        <sz val="11"/>
        <rFont val="宋体"/>
        <family val="3"/>
        <charset val="134"/>
      </rPr>
      <t>费率</t>
    </r>
  </si>
  <si>
    <r>
      <rPr>
        <sz val="11"/>
        <rFont val="宋体"/>
        <family val="3"/>
        <charset val="134"/>
      </rPr>
      <t>区间费</t>
    </r>
    <r>
      <rPr>
        <sz val="11"/>
        <rFont val="Times New Roman"/>
        <family val="1"/>
      </rPr>
      <t>(</t>
    </r>
    <r>
      <rPr>
        <sz val="11"/>
        <rFont val="宋体"/>
        <family val="3"/>
        <charset val="134"/>
      </rPr>
      <t>万元</t>
    </r>
    <r>
      <rPr>
        <sz val="11"/>
        <rFont val="Times New Roman"/>
        <family val="1"/>
      </rPr>
      <t>)</t>
    </r>
  </si>
  <si>
    <r>
      <rPr>
        <sz val="11"/>
        <rFont val="宋体"/>
        <family val="3"/>
        <charset val="134"/>
      </rPr>
      <t>小计</t>
    </r>
    <r>
      <rPr>
        <sz val="11"/>
        <rFont val="Times New Roman"/>
        <family val="1"/>
      </rPr>
      <t>(</t>
    </r>
    <r>
      <rPr>
        <sz val="11"/>
        <rFont val="宋体"/>
        <family val="3"/>
        <charset val="134"/>
      </rPr>
      <t>万元</t>
    </r>
    <r>
      <rPr>
        <sz val="11"/>
        <rFont val="Times New Roman"/>
        <family val="1"/>
      </rPr>
      <t>)</t>
    </r>
  </si>
  <si>
    <r>
      <rPr>
        <sz val="12"/>
        <rFont val="宋体"/>
        <family val="3"/>
        <charset val="134"/>
      </rPr>
      <t>服务招标</t>
    </r>
  </si>
  <si>
    <r>
      <rPr>
        <sz val="12"/>
        <rFont val="宋体"/>
        <family val="3"/>
        <charset val="134"/>
      </rPr>
      <t>工程招标</t>
    </r>
  </si>
  <si>
    <r>
      <t>苏招协</t>
    </r>
    <r>
      <rPr>
        <sz val="11"/>
        <color rgb="FFFF0000"/>
        <rFont val="Times New Roman"/>
        <family val="1"/>
      </rPr>
      <t>[2022]002</t>
    </r>
    <r>
      <rPr>
        <sz val="11"/>
        <color rgb="FFFF0000"/>
        <rFont val="宋体"/>
        <family val="3"/>
        <charset val="134"/>
      </rPr>
      <t>号文件</t>
    </r>
    <phoneticPr fontId="11" type="noConversion"/>
  </si>
  <si>
    <t>货物招标</t>
  </si>
  <si>
    <t>中标金额</t>
  </si>
  <si>
    <t>服务招标</t>
  </si>
  <si>
    <t>工程招标</t>
  </si>
  <si>
    <t>苏建价协2022(7)号文</t>
    <phoneticPr fontId="11" type="noConversion"/>
  </si>
  <si>
    <t>投资估算审核</t>
    <phoneticPr fontId="7" type="noConversion"/>
  </si>
  <si>
    <t>专业系数</t>
    <phoneticPr fontId="7" type="noConversion"/>
  </si>
  <si>
    <t>估算价</t>
    <phoneticPr fontId="11" type="noConversion"/>
  </si>
  <si>
    <t>&gt;50000</t>
    <phoneticPr fontId="7" type="noConversion"/>
  </si>
  <si>
    <t>工程概算审核</t>
    <phoneticPr fontId="7" type="noConversion"/>
  </si>
  <si>
    <t>专业系数</t>
    <phoneticPr fontId="7" type="noConversion"/>
  </si>
  <si>
    <t>招标控制价</t>
    <phoneticPr fontId="11" type="noConversion"/>
  </si>
  <si>
    <t>施工图预算、最高投标限价
（含编制工程量清单）编制</t>
    <phoneticPr fontId="7" type="noConversion"/>
  </si>
  <si>
    <t>工程结算审核</t>
    <phoneticPr fontId="7" type="noConversion"/>
  </si>
  <si>
    <t>&gt;50000</t>
    <phoneticPr fontId="7" type="noConversion"/>
  </si>
  <si>
    <t>竣工决算审核</t>
    <phoneticPr fontId="7" type="noConversion"/>
  </si>
  <si>
    <t>投资额</t>
    <phoneticPr fontId="11" type="noConversion"/>
  </si>
  <si>
    <t>全过程咨询</t>
    <phoneticPr fontId="7" type="noConversion"/>
  </si>
  <si>
    <t>建安造价</t>
    <phoneticPr fontId="11" type="noConversion"/>
  </si>
  <si>
    <t>安全预评价</t>
    <phoneticPr fontId="7" type="noConversion"/>
  </si>
  <si>
    <t>安全验收评价</t>
    <phoneticPr fontId="7" type="noConversion"/>
  </si>
  <si>
    <t>参保监[2005]22号</t>
    <phoneticPr fontId="11" type="noConversion"/>
  </si>
  <si>
    <t>平原0.8</t>
    <phoneticPr fontId="7" type="noConversion"/>
  </si>
  <si>
    <t>山区1.2</t>
    <phoneticPr fontId="7" type="noConversion"/>
  </si>
  <si>
    <t>水土保持方案编制</t>
    <phoneticPr fontId="7" type="noConversion"/>
  </si>
  <si>
    <t>土建投资</t>
    <phoneticPr fontId="7" type="noConversion"/>
  </si>
  <si>
    <t>公式展示</t>
    <phoneticPr fontId="7" type="noConversion"/>
  </si>
  <si>
    <t>&gt;2000000</t>
    <phoneticPr fontId="7" type="noConversion"/>
  </si>
  <si>
    <t>水土保持施工期监测费</t>
    <phoneticPr fontId="7" type="noConversion"/>
  </si>
  <si>
    <t>土建投资</t>
    <phoneticPr fontId="7" type="noConversion"/>
  </si>
  <si>
    <t>公式展示</t>
    <phoneticPr fontId="7" type="noConversion"/>
  </si>
  <si>
    <t>&gt;2000000</t>
    <phoneticPr fontId="7" type="noConversion"/>
  </si>
  <si>
    <t>水土保持设施竣工验收技术评估报告编制费</t>
    <phoneticPr fontId="7" type="noConversion"/>
  </si>
  <si>
    <t>土建投资</t>
    <phoneticPr fontId="7" type="noConversion"/>
  </si>
  <si>
    <t>公式展示</t>
    <phoneticPr fontId="7" type="noConversion"/>
  </si>
  <si>
    <t>&gt;2000000</t>
    <phoneticPr fontId="7" type="noConversion"/>
  </si>
  <si>
    <t>水土保持技术文件咨询服务费</t>
    <phoneticPr fontId="7" type="noConversion"/>
  </si>
  <si>
    <t>公式展示</t>
    <phoneticPr fontId="7" type="noConversion"/>
  </si>
  <si>
    <t>&gt;2000000</t>
    <phoneticPr fontId="7" type="noConversion"/>
  </si>
  <si>
    <t>苏价服（2015）20号</t>
  </si>
  <si>
    <t>施工图审查费：</t>
  </si>
  <si>
    <t>抗震</t>
    <phoneticPr fontId="11" type="noConversion"/>
  </si>
  <si>
    <r>
      <rPr>
        <sz val="11"/>
        <rFont val="宋体"/>
        <family val="3"/>
        <charset val="134"/>
      </rPr>
      <t>总投资</t>
    </r>
  </si>
  <si>
    <t>公式展示</t>
    <phoneticPr fontId="7" type="noConversion"/>
  </si>
  <si>
    <t>苏价服2014[383]号文</t>
    <phoneticPr fontId="11" type="noConversion"/>
  </si>
  <si>
    <t>投资估算审核</t>
    <phoneticPr fontId="7" type="noConversion"/>
  </si>
  <si>
    <t>专业系数</t>
    <phoneticPr fontId="7" type="noConversion"/>
  </si>
  <si>
    <t>估算价</t>
    <phoneticPr fontId="11" type="noConversion"/>
  </si>
  <si>
    <t>&gt;50000</t>
    <phoneticPr fontId="7" type="noConversion"/>
  </si>
  <si>
    <t>公式展示</t>
    <phoneticPr fontId="7" type="noConversion"/>
  </si>
  <si>
    <t>工程概算审核</t>
    <phoneticPr fontId="7" type="noConversion"/>
  </si>
  <si>
    <t>专业系数</t>
    <phoneticPr fontId="7" type="noConversion"/>
  </si>
  <si>
    <t>招标控制价</t>
    <phoneticPr fontId="11" type="noConversion"/>
  </si>
  <si>
    <t>施工图预算、最高投标限价
（含编制工程量清单）编制</t>
    <phoneticPr fontId="7" type="noConversion"/>
  </si>
  <si>
    <t>专业系数</t>
    <phoneticPr fontId="7" type="noConversion"/>
  </si>
  <si>
    <t>招标控制价</t>
    <phoneticPr fontId="11" type="noConversion"/>
  </si>
  <si>
    <t>&gt;50000</t>
    <phoneticPr fontId="7" type="noConversion"/>
  </si>
  <si>
    <t>工程竣工结算审核</t>
    <phoneticPr fontId="7" type="noConversion"/>
  </si>
  <si>
    <t>投资额</t>
    <phoneticPr fontId="11" type="noConversion"/>
  </si>
  <si>
    <t>全过程咨询</t>
    <phoneticPr fontId="7" type="noConversion"/>
  </si>
  <si>
    <t>建安造价</t>
    <phoneticPr fontId="11" type="noConversion"/>
  </si>
  <si>
    <t>江苏省建设工程造价咨询服务费（苏价服2014[383]号文）</t>
    <phoneticPr fontId="11" type="noConversion"/>
  </si>
  <si>
    <t>单位</t>
    <phoneticPr fontId="11" type="noConversion"/>
  </si>
  <si>
    <t>‰</t>
    <phoneticPr fontId="11" type="noConversion"/>
  </si>
  <si>
    <t>序</t>
  </si>
  <si>
    <t>咨询项目</t>
    <phoneticPr fontId="11" type="noConversion"/>
  </si>
  <si>
    <t>收费基数</t>
  </si>
  <si>
    <r>
      <t>划</t>
    </r>
    <r>
      <rPr>
        <b/>
        <sz val="9"/>
        <color indexed="8"/>
        <rFont val="Times New Roman"/>
        <family val="1"/>
      </rPr>
      <t xml:space="preserve">         </t>
    </r>
    <r>
      <rPr>
        <b/>
        <sz val="9"/>
        <color indexed="8"/>
        <rFont val="宋体"/>
        <family val="3"/>
        <charset val="134"/>
      </rPr>
      <t>分</t>
    </r>
    <r>
      <rPr>
        <b/>
        <sz val="9"/>
        <color indexed="8"/>
        <rFont val="Times New Roman"/>
        <family val="1"/>
      </rPr>
      <t xml:space="preserve">        </t>
    </r>
    <r>
      <rPr>
        <b/>
        <sz val="9"/>
        <color indexed="8"/>
        <rFont val="宋体"/>
        <family val="3"/>
        <charset val="134"/>
      </rPr>
      <t>标</t>
    </r>
    <r>
      <rPr>
        <b/>
        <sz val="9"/>
        <color indexed="8"/>
        <rFont val="Times New Roman"/>
        <family val="1"/>
      </rPr>
      <t xml:space="preserve">        </t>
    </r>
    <r>
      <rPr>
        <b/>
        <sz val="9"/>
        <color indexed="8"/>
        <rFont val="宋体"/>
        <family val="3"/>
        <charset val="134"/>
      </rPr>
      <t>准</t>
    </r>
  </si>
  <si>
    <t>号</t>
  </si>
  <si>
    <r>
      <t>500</t>
    </r>
    <r>
      <rPr>
        <b/>
        <sz val="9"/>
        <color indexed="8"/>
        <rFont val="宋体"/>
        <family val="3"/>
        <charset val="134"/>
      </rPr>
      <t>万元以内</t>
    </r>
    <phoneticPr fontId="11" type="noConversion"/>
  </si>
  <si>
    <r>
      <t>1000</t>
    </r>
    <r>
      <rPr>
        <b/>
        <sz val="9"/>
        <color indexed="8"/>
        <rFont val="宋体"/>
        <family val="3"/>
        <charset val="134"/>
      </rPr>
      <t>万元以内</t>
    </r>
    <phoneticPr fontId="11" type="noConversion"/>
  </si>
  <si>
    <r>
      <t>5000</t>
    </r>
    <r>
      <rPr>
        <b/>
        <sz val="9"/>
        <color indexed="8"/>
        <rFont val="宋体"/>
        <family val="3"/>
        <charset val="134"/>
      </rPr>
      <t>万元以内</t>
    </r>
    <phoneticPr fontId="11" type="noConversion"/>
  </si>
  <si>
    <r>
      <t>1</t>
    </r>
    <r>
      <rPr>
        <b/>
        <sz val="9"/>
        <color indexed="8"/>
        <rFont val="宋体"/>
        <family val="3"/>
        <charset val="134"/>
      </rPr>
      <t>亿元以内</t>
    </r>
    <phoneticPr fontId="11" type="noConversion"/>
  </si>
  <si>
    <r>
      <t>5</t>
    </r>
    <r>
      <rPr>
        <b/>
        <sz val="9"/>
        <color indexed="8"/>
        <rFont val="宋体"/>
        <family val="3"/>
        <charset val="134"/>
      </rPr>
      <t>亿元以内</t>
    </r>
    <phoneticPr fontId="11" type="noConversion"/>
  </si>
  <si>
    <r>
      <t>5</t>
    </r>
    <r>
      <rPr>
        <b/>
        <sz val="9"/>
        <color indexed="8"/>
        <rFont val="宋体"/>
        <family val="3"/>
        <charset val="134"/>
      </rPr>
      <t>亿元以上</t>
    </r>
    <phoneticPr fontId="11" type="noConversion"/>
  </si>
  <si>
    <t>投资决策阶段</t>
    <phoneticPr fontId="11" type="noConversion"/>
  </si>
  <si>
    <t>投资估算审核</t>
    <phoneticPr fontId="11" type="noConversion"/>
  </si>
  <si>
    <t>总投资</t>
    <phoneticPr fontId="11" type="noConversion"/>
  </si>
  <si>
    <t>设计阶段</t>
    <phoneticPr fontId="11" type="noConversion"/>
  </si>
  <si>
    <t>编制设计概算</t>
    <phoneticPr fontId="11" type="noConversion"/>
  </si>
  <si>
    <t>概算价</t>
    <phoneticPr fontId="11" type="noConversion"/>
  </si>
  <si>
    <t>审核设计概算</t>
    <phoneticPr fontId="11" type="noConversion"/>
  </si>
  <si>
    <t>招标阶段</t>
    <phoneticPr fontId="11" type="noConversion"/>
  </si>
  <si>
    <t>单独编制工程量清单</t>
  </si>
  <si>
    <t>中标价       或合同价</t>
    <phoneticPr fontId="11" type="noConversion"/>
  </si>
  <si>
    <t>单独审核工程量清单</t>
    <phoneticPr fontId="11" type="noConversion"/>
  </si>
  <si>
    <t>工程预算、招标控制价、投标报价（不含编制工程量清单）编制</t>
    <phoneticPr fontId="11" type="noConversion"/>
  </si>
  <si>
    <t>建安工程造价</t>
  </si>
  <si>
    <t>工程预算、招标控制价、投标报价（不含审核工程量清单）审核</t>
    <phoneticPr fontId="11" type="noConversion"/>
  </si>
  <si>
    <t>工程预算、招标控制价、投标报价（含编制工程量清单）编制</t>
    <phoneticPr fontId="11" type="noConversion"/>
  </si>
  <si>
    <t>工程预算、招标控制价、投标报价（含审核工程量清单）审核</t>
    <phoneticPr fontId="11" type="noConversion"/>
  </si>
  <si>
    <t>施工阶段</t>
    <phoneticPr fontId="11" type="noConversion"/>
  </si>
  <si>
    <t>施工阶段全过程工程造价控制</t>
  </si>
  <si>
    <t>基本收费</t>
    <phoneticPr fontId="11" type="noConversion"/>
  </si>
  <si>
    <t>送审建安工程造价</t>
    <phoneticPr fontId="11" type="noConversion"/>
  </si>
  <si>
    <t>效益收费</t>
    <phoneticPr fontId="11" type="noConversion"/>
  </si>
  <si>
    <t>核减（增）额</t>
  </si>
  <si>
    <t>驻场收费</t>
    <phoneticPr fontId="11" type="noConversion"/>
  </si>
  <si>
    <t>竣工结算阶段</t>
    <phoneticPr fontId="11" type="noConversion"/>
  </si>
  <si>
    <t>工程结算编制</t>
  </si>
  <si>
    <t>工程竣工结算  审核</t>
    <phoneticPr fontId="11" type="noConversion"/>
  </si>
  <si>
    <r>
      <t>注：</t>
    </r>
    <r>
      <rPr>
        <sz val="9"/>
        <color indexed="8"/>
        <rFont val="Times New Roman"/>
        <family val="1"/>
      </rPr>
      <t>1</t>
    </r>
    <r>
      <rPr>
        <sz val="9"/>
        <color indexed="8"/>
        <rFont val="宋体"/>
        <family val="3"/>
        <charset val="134"/>
      </rPr>
      <t>、建设项目投资估算的编制、审核及项目经济评价咨询收费可参照国家计委《建设项目前期工作咨询收费暂行规定》（计价格</t>
    </r>
    <r>
      <rPr>
        <sz val="9"/>
        <color indexed="8"/>
        <rFont val="Times New Roman"/>
        <family val="1"/>
      </rPr>
      <t>[1999]1283</t>
    </r>
    <r>
      <rPr>
        <sz val="9"/>
        <color indexed="8"/>
        <rFont val="宋体"/>
        <family val="3"/>
        <charset val="134"/>
      </rPr>
      <t>号）文件执行。</t>
    </r>
  </si>
  <si>
    <t>建安工程造价</t>
    <phoneticPr fontId="11" type="noConversion"/>
  </si>
  <si>
    <t>其中：安装工程</t>
    <phoneticPr fontId="11" type="noConversion"/>
  </si>
  <si>
    <t>总投资</t>
    <phoneticPr fontId="11" type="noConversion"/>
  </si>
  <si>
    <t>投资估算审核</t>
    <phoneticPr fontId="11" type="noConversion"/>
  </si>
  <si>
    <t>编制设计概算</t>
    <phoneticPr fontId="11" type="noConversion"/>
  </si>
  <si>
    <t>概算价</t>
  </si>
  <si>
    <t>审核设计概算</t>
    <phoneticPr fontId="11" type="noConversion"/>
  </si>
  <si>
    <t>中标价或合同价</t>
    <phoneticPr fontId="11" type="noConversion"/>
  </si>
  <si>
    <t>单独审核工程量清单</t>
  </si>
  <si>
    <t>中标价或合同价</t>
    <phoneticPr fontId="11" type="noConversion"/>
  </si>
  <si>
    <t>工程预算、招标控制价、投标报价（不含编制工程量清单）编制</t>
    <phoneticPr fontId="11" type="noConversion"/>
  </si>
  <si>
    <t>工程预算、招标控制价、投标报价（不含审核工程量清单）审核</t>
  </si>
  <si>
    <t>工程预算、招标控制价、投标报价（含编制工程量清单）编制</t>
  </si>
  <si>
    <t>工程预算、招标控制价、投标报价（含审核工程量清单）审核</t>
  </si>
  <si>
    <t>工程竣工结算审核                 基本收费</t>
    <phoneticPr fontId="11" type="noConversion"/>
  </si>
  <si>
    <t>送审建安工程造价</t>
  </si>
  <si>
    <t>工程竣工结算审核                 效益收费</t>
    <phoneticPr fontId="11" type="noConversion"/>
  </si>
  <si>
    <t>施工阶段全过程工程造价控制   基本收费</t>
    <phoneticPr fontId="11" type="noConversion"/>
  </si>
  <si>
    <t>施工阶段全过程工程造价控制   效益收费</t>
    <phoneticPr fontId="11" type="noConversion"/>
  </si>
  <si>
    <t>施工阶段全过程工程造价控制   驻场收费</t>
    <phoneticPr fontId="11" type="noConversion"/>
  </si>
  <si>
    <t>合计</t>
    <phoneticPr fontId="11" type="noConversion"/>
  </si>
  <si>
    <r>
      <t>一、本表收费实行差额定率分档累进计费，当单项工程咨询服务</t>
    </r>
    <r>
      <rPr>
        <sz val="12"/>
        <color indexed="10"/>
        <rFont val="宋体"/>
        <family val="3"/>
        <charset val="134"/>
      </rPr>
      <t>收费不足3000元的按3000元计</t>
    </r>
    <r>
      <rPr>
        <sz val="12"/>
        <rFont val="宋体"/>
        <family val="3"/>
        <charset val="134"/>
      </rPr>
      <t>。</t>
    </r>
    <phoneticPr fontId="11" type="noConversion"/>
  </si>
  <si>
    <r>
      <t>二、计费基数按单项工程计算。</t>
    </r>
    <r>
      <rPr>
        <sz val="12"/>
        <color indexed="10"/>
        <rFont val="宋体"/>
        <family val="3"/>
        <charset val="134"/>
      </rPr>
      <t>工程主材无论是否计入工程造价，均应计入收费基数</t>
    </r>
    <r>
      <rPr>
        <sz val="12"/>
        <rFont val="宋体"/>
        <family val="3"/>
        <charset val="134"/>
      </rPr>
      <t>。</t>
    </r>
    <phoneticPr fontId="11" type="noConversion"/>
  </si>
  <si>
    <t>司法鉴定业务以鉴定委托标的额为基数。</t>
  </si>
  <si>
    <r>
      <t>三、</t>
    </r>
    <r>
      <rPr>
        <sz val="12"/>
        <color indexed="10"/>
        <rFont val="宋体"/>
        <family val="3"/>
        <charset val="134"/>
      </rPr>
      <t>估算投资（收费基数）</t>
    </r>
    <r>
      <rPr>
        <sz val="12"/>
        <rFont val="宋体"/>
        <family val="3"/>
        <charset val="134"/>
      </rPr>
      <t>：指建设项目可行性研究批复总投资</t>
    </r>
    <r>
      <rPr>
        <sz val="12"/>
        <color indexed="10"/>
        <rFont val="宋体"/>
        <family val="3"/>
        <charset val="134"/>
      </rPr>
      <t>扣除土地批租（土地价款）、动拆迁费及国内外成套设备生产流水线费用</t>
    </r>
    <r>
      <rPr>
        <sz val="12"/>
        <rFont val="宋体"/>
        <family val="3"/>
        <charset val="134"/>
      </rPr>
      <t>。</t>
    </r>
    <phoneticPr fontId="11" type="noConversion"/>
  </si>
  <si>
    <r>
      <t>四、</t>
    </r>
    <r>
      <rPr>
        <sz val="12"/>
        <color indexed="10"/>
        <rFont val="宋体"/>
        <family val="3"/>
        <charset val="134"/>
      </rPr>
      <t>安装、仿古建筑工程</t>
    </r>
    <r>
      <rPr>
        <sz val="12"/>
        <rFont val="宋体"/>
        <family val="3"/>
        <charset val="134"/>
      </rPr>
      <t>的</t>
    </r>
    <r>
      <rPr>
        <sz val="12"/>
        <color indexed="10"/>
        <rFont val="宋体"/>
        <family val="3"/>
        <charset val="134"/>
      </rPr>
      <t>清单编制、审核</t>
    </r>
    <r>
      <rPr>
        <sz val="12"/>
        <rFont val="宋体"/>
        <family val="3"/>
        <charset val="134"/>
      </rPr>
      <t>；</t>
    </r>
    <r>
      <rPr>
        <sz val="12"/>
        <color indexed="10"/>
        <rFont val="宋体"/>
        <family val="3"/>
        <charset val="134"/>
      </rPr>
      <t>结算编制、审核</t>
    </r>
    <r>
      <rPr>
        <sz val="12"/>
        <rFont val="宋体"/>
        <family val="3"/>
        <charset val="134"/>
      </rPr>
      <t>的基本费率</t>
    </r>
    <r>
      <rPr>
        <sz val="12"/>
        <color indexed="10"/>
        <rFont val="宋体"/>
        <family val="3"/>
        <charset val="134"/>
      </rPr>
      <t>在上述基准收费标准的基础上增加30%</t>
    </r>
    <r>
      <rPr>
        <sz val="12"/>
        <rFont val="宋体"/>
        <family val="3"/>
        <charset val="134"/>
      </rPr>
      <t>。</t>
    </r>
    <phoneticPr fontId="11" type="noConversion"/>
  </si>
  <si>
    <r>
      <t>五、工程预算的编制或审核、工程结算的编制或审核等收费标准</t>
    </r>
    <r>
      <rPr>
        <sz val="12"/>
        <color indexed="10"/>
        <rFont val="宋体"/>
        <family val="3"/>
        <charset val="134"/>
      </rPr>
      <t>不包括钢筋及预埋件的计算</t>
    </r>
    <r>
      <rPr>
        <sz val="12"/>
        <rFont val="宋体"/>
        <family val="3"/>
        <charset val="134"/>
      </rPr>
      <t>，凡要求钢筋及预埋件计算的按相应的收费标准另行计算。</t>
    </r>
    <phoneticPr fontId="11" type="noConversion"/>
  </si>
  <si>
    <t>六、跨市差旅费按实际发生，由委托方承担。</t>
  </si>
  <si>
    <t>七、计时收费由双方协商。</t>
  </si>
  <si>
    <t>八、咨询服务费谁委托谁支付。</t>
  </si>
  <si>
    <t>九、工程竣工结算审核收费，由基本费和效益收费两部分组成。基本费以“送审工程项目造价”为基数采取差额定率分档累进计算；基本费应按规定收取，由委托方承担；效益收费以“项目核减额”、“项目核增额”按费率分别计算，由收益方承担，审核增加造价的咨询费由委托方代收益方支付。</t>
  </si>
  <si>
    <t>十、施工阶段全过程造价控制服务费由基本收费、效益收费和驻场收费三部分组成，如不需要驻场，则不收取驻场费用。（驻场是指根据委托方的要求，造价咨询人员常驻项目现场，且每周不少于3天。）</t>
  </si>
  <si>
    <t>施工阶段全过程造价控制收费标准中不包含招投标阶段及竣工结算阶段的相关收费，如委托方要求从事相关工作，则按招投标阶段及竣工结算阶段的相应收费标准另行计取。</t>
  </si>
  <si>
    <t>十一、咨询服务合同履行过程中，因增加工作、修改设计、延误工期等客观或委托方原因，增加咨询服务工作量的，其咨询收费由双方协商确定。</t>
  </si>
  <si>
    <t>十二、实例：某项工程竣工结算审核，送审工程造价为6500万元（其中安装工程1300万），钢筋2000吨（需另算），核增造价20万元，核减造价230万元，合同约定效益收费按6%计算，咨询服务收费计算如下：</t>
  </si>
  <si>
    <t>基本费用： 500万元*1.8‰=0.9万元</t>
  </si>
  <si>
    <t>（1000万元-500万元）*1.4‰=0.7万元</t>
  </si>
  <si>
    <t>（5000万元-1000万元）*1.1‰=4.4万元</t>
  </si>
  <si>
    <t>(6500万元-5000万元)*0.9‰=1.35万元</t>
  </si>
  <si>
    <t>安装工程系数增加收费：1300/6500*(0.9+0.7+4.4+1.35)*30%=0.441万元</t>
  </si>
  <si>
    <t>核增收费：20万元*6%=1.2万元</t>
  </si>
  <si>
    <t>核减收费：230万元*6%=13.8万元</t>
  </si>
  <si>
    <t>钢筋： 2000吨*12元/吨=2.4万元</t>
  </si>
  <si>
    <t>咨询服务收费合计： 0.9万元+0.7万元+4.4万元+1.35万元+0.441万元+1.2万元+13.8万元+2.4万元=25.191万元</t>
  </si>
  <si>
    <t>十三、收费标准的服务内容</t>
  </si>
  <si>
    <t>（一）投资估算</t>
  </si>
  <si>
    <t>依据建设项目可行性研究方案编制或审核项目投资估算，并按需作出相应的调整。</t>
  </si>
  <si>
    <t>（二）设计概算</t>
  </si>
  <si>
    <t>1、根据设计文件编制深度规定及初步设计图纸，完成概算文件的编制，设计概算的编制包括编制价格、费率、利率、汇率等确定静态投资和编制期到竣工时的动态投资两部分，为业主提供合理节省费用的建议；</t>
  </si>
  <si>
    <t>2、根据扩初审批意见，完成修正概算文件；</t>
  </si>
  <si>
    <t>3、当概算总投资超出批准总投资（或可行性研究报告总投资时）为业主提供可能合理节省费用的建议；</t>
  </si>
  <si>
    <t>4、根据需要出席有关工程投资、设计标准、进度安排的协调会议；</t>
  </si>
  <si>
    <t>5、体现控制设计概算的方法和途径。</t>
  </si>
  <si>
    <t>（三）编制工程预算 、工程量清单、工程招标控制价、投标报价</t>
  </si>
  <si>
    <t>根据施工图纸文件、《建设工程工程量清单计价规范》或相关的计价表、工程量计算规则、各种措施费、市场要素价格等编制预算或工程量清单、招标控制价、投标报价。</t>
  </si>
  <si>
    <t>（四）施工阶段全过程造价控制</t>
  </si>
  <si>
    <t>1、制定造价控制的实施细则，确定控制目标；</t>
  </si>
  <si>
    <t>2、根据施工承包合同价、进度计划，编制承包合同的明细工程款现金流量图表，根据工程进度编制工程用款计划书；</t>
  </si>
  <si>
    <t>3、参与工程造价控制有关的工作会议；</t>
  </si>
  <si>
    <t>4、负责对施工单位上报的每月（期）完成工作量月（期）报进行审核。并提供当月（期）付款建议书，经业主认可后作为支付当月（期）进度款的依据；</t>
  </si>
  <si>
    <t>5、承发包双方提出索赔时，为委托方提供咨询意见；</t>
  </si>
  <si>
    <t>6、协助业主及时审核设计变更、现场签证等发生的费用，相应调整造价控制目标；并向业主提供造价控制动态分析报告；</t>
  </si>
  <si>
    <t>7、提供涉及委托咨询工程项目的人工、材料、设备等造价信息和与造价控制相关的其他咨询服务。</t>
  </si>
  <si>
    <t>（五）编制工程结算</t>
  </si>
  <si>
    <t>根据国家有关法律、法规和标准规范的规定，按照合同约定的造价确定条款，即合同价、合同价款调整内容以及索赔和现场签证等事项编制确定工程最终造价。</t>
  </si>
  <si>
    <t>（六）工程结算审核</t>
  </si>
  <si>
    <t>1、根据工程合同相应的建设工程法律、法规、标准规范与计价表、招投标文件、施工图纸、现场发生的各项有效证明等，审核工程造价；</t>
  </si>
  <si>
    <t>2、现场踏勘、计量复核；</t>
  </si>
  <si>
    <t>3、工程量、工程要素价格及各类项目费用审核确定；</t>
  </si>
  <si>
    <t>4、编制工程造价审核报告。</t>
  </si>
  <si>
    <t>（七）工程造价司法鉴定</t>
  </si>
  <si>
    <t>调查取证，提交工程造价司法鉴定结论报告。</t>
  </si>
  <si>
    <t>（八）钢筋及预埋件重量计算</t>
  </si>
  <si>
    <t>1、按施工图纸（或竣工图纸）、设计标准和施工操作规程计算钢筋及预埋件重量；</t>
  </si>
  <si>
    <t>2、提供完整和规范的钢筋翻样及预埋件重量计算书、汇总表。</t>
  </si>
  <si>
    <t>江苏省建设工程造价咨询服务费（苏建价协2022(7)号文）</t>
    <phoneticPr fontId="11" type="noConversion"/>
  </si>
  <si>
    <t>单位</t>
    <phoneticPr fontId="11" type="noConversion"/>
  </si>
  <si>
    <t>‰</t>
    <phoneticPr fontId="11" type="noConversion"/>
  </si>
  <si>
    <t>咨询项目</t>
    <phoneticPr fontId="11" type="noConversion"/>
  </si>
  <si>
    <r>
      <t>500</t>
    </r>
    <r>
      <rPr>
        <b/>
        <sz val="9"/>
        <color indexed="8"/>
        <rFont val="宋体"/>
        <family val="3"/>
        <charset val="134"/>
      </rPr>
      <t>万元以内</t>
    </r>
    <phoneticPr fontId="11" type="noConversion"/>
  </si>
  <si>
    <r>
      <t>1000</t>
    </r>
    <r>
      <rPr>
        <b/>
        <sz val="9"/>
        <color indexed="8"/>
        <rFont val="宋体"/>
        <family val="3"/>
        <charset val="134"/>
      </rPr>
      <t>万元以内</t>
    </r>
    <phoneticPr fontId="11" type="noConversion"/>
  </si>
  <si>
    <r>
      <t>5000</t>
    </r>
    <r>
      <rPr>
        <b/>
        <sz val="9"/>
        <color indexed="8"/>
        <rFont val="宋体"/>
        <family val="3"/>
        <charset val="134"/>
      </rPr>
      <t>万元以内</t>
    </r>
    <phoneticPr fontId="11" type="noConversion"/>
  </si>
  <si>
    <r>
      <t>1</t>
    </r>
    <r>
      <rPr>
        <b/>
        <sz val="9"/>
        <color indexed="8"/>
        <rFont val="宋体"/>
        <family val="3"/>
        <charset val="134"/>
      </rPr>
      <t>亿元以内</t>
    </r>
    <phoneticPr fontId="11" type="noConversion"/>
  </si>
  <si>
    <r>
      <t>5</t>
    </r>
    <r>
      <rPr>
        <b/>
        <sz val="9"/>
        <color indexed="8"/>
        <rFont val="宋体"/>
        <family val="3"/>
        <charset val="134"/>
      </rPr>
      <t>亿元以内</t>
    </r>
    <phoneticPr fontId="11" type="noConversion"/>
  </si>
  <si>
    <r>
      <t>5</t>
    </r>
    <r>
      <rPr>
        <b/>
        <sz val="9"/>
        <color indexed="8"/>
        <rFont val="宋体"/>
        <family val="3"/>
        <charset val="134"/>
      </rPr>
      <t>亿元以上</t>
    </r>
    <phoneticPr fontId="11" type="noConversion"/>
  </si>
  <si>
    <t>投资决策阶段</t>
    <phoneticPr fontId="11" type="noConversion"/>
  </si>
  <si>
    <t>投资估算审核</t>
    <phoneticPr fontId="11" type="noConversion"/>
  </si>
  <si>
    <r>
      <rPr>
        <sz val="9"/>
        <color indexed="8"/>
        <rFont val="宋体"/>
        <family val="3"/>
        <charset val="134"/>
      </rPr>
      <t>总投资</t>
    </r>
    <phoneticPr fontId="11" type="noConversion"/>
  </si>
  <si>
    <t>设计阶段</t>
    <phoneticPr fontId="11" type="noConversion"/>
  </si>
  <si>
    <t>编制设计概算</t>
    <phoneticPr fontId="11" type="noConversion"/>
  </si>
  <si>
    <r>
      <rPr>
        <sz val="9"/>
        <color indexed="8"/>
        <rFont val="宋体"/>
        <family val="3"/>
        <charset val="134"/>
      </rPr>
      <t>概算价</t>
    </r>
    <phoneticPr fontId="11" type="noConversion"/>
  </si>
  <si>
    <t>审核设计概算</t>
    <phoneticPr fontId="11" type="noConversion"/>
  </si>
  <si>
    <t>招标阶段</t>
    <phoneticPr fontId="11" type="noConversion"/>
  </si>
  <si>
    <t>中标价或合同价</t>
    <phoneticPr fontId="11" type="noConversion"/>
  </si>
  <si>
    <t>单独审核工程量清单</t>
    <phoneticPr fontId="11" type="noConversion"/>
  </si>
  <si>
    <t>最高投标限价、投标报价（不含编制工程量清单）编制</t>
    <phoneticPr fontId="11" type="noConversion"/>
  </si>
  <si>
    <r>
      <rPr>
        <sz val="9"/>
        <color indexed="8"/>
        <rFont val="宋体"/>
        <family val="3"/>
        <charset val="134"/>
      </rPr>
      <t>最高投标限价或投标报价</t>
    </r>
    <phoneticPr fontId="11" type="noConversion"/>
  </si>
  <si>
    <t>最高投标限价、投标报价（不含审核工程量清单）审核</t>
    <phoneticPr fontId="11" type="noConversion"/>
  </si>
  <si>
    <r>
      <rPr>
        <sz val="9"/>
        <color indexed="8"/>
        <rFont val="宋体"/>
        <family val="3"/>
        <charset val="134"/>
      </rPr>
      <t>送审最高投标限价或投标报价</t>
    </r>
    <phoneticPr fontId="11" type="noConversion"/>
  </si>
  <si>
    <t>施工图预算、最高投标限价（含编制工程量清单）编制</t>
    <phoneticPr fontId="11" type="noConversion"/>
  </si>
  <si>
    <r>
      <rPr>
        <sz val="9"/>
        <color indexed="8"/>
        <rFont val="宋体"/>
        <family val="3"/>
        <charset val="134"/>
      </rPr>
      <t>预算价或最高投标限价</t>
    </r>
    <phoneticPr fontId="11" type="noConversion"/>
  </si>
  <si>
    <t>施工图预算、最高投标限价（含审核工程量清单）审核</t>
    <phoneticPr fontId="11" type="noConversion"/>
  </si>
  <si>
    <r>
      <rPr>
        <sz val="9"/>
        <color indexed="8"/>
        <rFont val="宋体"/>
        <family val="3"/>
        <charset val="134"/>
      </rPr>
      <t>送审预算价或最高投标限价</t>
    </r>
    <phoneticPr fontId="11" type="noConversion"/>
  </si>
  <si>
    <t>投标报价分析</t>
    <phoneticPr fontId="11" type="noConversion"/>
  </si>
  <si>
    <r>
      <rPr>
        <sz val="9"/>
        <color indexed="8"/>
        <rFont val="宋体"/>
        <family val="3"/>
        <charset val="134"/>
      </rPr>
      <t>最高投标限价</t>
    </r>
    <phoneticPr fontId="11" type="noConversion"/>
  </si>
  <si>
    <t>施工阶段</t>
    <phoneticPr fontId="11" type="noConversion"/>
  </si>
  <si>
    <t>施工阶段全过程工程造价控制</t>
    <phoneticPr fontId="11" type="noConversion"/>
  </si>
  <si>
    <t>基本收费</t>
    <phoneticPr fontId="11" type="noConversion"/>
  </si>
  <si>
    <r>
      <rPr>
        <sz val="9"/>
        <color indexed="8"/>
        <rFont val="宋体"/>
        <family val="3"/>
        <charset val="134"/>
      </rPr>
      <t>概算价或合同价</t>
    </r>
    <phoneticPr fontId="11" type="noConversion"/>
  </si>
  <si>
    <t>效益收费</t>
    <phoneticPr fontId="11" type="noConversion"/>
  </si>
  <si>
    <r>
      <rPr>
        <sz val="9"/>
        <color indexed="8"/>
        <rFont val="宋体"/>
        <family val="3"/>
        <charset val="134"/>
      </rPr>
      <t>过程造价核减</t>
    </r>
    <phoneticPr fontId="11" type="noConversion"/>
  </si>
  <si>
    <t>驻场收费</t>
    <phoneticPr fontId="11" type="noConversion"/>
  </si>
  <si>
    <r>
      <rPr>
        <sz val="9"/>
        <color indexed="8"/>
        <rFont val="宋体"/>
        <family val="3"/>
        <charset val="134"/>
      </rPr>
      <t>或按每人</t>
    </r>
    <r>
      <rPr>
        <sz val="9"/>
        <color indexed="8"/>
        <rFont val="Times New Roman"/>
        <family val="1"/>
      </rPr>
      <t>/</t>
    </r>
    <r>
      <rPr>
        <sz val="9"/>
        <color indexed="8"/>
        <rFont val="宋体"/>
        <family val="3"/>
        <charset val="134"/>
      </rPr>
      <t>月</t>
    </r>
    <phoneticPr fontId="11" type="noConversion"/>
  </si>
  <si>
    <r>
      <rPr>
        <sz val="9"/>
        <color indexed="8"/>
        <rFont val="宋体"/>
        <family val="3"/>
        <charset val="134"/>
      </rPr>
      <t>一级注册造价师</t>
    </r>
    <r>
      <rPr>
        <sz val="9"/>
        <color indexed="8"/>
        <rFont val="Times New Roman"/>
        <family val="1"/>
      </rPr>
      <t>4.5</t>
    </r>
    <r>
      <rPr>
        <sz val="9"/>
        <color indexed="8"/>
        <rFont val="宋体"/>
        <family val="3"/>
        <charset val="134"/>
      </rPr>
      <t>万元</t>
    </r>
    <r>
      <rPr>
        <sz val="9"/>
        <color indexed="8"/>
        <rFont val="Times New Roman"/>
        <family val="1"/>
      </rPr>
      <t>,</t>
    </r>
    <r>
      <rPr>
        <sz val="9"/>
        <color indexed="8"/>
        <rFont val="宋体"/>
        <family val="3"/>
        <charset val="134"/>
      </rPr>
      <t>二级注册造价师</t>
    </r>
    <r>
      <rPr>
        <sz val="9"/>
        <color indexed="8"/>
        <rFont val="Times New Roman"/>
        <family val="1"/>
      </rPr>
      <t>4</t>
    </r>
    <r>
      <rPr>
        <sz val="9"/>
        <color indexed="8"/>
        <rFont val="宋体"/>
        <family val="3"/>
        <charset val="134"/>
      </rPr>
      <t>万元</t>
    </r>
    <r>
      <rPr>
        <sz val="9"/>
        <color indexed="8"/>
        <rFont val="Times New Roman"/>
        <family val="1"/>
      </rPr>
      <t>,</t>
    </r>
    <r>
      <rPr>
        <sz val="9"/>
        <color indexed="8"/>
        <rFont val="宋体"/>
        <family val="3"/>
        <charset val="134"/>
      </rPr>
      <t>高级职称另外增加</t>
    </r>
    <r>
      <rPr>
        <sz val="9"/>
        <color indexed="8"/>
        <rFont val="Times New Roman"/>
        <family val="1"/>
      </rPr>
      <t>0.6</t>
    </r>
    <r>
      <rPr>
        <sz val="9"/>
        <color indexed="8"/>
        <rFont val="宋体"/>
        <family val="3"/>
        <charset val="134"/>
      </rPr>
      <t>万元</t>
    </r>
  </si>
  <si>
    <t>过程结算</t>
    <phoneticPr fontId="11" type="noConversion"/>
  </si>
  <si>
    <t>结算收费</t>
    <phoneticPr fontId="11" type="noConversion"/>
  </si>
  <si>
    <r>
      <rPr>
        <sz val="9"/>
        <color indexed="8"/>
        <rFont val="宋体"/>
        <family val="3"/>
        <charset val="134"/>
      </rPr>
      <t>按工程结算相应费用乘</t>
    </r>
    <r>
      <rPr>
        <sz val="9"/>
        <color indexed="8"/>
        <rFont val="Times New Roman"/>
        <family val="1"/>
      </rPr>
      <t>1.1</t>
    </r>
    <r>
      <rPr>
        <sz val="9"/>
        <color indexed="8"/>
        <rFont val="宋体"/>
        <family val="3"/>
        <charset val="134"/>
      </rPr>
      <t>系数</t>
    </r>
    <phoneticPr fontId="11" type="noConversion"/>
  </si>
  <si>
    <t>竣工阶段</t>
    <phoneticPr fontId="11" type="noConversion"/>
  </si>
  <si>
    <r>
      <rPr>
        <sz val="9"/>
        <color indexed="8"/>
        <rFont val="宋体"/>
        <family val="3"/>
        <charset val="134"/>
      </rPr>
      <t>结算价</t>
    </r>
    <phoneticPr fontId="11" type="noConversion"/>
  </si>
  <si>
    <t>工程结算审核</t>
    <phoneticPr fontId="11" type="noConversion"/>
  </si>
  <si>
    <r>
      <rPr>
        <sz val="9"/>
        <color indexed="8"/>
        <rFont val="宋体"/>
        <family val="3"/>
        <charset val="134"/>
      </rPr>
      <t>送审结算价</t>
    </r>
    <phoneticPr fontId="11" type="noConversion"/>
  </si>
  <si>
    <r>
      <rPr>
        <sz val="9"/>
        <color indexed="8"/>
        <rFont val="宋体"/>
        <family val="3"/>
        <charset val="134"/>
      </rPr>
      <t>核增额加核减额</t>
    </r>
    <phoneticPr fontId="11" type="noConversion"/>
  </si>
  <si>
    <t>工程结算复核</t>
    <phoneticPr fontId="11" type="noConversion"/>
  </si>
  <si>
    <t>基本收费</t>
  </si>
  <si>
    <t>效益收费</t>
  </si>
  <si>
    <t>工程竣工决算编制或审核</t>
    <phoneticPr fontId="11" type="noConversion"/>
  </si>
  <si>
    <r>
      <rPr>
        <sz val="9"/>
        <color indexed="8"/>
        <rFont val="宋体"/>
        <family val="3"/>
        <charset val="134"/>
      </rPr>
      <t>决算额</t>
    </r>
    <phoneticPr fontId="11" type="noConversion"/>
  </si>
  <si>
    <t>工程造价鉴定</t>
    <phoneticPr fontId="11" type="noConversion"/>
  </si>
  <si>
    <r>
      <rPr>
        <sz val="9"/>
        <color indexed="8"/>
        <rFont val="宋体"/>
        <family val="3"/>
        <charset val="134"/>
      </rPr>
      <t>需鉴定额</t>
    </r>
    <phoneticPr fontId="11" type="noConversion"/>
  </si>
  <si>
    <t>钢筋及预埋件计算（另算）</t>
    <phoneticPr fontId="11" type="noConversion"/>
  </si>
  <si>
    <t>按实际钢筋
使用量</t>
    <phoneticPr fontId="11" type="noConversion"/>
  </si>
  <si>
    <r>
      <t>12</t>
    </r>
    <r>
      <rPr>
        <sz val="9"/>
        <color indexed="8"/>
        <rFont val="宋体"/>
        <family val="3"/>
        <charset val="134"/>
      </rPr>
      <t>元</t>
    </r>
    <r>
      <rPr>
        <sz val="9"/>
        <color indexed="8"/>
        <rFont val="Times New Roman"/>
        <family val="1"/>
      </rPr>
      <t>/</t>
    </r>
    <r>
      <rPr>
        <sz val="9"/>
        <color indexed="8"/>
        <rFont val="宋体"/>
        <family val="3"/>
        <charset val="134"/>
      </rPr>
      <t>吨</t>
    </r>
    <phoneticPr fontId="11" type="noConversion"/>
  </si>
  <si>
    <t>方案优化测算</t>
    <phoneticPr fontId="11" type="noConversion"/>
  </si>
  <si>
    <t>测算收费</t>
    <phoneticPr fontId="11" type="noConversion"/>
  </si>
  <si>
    <t>每个方案测算额</t>
    <phoneticPr fontId="11" type="noConversion"/>
  </si>
  <si>
    <t>优化收费</t>
    <phoneticPr fontId="11" type="noConversion"/>
  </si>
  <si>
    <t>节约投资额</t>
    <phoneticPr fontId="11" type="noConversion"/>
  </si>
  <si>
    <t>投资后评价</t>
    <phoneticPr fontId="11" type="noConversion"/>
  </si>
  <si>
    <t>决算额</t>
    <phoneticPr fontId="11" type="noConversion"/>
  </si>
  <si>
    <t>计日收费（技术咨询）</t>
    <phoneticPr fontId="11" type="noConversion"/>
  </si>
  <si>
    <t>工日</t>
    <phoneticPr fontId="11" type="noConversion"/>
  </si>
  <si>
    <r>
      <rPr>
        <sz val="9"/>
        <color indexed="8"/>
        <rFont val="宋体"/>
        <family val="3"/>
        <charset val="134"/>
      </rPr>
      <t>一级注册造价师</t>
    </r>
    <r>
      <rPr>
        <sz val="9"/>
        <color indexed="8"/>
        <rFont val="Times New Roman"/>
        <family val="1"/>
      </rPr>
      <t>3000-3500</t>
    </r>
    <r>
      <rPr>
        <sz val="9"/>
        <color indexed="8"/>
        <rFont val="宋体"/>
        <family val="3"/>
        <charset val="134"/>
      </rPr>
      <t>元</t>
    </r>
    <r>
      <rPr>
        <sz val="9"/>
        <color indexed="8"/>
        <rFont val="Times New Roman"/>
        <family val="1"/>
      </rPr>
      <t>,</t>
    </r>
    <r>
      <rPr>
        <sz val="9"/>
        <color indexed="8"/>
        <rFont val="宋体"/>
        <family val="3"/>
        <charset val="134"/>
      </rPr>
      <t>二级注册造价师</t>
    </r>
    <r>
      <rPr>
        <sz val="9"/>
        <color indexed="8"/>
        <rFont val="Times New Roman"/>
        <family val="1"/>
      </rPr>
      <t>2000-2500</t>
    </r>
    <r>
      <rPr>
        <sz val="9"/>
        <color indexed="8"/>
        <rFont val="宋体"/>
        <family val="3"/>
        <charset val="134"/>
      </rPr>
      <t>元</t>
    </r>
    <r>
      <rPr>
        <sz val="9"/>
        <color indexed="8"/>
        <rFont val="Times New Roman"/>
        <family val="1"/>
      </rPr>
      <t>,</t>
    </r>
    <r>
      <rPr>
        <sz val="9"/>
        <color indexed="8"/>
        <rFont val="宋体"/>
        <family val="3"/>
        <charset val="134"/>
      </rPr>
      <t>高级职称另外增加</t>
    </r>
    <r>
      <rPr>
        <sz val="9"/>
        <color indexed="8"/>
        <rFont val="Times New Roman"/>
        <family val="1"/>
      </rPr>
      <t>500</t>
    </r>
    <r>
      <rPr>
        <sz val="9"/>
        <color indexed="8"/>
        <rFont val="宋体"/>
        <family val="3"/>
        <charset val="134"/>
      </rPr>
      <t>元</t>
    </r>
    <phoneticPr fontId="11" type="noConversion"/>
  </si>
  <si>
    <t>注：投资估算额、概算价中均不包括征地、借地、动拆迁安置的费用</t>
    <phoneticPr fontId="11" type="noConversion"/>
  </si>
  <si>
    <t>建安工程造价</t>
    <phoneticPr fontId="11" type="noConversion"/>
  </si>
  <si>
    <t>总投资</t>
    <phoneticPr fontId="11" type="noConversion"/>
  </si>
  <si>
    <r>
      <t>5</t>
    </r>
    <r>
      <rPr>
        <b/>
        <sz val="9"/>
        <color indexed="8"/>
        <rFont val="宋体"/>
        <family val="3"/>
        <charset val="134"/>
      </rPr>
      <t>亿元以上</t>
    </r>
    <phoneticPr fontId="11" type="noConversion"/>
  </si>
  <si>
    <t>审核设计概算</t>
    <phoneticPr fontId="11" type="noConversion"/>
  </si>
  <si>
    <t>中标价或合同价</t>
    <phoneticPr fontId="11" type="noConversion"/>
  </si>
  <si>
    <t>最高投标限价、投标报价（不含编制工程量清单）编制</t>
  </si>
  <si>
    <r>
      <rPr>
        <sz val="9"/>
        <color indexed="8"/>
        <rFont val="宋体"/>
        <family val="3"/>
        <charset val="134"/>
      </rPr>
      <t>最高投标限价或投标报价</t>
    </r>
    <phoneticPr fontId="11" type="noConversion"/>
  </si>
  <si>
    <t>最高投标限价、投标报价（不含审核工程量清单）审核</t>
  </si>
  <si>
    <r>
      <rPr>
        <sz val="9"/>
        <color indexed="8"/>
        <rFont val="宋体"/>
        <family val="3"/>
        <charset val="134"/>
      </rPr>
      <t>送审最高投标限价或投标报价</t>
    </r>
    <phoneticPr fontId="11" type="noConversion"/>
  </si>
  <si>
    <t>施工图预算、最高投标限价（含编制工程量清单）编制</t>
  </si>
  <si>
    <r>
      <rPr>
        <sz val="9"/>
        <color indexed="8"/>
        <rFont val="宋体"/>
        <family val="3"/>
        <charset val="134"/>
      </rPr>
      <t>预算价或最高投标限价</t>
    </r>
    <phoneticPr fontId="11" type="noConversion"/>
  </si>
  <si>
    <t>施工图预算、最高投标限价（含审核工程量清单）审核</t>
  </si>
  <si>
    <r>
      <rPr>
        <sz val="9"/>
        <color indexed="8"/>
        <rFont val="宋体"/>
        <family val="3"/>
        <charset val="134"/>
      </rPr>
      <t>送审预算价或最高投标限价</t>
    </r>
    <phoneticPr fontId="11" type="noConversion"/>
  </si>
  <si>
    <t>工程结算审核                 基本收费</t>
    <phoneticPr fontId="11" type="noConversion"/>
  </si>
  <si>
    <t>送审结算价</t>
  </si>
  <si>
    <t>工程结算审核                 效益收费</t>
    <phoneticPr fontId="11" type="noConversion"/>
  </si>
  <si>
    <r>
      <rPr>
        <sz val="9"/>
        <color indexed="8"/>
        <rFont val="宋体"/>
        <family val="3"/>
        <charset val="134"/>
      </rPr>
      <t>核增额加核减额</t>
    </r>
    <phoneticPr fontId="11" type="noConversion"/>
  </si>
  <si>
    <t>工程结算复核                 基本收费</t>
    <phoneticPr fontId="11" type="noConversion"/>
  </si>
  <si>
    <r>
      <rPr>
        <sz val="9"/>
        <color indexed="8"/>
        <rFont val="宋体"/>
        <family val="3"/>
        <charset val="134"/>
      </rPr>
      <t>送审结算价</t>
    </r>
    <phoneticPr fontId="11" type="noConversion"/>
  </si>
  <si>
    <t>工程结算复核                 效益收费</t>
    <phoneticPr fontId="11" type="noConversion"/>
  </si>
  <si>
    <r>
      <rPr>
        <sz val="9"/>
        <color indexed="8"/>
        <rFont val="宋体"/>
        <family val="3"/>
        <charset val="134"/>
      </rPr>
      <t>核增额加核减额</t>
    </r>
    <phoneticPr fontId="11" type="noConversion"/>
  </si>
  <si>
    <t>工程竣工决算编制或审核</t>
  </si>
  <si>
    <t>决算额</t>
  </si>
  <si>
    <t>工程造价鉴定</t>
  </si>
  <si>
    <t>需鉴定额</t>
  </si>
  <si>
    <t>测算收费</t>
    <phoneticPr fontId="11" type="noConversion"/>
  </si>
  <si>
    <t>每个方案测算额</t>
  </si>
  <si>
    <t>优化收费</t>
    <phoneticPr fontId="11" type="noConversion"/>
  </si>
  <si>
    <t>节约投资额</t>
  </si>
  <si>
    <t>施工阶段全过程工程造价控制基本收费</t>
    <phoneticPr fontId="11" type="noConversion"/>
  </si>
  <si>
    <r>
      <rPr>
        <sz val="9"/>
        <color indexed="8"/>
        <rFont val="宋体"/>
        <family val="3"/>
        <charset val="134"/>
      </rPr>
      <t>概算价或合同价</t>
    </r>
    <phoneticPr fontId="11" type="noConversion"/>
  </si>
  <si>
    <t>施工阶段全过程工程造价控制效益收费</t>
    <phoneticPr fontId="11" type="noConversion"/>
  </si>
  <si>
    <r>
      <rPr>
        <sz val="9"/>
        <color indexed="8"/>
        <rFont val="宋体"/>
        <family val="3"/>
        <charset val="134"/>
      </rPr>
      <t>过程造价核减</t>
    </r>
    <phoneticPr fontId="11" type="noConversion"/>
  </si>
  <si>
    <t>施工阶段全过程工程造价控制驻场收费</t>
    <phoneticPr fontId="11" type="noConversion"/>
  </si>
  <si>
    <r>
      <rPr>
        <sz val="9"/>
        <color indexed="8"/>
        <rFont val="宋体"/>
        <family val="3"/>
        <charset val="134"/>
      </rPr>
      <t>概算价或合同价</t>
    </r>
    <phoneticPr fontId="11" type="noConversion"/>
  </si>
  <si>
    <r>
      <t>一、本表收费实行差额定率分档累进计费，当单项工程咨询服务</t>
    </r>
    <r>
      <rPr>
        <sz val="12"/>
        <color indexed="10"/>
        <rFont val="宋体"/>
        <family val="3"/>
        <charset val="134"/>
      </rPr>
      <t>收费不足5000元的按5000元计</t>
    </r>
    <r>
      <rPr>
        <sz val="12"/>
        <rFont val="宋体"/>
        <family val="3"/>
        <charset val="134"/>
      </rPr>
      <t>。</t>
    </r>
    <phoneticPr fontId="11" type="noConversion"/>
  </si>
  <si>
    <t>基本费用： 500万元*3‰=1.5万元</t>
    <phoneticPr fontId="11" type="noConversion"/>
  </si>
  <si>
    <t>（1000万元-500万元）*2.3‰=1.15万元</t>
    <phoneticPr fontId="11" type="noConversion"/>
  </si>
  <si>
    <t>（5000万元-1000万元）*1.8‰=7.2万元</t>
    <phoneticPr fontId="11" type="noConversion"/>
  </si>
  <si>
    <t>(6500万元-5000万元)*1.5‰=2.25万元</t>
    <phoneticPr fontId="11" type="noConversion"/>
  </si>
  <si>
    <t>安装工程系数增加收费：1300/6500*(1.5+1.15+7.2+2.25)*40%=0.968万元</t>
    <phoneticPr fontId="11" type="noConversion"/>
  </si>
  <si>
    <t>咨询服务收费合计： 1.5万元+1.15万元+7.2万元+2.25万元+0.968万元+1.2万元+13.8万元+2.4万元=30.468万元</t>
    <phoneticPr fontId="11" type="noConversion"/>
  </si>
  <si>
    <t>40.07*%</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</si>
</sst>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 #,##0_ ;_ * \-#,##0_ ;_ * &quot;-&quot;_ ;_ @_ "/>
    <numFmt numFmtId="44" formatCode="_ &quot;¥&quot;* #,##0.00_ ;_ &quot;¥&quot;* \-#,##0.00_ ;_ &quot;¥&quot;* &quot;-&quot;??_ ;_ @_ "/>
    <numFmt numFmtId="43" formatCode="_ * #,##0.00_ ;_ * \-#,##0.00_ ;_ * &quot;-&quot;??_ ;_ @_ "/>
    <numFmt numFmtId="26" formatCode="\$#,##0.00_);[Red]\(\$#,##0.00\)"/>
    <numFmt numFmtId="176" formatCode="0.00_ "/>
    <numFmt numFmtId="177" formatCode="0_);[Red]\(0\)"/>
    <numFmt numFmtId="178" formatCode="0.00_);[Red]\(0.00\)"/>
    <numFmt numFmtId="179" formatCode="0_ "/>
    <numFmt numFmtId="180" formatCode="0.000_ "/>
    <numFmt numFmtId="181" formatCode="0.0_ "/>
    <numFmt numFmtId="182" formatCode="&quot;第&quot;&quot;一&quot;&quot;、&quot;&quot;二&quot;&quot;部&quot;&quot;分&quot;&quot;费&quot;&quot;用&quot;\×0.0&quot;%&quot;"/>
    <numFmt numFmtId="183" formatCode="0.000%"/>
    <numFmt numFmtId="184" formatCode="_-* #,##0.00\ _€_-;\-* #,##0.00\ _€_-;_-* &quot;-&quot;??\ _€_-;_-@_-"/>
    <numFmt numFmtId="185" formatCode="&quot;$&quot;#,##0_);[Red]\(&quot;$&quot;#,##0\)"/>
    <numFmt numFmtId="186" formatCode="_(&quot;$&quot;* #,##0.00_);_(&quot;$&quot;* \(#,##0.00\);_(&quot;$&quot;* &quot;-&quot;??_);_(@_)"/>
    <numFmt numFmtId="187" formatCode="&quot;$&quot;#,##0.00_);[Red]\(&quot;$&quot;#,##0.00\)"/>
    <numFmt numFmtId="188" formatCode="#."/>
    <numFmt numFmtId="189" formatCode="_ \¥* #,##0.00_ ;_ \¥* \-#,##0.00_ ;_ \¥* &quot;-&quot;??_ ;_ @_ "/>
  </numFmts>
  <fonts count="128">
    <font>
      <sz val="12"/>
      <name val="宋体"/>
      <family val="3"/>
      <charset val="134"/>
    </font>
    <font>
      <sz val="11"/>
      <color theme="1"/>
      <name val="宋体"/>
      <family val="2"/>
      <charset val="134"/>
      <scheme val="minor"/>
    </font>
    <font>
      <sz val="11"/>
      <color theme="0"/>
      <name val="宋体"/>
      <family val="2"/>
      <charset val="134"/>
      <scheme val="minor"/>
    </font>
    <font>
      <sz val="12"/>
      <name val="Times New Roman"/>
      <family val="1"/>
    </font>
    <font>
      <b/>
      <sz val="16"/>
      <name val="宋体"/>
      <family val="1"/>
      <charset val="134"/>
    </font>
    <font>
      <b/>
      <sz val="16"/>
      <name val="Times New Roman"/>
      <family val="1"/>
    </font>
    <font>
      <b/>
      <sz val="16"/>
      <name val="宋体"/>
      <family val="3"/>
      <charset val="134"/>
    </font>
    <font>
      <sz val="9"/>
      <name val="宋体"/>
      <family val="2"/>
      <charset val="134"/>
      <scheme val="minor"/>
    </font>
    <font>
      <sz val="14"/>
      <name val="宋体"/>
      <family val="3"/>
      <charset val="134"/>
    </font>
    <font>
      <sz val="10"/>
      <name val="Times New Roman"/>
      <family val="1"/>
    </font>
    <font>
      <sz val="11"/>
      <name val="宋体"/>
      <family val="3"/>
      <charset val="134"/>
    </font>
    <font>
      <sz val="9"/>
      <name val="宋体"/>
      <family val="3"/>
      <charset val="134"/>
    </font>
    <font>
      <sz val="10"/>
      <name val="宋体"/>
      <family val="3"/>
      <charset val="134"/>
    </font>
    <font>
      <sz val="12"/>
      <name val="宋体"/>
      <family val="3"/>
      <charset val="134"/>
    </font>
    <font>
      <sz val="11"/>
      <name val="Times New Roman"/>
      <family val="1"/>
    </font>
    <font>
      <b/>
      <sz val="10"/>
      <name val="宋体"/>
      <family val="3"/>
      <charset val="134"/>
    </font>
    <font>
      <sz val="10"/>
      <name val="Arial"/>
      <family val="2"/>
    </font>
    <font>
      <b/>
      <sz val="10"/>
      <name val="Times New Roman"/>
      <family val="1"/>
    </font>
    <font>
      <sz val="10"/>
      <name val="宋体"/>
      <family val="1"/>
      <charset val="134"/>
    </font>
    <font>
      <sz val="12"/>
      <name val="宋体"/>
      <family val="1"/>
      <charset val="134"/>
    </font>
    <font>
      <sz val="10"/>
      <name val="Times New Roman"/>
      <family val="3"/>
      <charset val="134"/>
    </font>
    <font>
      <sz val="10"/>
      <color theme="0" tint="-0.249977111117893"/>
      <name val="Times New Roman"/>
      <family val="1"/>
    </font>
    <font>
      <sz val="10"/>
      <color theme="0" tint="-0.249977111117893"/>
      <name val="宋体"/>
      <family val="3"/>
      <charset val="134"/>
    </font>
    <font>
      <sz val="10"/>
      <color theme="0" tint="-0.249977111117893"/>
      <name val="Microsoft YaHei UI"/>
      <family val="1"/>
      <charset val="134"/>
    </font>
    <font>
      <sz val="12"/>
      <color theme="0" tint="-0.249977111117893"/>
      <name val="Times New Roman"/>
      <family val="1"/>
    </font>
    <font>
      <sz val="10"/>
      <name val="Times New Roman"/>
      <family val="1"/>
      <charset val="134"/>
    </font>
    <font>
      <sz val="10"/>
      <name val="微软雅黑"/>
      <family val="1"/>
      <charset val="134"/>
    </font>
    <font>
      <sz val="10"/>
      <name val="Helv"/>
      <family val="2"/>
    </font>
    <font>
      <sz val="11"/>
      <color rgb="FFFF0000"/>
      <name val="Times New Roman"/>
      <family val="1"/>
    </font>
    <font>
      <sz val="10"/>
      <color rgb="FFFF0000"/>
      <name val="Times New Roman"/>
      <family val="1"/>
    </font>
    <font>
      <sz val="10"/>
      <color rgb="FFFF0000"/>
      <name val="宋体"/>
      <family val="3"/>
      <charset val="134"/>
    </font>
    <font>
      <sz val="12"/>
      <color rgb="FFFF0000"/>
      <name val="Times New Roman"/>
      <family val="1"/>
    </font>
    <font>
      <sz val="10"/>
      <color rgb="FF333333"/>
      <name val="宋体"/>
      <family val="3"/>
      <charset val="134"/>
      <scheme val="minor"/>
    </font>
    <font>
      <sz val="10"/>
      <color rgb="FF000000"/>
      <name val="宋体"/>
      <family val="3"/>
      <charset val="134"/>
      <scheme val="minor"/>
    </font>
    <font>
      <sz val="10"/>
      <color rgb="FFFF0000"/>
      <name val="宋体"/>
      <family val="3"/>
      <charset val="134"/>
      <scheme val="minor"/>
    </font>
    <font>
      <b/>
      <sz val="10"/>
      <color rgb="FFFF0000"/>
      <name val="宋体"/>
      <family val="3"/>
      <charset val="134"/>
    </font>
    <font>
      <b/>
      <sz val="12"/>
      <name val="Times New Roman"/>
      <family val="1"/>
    </font>
    <font>
      <b/>
      <sz val="12"/>
      <name val="宋体"/>
      <family val="3"/>
      <charset val="134"/>
    </font>
    <font>
      <sz val="11"/>
      <color theme="1"/>
      <name val="Times New Roman"/>
      <family val="1"/>
    </font>
    <font>
      <i/>
      <sz val="1"/>
      <color indexed="16"/>
      <name val="Courier"/>
      <family val="3"/>
    </font>
    <font>
      <b/>
      <sz val="9"/>
      <color indexed="81"/>
      <name val="宋体"/>
      <family val="3"/>
      <charset val="134"/>
    </font>
    <font>
      <sz val="9"/>
      <color indexed="81"/>
      <name val="宋体"/>
      <family val="3"/>
      <charset val="134"/>
    </font>
    <font>
      <b/>
      <sz val="14"/>
      <name val="黑体"/>
      <family val="3"/>
      <charset val="134"/>
    </font>
    <font>
      <sz val="12"/>
      <color theme="0" tint="-0.249977111117893"/>
      <name val="宋体"/>
      <family val="3"/>
      <charset val="134"/>
    </font>
    <font>
      <b/>
      <sz val="10"/>
      <color indexed="10"/>
      <name val="宋体"/>
      <family val="3"/>
      <charset val="134"/>
    </font>
    <font>
      <b/>
      <sz val="10"/>
      <color indexed="10"/>
      <name val="Times New Roman"/>
      <family val="1"/>
    </font>
    <font>
      <sz val="12"/>
      <color rgb="FFFFFFFF"/>
      <name val="宋体"/>
      <family val="3"/>
      <charset val="134"/>
    </font>
    <font>
      <b/>
      <sz val="9"/>
      <name val="宋体"/>
      <family val="3"/>
      <charset val="134"/>
    </font>
    <font>
      <b/>
      <sz val="10"/>
      <color indexed="12"/>
      <name val="宋体"/>
      <family val="3"/>
      <charset val="134"/>
    </font>
    <font>
      <b/>
      <sz val="10"/>
      <color rgb="FFFFFFFF"/>
      <name val="Times New Roman"/>
      <family val="1"/>
    </font>
    <font>
      <sz val="10"/>
      <color indexed="10"/>
      <name val="宋体"/>
      <family val="3"/>
      <charset val="134"/>
    </font>
    <font>
      <sz val="12"/>
      <color rgb="FFFF0000"/>
      <name val="宋体"/>
      <family val="3"/>
      <charset val="134"/>
    </font>
    <font>
      <b/>
      <sz val="12"/>
      <color indexed="10"/>
      <name val="宋体"/>
      <family val="3"/>
      <charset val="134"/>
    </font>
    <font>
      <b/>
      <sz val="12"/>
      <color indexed="10"/>
      <name val="Times New Roman"/>
      <family val="1"/>
    </font>
    <font>
      <sz val="12"/>
      <color indexed="10"/>
      <name val="宋体"/>
      <family val="3"/>
      <charset val="134"/>
    </font>
    <font>
      <sz val="12"/>
      <color theme="0"/>
      <name val="宋体"/>
      <family val="3"/>
      <charset val="134"/>
    </font>
    <font>
      <b/>
      <sz val="12"/>
      <color theme="0"/>
      <name val="宋体"/>
      <family val="3"/>
      <charset val="134"/>
    </font>
    <font>
      <sz val="12"/>
      <color theme="0"/>
      <name val="Times New Roman"/>
      <family val="1"/>
    </font>
    <font>
      <b/>
      <sz val="12"/>
      <color theme="0"/>
      <name val="Times New Roman"/>
      <family val="1"/>
    </font>
    <font>
      <sz val="10"/>
      <color theme="0"/>
      <name val="宋体"/>
      <family val="3"/>
      <charset val="134"/>
    </font>
    <font>
      <b/>
      <sz val="9"/>
      <color theme="0"/>
      <name val="宋体"/>
      <family val="3"/>
      <charset val="134"/>
    </font>
    <font>
      <b/>
      <sz val="12"/>
      <color rgb="FFFFFFFF"/>
      <name val="Times New Roman"/>
      <family val="1"/>
    </font>
    <font>
      <sz val="11"/>
      <color rgb="FFFF0000"/>
      <name val="宋体"/>
      <family val="3"/>
      <charset val="134"/>
    </font>
    <font>
      <sz val="12"/>
      <color rgb="FFED0000"/>
      <name val="宋体"/>
      <family val="3"/>
      <charset val="134"/>
    </font>
    <font>
      <b/>
      <sz val="11"/>
      <color indexed="10"/>
      <name val="宋体"/>
      <family val="3"/>
      <charset val="134"/>
    </font>
    <font>
      <sz val="9"/>
      <color rgb="FF000000"/>
      <name val="宋体"/>
      <family val="3"/>
      <charset val="134"/>
    </font>
    <font>
      <b/>
      <sz val="9"/>
      <color indexed="8"/>
      <name val="宋体"/>
      <family val="3"/>
      <charset val="134"/>
    </font>
    <font>
      <b/>
      <sz val="9"/>
      <color indexed="8"/>
      <name val="Times New Roman"/>
      <family val="1"/>
    </font>
    <font>
      <sz val="9"/>
      <color indexed="8"/>
      <name val="宋体"/>
      <family val="3"/>
      <charset val="134"/>
    </font>
    <font>
      <sz val="9"/>
      <color indexed="8"/>
      <name val="Times New Roman"/>
      <family val="1"/>
    </font>
    <font>
      <sz val="10"/>
      <color indexed="8"/>
      <name val="宋体"/>
      <family val="3"/>
      <charset val="134"/>
    </font>
    <font>
      <sz val="8"/>
      <color indexed="8"/>
      <name val="Times New Roman"/>
      <family val="1"/>
    </font>
    <font>
      <sz val="8"/>
      <color indexed="8"/>
      <name val="宋体"/>
      <family val="3"/>
      <charset val="134"/>
    </font>
    <font>
      <sz val="10"/>
      <color indexed="22"/>
      <name val="宋体"/>
      <family val="3"/>
      <charset val="134"/>
    </font>
    <font>
      <b/>
      <sz val="9"/>
      <color rgb="FFFF0000"/>
      <name val="宋体"/>
      <family val="3"/>
      <charset val="134"/>
    </font>
    <font>
      <sz val="9"/>
      <color theme="0" tint="-0.249977111117893"/>
      <name val="宋体"/>
      <family val="3"/>
      <charset val="134"/>
    </font>
    <font>
      <sz val="11"/>
      <color indexed="8"/>
      <name val="宋体"/>
      <family val="3"/>
      <charset val="134"/>
    </font>
    <font>
      <sz val="12"/>
      <color indexed="8"/>
      <name val="宋体"/>
      <family val="3"/>
      <charset val="134"/>
    </font>
    <font>
      <sz val="11"/>
      <color indexed="9"/>
      <name val="宋体"/>
      <family val="3"/>
      <charset val="134"/>
    </font>
    <font>
      <sz val="11"/>
      <color indexed="42"/>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b/>
      <sz val="11"/>
      <name val="宋体"/>
      <family val="3"/>
      <charset val="134"/>
    </font>
    <font>
      <sz val="10"/>
      <name val="MS Sans Serif"/>
      <family val="2"/>
    </font>
    <font>
      <sz val="11"/>
      <color indexed="8"/>
      <name val="Frutiger-Light"/>
      <family val="1"/>
    </font>
    <font>
      <i/>
      <sz val="11"/>
      <color indexed="23"/>
      <name val="宋体"/>
      <family val="3"/>
      <charset val="134"/>
    </font>
    <font>
      <sz val="1"/>
      <color indexed="16"/>
      <name val="Courier"/>
      <family val="3"/>
    </font>
    <font>
      <sz val="11"/>
      <color indexed="17"/>
      <name val="宋体"/>
      <family val="3"/>
      <charset val="134"/>
    </font>
    <font>
      <b/>
      <sz val="15"/>
      <color indexed="54"/>
      <name val="宋体"/>
      <family val="3"/>
      <charset val="134"/>
    </font>
    <font>
      <b/>
      <sz val="13"/>
      <color indexed="54"/>
      <name val="宋体"/>
      <family val="3"/>
      <charset val="134"/>
    </font>
    <font>
      <b/>
      <sz val="11"/>
      <color indexed="54"/>
      <name val="宋体"/>
      <family val="3"/>
      <charset val="134"/>
    </font>
    <font>
      <sz val="11"/>
      <color indexed="62"/>
      <name val="宋体"/>
      <family val="3"/>
      <charset val="134"/>
    </font>
    <font>
      <sz val="11"/>
      <color indexed="52"/>
      <name val="宋体"/>
      <family val="3"/>
      <charset val="134"/>
    </font>
    <font>
      <sz val="11"/>
      <color indexed="60"/>
      <name val="宋体"/>
      <family val="3"/>
      <charset val="134"/>
    </font>
    <font>
      <sz val="7"/>
      <name val="Small Fonts"/>
      <family val="2"/>
    </font>
    <font>
      <sz val="9"/>
      <color theme="1"/>
      <name val="宋体"/>
      <family val="2"/>
      <charset val="134"/>
      <scheme val="minor"/>
    </font>
    <font>
      <b/>
      <sz val="11"/>
      <color indexed="63"/>
      <name val="宋体"/>
      <family val="3"/>
      <charset val="134"/>
    </font>
    <font>
      <b/>
      <sz val="20"/>
      <color indexed="8"/>
      <name val="黑体"/>
      <family val="3"/>
      <charset val="134"/>
    </font>
    <font>
      <sz val="9"/>
      <color indexed="8"/>
      <name val="Arial"/>
      <family val="2"/>
    </font>
    <font>
      <b/>
      <sz val="10"/>
      <color indexed="8"/>
      <name val="宋体"/>
      <family val="3"/>
      <charset val="134"/>
    </font>
    <font>
      <sz val="18"/>
      <color indexed="54"/>
      <name val="宋体"/>
      <family val="3"/>
      <charset val="134"/>
    </font>
    <font>
      <b/>
      <sz val="11"/>
      <color indexed="8"/>
      <name val="宋体"/>
      <family val="3"/>
      <charset val="134"/>
    </font>
    <font>
      <sz val="11"/>
      <color indexed="10"/>
      <name val="宋体"/>
      <family val="3"/>
      <charset val="134"/>
    </font>
    <font>
      <b/>
      <sz val="15"/>
      <color indexed="56"/>
      <name val="宋体"/>
      <family val="3"/>
      <charset val="134"/>
    </font>
    <font>
      <b/>
      <sz val="18"/>
      <color indexed="56"/>
      <name val="宋体"/>
      <family val="3"/>
      <charset val="134"/>
    </font>
    <font>
      <b/>
      <sz val="15"/>
      <color indexed="62"/>
      <name val="宋体"/>
      <family val="3"/>
      <charset val="134"/>
    </font>
    <font>
      <b/>
      <sz val="13"/>
      <color indexed="56"/>
      <name val="宋体"/>
      <family val="3"/>
      <charset val="134"/>
    </font>
    <font>
      <b/>
      <sz val="13"/>
      <color indexed="62"/>
      <name val="宋体"/>
      <family val="3"/>
      <charset val="134"/>
    </font>
    <font>
      <b/>
      <sz val="11"/>
      <color indexed="56"/>
      <name val="宋体"/>
      <family val="3"/>
      <charset val="134"/>
    </font>
    <font>
      <b/>
      <sz val="11"/>
      <color indexed="62"/>
      <name val="宋体"/>
      <family val="3"/>
      <charset val="134"/>
    </font>
    <font>
      <b/>
      <sz val="18"/>
      <color indexed="62"/>
      <name val="宋体"/>
      <family val="3"/>
      <charset val="134"/>
    </font>
    <font>
      <sz val="11"/>
      <name val="明朝"/>
      <family val="1"/>
      <charset val="255"/>
    </font>
    <font>
      <sz val="12"/>
      <color indexed="20"/>
      <name val="宋体"/>
      <family val="3"/>
      <charset val="134"/>
    </font>
    <font>
      <sz val="10"/>
      <color indexed="20"/>
      <name val="Arial"/>
      <family val="2"/>
    </font>
    <font>
      <sz val="11"/>
      <color indexed="16"/>
      <name val="宋体"/>
      <family val="3"/>
      <charset val="134"/>
    </font>
    <font>
      <sz val="12"/>
      <color indexed="20"/>
      <name val="华文宋体"/>
      <family val="3"/>
      <charset val="134"/>
    </font>
    <font>
      <sz val="11"/>
      <color indexed="8"/>
      <name val="等线"/>
      <family val="3"/>
      <charset val="134"/>
    </font>
    <font>
      <sz val="10"/>
      <color indexed="8"/>
      <name val="Arial"/>
      <family val="2"/>
    </font>
    <font>
      <sz val="11"/>
      <color theme="1"/>
      <name val="宋体"/>
      <family val="3"/>
      <charset val="134"/>
      <scheme val="minor"/>
    </font>
    <font>
      <sz val="11"/>
      <color theme="1"/>
      <name val="宋体"/>
      <family val="3"/>
      <charset val="134"/>
    </font>
    <font>
      <sz val="10"/>
      <color theme="1"/>
      <name val="宋体"/>
      <family val="3"/>
      <charset val="134"/>
      <scheme val="minor"/>
    </font>
    <font>
      <u/>
      <sz val="9"/>
      <color indexed="12"/>
      <name val="Times New Roman"/>
      <family val="1"/>
    </font>
    <font>
      <sz val="12"/>
      <color indexed="17"/>
      <name val="宋体"/>
      <family val="3"/>
      <charset val="134"/>
    </font>
    <font>
      <sz val="10"/>
      <color indexed="17"/>
      <name val="Arial"/>
      <family val="2"/>
    </font>
    <font>
      <sz val="12"/>
      <color indexed="17"/>
      <name val="华文宋体"/>
      <family val="3"/>
      <charset val="134"/>
    </font>
    <font>
      <u/>
      <sz val="9"/>
      <color indexed="36"/>
      <name val="Times New Roman"/>
      <family val="1"/>
    </font>
    <font>
      <b/>
      <sz val="11"/>
      <color indexed="42"/>
      <name val="宋体"/>
      <family val="3"/>
      <charset val="134"/>
    </font>
  </fonts>
  <fills count="3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indexed="13"/>
        <bgColor indexed="64"/>
      </patternFill>
    </fill>
    <fill>
      <patternFill patternType="solid">
        <fgColor indexed="27"/>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5"/>
        <bgColor indexed="64"/>
      </patternFill>
    </fill>
    <fill>
      <patternFill patternType="solid">
        <fgColor indexed="46"/>
        <bgColor indexed="64"/>
      </patternFill>
    </fill>
    <fill>
      <patternFill patternType="solid">
        <fgColor indexed="44"/>
        <bgColor indexed="64"/>
      </patternFill>
    </fill>
    <fill>
      <patternFill patternType="solid">
        <fgColor indexed="22"/>
        <bgColor indexed="64"/>
      </patternFill>
    </fill>
    <fill>
      <patternFill patternType="solid">
        <fgColor indexed="43"/>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49"/>
        <bgColor indexed="64"/>
      </patternFill>
    </fill>
    <fill>
      <patternFill patternType="solid">
        <fgColor indexed="57"/>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53"/>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4"/>
        <bgColor indexed="64"/>
      </patternFill>
    </fill>
  </fills>
  <borders count="55">
    <border>
      <left/>
      <right/>
      <top/>
      <bottom/>
      <diagonal/>
    </border>
    <border>
      <left/>
      <right style="thin">
        <color auto="1"/>
      </right>
      <top style="medium">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s>
  <cellStyleXfs count="9711">
    <xf numFmtId="0" fontId="0" fillId="0" borderId="0">
      <alignment vertical="center"/>
    </xf>
    <xf numFmtId="0" fontId="3" fillId="0" borderId="0"/>
    <xf numFmtId="0" fontId="13" fillId="0" borderId="0"/>
    <xf numFmtId="0" fontId="13" fillId="0" borderId="0"/>
    <xf numFmtId="0" fontId="3" fillId="0" borderId="0"/>
    <xf numFmtId="0" fontId="16" fillId="0" borderId="0"/>
    <xf numFmtId="9" fontId="1" fillId="0" borderId="0" applyFont="0" applyFill="0" applyBorder="0" applyAlignment="0" applyProtection="0">
      <alignment vertical="center"/>
    </xf>
    <xf numFmtId="0" fontId="27" fillId="0" borderId="0"/>
    <xf numFmtId="0" fontId="13" fillId="0" borderId="0"/>
    <xf numFmtId="0" fontId="13" fillId="0" borderId="0"/>
    <xf numFmtId="0" fontId="27" fillId="0" borderId="0"/>
    <xf numFmtId="0" fontId="13" fillId="0" borderId="0"/>
    <xf numFmtId="0" fontId="13" fillId="0" borderId="0"/>
    <xf numFmtId="0" fontId="13" fillId="0" borderId="0"/>
    <xf numFmtId="9" fontId="13" fillId="0" borderId="0" applyFont="0" applyFill="0" applyBorder="0" applyAlignment="0" applyProtection="0">
      <alignment vertical="center"/>
    </xf>
    <xf numFmtId="0" fontId="1" fillId="0" borderId="0">
      <alignment vertical="center"/>
    </xf>
    <xf numFmtId="9" fontId="13" fillId="0" borderId="0" applyFont="0" applyFill="0" applyBorder="0" applyAlignment="0" applyProtection="0"/>
    <xf numFmtId="0" fontId="13" fillId="0" borderId="0">
      <alignment vertical="center"/>
    </xf>
    <xf numFmtId="0" fontId="13" fillId="0" borderId="0">
      <alignment vertical="center"/>
    </xf>
    <xf numFmtId="0" fontId="16" fillId="0" borderId="0"/>
    <xf numFmtId="0" fontId="68" fillId="0" borderId="0"/>
    <xf numFmtId="0" fontId="68" fillId="0" borderId="0"/>
    <xf numFmtId="0" fontId="68" fillId="0" borderId="0"/>
    <xf numFmtId="0" fontId="27" fillId="0" borderId="0"/>
    <xf numFmtId="0" fontId="27" fillId="0" borderId="0"/>
    <xf numFmtId="0" fontId="27" fillId="0" borderId="0"/>
    <xf numFmtId="0" fontId="27" fillId="0" borderId="0"/>
    <xf numFmtId="0" fontId="3" fillId="0" borderId="0"/>
    <xf numFmtId="0" fontId="27" fillId="0" borderId="0"/>
    <xf numFmtId="0" fontId="27" fillId="0" borderId="0"/>
    <xf numFmtId="0" fontId="3" fillId="0" borderId="0"/>
    <xf numFmtId="0" fontId="3" fillId="0" borderId="0"/>
    <xf numFmtId="0" fontId="27"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27" fillId="0" borderId="0"/>
    <xf numFmtId="0" fontId="27" fillId="0" borderId="0"/>
    <xf numFmtId="0" fontId="3" fillId="0" borderId="0"/>
    <xf numFmtId="0" fontId="27" fillId="0" borderId="0"/>
    <xf numFmtId="0" fontId="3" fillId="0" borderId="0"/>
    <xf numFmtId="0" fontId="27" fillId="0" borderId="0"/>
    <xf numFmtId="0" fontId="3"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27" fillId="0" borderId="0"/>
    <xf numFmtId="0" fontId="27" fillId="0" borderId="0"/>
    <xf numFmtId="0" fontId="3" fillId="0" borderId="0"/>
    <xf numFmtId="0" fontId="3" fillId="0" borderId="0"/>
    <xf numFmtId="0" fontId="27" fillId="0" borderId="0"/>
    <xf numFmtId="0" fontId="27" fillId="0" borderId="0"/>
    <xf numFmtId="0" fontId="27" fillId="0" borderId="0"/>
    <xf numFmtId="0" fontId="3" fillId="0" borderId="0"/>
    <xf numFmtId="0" fontId="3" fillId="0" borderId="0"/>
    <xf numFmtId="0" fontId="3" fillId="0" borderId="0"/>
    <xf numFmtId="0" fontId="27" fillId="0" borderId="0"/>
    <xf numFmtId="0" fontId="27" fillId="0" borderId="0"/>
    <xf numFmtId="0" fontId="3" fillId="0" borderId="0"/>
    <xf numFmtId="0" fontId="27"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27" fillId="0" borderId="0"/>
    <xf numFmtId="0" fontId="3" fillId="0" borderId="0"/>
    <xf numFmtId="0" fontId="3"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27" fillId="0" borderId="0"/>
    <xf numFmtId="0" fontId="3" fillId="0" borderId="0"/>
    <xf numFmtId="0" fontId="27" fillId="0" borderId="0"/>
    <xf numFmtId="0" fontId="27" fillId="0" borderId="0"/>
    <xf numFmtId="0" fontId="3" fillId="0" borderId="0"/>
    <xf numFmtId="0" fontId="27" fillId="0" borderId="0"/>
    <xf numFmtId="0" fontId="3" fillId="0" borderId="0"/>
    <xf numFmtId="0" fontId="3"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3" fillId="0" borderId="0"/>
    <xf numFmtId="0" fontId="27"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27" fillId="0" borderId="0"/>
    <xf numFmtId="0" fontId="3" fillId="0" borderId="0"/>
    <xf numFmtId="0" fontId="27" fillId="0" borderId="0"/>
    <xf numFmtId="0" fontId="27" fillId="0" borderId="0"/>
    <xf numFmtId="0" fontId="27" fillId="0" borderId="0"/>
    <xf numFmtId="0" fontId="3"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27" fillId="0" borderId="0"/>
    <xf numFmtId="0" fontId="3" fillId="0" borderId="0"/>
    <xf numFmtId="0" fontId="27" fillId="0" borderId="0"/>
    <xf numFmtId="0" fontId="27" fillId="0" borderId="0"/>
    <xf numFmtId="0" fontId="27" fillId="0" borderId="0"/>
    <xf numFmtId="0" fontId="27" fillId="0" borderId="0"/>
    <xf numFmtId="0" fontId="27"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27" fillId="0" borderId="0"/>
    <xf numFmtId="0" fontId="3" fillId="0" borderId="0"/>
    <xf numFmtId="0" fontId="27" fillId="0" borderId="0"/>
    <xf numFmtId="0" fontId="27" fillId="0" borderId="0"/>
    <xf numFmtId="0" fontId="16" fillId="0" borderId="0"/>
    <xf numFmtId="0" fontId="3" fillId="0" borderId="0"/>
    <xf numFmtId="0" fontId="27" fillId="0" borderId="0"/>
    <xf numFmtId="0" fontId="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76" fillId="8" borderId="0" applyNumberFormat="0" applyBorder="0" applyAlignment="0" applyProtection="0">
      <alignment vertical="center"/>
    </xf>
    <xf numFmtId="0" fontId="76" fillId="9" borderId="0" applyNumberFormat="0" applyBorder="0" applyAlignment="0" applyProtection="0">
      <alignment vertical="center"/>
    </xf>
    <xf numFmtId="0" fontId="76" fillId="6" borderId="0" applyNumberFormat="0" applyBorder="0" applyAlignment="0" applyProtection="0">
      <alignment vertical="center"/>
    </xf>
    <xf numFmtId="0" fontId="76" fillId="10" borderId="0" applyNumberFormat="0" applyBorder="0" applyAlignment="0" applyProtection="0">
      <alignment vertical="center"/>
    </xf>
    <xf numFmtId="0" fontId="76" fillId="11" borderId="0" applyNumberFormat="0" applyBorder="0" applyAlignment="0" applyProtection="0">
      <alignment vertical="center"/>
    </xf>
    <xf numFmtId="0" fontId="76" fillId="12"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6"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7"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1"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9"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7"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3"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0"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7"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2"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6"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7"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7"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8"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7"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9" borderId="0" applyNumberFormat="0" applyBorder="0" applyAlignment="0" applyProtection="0">
      <alignment vertical="center"/>
    </xf>
    <xf numFmtId="0" fontId="76" fillId="6" borderId="0" applyNumberFormat="0" applyBorder="0" applyAlignment="0" applyProtection="0">
      <alignment vertical="center"/>
    </xf>
    <xf numFmtId="0" fontId="76" fillId="9" borderId="0" applyNumberFormat="0" applyBorder="0" applyAlignment="0" applyProtection="0">
      <alignment vertical="center"/>
    </xf>
    <xf numFmtId="0" fontId="76" fillId="10" borderId="0" applyNumberFormat="0" applyBorder="0" applyAlignment="0" applyProtection="0">
      <alignment vertical="center"/>
    </xf>
    <xf numFmtId="0" fontId="76" fillId="6" borderId="0" applyNumberFormat="0" applyBorder="0" applyAlignment="0" applyProtection="0">
      <alignment vertical="center"/>
    </xf>
    <xf numFmtId="0" fontId="76" fillId="8" borderId="0" applyNumberFormat="0" applyBorder="0" applyAlignment="0" applyProtection="0">
      <alignment vertical="center"/>
    </xf>
    <xf numFmtId="0" fontId="76" fillId="9" borderId="0" applyNumberFormat="0" applyBorder="0" applyAlignment="0" applyProtection="0">
      <alignment vertical="center"/>
    </xf>
    <xf numFmtId="0" fontId="76" fillId="15" borderId="0" applyNumberFormat="0" applyBorder="0" applyAlignment="0" applyProtection="0">
      <alignment vertical="center"/>
    </xf>
    <xf numFmtId="0" fontId="76" fillId="9" borderId="0" applyNumberFormat="0" applyBorder="0" applyAlignment="0" applyProtection="0">
      <alignment vertical="center"/>
    </xf>
    <xf numFmtId="0" fontId="76" fillId="16" borderId="0" applyNumberFormat="0" applyBorder="0" applyAlignment="0" applyProtection="0">
      <alignment vertical="center"/>
    </xf>
    <xf numFmtId="0" fontId="76" fillId="17" borderId="0" applyNumberFormat="0" applyBorder="0" applyAlignment="0" applyProtection="0">
      <alignment vertical="center"/>
    </xf>
    <xf numFmtId="0" fontId="76" fillId="15" borderId="0" applyNumberFormat="0" applyBorder="0" applyAlignment="0" applyProtection="0">
      <alignment vertical="center"/>
    </xf>
    <xf numFmtId="0" fontId="76" fillId="17"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7"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7"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7"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7"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6"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7"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4"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7"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15"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9"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7"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20" borderId="0" applyNumberFormat="0" applyBorder="0" applyAlignment="0" applyProtection="0">
      <alignment vertical="center"/>
    </xf>
    <xf numFmtId="0" fontId="76" fillId="16" borderId="0" applyNumberFormat="0" applyBorder="0" applyAlignment="0" applyProtection="0">
      <alignment vertical="center"/>
    </xf>
    <xf numFmtId="0" fontId="76" fillId="18" borderId="0" applyNumberFormat="0" applyBorder="0" applyAlignment="0" applyProtection="0">
      <alignment vertical="center"/>
    </xf>
    <xf numFmtId="0" fontId="76" fillId="17" borderId="0" applyNumberFormat="0" applyBorder="0" applyAlignment="0" applyProtection="0">
      <alignment vertical="center"/>
    </xf>
    <xf numFmtId="0" fontId="76" fillId="16" borderId="0" applyNumberFormat="0" applyBorder="0" applyAlignment="0" applyProtection="0">
      <alignment vertical="center"/>
    </xf>
    <xf numFmtId="0" fontId="76" fillId="15" borderId="0" applyNumberFormat="0" applyBorder="0" applyAlignment="0" applyProtection="0">
      <alignment vertical="center"/>
    </xf>
    <xf numFmtId="0" fontId="76" fillId="9" borderId="0" applyNumberFormat="0" applyBorder="0" applyAlignment="0" applyProtection="0">
      <alignment vertical="center"/>
    </xf>
    <xf numFmtId="0" fontId="78" fillId="15" borderId="0" applyNumberFormat="0" applyBorder="0" applyAlignment="0" applyProtection="0">
      <alignment vertical="center"/>
    </xf>
    <xf numFmtId="0" fontId="78" fillId="9" borderId="0" applyNumberFormat="0" applyBorder="0" applyAlignment="0" applyProtection="0">
      <alignment vertical="center"/>
    </xf>
    <xf numFmtId="0" fontId="78" fillId="16" borderId="0" applyNumberFormat="0" applyBorder="0" applyAlignment="0" applyProtection="0">
      <alignment vertical="center"/>
    </xf>
    <xf numFmtId="0" fontId="78" fillId="17" borderId="0" applyNumberFormat="0" applyBorder="0" applyAlignment="0" applyProtection="0">
      <alignment vertical="center"/>
    </xf>
    <xf numFmtId="0" fontId="78" fillId="21" borderId="0" applyNumberFormat="0" applyBorder="0" applyAlignment="0" applyProtection="0">
      <alignment vertical="center"/>
    </xf>
    <xf numFmtId="0" fontId="78" fillId="22" borderId="0" applyNumberFormat="0" applyBorder="0" applyAlignment="0" applyProtection="0">
      <alignment vertical="center"/>
    </xf>
    <xf numFmtId="0" fontId="78" fillId="23" borderId="0" applyNumberFormat="0" applyBorder="0" applyAlignment="0" applyProtection="0">
      <alignment vertical="center"/>
    </xf>
    <xf numFmtId="0" fontId="79" fillId="21"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6" fillId="23" borderId="0" applyNumberFormat="0" applyBorder="0" applyAlignment="0" applyProtection="0">
      <alignment vertical="center"/>
    </xf>
    <xf numFmtId="0" fontId="76"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23" borderId="0" applyNumberFormat="0" applyBorder="0" applyAlignment="0" applyProtection="0">
      <alignment vertical="center"/>
    </xf>
    <xf numFmtId="0" fontId="78" fillId="18" borderId="0" applyNumberFormat="0" applyBorder="0" applyAlignment="0" applyProtection="0">
      <alignment vertical="center"/>
    </xf>
    <xf numFmtId="0" fontId="79"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6" fillId="18" borderId="0" applyNumberFormat="0" applyBorder="0" applyAlignment="0" applyProtection="0">
      <alignment vertical="center"/>
    </xf>
    <xf numFmtId="0" fontId="76"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8" borderId="0" applyNumberFormat="0" applyBorder="0" applyAlignment="0" applyProtection="0">
      <alignment vertical="center"/>
    </xf>
    <xf numFmtId="0" fontId="78" fillId="19" borderId="0" applyNumberFormat="0" applyBorder="0" applyAlignment="0" applyProtection="0">
      <alignment vertical="center"/>
    </xf>
    <xf numFmtId="0" fontId="79" fillId="17"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6" fillId="19" borderId="0" applyNumberFormat="0" applyBorder="0" applyAlignment="0" applyProtection="0">
      <alignment vertical="center"/>
    </xf>
    <xf numFmtId="0" fontId="76"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19" borderId="0" applyNumberFormat="0" applyBorder="0" applyAlignment="0" applyProtection="0">
      <alignment vertical="center"/>
    </xf>
    <xf numFmtId="0" fontId="78" fillId="24" borderId="0" applyNumberFormat="0" applyBorder="0" applyAlignment="0" applyProtection="0">
      <alignment vertical="center"/>
    </xf>
    <xf numFmtId="0" fontId="79" fillId="16"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6" fillId="24" borderId="0" applyNumberFormat="0" applyBorder="0" applyAlignment="0" applyProtection="0">
      <alignment vertical="center"/>
    </xf>
    <xf numFmtId="0" fontId="76"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4" borderId="0" applyNumberFormat="0" applyBorder="0" applyAlignment="0" applyProtection="0">
      <alignment vertical="center"/>
    </xf>
    <xf numFmtId="0" fontId="78" fillId="21" borderId="0" applyNumberFormat="0" applyBorder="0" applyAlignment="0" applyProtection="0">
      <alignment vertical="center"/>
    </xf>
    <xf numFmtId="0" fontId="79"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6" fillId="21" borderId="0" applyNumberFormat="0" applyBorder="0" applyAlignment="0" applyProtection="0">
      <alignment vertical="center"/>
    </xf>
    <xf numFmtId="0" fontId="76"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1" borderId="0" applyNumberFormat="0" applyBorder="0" applyAlignment="0" applyProtection="0">
      <alignment vertical="center"/>
    </xf>
    <xf numFmtId="0" fontId="78" fillId="25" borderId="0" applyNumberFormat="0" applyBorder="0" applyAlignment="0" applyProtection="0">
      <alignment vertical="center"/>
    </xf>
    <xf numFmtId="0" fontId="79" fillId="9"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6" fillId="25" borderId="0" applyNumberFormat="0" applyBorder="0" applyAlignment="0" applyProtection="0">
      <alignment vertical="center"/>
    </xf>
    <xf numFmtId="0" fontId="76"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5" borderId="0" applyNumberFormat="0" applyBorder="0" applyAlignment="0" applyProtection="0">
      <alignment vertical="center"/>
    </xf>
    <xf numFmtId="0" fontId="78" fillId="21" borderId="0" applyNumberFormat="0" applyBorder="0" applyAlignment="0" applyProtection="0">
      <alignment vertical="center"/>
    </xf>
    <xf numFmtId="0" fontId="78" fillId="18" borderId="0" applyNumberFormat="0" applyBorder="0" applyAlignment="0" applyProtection="0">
      <alignment vertical="center"/>
    </xf>
    <xf numFmtId="0" fontId="78" fillId="17" borderId="0" applyNumberFormat="0" applyBorder="0" applyAlignment="0" applyProtection="0">
      <alignment vertical="center"/>
    </xf>
    <xf numFmtId="0" fontId="78" fillId="16" borderId="0" applyNumberFormat="0" applyBorder="0" applyAlignment="0" applyProtection="0">
      <alignment vertical="center"/>
    </xf>
    <xf numFmtId="0" fontId="78" fillId="21" borderId="0" applyNumberFormat="0" applyBorder="0" applyAlignment="0" applyProtection="0">
      <alignment vertical="center"/>
    </xf>
    <xf numFmtId="0" fontId="78" fillId="9" borderId="0" applyNumberFormat="0" applyBorder="0" applyAlignment="0" applyProtection="0">
      <alignment vertical="center"/>
    </xf>
    <xf numFmtId="0" fontId="78" fillId="21" borderId="0" applyNumberFormat="0" applyBorder="0" applyAlignment="0" applyProtection="0">
      <alignment vertical="center"/>
    </xf>
    <xf numFmtId="0" fontId="78" fillId="26" borderId="0" applyNumberFormat="0" applyBorder="0" applyAlignment="0" applyProtection="0">
      <alignment vertical="center"/>
    </xf>
    <xf numFmtId="0" fontId="78" fillId="27" borderId="0" applyNumberFormat="0" applyBorder="0" applyAlignment="0" applyProtection="0">
      <alignment vertical="center"/>
    </xf>
    <xf numFmtId="0" fontId="78" fillId="20" borderId="0" applyNumberFormat="0" applyBorder="0" applyAlignment="0" applyProtection="0">
      <alignment vertical="center"/>
    </xf>
    <xf numFmtId="0" fontId="78" fillId="28" borderId="0" applyNumberFormat="0" applyBorder="0" applyAlignment="0" applyProtection="0">
      <alignment vertical="center"/>
    </xf>
    <xf numFmtId="0" fontId="78" fillId="22" borderId="0" applyNumberFormat="0" applyBorder="0" applyAlignment="0" applyProtection="0">
      <alignment vertical="center"/>
    </xf>
    <xf numFmtId="0" fontId="80" fillId="13" borderId="0" applyNumberFormat="0" applyBorder="0" applyAlignment="0" applyProtection="0">
      <alignment vertical="center"/>
    </xf>
    <xf numFmtId="0" fontId="16" fillId="0" borderId="0">
      <alignment vertical="center"/>
    </xf>
    <xf numFmtId="0" fontId="81" fillId="16" borderId="41" applyNumberFormat="0" applyAlignment="0" applyProtection="0">
      <alignment vertical="center"/>
    </xf>
    <xf numFmtId="0" fontId="82" fillId="27" borderId="42" applyNumberFormat="0" applyAlignment="0" applyProtection="0">
      <alignment vertical="center"/>
    </xf>
    <xf numFmtId="0" fontId="83" fillId="0" borderId="0" applyNumberFormat="0" applyFill="0" applyBorder="0" applyAlignment="0" applyProtection="0"/>
    <xf numFmtId="38" fontId="84" fillId="0" borderId="0" applyFont="0" applyFill="0" applyBorder="0" applyAlignment="0" applyProtection="0"/>
    <xf numFmtId="184" fontId="76" fillId="0" borderId="0" applyFont="0" applyFill="0" applyBorder="0" applyAlignment="0" applyProtection="0"/>
    <xf numFmtId="184" fontId="76" fillId="0" borderId="0" applyFont="0" applyFill="0" applyBorder="0" applyAlignment="0" applyProtection="0"/>
    <xf numFmtId="184" fontId="85" fillId="0" borderId="0" applyFont="0" applyFill="0" applyBorder="0" applyAlignment="0" applyProtection="0"/>
    <xf numFmtId="40" fontId="84" fillId="0" borderId="0" applyFont="0" applyFill="0" applyBorder="0" applyAlignment="0" applyProtection="0"/>
    <xf numFmtId="185" fontId="84" fillId="0" borderId="0" applyFont="0" applyFill="0" applyBorder="0" applyAlignment="0" applyProtection="0"/>
    <xf numFmtId="186" fontId="76" fillId="0" borderId="0" applyFont="0" applyFill="0" applyBorder="0" applyAlignment="0" applyProtection="0"/>
    <xf numFmtId="186" fontId="76" fillId="0" borderId="0" applyFont="0" applyFill="0" applyBorder="0" applyAlignment="0" applyProtection="0"/>
    <xf numFmtId="187" fontId="84" fillId="0" borderId="0" applyFont="0" applyFill="0" applyBorder="0" applyAlignment="0" applyProtection="0"/>
    <xf numFmtId="0" fontId="86" fillId="0" borderId="0" applyNumberFormat="0" applyFill="0" applyBorder="0" applyAlignment="0" applyProtection="0">
      <alignment vertical="center"/>
    </xf>
    <xf numFmtId="188" fontId="87" fillId="0" borderId="0">
      <protection locked="0"/>
    </xf>
    <xf numFmtId="188" fontId="87" fillId="0" borderId="0">
      <protection locked="0"/>
    </xf>
    <xf numFmtId="188" fontId="39" fillId="0" borderId="0">
      <protection locked="0"/>
    </xf>
    <xf numFmtId="188" fontId="87" fillId="0" borderId="0">
      <protection locked="0"/>
    </xf>
    <xf numFmtId="188" fontId="87" fillId="0" borderId="0">
      <protection locked="0"/>
    </xf>
    <xf numFmtId="188" fontId="87" fillId="0" borderId="0">
      <protection locked="0"/>
    </xf>
    <xf numFmtId="188" fontId="87" fillId="0" borderId="0">
      <protection locked="0"/>
    </xf>
    <xf numFmtId="0" fontId="88" fillId="12" borderId="0" applyNumberFormat="0" applyBorder="0" applyAlignment="0" applyProtection="0">
      <alignment vertical="center"/>
    </xf>
    <xf numFmtId="0" fontId="89" fillId="0" borderId="43" applyNumberFormat="0" applyFill="0" applyAlignment="0" applyProtection="0">
      <alignment vertical="center"/>
    </xf>
    <xf numFmtId="0" fontId="90" fillId="0" borderId="44" applyNumberFormat="0" applyFill="0" applyAlignment="0" applyProtection="0">
      <alignment vertical="center"/>
    </xf>
    <xf numFmtId="0" fontId="91" fillId="0" borderId="45" applyNumberFormat="0" applyFill="0" applyAlignment="0" applyProtection="0">
      <alignment vertical="center"/>
    </xf>
    <xf numFmtId="0" fontId="91" fillId="0" borderId="0" applyNumberFormat="0" applyFill="0" applyBorder="0" applyAlignment="0" applyProtection="0">
      <alignment vertical="center"/>
    </xf>
    <xf numFmtId="0" fontId="92" fillId="9" borderId="41" applyNumberFormat="0" applyAlignment="0" applyProtection="0">
      <alignment vertical="center"/>
    </xf>
    <xf numFmtId="0" fontId="93" fillId="0" borderId="46" applyNumberFormat="0" applyFill="0" applyAlignment="0" applyProtection="0">
      <alignment vertical="center"/>
    </xf>
    <xf numFmtId="0" fontId="94" fillId="17" borderId="0" applyNumberFormat="0" applyBorder="0" applyAlignment="0" applyProtection="0">
      <alignment vertical="center"/>
    </xf>
    <xf numFmtId="37" fontId="95" fillId="0" borderId="0"/>
    <xf numFmtId="0" fontId="68" fillId="0" borderId="0"/>
    <xf numFmtId="0" fontId="76" fillId="0" borderId="0"/>
    <xf numFmtId="0" fontId="76" fillId="0" borderId="0"/>
    <xf numFmtId="0" fontId="76" fillId="0" borderId="0"/>
    <xf numFmtId="0" fontId="85" fillId="0" borderId="0"/>
    <xf numFmtId="0" fontId="96" fillId="0" borderId="0"/>
    <xf numFmtId="0" fontId="12" fillId="0" borderId="0"/>
    <xf numFmtId="0" fontId="13" fillId="10" borderId="47" applyNumberFormat="0" applyFont="0" applyAlignment="0" applyProtection="0">
      <alignment vertical="center"/>
    </xf>
    <xf numFmtId="0" fontId="3" fillId="0" borderId="0"/>
    <xf numFmtId="0" fontId="97" fillId="16" borderId="48" applyNumberFormat="0" applyAlignment="0" applyProtection="0">
      <alignment vertical="center"/>
    </xf>
    <xf numFmtId="9" fontId="76" fillId="0" borderId="0" applyFont="0" applyFill="0" applyBorder="0" applyAlignment="0" applyProtection="0"/>
    <xf numFmtId="9" fontId="76" fillId="0" borderId="0" applyFont="0" applyFill="0" applyBorder="0" applyAlignment="0" applyProtection="0"/>
    <xf numFmtId="0" fontId="98" fillId="6" borderId="0">
      <alignment horizontal="center" vertical="center"/>
    </xf>
    <xf numFmtId="0" fontId="70" fillId="6" borderId="0">
      <alignment horizontal="left" wrapText="1"/>
    </xf>
    <xf numFmtId="0" fontId="99" fillId="6" borderId="0">
      <alignment horizontal="right" vertical="center" wrapText="1"/>
    </xf>
    <xf numFmtId="0" fontId="70" fillId="6" borderId="0">
      <alignment horizontal="left" vertical="center"/>
    </xf>
    <xf numFmtId="0" fontId="70" fillId="6" borderId="0">
      <alignment horizontal="center" vertical="center"/>
    </xf>
    <xf numFmtId="0" fontId="99" fillId="6" borderId="0">
      <alignment horizontal="left" vertical="center"/>
    </xf>
    <xf numFmtId="0" fontId="99" fillId="6" borderId="0">
      <alignment horizontal="left" vertical="center" wrapText="1"/>
    </xf>
    <xf numFmtId="0" fontId="70" fillId="6" borderId="0">
      <alignment horizontal="right"/>
    </xf>
    <xf numFmtId="0" fontId="100" fillId="6" borderId="0">
      <alignment horizontal="center" vertical="center"/>
    </xf>
    <xf numFmtId="0" fontId="100" fillId="6" borderId="0">
      <alignment horizontal="center" vertical="center" wrapText="1"/>
    </xf>
    <xf numFmtId="0" fontId="70" fillId="6" borderId="0">
      <alignment horizontal="left" vertical="center" wrapText="1"/>
    </xf>
    <xf numFmtId="0" fontId="70" fillId="6" borderId="0">
      <alignment horizontal="center" vertical="center" wrapText="1"/>
    </xf>
    <xf numFmtId="0" fontId="70" fillId="6" borderId="0">
      <alignment horizontal="left" vertical="center"/>
    </xf>
    <xf numFmtId="0" fontId="70" fillId="6" borderId="0">
      <alignment horizontal="left" vertical="center"/>
    </xf>
    <xf numFmtId="0" fontId="99" fillId="6" borderId="0">
      <alignment horizontal="right" vertical="center" wrapText="1"/>
    </xf>
    <xf numFmtId="0" fontId="3" fillId="0" borderId="0"/>
    <xf numFmtId="0" fontId="101" fillId="0" borderId="0" applyNumberFormat="0" applyFill="0" applyBorder="0" applyAlignment="0" applyProtection="0">
      <alignment vertical="center"/>
    </xf>
    <xf numFmtId="0" fontId="102" fillId="0" borderId="49" applyNumberFormat="0" applyFill="0" applyAlignment="0" applyProtection="0">
      <alignment vertical="center"/>
    </xf>
    <xf numFmtId="0" fontId="103" fillId="0" borderId="0" applyNumberFormat="0" applyFill="0" applyBorder="0" applyAlignment="0" applyProtection="0">
      <alignment vertical="center"/>
    </xf>
    <xf numFmtId="9" fontId="13"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76" fillId="0" borderId="0" applyFont="0" applyFill="0" applyBorder="0" applyAlignment="0" applyProtection="0">
      <alignment vertical="center"/>
    </xf>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5"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5"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5" fillId="0" borderId="50" applyNumberFormat="0" applyFill="0" applyAlignment="0" applyProtection="0">
      <alignment vertical="center"/>
    </xf>
    <xf numFmtId="0" fontId="106" fillId="0" borderId="43" applyNumberFormat="0" applyFill="0" applyAlignment="0" applyProtection="0">
      <alignment vertical="center"/>
    </xf>
    <xf numFmtId="0" fontId="106" fillId="0" borderId="43"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4" fillId="0" borderId="50" applyNumberFormat="0" applyFill="0" applyAlignment="0" applyProtection="0">
      <alignment vertical="center"/>
    </xf>
    <xf numFmtId="0" fontId="106" fillId="0" borderId="43"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4"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4"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4" fillId="0" borderId="51" applyNumberFormat="0" applyFill="0" applyAlignment="0" applyProtection="0">
      <alignment vertical="center"/>
    </xf>
    <xf numFmtId="0" fontId="108" fillId="0" borderId="51" applyNumberFormat="0" applyFill="0" applyAlignment="0" applyProtection="0">
      <alignment vertical="center"/>
    </xf>
    <xf numFmtId="0" fontId="108"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7" fillId="0" borderId="51" applyNumberFormat="0" applyFill="0" applyAlignment="0" applyProtection="0">
      <alignment vertical="center"/>
    </xf>
    <xf numFmtId="0" fontId="108" fillId="0" borderId="51"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7"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7"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7" fillId="0" borderId="52" applyNumberFormat="0" applyFill="0" applyAlignment="0" applyProtection="0">
      <alignment vertical="center"/>
    </xf>
    <xf numFmtId="0" fontId="110" fillId="0" borderId="53" applyNumberFormat="0" applyFill="0" applyAlignment="0" applyProtection="0">
      <alignment vertical="center"/>
    </xf>
    <xf numFmtId="0" fontId="110" fillId="0" borderId="53"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09" fillId="0" borderId="52" applyNumberFormat="0" applyFill="0" applyAlignment="0" applyProtection="0">
      <alignment vertical="center"/>
    </xf>
    <xf numFmtId="0" fontId="110" fillId="0" borderId="53" applyNumberFormat="0" applyFill="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7"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7"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7"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2" fillId="0" borderId="0"/>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09"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09"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09"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114" fillId="13" borderId="0" applyNumberFormat="0" applyBorder="0" applyAlignment="0" applyProtection="0">
      <alignment vertical="center"/>
    </xf>
    <xf numFmtId="0" fontId="113"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09" fillId="13" borderId="0" applyNumberFormat="0" applyBorder="0" applyAlignment="0" applyProtection="0">
      <alignment vertical="center"/>
    </xf>
    <xf numFmtId="0" fontId="115"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113"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4" fillId="13" borderId="0" applyNumberFormat="0" applyBorder="0" applyAlignment="0" applyProtection="0">
      <alignment vertical="center"/>
    </xf>
    <xf numFmtId="0" fontId="114"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3"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3" fillId="13" borderId="0" applyNumberFormat="0" applyBorder="0" applyAlignment="0" applyProtection="0">
      <alignment vertical="center"/>
    </xf>
    <xf numFmtId="0" fontId="113" fillId="13"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4"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113" fillId="14"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116" fillId="13" borderId="0" applyNumberFormat="0" applyBorder="0" applyAlignment="0" applyProtection="0">
      <alignment vertical="center"/>
    </xf>
    <xf numFmtId="0" fontId="116" fillId="13" borderId="0" applyNumberFormat="0" applyBorder="0" applyAlignment="0" applyProtection="0">
      <alignment vertical="center"/>
    </xf>
    <xf numFmtId="0" fontId="116"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114"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3"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4" borderId="0" applyNumberFormat="0" applyBorder="0" applyAlignment="0" applyProtection="0">
      <alignment vertical="center"/>
    </xf>
    <xf numFmtId="0" fontId="80" fillId="13" borderId="0" applyNumberFormat="0" applyBorder="0" applyAlignment="0" applyProtection="0">
      <alignment vertical="center"/>
    </xf>
    <xf numFmtId="0" fontId="76" fillId="0" borderId="0">
      <alignment vertical="center"/>
    </xf>
    <xf numFmtId="0" fontId="117" fillId="0" borderId="0">
      <alignment vertical="center"/>
    </xf>
    <xf numFmtId="0" fontId="117" fillId="0" borderId="0">
      <alignment vertical="center"/>
    </xf>
    <xf numFmtId="0" fontId="13" fillId="0" borderId="0"/>
    <xf numFmtId="0" fontId="11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3"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17" fillId="0" borderId="0">
      <alignment vertical="center"/>
    </xf>
    <xf numFmtId="0" fontId="117" fillId="0" borderId="0">
      <alignment vertical="center"/>
    </xf>
    <xf numFmtId="0" fontId="13" fillId="0" borderId="0"/>
    <xf numFmtId="0" fontId="13"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6"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13" fillId="0" borderId="0"/>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13" fillId="0" borderId="0"/>
    <xf numFmtId="0" fontId="13" fillId="0" borderId="0"/>
    <xf numFmtId="0" fontId="76"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6" fillId="0" borderId="0"/>
    <xf numFmtId="0" fontId="13" fillId="0" borderId="0"/>
    <xf numFmtId="0" fontId="117" fillId="0" borderId="0"/>
    <xf numFmtId="0" fontId="117" fillId="0" borderId="0"/>
    <xf numFmtId="0" fontId="13" fillId="0" borderId="0"/>
    <xf numFmtId="0" fontId="117" fillId="0" borderId="0"/>
    <xf numFmtId="0" fontId="117" fillId="0" borderId="0"/>
    <xf numFmtId="0" fontId="13" fillId="0" borderId="0"/>
    <xf numFmtId="0" fontId="76" fillId="0" borderId="0"/>
    <xf numFmtId="0" fontId="117" fillId="0" borderId="0"/>
    <xf numFmtId="0" fontId="117" fillId="0" borderId="0"/>
    <xf numFmtId="0" fontId="117" fillId="0" borderId="0"/>
    <xf numFmtId="0" fontId="117" fillId="0" borderId="0"/>
    <xf numFmtId="0" fontId="13" fillId="0" borderId="0"/>
    <xf numFmtId="0" fontId="76" fillId="0" borderId="0"/>
    <xf numFmtId="0" fontId="119"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76" fillId="0" borderId="0">
      <alignment vertical="center"/>
    </xf>
    <xf numFmtId="0" fontId="13" fillId="0" borderId="0"/>
    <xf numFmtId="0" fontId="76" fillId="0" borderId="0">
      <alignment vertical="center"/>
    </xf>
    <xf numFmtId="0" fontId="76" fillId="0" borderId="0">
      <alignment vertical="center"/>
    </xf>
    <xf numFmtId="0" fontId="13" fillId="0" borderId="0"/>
    <xf numFmtId="0" fontId="76" fillId="0" borderId="0">
      <alignment vertical="center"/>
    </xf>
    <xf numFmtId="0" fontId="13" fillId="0" borderId="0">
      <alignment vertical="center"/>
    </xf>
    <xf numFmtId="0" fontId="76" fillId="0" borderId="0">
      <alignment vertical="center"/>
    </xf>
    <xf numFmtId="0" fontId="13" fillId="0" borderId="0">
      <alignment vertical="center"/>
    </xf>
    <xf numFmtId="0" fontId="13" fillId="0" borderId="0"/>
    <xf numFmtId="0" fontId="119"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0"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xf numFmtId="0" fontId="76" fillId="0" borderId="0"/>
    <xf numFmtId="0" fontId="76" fillId="0" borderId="0"/>
    <xf numFmtId="0" fontId="76" fillId="0" borderId="0"/>
    <xf numFmtId="0" fontId="76" fillId="0" borderId="0"/>
    <xf numFmtId="0" fontId="76" fillId="0" borderId="0"/>
    <xf numFmtId="0" fontId="1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117" fillId="0" borderId="0"/>
    <xf numFmtId="0" fontId="117" fillId="0" borderId="0"/>
    <xf numFmtId="0" fontId="76" fillId="0" borderId="0"/>
    <xf numFmtId="0" fontId="76" fillId="0" borderId="0"/>
    <xf numFmtId="0" fontId="13" fillId="0" borderId="0"/>
    <xf numFmtId="0" fontId="76" fillId="0" borderId="0"/>
    <xf numFmtId="0" fontId="76" fillId="0" borderId="0"/>
    <xf numFmtId="0" fontId="76" fillId="0" borderId="0"/>
    <xf numFmtId="0" fontId="76" fillId="0" borderId="0"/>
    <xf numFmtId="0" fontId="76" fillId="0" borderId="0"/>
    <xf numFmtId="0" fontId="76" fillId="0" borderId="0"/>
    <xf numFmtId="0" fontId="120" fillId="0" borderId="0"/>
    <xf numFmtId="0" fontId="76" fillId="0" borderId="0"/>
    <xf numFmtId="0" fontId="76" fillId="0" borderId="0"/>
    <xf numFmtId="0" fontId="76" fillId="0" borderId="0"/>
    <xf numFmtId="0" fontId="76" fillId="0" borderId="0"/>
    <xf numFmtId="0" fontId="120" fillId="0" borderId="0"/>
    <xf numFmtId="0" fontId="76" fillId="0" borderId="0"/>
    <xf numFmtId="0" fontId="76" fillId="0" borderId="0"/>
    <xf numFmtId="0" fontId="76" fillId="0" borderId="0"/>
    <xf numFmtId="0" fontId="76" fillId="0" borderId="0"/>
    <xf numFmtId="0" fontId="117" fillId="0" borderId="0"/>
    <xf numFmtId="0" fontId="117" fillId="0" borderId="0"/>
    <xf numFmtId="0" fontId="76"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xf numFmtId="0" fontId="117" fillId="0" borderId="0"/>
    <xf numFmtId="0" fontId="13" fillId="0" borderId="0"/>
    <xf numFmtId="0" fontId="120" fillId="0" borderId="0"/>
    <xf numFmtId="0" fontId="120" fillId="0" borderId="0"/>
    <xf numFmtId="0" fontId="76" fillId="0" borderId="0"/>
    <xf numFmtId="0" fontId="76" fillId="0" borderId="0"/>
    <xf numFmtId="0" fontId="76" fillId="0" borderId="0"/>
    <xf numFmtId="0" fontId="76" fillId="0" borderId="0"/>
    <xf numFmtId="0" fontId="13" fillId="0" borderId="0"/>
    <xf numFmtId="0" fontId="13" fillId="0" borderId="0"/>
    <xf numFmtId="0" fontId="13" fillId="0" borderId="0"/>
    <xf numFmtId="0" fontId="13" fillId="0" borderId="0"/>
    <xf numFmtId="0" fontId="76" fillId="0" borderId="0"/>
    <xf numFmtId="0" fontId="76" fillId="0" borderId="0"/>
    <xf numFmtId="0" fontId="76"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xf numFmtId="0" fontId="117" fillId="0" borderId="0"/>
    <xf numFmtId="0" fontId="120" fillId="0" borderId="0"/>
    <xf numFmtId="0" fontId="120" fillId="0" borderId="0"/>
    <xf numFmtId="0" fontId="76" fillId="0" borderId="0"/>
    <xf numFmtId="0" fontId="13" fillId="0" borderId="0"/>
    <xf numFmtId="0" fontId="13" fillId="0" borderId="0"/>
    <xf numFmtId="0" fontId="76" fillId="0" borderId="0"/>
    <xf numFmtId="0" fontId="76" fillId="0" borderId="0"/>
    <xf numFmtId="0" fontId="76" fillId="0" borderId="0"/>
    <xf numFmtId="0" fontId="13" fillId="0" borderId="0"/>
    <xf numFmtId="0" fontId="13" fillId="0" borderId="0"/>
    <xf numFmtId="0" fontId="76" fillId="0" borderId="0"/>
    <xf numFmtId="0" fontId="76" fillId="0" borderId="0"/>
    <xf numFmtId="0" fontId="120" fillId="0" borderId="0"/>
    <xf numFmtId="0" fontId="76" fillId="0" borderId="0"/>
    <xf numFmtId="0" fontId="76" fillId="0" borderId="0"/>
    <xf numFmtId="0" fontId="13" fillId="0" borderId="0"/>
    <xf numFmtId="0" fontId="13" fillId="0" borderId="0"/>
    <xf numFmtId="0" fontId="76" fillId="0" borderId="0"/>
    <xf numFmtId="0" fontId="76" fillId="0" borderId="0"/>
    <xf numFmtId="0" fontId="76" fillId="0" borderId="0"/>
    <xf numFmtId="0" fontId="76" fillId="0" borderId="0"/>
    <xf numFmtId="0" fontId="76" fillId="0" borderId="0"/>
    <xf numFmtId="0" fontId="76" fillId="0" borderId="0"/>
    <xf numFmtId="0" fontId="13" fillId="0" borderId="0"/>
    <xf numFmtId="0" fontId="13" fillId="0" borderId="0"/>
    <xf numFmtId="0" fontId="76" fillId="0" borderId="0"/>
    <xf numFmtId="0" fontId="76" fillId="0" borderId="0"/>
    <xf numFmtId="0" fontId="13" fillId="0" borderId="0"/>
    <xf numFmtId="0" fontId="76"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0" fillId="0" borderId="0"/>
    <xf numFmtId="0" fontId="76"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76" fillId="0" borderId="0"/>
    <xf numFmtId="0" fontId="76" fillId="0" borderId="0"/>
    <xf numFmtId="0" fontId="120"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0" fillId="0" borderId="0">
      <alignment vertical="center"/>
    </xf>
    <xf numFmtId="0" fontId="120" fillId="0" borderId="0">
      <alignment vertical="center"/>
    </xf>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3" fillId="0" borderId="0"/>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3" fillId="0" borderId="0"/>
    <xf numFmtId="0" fontId="120"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xf numFmtId="0" fontId="13" fillId="0" borderId="0">
      <alignment vertical="center"/>
    </xf>
    <xf numFmtId="0" fontId="76" fillId="0" borderId="0"/>
    <xf numFmtId="0" fontId="76" fillId="0" borderId="0"/>
    <xf numFmtId="0" fontId="13" fillId="0" borderId="0"/>
    <xf numFmtId="0" fontId="13" fillId="0" borderId="0"/>
    <xf numFmtId="0" fontId="76" fillId="0" borderId="0"/>
    <xf numFmtId="0" fontId="76" fillId="0" borderId="0"/>
    <xf numFmtId="0" fontId="76" fillId="0" borderId="0"/>
    <xf numFmtId="0" fontId="76" fillId="0" borderId="0"/>
    <xf numFmtId="0" fontId="117" fillId="0" borderId="0"/>
    <xf numFmtId="0" fontId="117" fillId="0" borderId="0"/>
    <xf numFmtId="0" fontId="76" fillId="0" borderId="0"/>
    <xf numFmtId="0" fontId="76" fillId="0" borderId="0"/>
    <xf numFmtId="0" fontId="1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117" fillId="0" borderId="0"/>
    <xf numFmtId="0" fontId="117" fillId="0" borderId="0"/>
    <xf numFmtId="0" fontId="76" fillId="0" borderId="0"/>
    <xf numFmtId="0" fontId="76" fillId="0" borderId="0"/>
    <xf numFmtId="0" fontId="13" fillId="0" borderId="0"/>
    <xf numFmtId="0" fontId="13" fillId="0" borderId="0"/>
    <xf numFmtId="0" fontId="76" fillId="0" borderId="0"/>
    <xf numFmtId="0" fontId="76" fillId="0" borderId="0"/>
    <xf numFmtId="0" fontId="76" fillId="0" borderId="0"/>
    <xf numFmtId="0" fontId="76" fillId="0" borderId="0"/>
    <xf numFmtId="0" fontId="117" fillId="0" borderId="0"/>
    <xf numFmtId="0" fontId="117" fillId="0" borderId="0"/>
    <xf numFmtId="0" fontId="76" fillId="0" borderId="0"/>
    <xf numFmtId="0" fontId="76" fillId="0" borderId="0"/>
    <xf numFmtId="0" fontId="120" fillId="0" borderId="0"/>
    <xf numFmtId="0" fontId="76" fillId="0" borderId="0"/>
    <xf numFmtId="0" fontId="76" fillId="0" borderId="0"/>
    <xf numFmtId="0" fontId="76" fillId="0" borderId="0"/>
    <xf numFmtId="0" fontId="76" fillId="0" borderId="0"/>
    <xf numFmtId="0" fontId="120" fillId="0" borderId="0"/>
    <xf numFmtId="0" fontId="76" fillId="0" borderId="0"/>
    <xf numFmtId="0" fontId="76"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xf numFmtId="0" fontId="76" fillId="0" borderId="0"/>
    <xf numFmtId="0" fontId="117" fillId="0" borderId="0"/>
    <xf numFmtId="0" fontId="117"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20"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0"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3" fillId="0" borderId="0"/>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xf numFmtId="0" fontId="76" fillId="0" borderId="0"/>
    <xf numFmtId="0" fontId="117" fillId="0" borderId="0">
      <alignment vertical="center"/>
    </xf>
    <xf numFmtId="0" fontId="117" fillId="0" borderId="0">
      <alignment vertical="center"/>
    </xf>
    <xf numFmtId="0" fontId="76" fillId="0" borderId="0"/>
    <xf numFmtId="0" fontId="76" fillId="0" borderId="0"/>
    <xf numFmtId="0" fontId="13" fillId="0" borderId="0"/>
    <xf numFmtId="0" fontId="13" fillId="0" borderId="0"/>
    <xf numFmtId="0" fontId="117" fillId="0" borderId="0">
      <alignment vertical="center"/>
    </xf>
    <xf numFmtId="0" fontId="117" fillId="0" borderId="0">
      <alignment vertical="center"/>
    </xf>
    <xf numFmtId="0" fontId="13" fillId="0" borderId="0"/>
    <xf numFmtId="0" fontId="117" fillId="0" borderId="0">
      <alignment vertical="center"/>
    </xf>
    <xf numFmtId="0" fontId="117" fillId="0" borderId="0">
      <alignment vertical="center"/>
    </xf>
    <xf numFmtId="0" fontId="13" fillId="0" borderId="0"/>
    <xf numFmtId="0" fontId="13" fillId="0" borderId="0"/>
    <xf numFmtId="0" fontId="76" fillId="0" borderId="0">
      <alignment vertical="center"/>
    </xf>
    <xf numFmtId="0" fontId="13" fillId="0" borderId="0"/>
    <xf numFmtId="0" fontId="13" fillId="0" borderId="0"/>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3" fillId="0" borderId="0"/>
    <xf numFmtId="0" fontId="119" fillId="0" borderId="0"/>
    <xf numFmtId="0" fontId="13" fillId="0" borderId="0"/>
    <xf numFmtId="0" fontId="13" fillId="0" borderId="0"/>
    <xf numFmtId="0" fontId="13" fillId="0" borderId="0"/>
    <xf numFmtId="0" fontId="13" fillId="0" borderId="0"/>
    <xf numFmtId="0" fontId="76" fillId="0" borderId="0">
      <alignment vertical="center"/>
    </xf>
    <xf numFmtId="0" fontId="119" fillId="0" borderId="0"/>
    <xf numFmtId="0" fontId="13" fillId="0" borderId="0"/>
    <xf numFmtId="0" fontId="13" fillId="0" borderId="0"/>
    <xf numFmtId="0" fontId="13" fillId="0" borderId="0"/>
    <xf numFmtId="0" fontId="13" fillId="0" borderId="0"/>
    <xf numFmtId="0" fontId="76" fillId="0" borderId="0">
      <alignment vertical="center"/>
    </xf>
    <xf numFmtId="0" fontId="121" fillId="0" borderId="0">
      <alignment vertical="center"/>
    </xf>
    <xf numFmtId="0" fontId="121" fillId="0" borderId="0">
      <alignment vertical="center"/>
    </xf>
    <xf numFmtId="0" fontId="13" fillId="0" borderId="0"/>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118" fillId="0" borderId="0"/>
    <xf numFmtId="0" fontId="76" fillId="0" borderId="0"/>
    <xf numFmtId="0" fontId="76" fillId="0" borderId="0"/>
    <xf numFmtId="0" fontId="76" fillId="0" borderId="0"/>
    <xf numFmtId="0" fontId="76" fillId="0" borderId="0"/>
    <xf numFmtId="0" fontId="13" fillId="0" borderId="0"/>
    <xf numFmtId="0" fontId="13" fillId="0" borderId="0"/>
    <xf numFmtId="0" fontId="3" fillId="0" borderId="0"/>
    <xf numFmtId="0" fontId="120"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3" fillId="0" borderId="0">
      <alignment vertical="center"/>
    </xf>
    <xf numFmtId="0" fontId="13"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xf numFmtId="0" fontId="76" fillId="0" borderId="0"/>
    <xf numFmtId="0" fontId="76" fillId="0" borderId="0"/>
    <xf numFmtId="0" fontId="76" fillId="0" borderId="0"/>
    <xf numFmtId="0" fontId="13" fillId="0" borderId="0"/>
    <xf numFmtId="0" fontId="13" fillId="0" borderId="0"/>
    <xf numFmtId="0" fontId="117" fillId="0" borderId="0">
      <alignment vertical="center"/>
    </xf>
    <xf numFmtId="0" fontId="117" fillId="0" borderId="0">
      <alignment vertical="center"/>
    </xf>
    <xf numFmtId="0" fontId="13" fillId="0" borderId="0">
      <alignment vertical="center"/>
    </xf>
    <xf numFmtId="0" fontId="13" fillId="0" borderId="0"/>
    <xf numFmtId="0" fontId="3" fillId="0" borderId="0"/>
    <xf numFmtId="0" fontId="117" fillId="0" borderId="0">
      <alignment vertical="center"/>
    </xf>
    <xf numFmtId="0" fontId="117"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xf numFmtId="0" fontId="76" fillId="0" borderId="0"/>
    <xf numFmtId="0" fontId="76" fillId="0" borderId="0"/>
    <xf numFmtId="0" fontId="76" fillId="0" borderId="0"/>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20" fillId="0" borderId="0">
      <alignment vertical="center"/>
    </xf>
    <xf numFmtId="0" fontId="120"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3" fillId="0" borderId="0"/>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20"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117" fillId="0" borderId="0">
      <alignment vertical="center"/>
    </xf>
    <xf numFmtId="0" fontId="117"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0" fillId="0" borderId="0">
      <alignment vertical="center"/>
    </xf>
    <xf numFmtId="0" fontId="76" fillId="0" borderId="0">
      <alignment vertical="center"/>
    </xf>
    <xf numFmtId="0" fontId="76" fillId="0" borderId="0">
      <alignment vertical="center"/>
    </xf>
    <xf numFmtId="0" fontId="76" fillId="0" borderId="0">
      <alignment vertical="center"/>
    </xf>
    <xf numFmtId="0" fontId="12" fillId="0" borderId="0"/>
    <xf numFmtId="0" fontId="12" fillId="0" borderId="0"/>
    <xf numFmtId="0" fontId="12" fillId="0" borderId="0"/>
    <xf numFmtId="0" fontId="12" fillId="0" borderId="0"/>
    <xf numFmtId="0" fontId="13"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alignment vertical="center"/>
    </xf>
    <xf numFmtId="0" fontId="76" fillId="0" borderId="0">
      <alignment vertical="center"/>
    </xf>
    <xf numFmtId="0" fontId="12"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9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76" fillId="0" borderId="0"/>
    <xf numFmtId="0" fontId="7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2" fillId="0" borderId="0" applyNumberFormat="0" applyFill="0" applyBorder="0" applyAlignment="0" applyProtection="0">
      <alignment vertical="top"/>
      <protection locked="0"/>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0"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24" fillId="12" borderId="0" applyNumberFormat="0" applyBorder="0" applyAlignment="0" applyProtection="0">
      <alignment vertical="center"/>
    </xf>
    <xf numFmtId="0" fontId="123" fillId="12" borderId="0" applyNumberFormat="0" applyBorder="0" applyAlignment="0" applyProtection="0">
      <alignment vertical="center"/>
    </xf>
    <xf numFmtId="0" fontId="123"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23"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0"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23"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3"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3"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3" fillId="12" borderId="0" applyNumberFormat="0" applyBorder="0" applyAlignment="0" applyProtection="0">
      <alignment vertical="center"/>
    </xf>
    <xf numFmtId="0" fontId="123" fillId="12"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4"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123" fillId="8"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125" fillId="12" borderId="0" applyNumberFormat="0" applyBorder="0" applyAlignment="0" applyProtection="0">
      <alignment vertical="center"/>
    </xf>
    <xf numFmtId="0" fontId="13" fillId="0" borderId="0"/>
    <xf numFmtId="0" fontId="13" fillId="0" borderId="0"/>
    <xf numFmtId="0" fontId="88" fillId="8" borderId="0" applyNumberFormat="0" applyBorder="0" applyAlignment="0" applyProtection="0">
      <alignment vertical="center"/>
    </xf>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24"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8" borderId="0" applyNumberFormat="0" applyBorder="0" applyAlignment="0" applyProtection="0">
      <alignment vertical="center"/>
    </xf>
    <xf numFmtId="0" fontId="88" fillId="12" borderId="0" applyNumberFormat="0" applyBorder="0" applyAlignment="0" applyProtection="0">
      <alignment vertical="center"/>
    </xf>
    <xf numFmtId="0" fontId="126" fillId="0" borderId="0" applyNumberFormat="0" applyFill="0" applyBorder="0" applyAlignment="0" applyProtection="0">
      <alignment vertical="top"/>
      <protection locked="0"/>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02" fillId="0" borderId="54"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0" borderId="54" applyNumberFormat="0" applyFill="0" applyAlignment="0" applyProtection="0">
      <alignment vertical="center"/>
    </xf>
    <xf numFmtId="0" fontId="102" fillId="0" borderId="54"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8" fillId="0" borderId="54" applyNumberFormat="0" applyFill="0" applyAlignment="0" applyProtection="0">
      <alignment vertical="center"/>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102" fillId="0" borderId="54" applyNumberFormat="0" applyFill="0" applyAlignment="0" applyProtection="0">
      <alignment vertical="center"/>
    </xf>
    <xf numFmtId="0" fontId="88" fillId="0" borderId="54" applyNumberFormat="0" applyFill="0" applyAlignment="0" applyProtection="0">
      <alignment vertical="center"/>
    </xf>
    <xf numFmtId="0" fontId="102" fillId="0" borderId="49" applyNumberFormat="0" applyFill="0" applyAlignment="0" applyProtection="0">
      <alignment vertical="center"/>
    </xf>
    <xf numFmtId="0" fontId="102" fillId="0" borderId="49" applyNumberFormat="0" applyFill="0" applyAlignment="0" applyProtection="0">
      <alignment vertical="center"/>
    </xf>
    <xf numFmtId="0" fontId="13" fillId="0" borderId="0"/>
    <xf numFmtId="0" fontId="13" fillId="0" borderId="0"/>
    <xf numFmtId="0" fontId="102" fillId="0" borderId="54" applyNumberFormat="0" applyFill="0" applyAlignment="0" applyProtection="0">
      <alignment vertical="center"/>
    </xf>
    <xf numFmtId="0" fontId="13" fillId="0" borderId="0"/>
    <xf numFmtId="189" fontId="13" fillId="0" borderId="0" applyFont="0" applyFill="0" applyBorder="0" applyAlignment="0" applyProtection="0"/>
    <xf numFmtId="189" fontId="119"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189" fontId="76" fillId="0" borderId="0" applyFont="0" applyFill="0" applyBorder="0" applyAlignment="0" applyProtection="0">
      <alignment vertical="center"/>
    </xf>
    <xf numFmtId="189" fontId="13" fillId="0" borderId="0" applyFont="0" applyFill="0" applyBorder="0" applyAlignment="0" applyProtection="0"/>
    <xf numFmtId="189" fontId="13" fillId="0" borderId="0" applyFont="0" applyFill="0" applyBorder="0" applyAlignment="0" applyProtection="0"/>
    <xf numFmtId="189" fontId="119" fillId="0" borderId="0" applyFont="0" applyFill="0" applyBorder="0" applyAlignment="0" applyProtection="0">
      <alignment vertical="center"/>
    </xf>
    <xf numFmtId="44" fontId="13" fillId="0" borderId="0" applyFont="0" applyFill="0" applyBorder="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1" fillId="16"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2" fillId="16" borderId="41" applyNumberFormat="0" applyAlignment="0" applyProtection="0">
      <alignment vertical="center"/>
    </xf>
    <xf numFmtId="0" fontId="81" fillId="16"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2" fillId="16" borderId="41" applyNumberFormat="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81" fillId="16" borderId="41" applyNumberFormat="0" applyAlignment="0" applyProtection="0">
      <alignment vertical="center"/>
    </xf>
    <xf numFmtId="0" fontId="102" fillId="16" borderId="41" applyNumberFormat="0" applyAlignment="0" applyProtection="0">
      <alignment vertical="center"/>
    </xf>
    <xf numFmtId="0" fontId="81" fillId="6" borderId="41" applyNumberFormat="0" applyAlignment="0" applyProtection="0">
      <alignment vertical="center"/>
    </xf>
    <xf numFmtId="0" fontId="81" fillId="6" borderId="41" applyNumberFormat="0" applyAlignment="0" applyProtection="0">
      <alignment vertical="center"/>
    </xf>
    <xf numFmtId="0" fontId="13" fillId="0" borderId="0"/>
    <xf numFmtId="0" fontId="13" fillId="0" borderId="0"/>
    <xf numFmtId="0" fontId="81" fillId="16" borderId="41" applyNumberFormat="0" applyAlignment="0" applyProtection="0">
      <alignment vertical="center"/>
    </xf>
    <xf numFmtId="0" fontId="13" fillId="0" borderId="0"/>
    <xf numFmtId="0" fontId="82" fillId="27" borderId="42" applyNumberFormat="0" applyAlignment="0" applyProtection="0">
      <alignment vertical="center"/>
    </xf>
    <xf numFmtId="0" fontId="82" fillId="27" borderId="42" applyNumberFormat="0" applyAlignment="0" applyProtection="0">
      <alignment vertical="center"/>
    </xf>
    <xf numFmtId="0" fontId="82" fillId="27" borderId="42" applyNumberFormat="0" applyAlignment="0" applyProtection="0">
      <alignment vertical="center"/>
    </xf>
    <xf numFmtId="0" fontId="82" fillId="27" borderId="42"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2" fillId="27" borderId="42"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1" fillId="27" borderId="42" applyNumberFormat="0" applyAlignment="0" applyProtection="0">
      <alignment vertical="center"/>
    </xf>
    <xf numFmtId="0" fontId="82" fillId="27" borderId="42"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1" fillId="27" borderId="42" applyNumberFormat="0" applyAlignment="0" applyProtection="0">
      <alignment vertical="center"/>
    </xf>
    <xf numFmtId="0" fontId="82" fillId="27" borderId="42" applyNumberFormat="0" applyAlignment="0" applyProtection="0">
      <alignment vertical="center"/>
    </xf>
    <xf numFmtId="0" fontId="82" fillId="27" borderId="42" applyNumberFormat="0" applyAlignment="0" applyProtection="0">
      <alignment vertical="center"/>
    </xf>
    <xf numFmtId="0" fontId="82" fillId="27" borderId="42" applyNumberFormat="0" applyAlignment="0" applyProtection="0">
      <alignment vertical="center"/>
    </xf>
    <xf numFmtId="0" fontId="82" fillId="27" borderId="42" applyNumberFormat="0" applyAlignment="0" applyProtection="0">
      <alignment vertical="center"/>
    </xf>
    <xf numFmtId="0" fontId="81" fillId="27" borderId="42" applyNumberFormat="0" applyAlignment="0" applyProtection="0">
      <alignment vertical="center"/>
    </xf>
    <xf numFmtId="0" fontId="127" fillId="27" borderId="42" applyNumberFormat="0" applyAlignment="0" applyProtection="0">
      <alignment vertical="center"/>
    </xf>
    <xf numFmtId="0" fontId="127" fillId="27" borderId="42" applyNumberFormat="0" applyAlignment="0" applyProtection="0">
      <alignment vertical="center"/>
    </xf>
    <xf numFmtId="0" fontId="13" fillId="0" borderId="0"/>
    <xf numFmtId="0" fontId="13" fillId="0" borderId="0"/>
    <xf numFmtId="0" fontId="82" fillId="27" borderId="42" applyNumberFormat="0" applyAlignment="0" applyProtection="0">
      <alignment vertical="center"/>
    </xf>
    <xf numFmtId="0" fontId="13" fillId="0" borderId="0"/>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86"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2"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2"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13" fillId="0" borderId="0"/>
    <xf numFmtId="0" fontId="103" fillId="0" borderId="0" applyNumberFormat="0" applyFill="0" applyBorder="0" applyAlignment="0" applyProtection="0">
      <alignment vertical="center"/>
    </xf>
    <xf numFmtId="0" fontId="13" fillId="0" borderId="0"/>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6"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6"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3" fillId="0" borderId="0"/>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3" fillId="0" borderId="46"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0" borderId="46" applyNumberFormat="0" applyFill="0" applyAlignment="0" applyProtection="0">
      <alignment vertical="center"/>
    </xf>
    <xf numFmtId="0" fontId="93" fillId="0" borderId="46"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3" fillId="0" borderId="46" applyNumberFormat="0" applyFill="0" applyAlignment="0" applyProtection="0">
      <alignment vertical="center"/>
    </xf>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93" fillId="0" borderId="46" applyNumberFormat="0" applyFill="0" applyAlignment="0" applyProtection="0">
      <alignment vertical="center"/>
    </xf>
    <xf numFmtId="0" fontId="103" fillId="0" borderId="46" applyNumberFormat="0" applyFill="0" applyAlignment="0" applyProtection="0">
      <alignment vertical="center"/>
    </xf>
    <xf numFmtId="0" fontId="93" fillId="0" borderId="46" applyNumberFormat="0" applyFill="0" applyAlignment="0" applyProtection="0">
      <alignment vertical="center"/>
    </xf>
    <xf numFmtId="0" fontId="13" fillId="0" borderId="0"/>
    <xf numFmtId="0" fontId="3" fillId="0" borderId="0"/>
    <xf numFmtId="0" fontId="16" fillId="0" borderId="0"/>
    <xf numFmtId="41" fontId="10" fillId="0" borderId="0" applyFont="0" applyFill="0" applyBorder="0" applyAlignment="0" applyProtection="0"/>
    <xf numFmtId="43" fontId="10"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13" fillId="0" borderId="0" applyFont="0" applyFill="0" applyBorder="0" applyAlignment="0" applyProtection="0">
      <alignment vertical="center"/>
    </xf>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8" fillId="28" borderId="0" applyNumberFormat="0" applyBorder="0" applyAlignment="0" applyProtection="0">
      <alignment vertical="center"/>
    </xf>
    <xf numFmtId="0" fontId="79" fillId="2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8" borderId="0" applyNumberFormat="0" applyBorder="0" applyAlignment="0" applyProtection="0">
      <alignment vertical="center"/>
    </xf>
    <xf numFmtId="0" fontId="76" fillId="28" borderId="0" applyNumberFormat="0" applyBorder="0" applyAlignment="0" applyProtection="0">
      <alignment vertical="center"/>
    </xf>
    <xf numFmtId="0" fontId="13" fillId="0" borderId="0"/>
    <xf numFmtId="0" fontId="13" fillId="0" borderId="0"/>
    <xf numFmtId="0" fontId="13" fillId="0" borderId="0"/>
    <xf numFmtId="0" fontId="78" fillId="29" borderId="0" applyNumberFormat="0" applyBorder="0" applyAlignment="0" applyProtection="0">
      <alignment vertical="center"/>
    </xf>
    <xf numFmtId="0" fontId="79" fillId="29"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9" borderId="0" applyNumberFormat="0" applyBorder="0" applyAlignment="0" applyProtection="0">
      <alignment vertical="center"/>
    </xf>
    <xf numFmtId="0" fontId="76" fillId="29" borderId="0" applyNumberFormat="0" applyBorder="0" applyAlignment="0" applyProtection="0">
      <alignment vertical="center"/>
    </xf>
    <xf numFmtId="0" fontId="13" fillId="0" borderId="0"/>
    <xf numFmtId="0" fontId="13" fillId="0" borderId="0"/>
    <xf numFmtId="0" fontId="13" fillId="0" borderId="0"/>
    <xf numFmtId="0" fontId="78" fillId="22" borderId="0" applyNumberFormat="0" applyBorder="0" applyAlignment="0" applyProtection="0">
      <alignment vertical="center"/>
    </xf>
    <xf numFmtId="0" fontId="79" fillId="2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2" borderId="0" applyNumberFormat="0" applyBorder="0" applyAlignment="0" applyProtection="0">
      <alignment vertical="center"/>
    </xf>
    <xf numFmtId="0" fontId="76" fillId="22" borderId="0" applyNumberFormat="0" applyBorder="0" applyAlignment="0" applyProtection="0">
      <alignment vertical="center"/>
    </xf>
    <xf numFmtId="0" fontId="13" fillId="0" borderId="0"/>
    <xf numFmtId="0" fontId="13" fillId="0" borderId="0"/>
    <xf numFmtId="0" fontId="13" fillId="0" borderId="0"/>
    <xf numFmtId="0" fontId="78" fillId="24" borderId="0" applyNumberFormat="0" applyBorder="0" applyAlignment="0" applyProtection="0">
      <alignment vertical="center"/>
    </xf>
    <xf numFmtId="0" fontId="79" fillId="30"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4" borderId="0" applyNumberFormat="0" applyBorder="0" applyAlignment="0" applyProtection="0">
      <alignment vertical="center"/>
    </xf>
    <xf numFmtId="0" fontId="76" fillId="24" borderId="0" applyNumberFormat="0" applyBorder="0" applyAlignment="0" applyProtection="0">
      <alignment vertical="center"/>
    </xf>
    <xf numFmtId="0" fontId="13" fillId="0" borderId="0"/>
    <xf numFmtId="0" fontId="13" fillId="0" borderId="0"/>
    <xf numFmtId="0" fontId="13" fillId="0" borderId="0"/>
    <xf numFmtId="0" fontId="78" fillId="21" borderId="0" applyNumberFormat="0" applyBorder="0" applyAlignment="0" applyProtection="0">
      <alignment vertical="center"/>
    </xf>
    <xf numFmtId="0" fontId="79" fillId="21"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1" borderId="0" applyNumberFormat="0" applyBorder="0" applyAlignment="0" applyProtection="0">
      <alignment vertical="center"/>
    </xf>
    <xf numFmtId="0" fontId="76" fillId="21" borderId="0" applyNumberFormat="0" applyBorder="0" applyAlignment="0" applyProtection="0">
      <alignment vertical="center"/>
    </xf>
    <xf numFmtId="0" fontId="13" fillId="0" borderId="0"/>
    <xf numFmtId="0" fontId="13" fillId="0" borderId="0"/>
    <xf numFmtId="0" fontId="13" fillId="0" borderId="0"/>
    <xf numFmtId="0" fontId="78" fillId="26" borderId="0" applyNumberFormat="0" applyBorder="0" applyAlignment="0" applyProtection="0">
      <alignment vertical="center"/>
    </xf>
    <xf numFmtId="0" fontId="79" fillId="26"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26" borderId="0" applyNumberFormat="0" applyBorder="0" applyAlignment="0" applyProtection="0">
      <alignment vertical="center"/>
    </xf>
    <xf numFmtId="0" fontId="76" fillId="26" borderId="0" applyNumberFormat="0" applyBorder="0" applyAlignment="0" applyProtection="0">
      <alignment vertical="center"/>
    </xf>
    <xf numFmtId="0" fontId="13" fillId="0" borderId="0"/>
    <xf numFmtId="0" fontId="13" fillId="0" borderId="0"/>
    <xf numFmtId="0" fontId="13" fillId="0" borderId="0"/>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4" fillId="1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3" fillId="17" borderId="0" applyNumberFormat="0" applyBorder="0" applyAlignment="0" applyProtection="0">
      <alignment vertical="center"/>
    </xf>
    <xf numFmtId="0" fontId="94" fillId="17"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3" fillId="17" borderId="0" applyNumberFormat="0" applyBorder="0" applyAlignment="0" applyProtection="0">
      <alignment vertical="center"/>
    </xf>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94" fillId="17" borderId="0" applyNumberFormat="0" applyBorder="0" applyAlignment="0" applyProtection="0">
      <alignment vertical="center"/>
    </xf>
    <xf numFmtId="0" fontId="93" fillId="17" borderId="0" applyNumberFormat="0" applyBorder="0" applyAlignment="0" applyProtection="0">
      <alignment vertical="center"/>
    </xf>
    <xf numFmtId="0" fontId="94" fillId="17" borderId="0" applyNumberFormat="0" applyBorder="0" applyAlignment="0" applyProtection="0">
      <alignment vertical="center"/>
    </xf>
    <xf numFmtId="0" fontId="13" fillId="0" borderId="0"/>
    <xf numFmtId="0" fontId="97" fillId="16" borderId="48" applyNumberFormat="0" applyAlignment="0" applyProtection="0">
      <alignment vertical="center"/>
    </xf>
    <xf numFmtId="0" fontId="97" fillId="16" borderId="48" applyNumberFormat="0" applyAlignment="0" applyProtection="0">
      <alignment vertical="center"/>
    </xf>
    <xf numFmtId="0" fontId="97" fillId="16" borderId="48" applyNumberFormat="0" applyAlignment="0" applyProtection="0">
      <alignment vertical="center"/>
    </xf>
    <xf numFmtId="0" fontId="97" fillId="1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7" fillId="1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4" fillId="16" borderId="48" applyNumberFormat="0" applyAlignment="0" applyProtection="0">
      <alignment vertical="center"/>
    </xf>
    <xf numFmtId="0" fontId="97" fillId="16" borderId="48"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4" fillId="16" borderId="48" applyNumberFormat="0" applyAlignment="0" applyProtection="0">
      <alignment vertical="center"/>
    </xf>
    <xf numFmtId="0" fontId="97" fillId="16" borderId="48" applyNumberFormat="0" applyAlignment="0" applyProtection="0">
      <alignment vertical="center"/>
    </xf>
    <xf numFmtId="0" fontId="97" fillId="16" borderId="48" applyNumberFormat="0" applyAlignment="0" applyProtection="0">
      <alignment vertical="center"/>
    </xf>
    <xf numFmtId="0" fontId="97" fillId="16" borderId="48" applyNumberFormat="0" applyAlignment="0" applyProtection="0">
      <alignment vertical="center"/>
    </xf>
    <xf numFmtId="0" fontId="97" fillId="16" borderId="48" applyNumberFormat="0" applyAlignment="0" applyProtection="0">
      <alignment vertical="center"/>
    </xf>
    <xf numFmtId="0" fontId="94" fillId="16" borderId="48" applyNumberFormat="0" applyAlignment="0" applyProtection="0">
      <alignment vertical="center"/>
    </xf>
    <xf numFmtId="0" fontId="97" fillId="6" borderId="48" applyNumberFormat="0" applyAlignment="0" applyProtection="0">
      <alignment vertical="center"/>
    </xf>
    <xf numFmtId="0" fontId="97" fillId="6" borderId="48" applyNumberFormat="0" applyAlignment="0" applyProtection="0">
      <alignment vertical="center"/>
    </xf>
    <xf numFmtId="0" fontId="13" fillId="0" borderId="0"/>
    <xf numFmtId="0" fontId="13" fillId="0" borderId="0"/>
    <xf numFmtId="0" fontId="97" fillId="16" borderId="48" applyNumberFormat="0" applyAlignment="0" applyProtection="0">
      <alignment vertical="center"/>
    </xf>
    <xf numFmtId="0" fontId="13" fillId="0" borderId="0"/>
    <xf numFmtId="0" fontId="92" fillId="9" borderId="41" applyNumberFormat="0" applyAlignment="0" applyProtection="0">
      <alignment vertical="center"/>
    </xf>
    <xf numFmtId="0" fontId="92" fillId="9" borderId="41" applyNumberFormat="0" applyAlignment="0" applyProtection="0">
      <alignment vertical="center"/>
    </xf>
    <xf numFmtId="0" fontId="92" fillId="9" borderId="41" applyNumberFormat="0" applyAlignment="0" applyProtection="0">
      <alignment vertical="center"/>
    </xf>
    <xf numFmtId="0" fontId="92" fillId="9"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92" fillId="9"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7" fillId="9" borderId="41" applyNumberFormat="0" applyAlignment="0" applyProtection="0">
      <alignment vertical="center"/>
    </xf>
    <xf numFmtId="0" fontId="92" fillId="9" borderId="41" applyNumberForma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7" fillId="9" borderId="41" applyNumberFormat="0" applyAlignment="0" applyProtection="0">
      <alignment vertical="center"/>
    </xf>
    <xf numFmtId="0" fontId="92" fillId="9" borderId="41" applyNumberFormat="0" applyAlignment="0" applyProtection="0">
      <alignment vertical="center"/>
    </xf>
    <xf numFmtId="0" fontId="92" fillId="9" borderId="41" applyNumberFormat="0" applyAlignment="0" applyProtection="0">
      <alignment vertical="center"/>
    </xf>
    <xf numFmtId="0" fontId="92" fillId="9" borderId="41" applyNumberFormat="0" applyAlignment="0" applyProtection="0">
      <alignment vertical="center"/>
    </xf>
    <xf numFmtId="0" fontId="92" fillId="9" borderId="41" applyNumberFormat="0" applyAlignment="0" applyProtection="0">
      <alignment vertical="center"/>
    </xf>
    <xf numFmtId="0" fontId="97" fillId="9" borderId="41" applyNumberFormat="0" applyAlignment="0" applyProtection="0">
      <alignment vertical="center"/>
    </xf>
    <xf numFmtId="0" fontId="92" fillId="9" borderId="41" applyNumberFormat="0" applyAlignment="0" applyProtection="0">
      <alignment vertical="center"/>
    </xf>
    <xf numFmtId="0" fontId="13" fillId="0" borderId="0"/>
    <xf numFmtId="0" fontId="27" fillId="0" borderId="0"/>
    <xf numFmtId="0" fontId="27" fillId="0" borderId="0"/>
    <xf numFmtId="0" fontId="13" fillId="0" borderId="0"/>
    <xf numFmtId="0" fontId="78" fillId="21" borderId="0" applyNumberFormat="0" applyBorder="0" applyAlignment="0" applyProtection="0">
      <alignment vertical="center"/>
    </xf>
    <xf numFmtId="0" fontId="78" fillId="29" borderId="0" applyNumberFormat="0" applyBorder="0" applyAlignment="0" applyProtection="0">
      <alignment vertical="center"/>
    </xf>
    <xf numFmtId="0" fontId="78" fillId="22" borderId="0" applyNumberFormat="0" applyBorder="0" applyAlignment="0" applyProtection="0">
      <alignment vertical="center"/>
    </xf>
    <xf numFmtId="0" fontId="78" fillId="30" borderId="0" applyNumberFormat="0" applyBorder="0" applyAlignment="0" applyProtection="0">
      <alignment vertical="center"/>
    </xf>
    <xf numFmtId="0" fontId="78" fillId="21" borderId="0" applyNumberFormat="0" applyBorder="0" applyAlignment="0" applyProtection="0">
      <alignment vertical="center"/>
    </xf>
    <xf numFmtId="0" fontId="78" fillId="26" borderId="0" applyNumberFormat="0" applyBorder="0" applyAlignment="0" applyProtection="0">
      <alignment vertical="center"/>
    </xf>
    <xf numFmtId="0" fontId="13" fillId="10" borderId="47" applyNumberFormat="0" applyFont="0" applyAlignment="0" applyProtection="0">
      <alignment vertical="center"/>
    </xf>
    <xf numFmtId="0" fontId="13" fillId="0" borderId="0"/>
    <xf numFmtId="0" fontId="13" fillId="10" borderId="47" applyNumberFormat="0" applyFont="0" applyAlignment="0" applyProtection="0">
      <alignment vertical="center"/>
    </xf>
    <xf numFmtId="0" fontId="13" fillId="10" borderId="47" applyNumberFormat="0" applyFont="0" applyAlignment="0" applyProtection="0">
      <alignment vertical="center"/>
    </xf>
    <xf numFmtId="0" fontId="13" fillId="10" borderId="47"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47"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47"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47" applyNumberFormat="0" applyFont="0" applyAlignment="0" applyProtection="0">
      <alignment vertical="center"/>
    </xf>
    <xf numFmtId="0" fontId="13" fillId="0" borderId="0"/>
    <xf numFmtId="0" fontId="13" fillId="0" borderId="0"/>
    <xf numFmtId="0" fontId="13" fillId="10" borderId="47" applyNumberFormat="0" applyFont="0" applyAlignment="0" applyProtection="0">
      <alignment vertical="center"/>
    </xf>
    <xf numFmtId="0" fontId="13" fillId="10" borderId="47"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47" applyNumberFormat="0" applyFont="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6" fillId="10" borderId="47" applyNumberFormat="0" applyFont="0" applyAlignment="0" applyProtection="0">
      <alignment vertical="center"/>
    </xf>
    <xf numFmtId="0" fontId="76" fillId="10" borderId="47" applyNumberFormat="0" applyFont="0" applyAlignment="0" applyProtection="0">
      <alignment vertical="center"/>
    </xf>
    <xf numFmtId="0" fontId="13" fillId="0" borderId="0"/>
    <xf numFmtId="0" fontId="13" fillId="0" borderId="0"/>
    <xf numFmtId="0" fontId="13" fillId="10" borderId="47" applyNumberFormat="0" applyFont="0" applyAlignment="0" applyProtection="0">
      <alignment vertical="center"/>
    </xf>
    <xf numFmtId="0" fontId="13" fillId="0" borderId="0"/>
  </cellStyleXfs>
  <cellXfs count="467">
    <xf numFmtId="0" fontId="0" fillId="0" borderId="0" xfId="0">
      <alignment vertical="center"/>
    </xf>
    <xf numFmtId="176" fontId="4" fillId="0" borderId="0" xfId="1" applyNumberFormat="1" applyFont="1" applyAlignment="1">
      <alignment horizontal="center" vertical="center"/>
    </xf>
    <xf numFmtId="176" fontId="6" fillId="0" borderId="0" xfId="1" applyNumberFormat="1" applyFont="1" applyAlignment="1">
      <alignment horizontal="center" vertical="center"/>
    </xf>
    <xf numFmtId="0" fontId="3" fillId="0" borderId="0" xfId="1" applyAlignment="1">
      <alignment vertical="center"/>
    </xf>
    <xf numFmtId="0" fontId="3" fillId="0" borderId="0" xfId="1" applyAlignment="1">
      <alignment horizontal="center" vertical="center"/>
    </xf>
    <xf numFmtId="176" fontId="9" fillId="0" borderId="0" xfId="1" applyNumberFormat="1" applyFont="1" applyAlignment="1">
      <alignment vertical="center"/>
    </xf>
    <xf numFmtId="176" fontId="3" fillId="0" borderId="0" xfId="1" applyNumberFormat="1" applyAlignment="1">
      <alignment vertical="center"/>
    </xf>
    <xf numFmtId="177" fontId="3" fillId="0" borderId="0" xfId="1" applyNumberFormat="1" applyAlignment="1">
      <alignment horizontal="center" vertical="center"/>
    </xf>
    <xf numFmtId="0" fontId="10" fillId="0" borderId="0" xfId="1" applyFont="1" applyAlignment="1">
      <alignment vertical="center"/>
    </xf>
    <xf numFmtId="176" fontId="9" fillId="0" borderId="0" xfId="1" applyNumberFormat="1" applyFont="1" applyAlignment="1">
      <alignment horizontal="right" vertical="center"/>
    </xf>
    <xf numFmtId="0" fontId="10" fillId="0" borderId="1" xfId="2" applyFont="1" applyBorder="1" applyAlignment="1">
      <alignment horizontal="center" vertical="center"/>
    </xf>
    <xf numFmtId="0" fontId="10" fillId="0" borderId="2" xfId="2" applyFont="1" applyBorder="1" applyAlignment="1">
      <alignment horizontal="center" vertical="center"/>
    </xf>
    <xf numFmtId="0" fontId="10" fillId="0" borderId="3" xfId="2" applyFont="1" applyBorder="1" applyAlignment="1">
      <alignment horizontal="center"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26" fontId="10" fillId="0" borderId="6" xfId="2" applyNumberFormat="1" applyFont="1" applyBorder="1" applyAlignment="1">
      <alignment horizontal="center" vertical="center"/>
    </xf>
    <xf numFmtId="26" fontId="10" fillId="0" borderId="3" xfId="2" applyNumberFormat="1" applyFont="1" applyBorder="1" applyAlignment="1">
      <alignment horizontal="center" vertical="center"/>
    </xf>
    <xf numFmtId="178" fontId="10" fillId="0" borderId="2" xfId="3" applyNumberFormat="1" applyFont="1" applyBorder="1" applyAlignment="1">
      <alignment horizontal="center" vertical="center" shrinkToFit="1"/>
    </xf>
    <xf numFmtId="0" fontId="13" fillId="0" borderId="0" xfId="4" applyFont="1" applyAlignment="1">
      <alignment horizontal="center" vertical="center"/>
    </xf>
    <xf numFmtId="0" fontId="3" fillId="0" borderId="0" xfId="4" applyAlignment="1">
      <alignment horizontal="center" vertical="center"/>
    </xf>
    <xf numFmtId="0" fontId="14" fillId="0" borderId="0" xfId="1" applyFont="1" applyAlignment="1">
      <alignment horizontal="center" vertical="center"/>
    </xf>
    <xf numFmtId="0" fontId="14" fillId="0" borderId="0" xfId="1" applyFont="1" applyAlignment="1">
      <alignment vertical="center"/>
    </xf>
    <xf numFmtId="0" fontId="10" fillId="0" borderId="7" xfId="2" applyFont="1" applyBorder="1" applyAlignment="1">
      <alignment horizontal="center" vertical="top"/>
    </xf>
    <xf numFmtId="0" fontId="10" fillId="0" borderId="8" xfId="2" applyFont="1" applyBorder="1" applyAlignment="1">
      <alignment horizontal="center" vertical="top"/>
    </xf>
    <xf numFmtId="178" fontId="10" fillId="0" borderId="9" xfId="2" applyNumberFormat="1" applyFont="1" applyBorder="1" applyAlignment="1">
      <alignment horizontal="center" vertical="center"/>
    </xf>
    <xf numFmtId="178" fontId="10" fillId="0" borderId="9" xfId="2" applyNumberFormat="1" applyFont="1" applyBorder="1" applyAlignment="1">
      <alignment horizontal="center" vertical="center" wrapText="1"/>
    </xf>
    <xf numFmtId="26" fontId="10" fillId="0" borderId="9" xfId="2" applyNumberFormat="1" applyFont="1" applyBorder="1" applyAlignment="1">
      <alignment horizontal="center" vertical="center"/>
    </xf>
    <xf numFmtId="0" fontId="10" fillId="0" borderId="8" xfId="2" applyFont="1" applyBorder="1" applyAlignment="1">
      <alignment horizontal="center" vertical="center" wrapText="1"/>
    </xf>
    <xf numFmtId="178" fontId="10" fillId="0" borderId="8" xfId="3" applyNumberFormat="1" applyFont="1" applyBorder="1" applyAlignment="1">
      <alignment horizontal="center" vertical="top" shrinkToFit="1"/>
    </xf>
    <xf numFmtId="0" fontId="12" fillId="0" borderId="0" xfId="4" applyFont="1" applyAlignment="1">
      <alignment vertical="center"/>
    </xf>
    <xf numFmtId="0" fontId="12" fillId="0" borderId="0" xfId="4" applyFont="1" applyAlignment="1">
      <alignment horizontal="center" vertical="center"/>
    </xf>
    <xf numFmtId="0" fontId="15" fillId="0" borderId="10" xfId="1" applyFont="1" applyBorder="1" applyAlignment="1">
      <alignment horizontal="center" vertical="center"/>
    </xf>
    <xf numFmtId="0" fontId="15" fillId="0" borderId="11" xfId="5" quotePrefix="1" applyFont="1" applyBorder="1" applyAlignment="1">
      <alignment horizontal="left" vertical="center"/>
    </xf>
    <xf numFmtId="176" fontId="17" fillId="0" borderId="12" xfId="1" applyNumberFormat="1" applyFont="1" applyBorder="1" applyAlignment="1">
      <alignment vertical="center"/>
    </xf>
    <xf numFmtId="0" fontId="17" fillId="0" borderId="12" xfId="1" applyFont="1" applyBorder="1" applyAlignment="1">
      <alignment horizontal="center" vertical="center"/>
    </xf>
    <xf numFmtId="177" fontId="17" fillId="0" borderId="12" xfId="1" applyNumberFormat="1" applyFont="1" applyBorder="1" applyAlignment="1">
      <alignment horizontal="center" vertical="center"/>
    </xf>
    <xf numFmtId="176" fontId="17" fillId="0" borderId="11" xfId="4" applyNumberFormat="1" applyFont="1" applyBorder="1" applyAlignment="1">
      <alignment horizontal="center" vertical="center"/>
    </xf>
    <xf numFmtId="0" fontId="9" fillId="0" borderId="0" xfId="1" applyFont="1" applyAlignment="1">
      <alignment vertical="center"/>
    </xf>
    <xf numFmtId="0" fontId="9" fillId="0" borderId="0" xfId="1" applyFont="1" applyAlignment="1">
      <alignment horizontal="center" vertical="center"/>
    </xf>
    <xf numFmtId="176" fontId="9" fillId="0" borderId="12" xfId="1" applyNumberFormat="1" applyFont="1" applyBorder="1" applyAlignment="1">
      <alignment vertical="center"/>
    </xf>
    <xf numFmtId="0" fontId="9" fillId="0" borderId="12" xfId="1" applyFont="1" applyBorder="1" applyAlignment="1">
      <alignment horizontal="center" vertical="center"/>
    </xf>
    <xf numFmtId="177" fontId="9" fillId="0" borderId="12" xfId="1" applyNumberFormat="1" applyFont="1" applyBorder="1" applyAlignment="1">
      <alignment horizontal="center" vertical="center"/>
    </xf>
    <xf numFmtId="179" fontId="9" fillId="0" borderId="0" xfId="1" applyNumberFormat="1" applyFont="1" applyAlignment="1">
      <alignment vertical="center"/>
    </xf>
    <xf numFmtId="0" fontId="9" fillId="0" borderId="10" xfId="1" quotePrefix="1" applyFont="1" applyBorder="1" applyAlignment="1">
      <alignment horizontal="center" vertical="center"/>
    </xf>
    <xf numFmtId="0" fontId="12" fillId="0" borderId="11" xfId="1" applyFont="1" applyBorder="1" applyAlignment="1">
      <alignment vertical="center"/>
    </xf>
    <xf numFmtId="0" fontId="9" fillId="0" borderId="12" xfId="1" applyFont="1" applyBorder="1" applyAlignment="1">
      <alignment vertical="center"/>
    </xf>
    <xf numFmtId="176" fontId="9" fillId="0" borderId="11" xfId="4" applyNumberFormat="1" applyFont="1" applyBorder="1" applyAlignment="1">
      <alignment horizontal="center" vertical="center"/>
    </xf>
    <xf numFmtId="0" fontId="18" fillId="0" borderId="0" xfId="1" applyFont="1" applyAlignment="1">
      <alignment horizontal="center" vertical="center"/>
    </xf>
    <xf numFmtId="0" fontId="15" fillId="0" borderId="11" xfId="1" applyFont="1" applyBorder="1" applyAlignment="1">
      <alignment vertical="center"/>
    </xf>
    <xf numFmtId="1" fontId="17" fillId="0" borderId="12" xfId="1" applyNumberFormat="1" applyFont="1" applyBorder="1" applyAlignment="1">
      <alignment horizontal="center" vertical="center"/>
    </xf>
    <xf numFmtId="2" fontId="17" fillId="0" borderId="0" xfId="1" applyNumberFormat="1" applyFont="1" applyAlignment="1">
      <alignment vertical="center"/>
    </xf>
    <xf numFmtId="176" fontId="17" fillId="0" borderId="0" xfId="1" applyNumberFormat="1" applyFont="1" applyAlignment="1">
      <alignment horizontal="center" vertical="center"/>
    </xf>
    <xf numFmtId="0" fontId="9" fillId="0" borderId="11" xfId="1" applyFont="1" applyBorder="1" applyAlignment="1">
      <alignment vertical="center"/>
    </xf>
    <xf numFmtId="176" fontId="9" fillId="0" borderId="11" xfId="1" applyNumberFormat="1" applyFont="1" applyBorder="1" applyAlignment="1">
      <alignment vertical="center"/>
    </xf>
    <xf numFmtId="176" fontId="18" fillId="0" borderId="0" xfId="1" applyNumberFormat="1" applyFont="1" applyAlignment="1">
      <alignment vertical="center"/>
    </xf>
    <xf numFmtId="10" fontId="9" fillId="0" borderId="0" xfId="6" applyNumberFormat="1" applyFont="1" applyFill="1" applyBorder="1" applyAlignment="1">
      <alignment vertical="center"/>
    </xf>
    <xf numFmtId="180" fontId="15" fillId="0" borderId="10" xfId="1" applyNumberFormat="1" applyFont="1" applyBorder="1" applyAlignment="1">
      <alignment horizontal="center" vertical="center"/>
    </xf>
    <xf numFmtId="0" fontId="15" fillId="0" borderId="11" xfId="1" applyFont="1" applyBorder="1" applyAlignment="1">
      <alignment horizontal="left" vertical="center"/>
    </xf>
    <xf numFmtId="176" fontId="3" fillId="0" borderId="12" xfId="1" applyNumberFormat="1" applyBorder="1" applyAlignment="1">
      <alignment vertical="center"/>
    </xf>
    <xf numFmtId="0" fontId="3" fillId="0" borderId="12" xfId="1" applyBorder="1" applyAlignment="1">
      <alignment horizontal="center" vertical="center"/>
    </xf>
    <xf numFmtId="177" fontId="3" fillId="0" borderId="12" xfId="1" applyNumberFormat="1" applyBorder="1" applyAlignment="1">
      <alignment horizontal="center" vertical="center"/>
    </xf>
    <xf numFmtId="0" fontId="3" fillId="0" borderId="12" xfId="1" applyBorder="1" applyAlignment="1">
      <alignment vertical="center"/>
    </xf>
    <xf numFmtId="179" fontId="18" fillId="0" borderId="10" xfId="1" applyNumberFormat="1" applyFont="1" applyBorder="1" applyAlignment="1">
      <alignment horizontal="center" vertical="center"/>
    </xf>
    <xf numFmtId="0" fontId="12" fillId="0" borderId="11" xfId="5" applyFont="1" applyBorder="1" applyAlignment="1">
      <alignment horizontal="left" vertical="center"/>
    </xf>
    <xf numFmtId="0" fontId="19" fillId="0" borderId="12" xfId="1" applyFont="1" applyBorder="1" applyAlignment="1">
      <alignment horizontal="center" vertical="center"/>
    </xf>
    <xf numFmtId="2" fontId="9" fillId="0" borderId="11" xfId="5" applyNumberFormat="1" applyFont="1" applyBorder="1" applyAlignment="1">
      <alignment horizontal="left" vertical="center"/>
    </xf>
    <xf numFmtId="179" fontId="9" fillId="0" borderId="10" xfId="1" applyNumberFormat="1" applyFont="1" applyBorder="1" applyAlignment="1">
      <alignment horizontal="center" vertical="center"/>
    </xf>
    <xf numFmtId="0" fontId="18" fillId="0" borderId="12" xfId="1" applyFont="1" applyBorder="1" applyAlignment="1">
      <alignment horizontal="center" vertical="center"/>
    </xf>
    <xf numFmtId="181" fontId="9" fillId="0" borderId="10" xfId="1" applyNumberFormat="1" applyFont="1" applyBorder="1" applyAlignment="1">
      <alignment horizontal="center" vertical="center"/>
    </xf>
    <xf numFmtId="2" fontId="20" fillId="0" borderId="11" xfId="5" applyNumberFormat="1" applyFont="1" applyBorder="1" applyAlignment="1">
      <alignment horizontal="left" vertical="center"/>
    </xf>
    <xf numFmtId="0" fontId="21" fillId="0" borderId="0" xfId="1" applyFont="1" applyAlignment="1">
      <alignment horizontal="left" vertical="center"/>
    </xf>
    <xf numFmtId="1" fontId="21" fillId="0" borderId="0" xfId="1" applyNumberFormat="1" applyFont="1" applyAlignment="1">
      <alignment vertical="center"/>
    </xf>
    <xf numFmtId="0" fontId="24" fillId="0" borderId="0" xfId="1" applyFont="1" applyAlignment="1">
      <alignment vertical="center"/>
    </xf>
    <xf numFmtId="2" fontId="25" fillId="0" borderId="13" xfId="5" applyNumberFormat="1" applyFont="1" applyBorder="1" applyAlignment="1">
      <alignment horizontal="left" vertical="center"/>
    </xf>
    <xf numFmtId="178" fontId="9" fillId="0" borderId="0" xfId="1" applyNumberFormat="1" applyFont="1" applyAlignment="1">
      <alignment horizontal="center" vertical="center"/>
    </xf>
    <xf numFmtId="178" fontId="21" fillId="0" borderId="0" xfId="1" applyNumberFormat="1" applyFont="1" applyAlignment="1">
      <alignment horizontal="center" vertical="center"/>
    </xf>
    <xf numFmtId="0" fontId="21" fillId="0" borderId="0" xfId="1" applyFont="1" applyAlignment="1">
      <alignment vertical="center"/>
    </xf>
    <xf numFmtId="2" fontId="9" fillId="0" borderId="14" xfId="5" applyNumberFormat="1" applyFont="1" applyBorder="1" applyAlignment="1">
      <alignment horizontal="left" vertical="center"/>
    </xf>
    <xf numFmtId="0" fontId="12" fillId="0" borderId="11" xfId="5" applyFont="1" applyBorder="1" applyAlignment="1">
      <alignment horizontal="left" vertical="center" wrapText="1"/>
    </xf>
    <xf numFmtId="2" fontId="9" fillId="0" borderId="8" xfId="5" applyNumberFormat="1" applyFont="1" applyBorder="1" applyAlignment="1">
      <alignment horizontal="left" vertical="center"/>
    </xf>
    <xf numFmtId="180" fontId="9" fillId="0" borderId="12" xfId="1" applyNumberFormat="1" applyFont="1" applyBorder="1" applyAlignment="1">
      <alignment vertical="center"/>
    </xf>
    <xf numFmtId="0" fontId="3" fillId="0" borderId="11" xfId="1" applyBorder="1" applyAlignment="1">
      <alignment vertical="center"/>
    </xf>
    <xf numFmtId="0" fontId="12" fillId="2" borderId="11" xfId="5" applyFont="1" applyFill="1" applyBorder="1" applyAlignment="1">
      <alignment horizontal="left" vertical="center"/>
    </xf>
    <xf numFmtId="176" fontId="9" fillId="2" borderId="12" xfId="1" applyNumberFormat="1" applyFont="1" applyFill="1" applyBorder="1" applyAlignment="1">
      <alignment vertical="center"/>
    </xf>
    <xf numFmtId="0" fontId="18" fillId="0" borderId="11" xfId="5" applyFont="1" applyBorder="1" applyAlignment="1">
      <alignment horizontal="left" vertical="center"/>
    </xf>
    <xf numFmtId="2" fontId="9" fillId="0" borderId="11" xfId="7" applyNumberFormat="1" applyFont="1" applyBorder="1" applyAlignment="1">
      <alignment horizontal="left" vertical="center"/>
    </xf>
    <xf numFmtId="0" fontId="28" fillId="2" borderId="0" xfId="1" applyFont="1" applyFill="1" applyAlignment="1">
      <alignment vertical="center"/>
    </xf>
    <xf numFmtId="178" fontId="9" fillId="0" borderId="0" xfId="1" applyNumberFormat="1" applyFont="1" applyAlignment="1">
      <alignment horizontal="left" vertical="center"/>
    </xf>
    <xf numFmtId="179" fontId="3" fillId="0" borderId="12" xfId="1" applyNumberFormat="1" applyBorder="1" applyAlignment="1">
      <alignment horizontal="center" vertical="center"/>
    </xf>
    <xf numFmtId="179" fontId="9" fillId="0" borderId="12" xfId="1" applyNumberFormat="1" applyFont="1" applyBorder="1" applyAlignment="1">
      <alignment horizontal="center" vertical="center"/>
    </xf>
    <xf numFmtId="179" fontId="9" fillId="2" borderId="12" xfId="1" applyNumberFormat="1" applyFont="1" applyFill="1" applyBorder="1" applyAlignment="1">
      <alignment vertical="center"/>
    </xf>
    <xf numFmtId="179" fontId="29" fillId="2" borderId="12" xfId="1" applyNumberFormat="1" applyFont="1" applyFill="1" applyBorder="1" applyAlignment="1">
      <alignment horizontal="center" vertical="center"/>
    </xf>
    <xf numFmtId="2" fontId="9" fillId="0" borderId="11" xfId="5" applyNumberFormat="1" applyFont="1" applyBorder="1" applyAlignment="1">
      <alignment horizontal="left" vertical="center" wrapText="1"/>
    </xf>
    <xf numFmtId="0" fontId="30" fillId="0" borderId="0" xfId="1" applyFont="1" applyAlignment="1">
      <alignment vertical="center"/>
    </xf>
    <xf numFmtId="0" fontId="31" fillId="0" borderId="0" xfId="1" applyFont="1" applyAlignment="1">
      <alignment horizontal="center" vertical="center"/>
    </xf>
    <xf numFmtId="0" fontId="31" fillId="0" borderId="0" xfId="1" applyFont="1" applyAlignment="1">
      <alignment vertical="center"/>
    </xf>
    <xf numFmtId="0" fontId="32" fillId="0" borderId="0" xfId="0" applyFont="1">
      <alignment vertical="center"/>
    </xf>
    <xf numFmtId="0" fontId="12" fillId="3" borderId="11" xfId="5" applyFont="1" applyFill="1" applyBorder="1" applyAlignment="1">
      <alignment horizontal="left" vertical="center"/>
    </xf>
    <xf numFmtId="0" fontId="33" fillId="0" borderId="0" xfId="0" applyFont="1">
      <alignment vertical="center"/>
    </xf>
    <xf numFmtId="2" fontId="12" fillId="0" borderId="11" xfId="5" applyNumberFormat="1" applyFont="1" applyBorder="1" applyAlignment="1">
      <alignment horizontal="left" vertical="center"/>
    </xf>
    <xf numFmtId="0" fontId="12" fillId="0" borderId="12" xfId="1" applyFont="1" applyBorder="1" applyAlignment="1">
      <alignment horizontal="center" vertical="center"/>
    </xf>
    <xf numFmtId="176" fontId="9" fillId="0" borderId="12" xfId="1" applyNumberFormat="1" applyFont="1" applyBorder="1" applyAlignment="1">
      <alignment horizontal="center" vertical="center"/>
    </xf>
    <xf numFmtId="1" fontId="14" fillId="0" borderId="11" xfId="8" applyNumberFormat="1" applyFont="1" applyBorder="1" applyAlignment="1">
      <alignment horizontal="left" vertical="center" wrapText="1" shrinkToFit="1"/>
    </xf>
    <xf numFmtId="0" fontId="12" fillId="0" borderId="0" xfId="9" applyFont="1" applyAlignment="1">
      <alignment horizontal="left" wrapText="1"/>
    </xf>
    <xf numFmtId="0" fontId="12" fillId="0" borderId="0" xfId="9" applyFont="1"/>
    <xf numFmtId="0" fontId="15" fillId="0" borderId="0" xfId="9" applyFont="1" applyAlignment="1">
      <alignment horizontal="left" wrapText="1"/>
    </xf>
    <xf numFmtId="0" fontId="12" fillId="3" borderId="11" xfId="5" applyFont="1" applyFill="1" applyBorder="1" applyAlignment="1">
      <alignment horizontal="left" vertical="center" wrapText="1"/>
    </xf>
    <xf numFmtId="179" fontId="9" fillId="0" borderId="12" xfId="1" applyNumberFormat="1" applyFont="1" applyBorder="1" applyAlignment="1">
      <alignment vertical="center"/>
    </xf>
    <xf numFmtId="0" fontId="29" fillId="0" borderId="0" xfId="1" applyFont="1" applyAlignment="1">
      <alignment vertical="center"/>
    </xf>
    <xf numFmtId="180" fontId="17" fillId="0" borderId="10" xfId="1" applyNumberFormat="1" applyFont="1" applyBorder="1" applyAlignment="1">
      <alignment horizontal="center" vertical="center"/>
    </xf>
    <xf numFmtId="177" fontId="36" fillId="0" borderId="12" xfId="1" applyNumberFormat="1" applyFont="1" applyBorder="1" applyAlignment="1">
      <alignment horizontal="center" vertical="center"/>
    </xf>
    <xf numFmtId="0" fontId="36" fillId="0" borderId="12" xfId="1" applyFont="1" applyBorder="1" applyAlignment="1">
      <alignment vertical="center"/>
    </xf>
    <xf numFmtId="2" fontId="15" fillId="0" borderId="11" xfId="5" applyNumberFormat="1" applyFont="1" applyBorder="1" applyAlignment="1">
      <alignment horizontal="left" vertical="center"/>
    </xf>
    <xf numFmtId="0" fontId="36" fillId="0" borderId="0" xfId="1" applyFont="1" applyAlignment="1">
      <alignment vertical="center"/>
    </xf>
    <xf numFmtId="182" fontId="9" fillId="0" borderId="11" xfId="5" applyNumberFormat="1" applyFont="1" applyBorder="1" applyAlignment="1">
      <alignment horizontal="left" vertical="center"/>
    </xf>
    <xf numFmtId="176" fontId="36" fillId="0" borderId="12" xfId="1" applyNumberFormat="1" applyFont="1" applyBorder="1" applyAlignment="1">
      <alignment vertical="center"/>
    </xf>
    <xf numFmtId="0" fontId="17" fillId="0" borderId="10" xfId="2" applyFont="1" applyBorder="1" applyAlignment="1">
      <alignment horizontal="center" vertical="center"/>
    </xf>
    <xf numFmtId="2" fontId="17" fillId="0" borderId="11" xfId="5" applyNumberFormat="1" applyFont="1" applyBorder="1" applyAlignment="1">
      <alignment horizontal="left" vertical="center"/>
    </xf>
    <xf numFmtId="0" fontId="37" fillId="0" borderId="0" xfId="1" applyFont="1" applyAlignment="1">
      <alignment vertical="center"/>
    </xf>
    <xf numFmtId="10" fontId="36" fillId="2" borderId="0" xfId="1" applyNumberFormat="1" applyFont="1" applyFill="1" applyAlignment="1">
      <alignment horizontal="center" vertical="center"/>
    </xf>
    <xf numFmtId="0" fontId="14" fillId="0" borderId="12" xfId="10" applyFont="1" applyBorder="1" applyAlignment="1">
      <alignment horizontal="center" vertical="center"/>
    </xf>
    <xf numFmtId="2" fontId="38" fillId="2" borderId="12" xfId="10" applyNumberFormat="1" applyFont="1" applyFill="1" applyBorder="1" applyAlignment="1">
      <alignment horizontal="right" vertical="center"/>
    </xf>
    <xf numFmtId="9" fontId="14" fillId="0" borderId="12" xfId="10" applyNumberFormat="1" applyFont="1" applyBorder="1" applyAlignment="1">
      <alignment horizontal="center" vertical="center"/>
    </xf>
    <xf numFmtId="0" fontId="14" fillId="0" borderId="12" xfId="10" applyFont="1" applyBorder="1" applyAlignment="1">
      <alignment vertical="center"/>
    </xf>
    <xf numFmtId="176" fontId="17" fillId="2" borderId="12" xfId="1" applyNumberFormat="1" applyFont="1" applyFill="1" applyBorder="1" applyAlignment="1">
      <alignment vertical="center"/>
    </xf>
    <xf numFmtId="2" fontId="3" fillId="0" borderId="12" xfId="10" applyNumberFormat="1" applyFont="1" applyBorder="1" applyAlignment="1">
      <alignment horizontal="center" vertical="center"/>
    </xf>
    <xf numFmtId="1" fontId="3" fillId="0" borderId="12" xfId="10" applyNumberFormat="1" applyFont="1" applyBorder="1" applyAlignment="1">
      <alignment horizontal="center" vertical="center"/>
    </xf>
    <xf numFmtId="2" fontId="14" fillId="0" borderId="12" xfId="10" applyNumberFormat="1" applyFont="1" applyBorder="1" applyAlignment="1">
      <alignment vertical="center"/>
    </xf>
    <xf numFmtId="0" fontId="36" fillId="0" borderId="12" xfId="1" applyFont="1" applyBorder="1" applyAlignment="1">
      <alignment horizontal="center" vertical="center"/>
    </xf>
    <xf numFmtId="180" fontId="9" fillId="0" borderId="10" xfId="1" applyNumberFormat="1" applyFont="1" applyBorder="1" applyAlignment="1">
      <alignment horizontal="center" vertical="center"/>
    </xf>
    <xf numFmtId="0" fontId="9" fillId="0" borderId="11" xfId="5" applyFont="1" applyBorder="1" applyAlignment="1">
      <alignment horizontal="left" vertical="center"/>
    </xf>
    <xf numFmtId="0" fontId="17" fillId="0" borderId="11" xfId="1" applyFont="1" applyBorder="1" applyAlignment="1">
      <alignment vertical="center"/>
    </xf>
    <xf numFmtId="180" fontId="15" fillId="0" borderId="15" xfId="1" applyNumberFormat="1" applyFont="1" applyBorder="1" applyAlignment="1">
      <alignment horizontal="center" vertical="center"/>
    </xf>
    <xf numFmtId="0" fontId="15" fillId="0" borderId="16" xfId="1" applyFont="1" applyBorder="1" applyAlignment="1">
      <alignment horizontal="left" vertical="center"/>
    </xf>
    <xf numFmtId="176" fontId="9" fillId="0" borderId="17" xfId="1" applyNumberFormat="1" applyFont="1" applyBorder="1" applyAlignment="1">
      <alignment vertical="center"/>
    </xf>
    <xf numFmtId="176" fontId="3" fillId="0" borderId="17" xfId="1" applyNumberFormat="1" applyBorder="1" applyAlignment="1">
      <alignment vertical="center"/>
    </xf>
    <xf numFmtId="0" fontId="3" fillId="0" borderId="17" xfId="1" applyBorder="1" applyAlignment="1">
      <alignment horizontal="center" vertical="center"/>
    </xf>
    <xf numFmtId="177" fontId="3" fillId="0" borderId="17" xfId="1" applyNumberFormat="1" applyBorder="1" applyAlignment="1">
      <alignment horizontal="center" vertical="center"/>
    </xf>
    <xf numFmtId="0" fontId="3" fillId="0" borderId="17" xfId="1" applyBorder="1" applyAlignment="1">
      <alignment vertical="center"/>
    </xf>
    <xf numFmtId="0" fontId="17" fillId="0" borderId="16" xfId="1" applyFont="1" applyBorder="1" applyAlignment="1">
      <alignment vertical="center"/>
    </xf>
    <xf numFmtId="0" fontId="13" fillId="0" borderId="0" xfId="11"/>
    <xf numFmtId="0" fontId="42" fillId="0" borderId="0" xfId="11" applyFont="1" applyAlignment="1">
      <alignment horizontal="center" vertical="center"/>
    </xf>
    <xf numFmtId="0" fontId="10" fillId="0" borderId="1" xfId="2" applyFont="1" applyBorder="1" applyAlignment="1">
      <alignment horizontal="center" vertical="center" wrapText="1"/>
    </xf>
    <xf numFmtId="0" fontId="12" fillId="0" borderId="11" xfId="5" applyFont="1" applyBorder="1" applyAlignment="1">
      <alignment horizontal="center" vertical="center"/>
    </xf>
    <xf numFmtId="2" fontId="12" fillId="0" borderId="11" xfId="5" applyNumberFormat="1" applyFont="1" applyBorder="1" applyAlignment="1">
      <alignment horizontal="right" vertical="center"/>
    </xf>
    <xf numFmtId="0" fontId="13" fillId="0" borderId="0" xfId="11" applyAlignment="1">
      <alignment vertical="center"/>
    </xf>
    <xf numFmtId="1" fontId="22" fillId="0" borderId="18" xfId="11" applyNumberFormat="1" applyFont="1" applyBorder="1" applyAlignment="1">
      <alignment horizontal="left" vertical="center"/>
    </xf>
    <xf numFmtId="0" fontId="43" fillId="0" borderId="19" xfId="11" applyFont="1" applyBorder="1" applyAlignment="1">
      <alignment vertical="center"/>
    </xf>
    <xf numFmtId="1" fontId="22" fillId="0" borderId="19" xfId="11" applyNumberFormat="1" applyFont="1" applyBorder="1" applyAlignment="1">
      <alignment horizontal="left" vertical="center"/>
    </xf>
    <xf numFmtId="0" fontId="43" fillId="0" borderId="20" xfId="11" applyFont="1" applyBorder="1" applyAlignment="1">
      <alignment vertical="center"/>
    </xf>
    <xf numFmtId="0" fontId="43" fillId="0" borderId="0" xfId="11" applyFont="1" applyAlignment="1">
      <alignment vertical="center"/>
    </xf>
    <xf numFmtId="1" fontId="12" fillId="0" borderId="11" xfId="5" applyNumberFormat="1" applyFont="1" applyBorder="1" applyAlignment="1">
      <alignment horizontal="center" vertical="center"/>
    </xf>
    <xf numFmtId="2" fontId="12" fillId="0" borderId="13" xfId="5" applyNumberFormat="1" applyFont="1" applyBorder="1" applyAlignment="1">
      <alignment horizontal="left" vertical="center"/>
    </xf>
    <xf numFmtId="0" fontId="22" fillId="0" borderId="19" xfId="11" applyFont="1" applyBorder="1" applyAlignment="1">
      <alignment vertical="center"/>
    </xf>
    <xf numFmtId="2" fontId="12" fillId="0" borderId="14" xfId="5" applyNumberFormat="1" applyFont="1" applyBorder="1" applyAlignment="1">
      <alignment horizontal="left" vertical="center"/>
    </xf>
    <xf numFmtId="2" fontId="12" fillId="0" borderId="8" xfId="5" applyNumberFormat="1" applyFont="1" applyBorder="1" applyAlignment="1">
      <alignment horizontal="left" vertical="center"/>
    </xf>
    <xf numFmtId="2" fontId="12" fillId="0" borderId="11" xfId="5" applyNumberFormat="1" applyFont="1" applyBorder="1" applyAlignment="1">
      <alignment horizontal="center" vertical="center"/>
    </xf>
    <xf numFmtId="181" fontId="17" fillId="0" borderId="10" xfId="1" applyNumberFormat="1" applyFont="1" applyBorder="1" applyAlignment="1">
      <alignment horizontal="center" vertical="center"/>
    </xf>
    <xf numFmtId="0" fontId="15" fillId="0" borderId="11" xfId="5" applyFont="1" applyBorder="1" applyAlignment="1">
      <alignment horizontal="left" vertical="center"/>
    </xf>
    <xf numFmtId="0" fontId="37" fillId="0" borderId="12" xfId="11" applyFont="1" applyBorder="1" applyAlignment="1">
      <alignment vertical="center"/>
    </xf>
    <xf numFmtId="2" fontId="15" fillId="0" borderId="11" xfId="5" applyNumberFormat="1" applyFont="1" applyBorder="1" applyAlignment="1">
      <alignment horizontal="right" vertical="center"/>
    </xf>
    <xf numFmtId="0" fontId="13" fillId="0" borderId="0" xfId="12"/>
    <xf numFmtId="0" fontId="44" fillId="0" borderId="13" xfId="13" applyFont="1" applyBorder="1" applyAlignment="1">
      <alignment horizontal="left" vertical="center"/>
    </xf>
    <xf numFmtId="0" fontId="9" fillId="0" borderId="21" xfId="1" applyFont="1" applyBorder="1" applyAlignment="1">
      <alignment vertical="center"/>
    </xf>
    <xf numFmtId="2" fontId="45" fillId="0" borderId="21" xfId="1" applyNumberFormat="1" applyFont="1" applyBorder="1" applyAlignment="1">
      <alignment vertical="center"/>
    </xf>
    <xf numFmtId="0" fontId="13" fillId="0" borderId="21" xfId="12" applyBorder="1"/>
    <xf numFmtId="0" fontId="9" fillId="0" borderId="22" xfId="1" applyFont="1" applyBorder="1" applyAlignment="1">
      <alignment vertical="center"/>
    </xf>
    <xf numFmtId="0" fontId="12" fillId="0" borderId="14" xfId="1" applyFont="1" applyBorder="1" applyAlignment="1">
      <alignment vertical="center"/>
    </xf>
    <xf numFmtId="176" fontId="17" fillId="0" borderId="0" xfId="13" applyNumberFormat="1" applyFont="1" applyAlignment="1">
      <alignment vertical="center"/>
    </xf>
    <xf numFmtId="0" fontId="9" fillId="0" borderId="0" xfId="13" applyFont="1" applyAlignment="1">
      <alignment vertical="center"/>
    </xf>
    <xf numFmtId="0" fontId="9" fillId="0" borderId="23" xfId="13" applyFont="1" applyBorder="1" applyAlignment="1">
      <alignment vertical="center"/>
    </xf>
    <xf numFmtId="0" fontId="9" fillId="0" borderId="14" xfId="13" applyFont="1" applyBorder="1" applyAlignment="1">
      <alignment vertical="center"/>
    </xf>
    <xf numFmtId="0" fontId="46" fillId="0" borderId="0" xfId="12" applyFont="1"/>
    <xf numFmtId="0" fontId="47" fillId="0" borderId="0" xfId="12" applyFont="1" applyAlignment="1">
      <alignment horizontal="center" vertical="center"/>
    </xf>
    <xf numFmtId="0" fontId="12" fillId="0" borderId="14" xfId="13" applyFont="1" applyBorder="1" applyAlignment="1">
      <alignment vertical="center"/>
    </xf>
    <xf numFmtId="10" fontId="9" fillId="0" borderId="0" xfId="14" applyNumberFormat="1" applyFont="1" applyFill="1" applyBorder="1" applyAlignment="1">
      <alignment vertical="center"/>
    </xf>
    <xf numFmtId="10" fontId="9" fillId="0" borderId="23" xfId="13" applyNumberFormat="1" applyFont="1" applyBorder="1" applyAlignment="1">
      <alignment vertical="center"/>
    </xf>
    <xf numFmtId="2" fontId="9" fillId="0" borderId="0" xfId="13" applyNumberFormat="1" applyFont="1" applyAlignment="1">
      <alignment vertical="center"/>
    </xf>
    <xf numFmtId="0" fontId="48" fillId="0" borderId="8" xfId="13" applyFont="1" applyBorder="1" applyAlignment="1">
      <alignment vertical="center"/>
    </xf>
    <xf numFmtId="2" fontId="49" fillId="0" borderId="24" xfId="13" applyNumberFormat="1" applyFont="1" applyBorder="1" applyAlignment="1">
      <alignment vertical="center"/>
    </xf>
    <xf numFmtId="2" fontId="45" fillId="0" borderId="24" xfId="13" applyNumberFormat="1" applyFont="1" applyBorder="1" applyAlignment="1">
      <alignment vertical="center"/>
    </xf>
    <xf numFmtId="2" fontId="45" fillId="2" borderId="7" xfId="13" applyNumberFormat="1" applyFont="1" applyFill="1" applyBorder="1" applyAlignment="1">
      <alignment vertical="center"/>
    </xf>
    <xf numFmtId="0" fontId="48" fillId="0" borderId="0" xfId="13" applyFont="1" applyAlignment="1">
      <alignment vertical="center"/>
    </xf>
    <xf numFmtId="2" fontId="49" fillId="0" borderId="0" xfId="13" applyNumberFormat="1" applyFont="1" applyAlignment="1">
      <alignment vertical="center"/>
    </xf>
    <xf numFmtId="2" fontId="45" fillId="0" borderId="0" xfId="13" applyNumberFormat="1" applyFont="1" applyAlignment="1">
      <alignment vertical="center"/>
    </xf>
    <xf numFmtId="2" fontId="45" fillId="2" borderId="0" xfId="13" applyNumberFormat="1" applyFont="1" applyFill="1" applyAlignment="1">
      <alignment vertical="center"/>
    </xf>
    <xf numFmtId="0" fontId="50" fillId="0" borderId="21" xfId="1" applyFont="1" applyBorder="1" applyAlignment="1">
      <alignment horizontal="right" vertical="center"/>
    </xf>
    <xf numFmtId="0" fontId="17" fillId="0" borderId="21" xfId="1" applyFont="1" applyBorder="1" applyAlignment="1">
      <alignment vertical="center"/>
    </xf>
    <xf numFmtId="0" fontId="13" fillId="0" borderId="22" xfId="12" applyBorder="1"/>
    <xf numFmtId="177" fontId="17" fillId="0" borderId="0" xfId="13" applyNumberFormat="1" applyFont="1" applyAlignment="1">
      <alignment vertical="center"/>
    </xf>
    <xf numFmtId="0" fontId="18" fillId="0" borderId="0" xfId="13" applyFont="1" applyAlignment="1">
      <alignment vertical="center"/>
    </xf>
    <xf numFmtId="0" fontId="13" fillId="0" borderId="23" xfId="12" applyBorder="1"/>
    <xf numFmtId="0" fontId="9" fillId="0" borderId="23" xfId="1" applyFont="1" applyBorder="1" applyAlignment="1">
      <alignment vertical="center"/>
    </xf>
    <xf numFmtId="10" fontId="3" fillId="0" borderId="0" xfId="6" applyNumberFormat="1" applyFont="1" applyFill="1" applyBorder="1" applyAlignment="1">
      <alignment vertical="center"/>
    </xf>
    <xf numFmtId="183" fontId="9" fillId="0" borderId="23" xfId="14" applyNumberFormat="1" applyFont="1" applyFill="1" applyBorder="1" applyAlignment="1">
      <alignment vertical="center"/>
    </xf>
    <xf numFmtId="2" fontId="3" fillId="0" borderId="0" xfId="15" applyNumberFormat="1" applyFont="1">
      <alignment vertical="center"/>
    </xf>
    <xf numFmtId="2" fontId="9" fillId="0" borderId="23" xfId="13" applyNumberFormat="1" applyFont="1" applyBorder="1" applyAlignment="1">
      <alignment vertical="center"/>
    </xf>
    <xf numFmtId="2" fontId="9" fillId="0" borderId="23" xfId="1" applyNumberFormat="1" applyFont="1" applyBorder="1" applyAlignment="1">
      <alignment vertical="center"/>
    </xf>
    <xf numFmtId="0" fontId="46" fillId="0" borderId="24" xfId="12" applyFont="1" applyBorder="1"/>
    <xf numFmtId="176" fontId="13" fillId="0" borderId="0" xfId="12" applyNumberFormat="1"/>
    <xf numFmtId="0" fontId="37" fillId="0" borderId="0" xfId="12" applyFont="1"/>
    <xf numFmtId="2" fontId="13" fillId="0" borderId="0" xfId="12" applyNumberFormat="1" applyAlignment="1">
      <alignment horizontal="left"/>
    </xf>
    <xf numFmtId="0" fontId="51" fillId="2" borderId="0" xfId="12" applyFont="1" applyFill="1"/>
    <xf numFmtId="0" fontId="13" fillId="0" borderId="0" xfId="12" applyAlignment="1">
      <alignment horizontal="right"/>
    </xf>
    <xf numFmtId="0" fontId="52" fillId="0" borderId="13" xfId="15" applyFont="1" applyBorder="1" applyAlignment="1">
      <alignment horizontal="left" vertical="center"/>
    </xf>
    <xf numFmtId="0" fontId="3" fillId="0" borderId="21" xfId="1" applyBorder="1" applyAlignment="1">
      <alignment vertical="center"/>
    </xf>
    <xf numFmtId="2" fontId="53" fillId="0" borderId="21" xfId="1" applyNumberFormat="1" applyFont="1" applyBorder="1" applyAlignment="1">
      <alignment vertical="center"/>
    </xf>
    <xf numFmtId="0" fontId="54" fillId="0" borderId="21" xfId="1" applyFont="1" applyBorder="1" applyAlignment="1">
      <alignment horizontal="right" vertical="center"/>
    </xf>
    <xf numFmtId="0" fontId="36" fillId="0" borderId="21" xfId="1" applyFont="1" applyBorder="1" applyAlignment="1">
      <alignment vertical="center"/>
    </xf>
    <xf numFmtId="0" fontId="3" fillId="0" borderId="22" xfId="1" applyBorder="1" applyAlignment="1">
      <alignment vertical="center"/>
    </xf>
    <xf numFmtId="0" fontId="13" fillId="0" borderId="14" xfId="1" applyFont="1" applyBorder="1" applyAlignment="1">
      <alignment vertical="center"/>
    </xf>
    <xf numFmtId="179" fontId="36" fillId="0" borderId="0" xfId="15" applyNumberFormat="1" applyFont="1">
      <alignment vertical="center"/>
    </xf>
    <xf numFmtId="0" fontId="3" fillId="0" borderId="0" xfId="15" applyFont="1">
      <alignment vertical="center"/>
    </xf>
    <xf numFmtId="0" fontId="3" fillId="0" borderId="23" xfId="15" applyFont="1" applyBorder="1">
      <alignment vertical="center"/>
    </xf>
    <xf numFmtId="0" fontId="3" fillId="0" borderId="14" xfId="15" applyFont="1" applyBorder="1">
      <alignment vertical="center"/>
    </xf>
    <xf numFmtId="0" fontId="13" fillId="0" borderId="14" xfId="15" applyFont="1" applyBorder="1">
      <alignment vertical="center"/>
    </xf>
    <xf numFmtId="183" fontId="3" fillId="0" borderId="0" xfId="6" applyNumberFormat="1" applyFont="1" applyFill="1" applyBorder="1" applyAlignment="1">
      <alignment vertical="center"/>
    </xf>
    <xf numFmtId="10" fontId="3" fillId="0" borderId="23" xfId="15" applyNumberFormat="1" applyFont="1" applyBorder="1">
      <alignment vertical="center"/>
    </xf>
    <xf numFmtId="0" fontId="3" fillId="0" borderId="8" xfId="15" applyFont="1" applyBorder="1">
      <alignment vertical="center"/>
    </xf>
    <xf numFmtId="2" fontId="53" fillId="0" borderId="24" xfId="15" applyNumberFormat="1" applyFont="1" applyBorder="1">
      <alignment vertical="center"/>
    </xf>
    <xf numFmtId="0" fontId="3" fillId="0" borderId="7" xfId="1" applyBorder="1" applyAlignment="1">
      <alignment vertical="center"/>
    </xf>
    <xf numFmtId="0" fontId="55" fillId="4" borderId="0" xfId="12" applyFont="1" applyFill="1"/>
    <xf numFmtId="0" fontId="56" fillId="4" borderId="13" xfId="15" applyFont="1" applyFill="1" applyBorder="1" applyAlignment="1">
      <alignment horizontal="left" vertical="center"/>
    </xf>
    <xf numFmtId="0" fontId="57" fillId="4" borderId="21" xfId="1" applyFont="1" applyFill="1" applyBorder="1" applyAlignment="1">
      <alignment vertical="center"/>
    </xf>
    <xf numFmtId="2" fontId="58" fillId="4" borderId="21" xfId="1" applyNumberFormat="1" applyFont="1" applyFill="1" applyBorder="1" applyAlignment="1">
      <alignment vertical="center"/>
    </xf>
    <xf numFmtId="0" fontId="55" fillId="4" borderId="21" xfId="1" applyFont="1" applyFill="1" applyBorder="1" applyAlignment="1">
      <alignment horizontal="right" vertical="center"/>
    </xf>
    <xf numFmtId="0" fontId="58" fillId="4" borderId="21" xfId="1" applyFont="1" applyFill="1" applyBorder="1" applyAlignment="1">
      <alignment vertical="center"/>
    </xf>
    <xf numFmtId="0" fontId="55" fillId="4" borderId="22" xfId="12" applyFont="1" applyFill="1" applyBorder="1"/>
    <xf numFmtId="0" fontId="59" fillId="4" borderId="14" xfId="1" applyFont="1" applyFill="1" applyBorder="1" applyAlignment="1">
      <alignment vertical="center"/>
    </xf>
    <xf numFmtId="177" fontId="58" fillId="4" borderId="0" xfId="15" applyNumberFormat="1" applyFont="1" applyFill="1">
      <alignment vertical="center"/>
    </xf>
    <xf numFmtId="0" fontId="57" fillId="4" borderId="0" xfId="15" applyFont="1" applyFill="1">
      <alignment vertical="center"/>
    </xf>
    <xf numFmtId="0" fontId="57" fillId="4" borderId="0" xfId="1" applyFont="1" applyFill="1" applyAlignment="1">
      <alignment vertical="center"/>
    </xf>
    <xf numFmtId="0" fontId="55" fillId="4" borderId="23" xfId="12" applyFont="1" applyFill="1" applyBorder="1"/>
    <xf numFmtId="0" fontId="60" fillId="4" borderId="0" xfId="12" applyFont="1" applyFill="1" applyAlignment="1">
      <alignment horizontal="center" vertical="center"/>
    </xf>
    <xf numFmtId="0" fontId="57" fillId="4" borderId="14" xfId="15" applyFont="1" applyFill="1" applyBorder="1">
      <alignment vertical="center"/>
    </xf>
    <xf numFmtId="0" fontId="57" fillId="4" borderId="23" xfId="1" applyFont="1" applyFill="1" applyBorder="1" applyAlignment="1">
      <alignment vertical="center"/>
    </xf>
    <xf numFmtId="0" fontId="55" fillId="4" borderId="14" xfId="15" applyFont="1" applyFill="1" applyBorder="1">
      <alignment vertical="center"/>
    </xf>
    <xf numFmtId="10" fontId="57" fillId="4" borderId="0" xfId="6" applyNumberFormat="1" applyFont="1" applyFill="1" applyBorder="1" applyAlignment="1">
      <alignment vertical="center"/>
    </xf>
    <xf numFmtId="10" fontId="57" fillId="4" borderId="23" xfId="6" applyNumberFormat="1" applyFont="1" applyFill="1" applyBorder="1" applyAlignment="1">
      <alignment vertical="center"/>
    </xf>
    <xf numFmtId="2" fontId="57" fillId="4" borderId="0" xfId="15" applyNumberFormat="1" applyFont="1" applyFill="1">
      <alignment vertical="center"/>
    </xf>
    <xf numFmtId="2" fontId="57" fillId="4" borderId="23" xfId="15" applyNumberFormat="1" applyFont="1" applyFill="1" applyBorder="1">
      <alignment vertical="center"/>
    </xf>
    <xf numFmtId="2" fontId="57" fillId="4" borderId="0" xfId="1" applyNumberFormat="1" applyFont="1" applyFill="1" applyAlignment="1">
      <alignment vertical="center"/>
    </xf>
    <xf numFmtId="2" fontId="57" fillId="4" borderId="23" xfId="1" applyNumberFormat="1" applyFont="1" applyFill="1" applyBorder="1" applyAlignment="1">
      <alignment vertical="center"/>
    </xf>
    <xf numFmtId="0" fontId="57" fillId="4" borderId="8" xfId="15" applyFont="1" applyFill="1" applyBorder="1">
      <alignment vertical="center"/>
    </xf>
    <xf numFmtId="2" fontId="58" fillId="4" borderId="24" xfId="15" applyNumberFormat="1" applyFont="1" applyFill="1" applyBorder="1">
      <alignment vertical="center"/>
    </xf>
    <xf numFmtId="2" fontId="58" fillId="4" borderId="7" xfId="15" applyNumberFormat="1" applyFont="1" applyFill="1" applyBorder="1">
      <alignment vertical="center"/>
    </xf>
    <xf numFmtId="2" fontId="58" fillId="4" borderId="0" xfId="15" applyNumberFormat="1" applyFont="1" applyFill="1">
      <alignment vertical="center"/>
    </xf>
    <xf numFmtId="0" fontId="13" fillId="0" borderId="23" xfId="12" applyBorder="1" applyAlignment="1">
      <alignment horizontal="center" vertical="center" wrapText="1"/>
    </xf>
    <xf numFmtId="177" fontId="36" fillId="0" borderId="0" xfId="15" applyNumberFormat="1" applyFont="1">
      <alignment vertical="center"/>
    </xf>
    <xf numFmtId="0" fontId="3" fillId="0" borderId="23" xfId="1" applyBorder="1" applyAlignment="1">
      <alignment vertical="center"/>
    </xf>
    <xf numFmtId="10" fontId="3" fillId="0" borderId="23" xfId="6" applyNumberFormat="1" applyFont="1" applyFill="1" applyBorder="1" applyAlignment="1">
      <alignment vertical="center"/>
    </xf>
    <xf numFmtId="2" fontId="3" fillId="0" borderId="23" xfId="15" applyNumberFormat="1" applyFont="1" applyBorder="1">
      <alignment vertical="center"/>
    </xf>
    <xf numFmtId="2" fontId="3" fillId="0" borderId="0" xfId="1" applyNumberFormat="1" applyAlignment="1">
      <alignment vertical="center"/>
    </xf>
    <xf numFmtId="2" fontId="3" fillId="0" borderId="23" xfId="1" applyNumberFormat="1" applyBorder="1" applyAlignment="1">
      <alignment vertical="center"/>
    </xf>
    <xf numFmtId="2" fontId="61" fillId="0" borderId="24" xfId="15" applyNumberFormat="1" applyFont="1" applyBorder="1">
      <alignment vertical="center"/>
    </xf>
    <xf numFmtId="2" fontId="53" fillId="2" borderId="7" xfId="15" applyNumberFormat="1" applyFont="1" applyFill="1" applyBorder="1">
      <alignment vertical="center"/>
    </xf>
    <xf numFmtId="183" fontId="3" fillId="0" borderId="23" xfId="6" applyNumberFormat="1" applyFont="1" applyFill="1" applyBorder="1" applyAlignment="1">
      <alignment vertical="center"/>
    </xf>
    <xf numFmtId="2" fontId="53" fillId="2" borderId="24" xfId="15" applyNumberFormat="1" applyFont="1" applyFill="1" applyBorder="1">
      <alignment vertical="center"/>
    </xf>
    <xf numFmtId="0" fontId="57" fillId="4" borderId="21" xfId="1" applyFont="1" applyFill="1" applyBorder="1" applyAlignment="1">
      <alignment horizontal="center" vertical="center"/>
    </xf>
    <xf numFmtId="2" fontId="58" fillId="4" borderId="21" xfId="1" applyNumberFormat="1" applyFont="1" applyFill="1" applyBorder="1" applyAlignment="1">
      <alignment horizontal="center" vertical="center"/>
    </xf>
    <xf numFmtId="0" fontId="57" fillId="4" borderId="22" xfId="1" applyFont="1" applyFill="1" applyBorder="1" applyAlignment="1">
      <alignment vertical="center"/>
    </xf>
    <xf numFmtId="0" fontId="55" fillId="4" borderId="14" xfId="12" applyFont="1" applyFill="1" applyBorder="1"/>
    <xf numFmtId="0" fontId="55" fillId="4" borderId="14" xfId="1" applyFont="1" applyFill="1" applyBorder="1" applyAlignment="1">
      <alignment vertical="center"/>
    </xf>
    <xf numFmtId="1" fontId="58" fillId="4" borderId="0" xfId="15" applyNumberFormat="1" applyFont="1" applyFill="1" applyAlignment="1">
      <alignment horizontal="center" vertical="center"/>
    </xf>
    <xf numFmtId="0" fontId="57" fillId="4" borderId="0" xfId="15" applyFont="1" applyFill="1" applyAlignment="1">
      <alignment horizontal="center" vertical="center"/>
    </xf>
    <xf numFmtId="0" fontId="57" fillId="4" borderId="23" xfId="15" applyFont="1" applyFill="1" applyBorder="1">
      <alignment vertical="center"/>
    </xf>
    <xf numFmtId="0" fontId="2" fillId="4" borderId="14" xfId="15" applyFont="1" applyFill="1" applyBorder="1">
      <alignment vertical="center"/>
    </xf>
    <xf numFmtId="10" fontId="57" fillId="4" borderId="0" xfId="6" applyNumberFormat="1" applyFont="1" applyFill="1" applyBorder="1" applyAlignment="1">
      <alignment horizontal="center" vertical="center"/>
    </xf>
    <xf numFmtId="183" fontId="57" fillId="4" borderId="0" xfId="6" applyNumberFormat="1" applyFont="1" applyFill="1" applyBorder="1" applyAlignment="1">
      <alignment vertical="center"/>
    </xf>
    <xf numFmtId="2" fontId="57" fillId="4" borderId="0" xfId="15" applyNumberFormat="1" applyFont="1" applyFill="1" applyAlignment="1">
      <alignment horizontal="center" vertical="center"/>
    </xf>
    <xf numFmtId="2" fontId="58" fillId="4" borderId="0" xfId="15" applyNumberFormat="1" applyFont="1" applyFill="1" applyAlignment="1">
      <alignment horizontal="center" vertical="center"/>
    </xf>
    <xf numFmtId="2" fontId="58" fillId="4" borderId="24" xfId="15" applyNumberFormat="1" applyFont="1" applyFill="1" applyBorder="1" applyAlignment="1">
      <alignment horizontal="center" vertical="center"/>
    </xf>
    <xf numFmtId="0" fontId="57" fillId="4" borderId="0" xfId="12" applyFont="1" applyFill="1"/>
    <xf numFmtId="0" fontId="3" fillId="0" borderId="0" xfId="12" applyFont="1"/>
    <xf numFmtId="0" fontId="31" fillId="2" borderId="0" xfId="15" applyFont="1" applyFill="1">
      <alignment vertical="center"/>
    </xf>
    <xf numFmtId="2" fontId="61" fillId="0" borderId="0" xfId="15" applyNumberFormat="1" applyFont="1" applyAlignment="1">
      <alignment horizontal="center" vertical="center"/>
    </xf>
    <xf numFmtId="2" fontId="53" fillId="0" borderId="0" xfId="15" applyNumberFormat="1" applyFont="1" applyAlignment="1">
      <alignment horizontal="center" vertical="center"/>
    </xf>
    <xf numFmtId="2" fontId="53" fillId="0" borderId="0" xfId="15" applyNumberFormat="1" applyFont="1">
      <alignment vertical="center"/>
    </xf>
    <xf numFmtId="176" fontId="3" fillId="2" borderId="0" xfId="12" applyNumberFormat="1" applyFont="1" applyFill="1"/>
    <xf numFmtId="0" fontId="3" fillId="0" borderId="13" xfId="12" applyFont="1" applyBorder="1"/>
    <xf numFmtId="0" fontId="3" fillId="0" borderId="21" xfId="12" applyFont="1" applyBorder="1"/>
    <xf numFmtId="0" fontId="3" fillId="0" borderId="22" xfId="12" applyFont="1" applyBorder="1"/>
    <xf numFmtId="0" fontId="3" fillId="0" borderId="14" xfId="12" applyFont="1" applyBorder="1"/>
    <xf numFmtId="183" fontId="3" fillId="0" borderId="0" xfId="12" applyNumberFormat="1" applyFont="1"/>
    <xf numFmtId="183" fontId="3" fillId="0" borderId="23" xfId="12" applyNumberFormat="1" applyFont="1" applyBorder="1"/>
    <xf numFmtId="0" fontId="3" fillId="0" borderId="23" xfId="12" applyFont="1" applyBorder="1"/>
    <xf numFmtId="0" fontId="3" fillId="0" borderId="8" xfId="12" applyFont="1" applyBorder="1"/>
    <xf numFmtId="0" fontId="3" fillId="0" borderId="24" xfId="12" applyFont="1" applyBorder="1"/>
    <xf numFmtId="0" fontId="3" fillId="0" borderId="7" xfId="12" applyFont="1" applyBorder="1"/>
    <xf numFmtId="2" fontId="3" fillId="2" borderId="0" xfId="12" applyNumberFormat="1" applyFont="1" applyFill="1"/>
    <xf numFmtId="1" fontId="62" fillId="2" borderId="11" xfId="8" applyNumberFormat="1" applyFont="1" applyFill="1" applyBorder="1" applyAlignment="1">
      <alignment horizontal="left" vertical="center" shrinkToFit="1"/>
    </xf>
    <xf numFmtId="0" fontId="13" fillId="0" borderId="0" xfId="9"/>
    <xf numFmtId="0" fontId="13" fillId="0" borderId="13" xfId="9" applyBorder="1"/>
    <xf numFmtId="0" fontId="13" fillId="0" borderId="21" xfId="9" applyBorder="1"/>
    <xf numFmtId="0" fontId="13" fillId="0" borderId="22" xfId="9" applyBorder="1"/>
    <xf numFmtId="0" fontId="13" fillId="0" borderId="14" xfId="9" applyBorder="1"/>
    <xf numFmtId="183" fontId="13" fillId="0" borderId="0" xfId="9" applyNumberFormat="1"/>
    <xf numFmtId="183" fontId="13" fillId="0" borderId="23" xfId="9" applyNumberFormat="1" applyBorder="1"/>
    <xf numFmtId="0" fontId="13" fillId="0" borderId="23" xfId="9" applyBorder="1"/>
    <xf numFmtId="0" fontId="13" fillId="0" borderId="8" xfId="9" applyBorder="1"/>
    <xf numFmtId="0" fontId="13" fillId="0" borderId="24" xfId="9" applyBorder="1"/>
    <xf numFmtId="176" fontId="3" fillId="2" borderId="21" xfId="12" applyNumberFormat="1" applyFont="1" applyFill="1" applyBorder="1"/>
    <xf numFmtId="0" fontId="18" fillId="0" borderId="21" xfId="1" applyFont="1" applyBorder="1" applyAlignment="1">
      <alignment vertical="center"/>
    </xf>
    <xf numFmtId="0" fontId="29" fillId="0" borderId="21" xfId="1" applyFont="1" applyBorder="1" applyAlignment="1">
      <alignment vertical="center"/>
    </xf>
    <xf numFmtId="2" fontId="45" fillId="0" borderId="7" xfId="13" applyNumberFormat="1" applyFont="1" applyBorder="1" applyAlignment="1">
      <alignment vertical="center"/>
    </xf>
    <xf numFmtId="0" fontId="44" fillId="0" borderId="13" xfId="13" applyFont="1" applyBorder="1" applyAlignment="1">
      <alignment horizontal="left" vertical="center" wrapText="1"/>
    </xf>
    <xf numFmtId="0" fontId="55" fillId="4" borderId="21" xfId="12" applyFont="1" applyFill="1" applyBorder="1"/>
    <xf numFmtId="179" fontId="58" fillId="4" borderId="0" xfId="15" applyNumberFormat="1" applyFont="1" applyFill="1">
      <alignment vertical="center"/>
    </xf>
    <xf numFmtId="10" fontId="57" fillId="4" borderId="23" xfId="15" applyNumberFormat="1" applyFont="1" applyFill="1" applyBorder="1">
      <alignment vertical="center"/>
    </xf>
    <xf numFmtId="0" fontId="57" fillId="4" borderId="7" xfId="1" applyFont="1" applyFill="1" applyBorder="1" applyAlignment="1">
      <alignment vertical="center"/>
    </xf>
    <xf numFmtId="0" fontId="55" fillId="5" borderId="0" xfId="12" applyFont="1" applyFill="1"/>
    <xf numFmtId="0" fontId="57" fillId="5" borderId="0" xfId="15" applyFont="1" applyFill="1">
      <alignment vertical="center"/>
    </xf>
    <xf numFmtId="2" fontId="58" fillId="5" borderId="0" xfId="15" applyNumberFormat="1" applyFont="1" applyFill="1">
      <alignment vertical="center"/>
    </xf>
    <xf numFmtId="0" fontId="57" fillId="5" borderId="0" xfId="1" applyFont="1" applyFill="1" applyAlignment="1">
      <alignment vertical="center"/>
    </xf>
    <xf numFmtId="0" fontId="63" fillId="2" borderId="0" xfId="12" applyFont="1" applyFill="1"/>
    <xf numFmtId="2" fontId="13" fillId="0" borderId="0" xfId="12" applyNumberFormat="1"/>
    <xf numFmtId="2" fontId="53" fillId="0" borderId="7" xfId="15" applyNumberFormat="1" applyFont="1" applyBorder="1">
      <alignment vertical="center"/>
    </xf>
    <xf numFmtId="0" fontId="63" fillId="2" borderId="0" xfId="9" applyFont="1" applyFill="1" applyAlignment="1">
      <alignment horizontal="center"/>
    </xf>
    <xf numFmtId="0" fontId="64" fillId="0" borderId="13" xfId="9" applyFont="1" applyBorder="1"/>
    <xf numFmtId="0" fontId="64" fillId="0" borderId="21" xfId="9" applyFont="1" applyBorder="1"/>
    <xf numFmtId="0" fontId="13" fillId="0" borderId="21" xfId="9" applyBorder="1" applyAlignment="1">
      <alignment horizontal="right"/>
    </xf>
    <xf numFmtId="176" fontId="13" fillId="0" borderId="0" xfId="9" applyNumberFormat="1"/>
    <xf numFmtId="0" fontId="12" fillId="0" borderId="23" xfId="9" applyFont="1" applyBorder="1"/>
    <xf numFmtId="10" fontId="0" fillId="0" borderId="0" xfId="16" applyNumberFormat="1" applyFont="1" applyFill="1" applyBorder="1"/>
    <xf numFmtId="10" fontId="0" fillId="0" borderId="23" xfId="16" applyNumberFormat="1" applyFont="1" applyFill="1" applyBorder="1"/>
    <xf numFmtId="180" fontId="13" fillId="0" borderId="24" xfId="9" applyNumberFormat="1" applyBorder="1"/>
    <xf numFmtId="180" fontId="13" fillId="0" borderId="7" xfId="9" applyNumberFormat="1" applyBorder="1"/>
    <xf numFmtId="0" fontId="37" fillId="6" borderId="0" xfId="17" applyFont="1" applyFill="1" applyAlignment="1">
      <alignment horizontal="center" vertical="center"/>
    </xf>
    <xf numFmtId="0" fontId="13" fillId="6" borderId="0" xfId="17" applyFill="1">
      <alignment vertical="center"/>
    </xf>
    <xf numFmtId="0" fontId="12" fillId="6" borderId="0" xfId="17" applyFont="1" applyFill="1" applyAlignment="1">
      <alignment horizontal="center" vertical="center"/>
    </xf>
    <xf numFmtId="0" fontId="66" fillId="6" borderId="25" xfId="17" applyFont="1" applyFill="1" applyBorder="1" applyAlignment="1">
      <alignment horizontal="center" vertical="center" wrapText="1"/>
    </xf>
    <xf numFmtId="0" fontId="66" fillId="6" borderId="26" xfId="17" applyFont="1" applyFill="1" applyBorder="1" applyAlignment="1">
      <alignment horizontal="center" vertical="center" wrapText="1"/>
    </xf>
    <xf numFmtId="0" fontId="66" fillId="6" borderId="26" xfId="17" applyFont="1" applyFill="1" applyBorder="1" applyAlignment="1">
      <alignment horizontal="center" vertical="center" wrapText="1"/>
    </xf>
    <xf numFmtId="0" fontId="66" fillId="6" borderId="27" xfId="17" applyFont="1" applyFill="1" applyBorder="1" applyAlignment="1">
      <alignment horizontal="center" vertical="center" wrapText="1"/>
    </xf>
    <xf numFmtId="0" fontId="66" fillId="6" borderId="25" xfId="17" applyFont="1" applyFill="1" applyBorder="1" applyAlignment="1">
      <alignment horizontal="center" vertical="center" wrapText="1"/>
    </xf>
    <xf numFmtId="0" fontId="66" fillId="6" borderId="28" xfId="17" applyFont="1" applyFill="1" applyBorder="1" applyAlignment="1">
      <alignment horizontal="center" vertical="center" wrapText="1"/>
    </xf>
    <xf numFmtId="0" fontId="66" fillId="6" borderId="29" xfId="17" applyFont="1" applyFill="1" applyBorder="1" applyAlignment="1">
      <alignment horizontal="center" vertical="center" wrapText="1"/>
    </xf>
    <xf numFmtId="0" fontId="66" fillId="6" borderId="30" xfId="17" applyFont="1" applyFill="1" applyBorder="1" applyAlignment="1">
      <alignment horizontal="center" vertical="center" wrapText="1"/>
    </xf>
    <xf numFmtId="0" fontId="66" fillId="6" borderId="31" xfId="17" applyFont="1" applyFill="1" applyBorder="1" applyAlignment="1">
      <alignment horizontal="center" vertical="center" wrapText="1"/>
    </xf>
    <xf numFmtId="0" fontId="66" fillId="6" borderId="32" xfId="17" applyFont="1" applyFill="1" applyBorder="1" applyAlignment="1">
      <alignment horizontal="center" vertical="center" wrapText="1"/>
    </xf>
    <xf numFmtId="0" fontId="66" fillId="6" borderId="32" xfId="17" applyFont="1" applyFill="1" applyBorder="1" applyAlignment="1">
      <alignment horizontal="center" vertical="center" wrapText="1"/>
    </xf>
    <xf numFmtId="0" fontId="66" fillId="6" borderId="33" xfId="17" applyFont="1" applyFill="1" applyBorder="1" applyAlignment="1">
      <alignment horizontal="center" vertical="center" wrapText="1"/>
    </xf>
    <xf numFmtId="0" fontId="66" fillId="6" borderId="31" xfId="17" applyFont="1" applyFill="1" applyBorder="1" applyAlignment="1">
      <alignment horizontal="center" vertical="center" wrapText="1"/>
    </xf>
    <xf numFmtId="0" fontId="67" fillId="6" borderId="33" xfId="17" applyFont="1" applyFill="1" applyBorder="1" applyAlignment="1">
      <alignment horizontal="center" vertical="center" wrapText="1"/>
    </xf>
    <xf numFmtId="0" fontId="68" fillId="6" borderId="34" xfId="17" applyFont="1" applyFill="1" applyBorder="1" applyAlignment="1">
      <alignment horizontal="center" vertical="center" wrapText="1"/>
    </xf>
    <xf numFmtId="0" fontId="68" fillId="6" borderId="25" xfId="17" applyFont="1" applyFill="1" applyBorder="1" applyAlignment="1">
      <alignment horizontal="center" vertical="center" wrapText="1"/>
    </xf>
    <xf numFmtId="0" fontId="68" fillId="6" borderId="29" xfId="17" applyFont="1" applyFill="1" applyBorder="1" applyAlignment="1">
      <alignment horizontal="center" vertical="center"/>
    </xf>
    <xf numFmtId="0" fontId="68" fillId="6" borderId="30" xfId="17" applyFont="1" applyFill="1" applyBorder="1" applyAlignment="1">
      <alignment horizontal="center" vertical="center"/>
    </xf>
    <xf numFmtId="0" fontId="68" fillId="6" borderId="33" xfId="17" applyFont="1" applyFill="1" applyBorder="1" applyAlignment="1">
      <alignment horizontal="center" vertical="center" wrapText="1"/>
    </xf>
    <xf numFmtId="0" fontId="68" fillId="6" borderId="35" xfId="17" applyFont="1" applyFill="1" applyBorder="1" applyAlignment="1">
      <alignment horizontal="center" vertical="center" wrapText="1"/>
    </xf>
    <xf numFmtId="0" fontId="68" fillId="6" borderId="28" xfId="17" applyFont="1" applyFill="1" applyBorder="1" applyAlignment="1">
      <alignment horizontal="center" vertical="center"/>
    </xf>
    <xf numFmtId="0" fontId="68" fillId="6" borderId="31" xfId="17" applyFont="1" applyFill="1" applyBorder="1" applyAlignment="1">
      <alignment horizontal="center" vertical="center" wrapText="1"/>
    </xf>
    <xf numFmtId="0" fontId="68" fillId="3" borderId="29" xfId="17" applyFont="1" applyFill="1" applyBorder="1" applyAlignment="1">
      <alignment horizontal="center" vertical="center"/>
    </xf>
    <xf numFmtId="0" fontId="68" fillId="3" borderId="30" xfId="17" applyFont="1" applyFill="1" applyBorder="1" applyAlignment="1">
      <alignment horizontal="center" vertical="center"/>
    </xf>
    <xf numFmtId="0" fontId="69" fillId="6" borderId="33" xfId="17" applyFont="1" applyFill="1" applyBorder="1" applyAlignment="1">
      <alignment horizontal="center" vertical="center" wrapText="1"/>
    </xf>
    <xf numFmtId="0" fontId="68" fillId="6" borderId="25" xfId="17" applyFont="1" applyFill="1" applyBorder="1" applyAlignment="1">
      <alignment horizontal="center" vertical="center" wrapText="1"/>
    </xf>
    <xf numFmtId="0" fontId="68" fillId="6" borderId="36" xfId="17" applyFont="1" applyFill="1" applyBorder="1" applyAlignment="1">
      <alignment horizontal="center" vertical="center" wrapText="1"/>
    </xf>
    <xf numFmtId="0" fontId="69" fillId="6" borderId="25" xfId="17" applyFont="1" applyFill="1" applyBorder="1" applyAlignment="1">
      <alignment horizontal="center" vertical="center" wrapText="1"/>
    </xf>
    <xf numFmtId="0" fontId="68" fillId="3" borderId="37" xfId="17" applyFont="1" applyFill="1" applyBorder="1" applyAlignment="1">
      <alignment horizontal="center" vertical="center" wrapText="1"/>
    </xf>
    <xf numFmtId="0" fontId="68" fillId="3" borderId="25" xfId="17" applyFont="1" applyFill="1" applyBorder="1" applyAlignment="1">
      <alignment horizontal="center" vertical="center" wrapText="1"/>
    </xf>
    <xf numFmtId="0" fontId="68" fillId="6" borderId="0" xfId="17" applyFont="1" applyFill="1" applyAlignment="1">
      <alignment horizontal="center" vertical="center" wrapText="1"/>
    </xf>
    <xf numFmtId="0" fontId="68" fillId="6" borderId="37" xfId="17" applyFont="1" applyFill="1" applyBorder="1" applyAlignment="1">
      <alignment horizontal="center" vertical="center" wrapText="1"/>
    </xf>
    <xf numFmtId="0" fontId="69" fillId="6" borderId="37" xfId="17" applyFont="1" applyFill="1" applyBorder="1" applyAlignment="1">
      <alignment horizontal="center" vertical="center" wrapText="1"/>
    </xf>
    <xf numFmtId="0" fontId="70" fillId="6" borderId="25" xfId="17" applyFont="1" applyFill="1" applyBorder="1" applyAlignment="1">
      <alignment horizontal="center" vertical="center" wrapText="1"/>
    </xf>
    <xf numFmtId="0" fontId="68" fillId="3" borderId="29" xfId="17" applyFont="1" applyFill="1" applyBorder="1" applyAlignment="1">
      <alignment horizontal="center" vertical="center"/>
    </xf>
    <xf numFmtId="0" fontId="68" fillId="3" borderId="30" xfId="17" applyFont="1" applyFill="1" applyBorder="1" applyAlignment="1">
      <alignment horizontal="center" vertical="center"/>
    </xf>
    <xf numFmtId="0" fontId="71" fillId="6" borderId="33" xfId="17" applyFont="1" applyFill="1" applyBorder="1" applyAlignment="1">
      <alignment horizontal="center" vertical="center" wrapText="1"/>
    </xf>
    <xf numFmtId="0" fontId="72" fillId="6" borderId="33" xfId="17" applyFont="1" applyFill="1" applyBorder="1" applyAlignment="1">
      <alignment horizontal="center" vertical="center" wrapText="1"/>
    </xf>
    <xf numFmtId="0" fontId="70" fillId="6" borderId="35" xfId="17" applyFont="1" applyFill="1" applyBorder="1" applyAlignment="1">
      <alignment horizontal="center" vertical="center" wrapText="1"/>
    </xf>
    <xf numFmtId="0" fontId="68" fillId="6" borderId="30" xfId="17" applyFont="1" applyFill="1" applyBorder="1" applyAlignment="1">
      <alignment horizontal="center" vertical="center"/>
    </xf>
    <xf numFmtId="0" fontId="68" fillId="6" borderId="37" xfId="17" applyFont="1" applyFill="1" applyBorder="1" applyAlignment="1">
      <alignment horizontal="center" vertical="center"/>
    </xf>
    <xf numFmtId="9" fontId="69" fillId="6" borderId="28" xfId="17" applyNumberFormat="1" applyFont="1" applyFill="1" applyBorder="1" applyAlignment="1">
      <alignment horizontal="center" vertical="center" wrapText="1"/>
    </xf>
    <xf numFmtId="9" fontId="69" fillId="6" borderId="29" xfId="17" applyNumberFormat="1" applyFont="1" applyFill="1" applyBorder="1" applyAlignment="1">
      <alignment horizontal="center" vertical="center" wrapText="1"/>
    </xf>
    <xf numFmtId="9" fontId="69" fillId="6" borderId="30" xfId="17" applyNumberFormat="1" applyFont="1" applyFill="1" applyBorder="1" applyAlignment="1">
      <alignment horizontal="center" vertical="center" wrapText="1"/>
    </xf>
    <xf numFmtId="0" fontId="70" fillId="6" borderId="31" xfId="17" applyFont="1" applyFill="1" applyBorder="1" applyAlignment="1">
      <alignment horizontal="center" vertical="center" wrapText="1"/>
    </xf>
    <xf numFmtId="0" fontId="68" fillId="3" borderId="37" xfId="17" applyFont="1" applyFill="1" applyBorder="1" applyAlignment="1">
      <alignment horizontal="center" vertical="center"/>
    </xf>
    <xf numFmtId="0" fontId="71" fillId="6" borderId="37" xfId="17" applyFont="1" applyFill="1" applyBorder="1" applyAlignment="1">
      <alignment horizontal="center" vertical="center" wrapText="1"/>
    </xf>
    <xf numFmtId="0" fontId="72" fillId="6" borderId="37" xfId="17" applyFont="1" applyFill="1" applyBorder="1" applyAlignment="1">
      <alignment horizontal="center" vertical="center" wrapText="1"/>
    </xf>
    <xf numFmtId="0" fontId="68" fillId="6" borderId="30" xfId="17" applyFont="1" applyFill="1" applyBorder="1" applyAlignment="1">
      <alignment horizontal="center" vertical="center" wrapText="1"/>
    </xf>
    <xf numFmtId="0" fontId="68" fillId="6" borderId="27" xfId="17" applyFont="1" applyFill="1" applyBorder="1" applyAlignment="1">
      <alignment horizontal="center" vertical="center" wrapText="1"/>
    </xf>
    <xf numFmtId="0" fontId="68" fillId="3" borderId="28" xfId="17" applyFont="1" applyFill="1" applyBorder="1" applyAlignment="1">
      <alignment horizontal="center" vertical="center" wrapText="1"/>
    </xf>
    <xf numFmtId="0" fontId="68" fillId="6" borderId="33" xfId="17" applyFont="1" applyFill="1" applyBorder="1" applyAlignment="1">
      <alignment horizontal="center" vertical="center" wrapText="1"/>
    </xf>
    <xf numFmtId="0" fontId="68" fillId="6" borderId="32" xfId="17" applyFont="1" applyFill="1" applyBorder="1" applyAlignment="1">
      <alignment horizontal="center" vertical="center" wrapText="1"/>
    </xf>
    <xf numFmtId="0" fontId="68" fillId="6" borderId="36" xfId="17" applyFont="1" applyFill="1" applyBorder="1" applyAlignment="1">
      <alignment horizontal="justify" vertical="center" wrapText="1"/>
    </xf>
    <xf numFmtId="0" fontId="68" fillId="6" borderId="26" xfId="17" applyFont="1" applyFill="1" applyBorder="1" applyAlignment="1">
      <alignment horizontal="justify" vertical="center" wrapText="1"/>
    </xf>
    <xf numFmtId="0" fontId="68" fillId="6" borderId="27" xfId="17" applyFont="1" applyFill="1" applyBorder="1" applyAlignment="1">
      <alignment horizontal="justify" vertical="center" wrapText="1"/>
    </xf>
    <xf numFmtId="0" fontId="68" fillId="6" borderId="38" xfId="17" applyFont="1" applyFill="1" applyBorder="1" applyAlignment="1">
      <alignment horizontal="justify" vertical="center" wrapText="1"/>
    </xf>
    <xf numFmtId="0" fontId="68" fillId="6" borderId="0" xfId="17" applyFont="1" applyFill="1" applyAlignment="1">
      <alignment horizontal="justify" vertical="center" wrapText="1"/>
    </xf>
    <xf numFmtId="0" fontId="68" fillId="6" borderId="39" xfId="17" applyFont="1" applyFill="1" applyBorder="1" applyAlignment="1">
      <alignment horizontal="justify" vertical="center" wrapText="1"/>
    </xf>
    <xf numFmtId="0" fontId="69" fillId="6" borderId="38" xfId="17" applyFont="1" applyFill="1" applyBorder="1" applyAlignment="1">
      <alignment horizontal="justify" vertical="center" wrapText="1"/>
    </xf>
    <xf numFmtId="0" fontId="69" fillId="6" borderId="0" xfId="17" applyFont="1" applyFill="1" applyAlignment="1">
      <alignment horizontal="justify" vertical="center" wrapText="1"/>
    </xf>
    <xf numFmtId="0" fontId="69" fillId="6" borderId="39" xfId="17" applyFont="1" applyFill="1" applyBorder="1" applyAlignment="1">
      <alignment horizontal="justify" vertical="center" wrapText="1"/>
    </xf>
    <xf numFmtId="0" fontId="68" fillId="6" borderId="34" xfId="17" applyFont="1" applyFill="1" applyBorder="1" applyAlignment="1">
      <alignment horizontal="justify" vertical="center" wrapText="1"/>
    </xf>
    <xf numFmtId="0" fontId="68" fillId="6" borderId="32" xfId="17" applyFont="1" applyFill="1" applyBorder="1" applyAlignment="1">
      <alignment horizontal="justify" vertical="center" wrapText="1"/>
    </xf>
    <xf numFmtId="0" fontId="68" fillId="6" borderId="33" xfId="17" applyFont="1" applyFill="1" applyBorder="1" applyAlignment="1">
      <alignment horizontal="justify" vertical="center" wrapText="1"/>
    </xf>
    <xf numFmtId="2" fontId="54" fillId="7" borderId="0" xfId="17" applyNumberFormat="1" applyFont="1" applyFill="1" applyAlignment="1">
      <alignment horizontal="center" vertical="center"/>
    </xf>
    <xf numFmtId="0" fontId="13" fillId="6" borderId="0" xfId="18" applyFill="1">
      <alignment vertical="center"/>
    </xf>
    <xf numFmtId="0" fontId="13" fillId="2" borderId="0" xfId="17" applyFill="1">
      <alignment vertical="center"/>
    </xf>
    <xf numFmtId="176" fontId="12" fillId="6" borderId="12" xfId="17" applyNumberFormat="1" applyFont="1" applyFill="1" applyBorder="1" applyAlignment="1">
      <alignment horizontal="right" vertical="center"/>
    </xf>
    <xf numFmtId="0" fontId="12" fillId="6" borderId="12" xfId="17" applyFont="1" applyFill="1" applyBorder="1" applyAlignment="1">
      <alignment horizontal="center" vertical="center"/>
    </xf>
    <xf numFmtId="0" fontId="73" fillId="6" borderId="12" xfId="17" applyFont="1" applyFill="1" applyBorder="1" applyAlignment="1">
      <alignment horizontal="center" vertical="center"/>
    </xf>
    <xf numFmtId="0" fontId="11" fillId="6" borderId="12" xfId="17" applyFont="1" applyFill="1" applyBorder="1" applyAlignment="1">
      <alignment horizontal="center" vertical="center"/>
    </xf>
    <xf numFmtId="176" fontId="12" fillId="6" borderId="12" xfId="17" applyNumberFormat="1" applyFont="1" applyFill="1" applyBorder="1" applyAlignment="1">
      <alignment horizontal="center" vertical="center"/>
    </xf>
    <xf numFmtId="176" fontId="12" fillId="6" borderId="12" xfId="18" applyNumberFormat="1" applyFont="1" applyFill="1" applyBorder="1">
      <alignment vertical="center"/>
    </xf>
    <xf numFmtId="176" fontId="13" fillId="6" borderId="12" xfId="18" applyNumberFormat="1" applyFill="1" applyBorder="1">
      <alignment vertical="center"/>
    </xf>
    <xf numFmtId="176" fontId="12" fillId="6" borderId="12" xfId="17" applyNumberFormat="1" applyFont="1" applyFill="1" applyBorder="1" applyAlignment="1">
      <alignment horizontal="right" vertical="center" wrapText="1"/>
    </xf>
    <xf numFmtId="176" fontId="12" fillId="6" borderId="12" xfId="17" applyNumberFormat="1" applyFont="1" applyFill="1" applyBorder="1" applyAlignment="1">
      <alignment horizontal="left" vertical="center" wrapText="1"/>
    </xf>
    <xf numFmtId="0" fontId="12" fillId="3" borderId="12" xfId="17" applyFont="1" applyFill="1" applyBorder="1" applyAlignment="1">
      <alignment horizontal="center" vertical="center"/>
    </xf>
    <xf numFmtId="0" fontId="12" fillId="6" borderId="12" xfId="17" applyFont="1" applyFill="1" applyBorder="1" applyAlignment="1">
      <alignment horizontal="center" vertical="center" wrapText="1"/>
    </xf>
    <xf numFmtId="0" fontId="12" fillId="3" borderId="12" xfId="17" applyFont="1" applyFill="1" applyBorder="1" applyAlignment="1">
      <alignment horizontal="center" vertical="center" wrapText="1"/>
    </xf>
    <xf numFmtId="0" fontId="13" fillId="2" borderId="0" xfId="18" applyFill="1">
      <alignment vertical="center"/>
    </xf>
    <xf numFmtId="0" fontId="11" fillId="6" borderId="12" xfId="17" applyFont="1" applyFill="1" applyBorder="1" applyAlignment="1">
      <alignment horizontal="center" vertical="center" wrapText="1"/>
    </xf>
    <xf numFmtId="0" fontId="12" fillId="6" borderId="0" xfId="17" applyFont="1" applyFill="1">
      <alignment vertical="center"/>
    </xf>
    <xf numFmtId="176" fontId="12" fillId="5" borderId="12" xfId="17" applyNumberFormat="1" applyFont="1" applyFill="1" applyBorder="1">
      <alignment vertical="center"/>
    </xf>
    <xf numFmtId="10" fontId="12" fillId="6" borderId="12" xfId="18" applyNumberFormat="1" applyFont="1" applyFill="1" applyBorder="1" applyAlignment="1">
      <alignment horizontal="center" vertical="center"/>
    </xf>
    <xf numFmtId="176" fontId="13" fillId="6" borderId="0" xfId="18" applyNumberFormat="1" applyFill="1">
      <alignment vertical="center"/>
    </xf>
    <xf numFmtId="0" fontId="12" fillId="6" borderId="12" xfId="17" applyFont="1" applyFill="1" applyBorder="1" applyAlignment="1">
      <alignment horizontal="left" vertical="center" wrapText="1"/>
    </xf>
    <xf numFmtId="0" fontId="13" fillId="6" borderId="12" xfId="17" applyFill="1" applyBorder="1" applyAlignment="1">
      <alignment horizontal="center" vertical="center"/>
    </xf>
    <xf numFmtId="0" fontId="11" fillId="6" borderId="12" xfId="17" applyFont="1" applyFill="1" applyBorder="1">
      <alignment vertical="center"/>
    </xf>
    <xf numFmtId="176" fontId="12" fillId="6" borderId="12" xfId="17" applyNumberFormat="1" applyFont="1" applyFill="1" applyBorder="1">
      <alignment vertical="center"/>
    </xf>
    <xf numFmtId="0" fontId="12" fillId="6" borderId="12" xfId="17" applyFont="1" applyFill="1" applyBorder="1">
      <alignment vertical="center"/>
    </xf>
    <xf numFmtId="176" fontId="13" fillId="7" borderId="12" xfId="18" applyNumberFormat="1" applyFill="1" applyBorder="1">
      <alignment vertical="center"/>
    </xf>
    <xf numFmtId="0" fontId="12" fillId="6" borderId="0" xfId="17" applyFont="1" applyFill="1" applyAlignment="1">
      <alignment vertical="center" wrapText="1"/>
    </xf>
    <xf numFmtId="176" fontId="12" fillId="6" borderId="0" xfId="17" applyNumberFormat="1" applyFont="1" applyFill="1">
      <alignment vertical="center"/>
    </xf>
    <xf numFmtId="176" fontId="13" fillId="6" borderId="0" xfId="17" applyNumberFormat="1" applyFill="1">
      <alignment vertical="center"/>
    </xf>
    <xf numFmtId="0" fontId="68" fillId="6" borderId="31" xfId="17" applyFont="1" applyFill="1" applyBorder="1" applyAlignment="1">
      <alignment horizontal="center" vertical="center" wrapText="1"/>
    </xf>
    <xf numFmtId="0" fontId="68" fillId="5" borderId="30" xfId="17" applyFont="1" applyFill="1" applyBorder="1" applyAlignment="1">
      <alignment horizontal="center" vertical="center"/>
    </xf>
    <xf numFmtId="0" fontId="68" fillId="5" borderId="25" xfId="17" applyFont="1" applyFill="1" applyBorder="1" applyAlignment="1">
      <alignment horizontal="center" vertical="center"/>
    </xf>
    <xf numFmtId="0" fontId="68" fillId="5" borderId="37" xfId="17" applyFont="1" applyFill="1" applyBorder="1" applyAlignment="1">
      <alignment horizontal="center" vertical="center"/>
    </xf>
    <xf numFmtId="0" fontId="68" fillId="5" borderId="31" xfId="17" applyFont="1" applyFill="1" applyBorder="1" applyAlignment="1">
      <alignment horizontal="center" vertical="center"/>
    </xf>
    <xf numFmtId="0" fontId="69" fillId="3" borderId="37" xfId="17" applyFont="1" applyFill="1" applyBorder="1" applyAlignment="1">
      <alignment horizontal="center" vertical="center"/>
    </xf>
    <xf numFmtId="0" fontId="69" fillId="6" borderId="28" xfId="17" applyFont="1" applyFill="1" applyBorder="1" applyAlignment="1">
      <alignment horizontal="center" vertical="center" wrapText="1"/>
    </xf>
    <xf numFmtId="0" fontId="69" fillId="6" borderId="29" xfId="17" applyFont="1" applyFill="1" applyBorder="1" applyAlignment="1">
      <alignment horizontal="center" vertical="center" wrapText="1"/>
    </xf>
    <xf numFmtId="0" fontId="69" fillId="6" borderId="30" xfId="17" applyFont="1" applyFill="1" applyBorder="1" applyAlignment="1">
      <alignment horizontal="center" vertical="center" wrapText="1"/>
    </xf>
    <xf numFmtId="0" fontId="68" fillId="6" borderId="28" xfId="17" applyFont="1" applyFill="1" applyBorder="1" applyAlignment="1">
      <alignment horizontal="center" vertical="center" wrapText="1"/>
    </xf>
    <xf numFmtId="0" fontId="68" fillId="6" borderId="30" xfId="17" applyFont="1" applyFill="1" applyBorder="1" applyAlignment="1">
      <alignment horizontal="center" vertical="center" wrapText="1"/>
    </xf>
    <xf numFmtId="0" fontId="69" fillId="6" borderId="30" xfId="17" applyFont="1" applyFill="1" applyBorder="1" applyAlignment="1">
      <alignment horizontal="center" vertical="center" wrapText="1"/>
    </xf>
    <xf numFmtId="0" fontId="68" fillId="6" borderId="26" xfId="17" applyFont="1" applyFill="1" applyBorder="1" applyAlignment="1">
      <alignment horizontal="center" vertical="center"/>
    </xf>
    <xf numFmtId="0" fontId="69" fillId="6" borderId="31" xfId="17" applyFont="1" applyFill="1" applyBorder="1" applyAlignment="1">
      <alignment horizontal="center" vertical="center" wrapText="1"/>
    </xf>
    <xf numFmtId="0" fontId="68" fillId="3" borderId="36" xfId="17" applyFont="1" applyFill="1" applyBorder="1" applyAlignment="1">
      <alignment horizontal="center" vertical="center" wrapText="1"/>
    </xf>
    <xf numFmtId="0" fontId="68" fillId="3" borderId="26" xfId="17" applyFont="1" applyFill="1" applyBorder="1" applyAlignment="1">
      <alignment horizontal="center" vertical="center" wrapText="1"/>
    </xf>
    <xf numFmtId="0" fontId="68" fillId="3" borderId="27" xfId="17" applyFont="1" applyFill="1" applyBorder="1" applyAlignment="1">
      <alignment horizontal="center" vertical="center" wrapText="1"/>
    </xf>
    <xf numFmtId="0" fontId="68" fillId="6" borderId="29" xfId="17" applyFont="1" applyFill="1" applyBorder="1" applyAlignment="1">
      <alignment horizontal="center" vertical="center" wrapText="1"/>
    </xf>
    <xf numFmtId="0" fontId="68" fillId="6" borderId="36" xfId="17" applyFont="1" applyFill="1" applyBorder="1" applyAlignment="1">
      <alignment horizontal="center" vertical="center" wrapText="1"/>
    </xf>
    <xf numFmtId="0" fontId="68" fillId="6" borderId="26" xfId="17" applyFont="1" applyFill="1" applyBorder="1" applyAlignment="1">
      <alignment horizontal="center" vertical="center" wrapText="1"/>
    </xf>
    <xf numFmtId="0" fontId="68" fillId="6" borderId="34" xfId="17" applyFont="1" applyFill="1" applyBorder="1" applyAlignment="1">
      <alignment horizontal="center" vertical="center" wrapText="1"/>
    </xf>
    <xf numFmtId="0" fontId="68" fillId="6" borderId="32" xfId="17" applyFont="1" applyFill="1" applyBorder="1" applyAlignment="1">
      <alignment horizontal="center" vertical="center" wrapText="1"/>
    </xf>
    <xf numFmtId="0" fontId="68" fillId="6" borderId="34" xfId="17" applyFont="1" applyFill="1" applyBorder="1" applyAlignment="1">
      <alignment horizontal="justify" vertical="center"/>
    </xf>
    <xf numFmtId="0" fontId="74" fillId="6" borderId="29" xfId="17" applyFont="1" applyFill="1" applyBorder="1" applyAlignment="1">
      <alignment horizontal="left" vertical="center"/>
    </xf>
    <xf numFmtId="0" fontId="74" fillId="6" borderId="30" xfId="17" applyFont="1" applyFill="1" applyBorder="1" applyAlignment="1">
      <alignment horizontal="left" vertical="center"/>
    </xf>
    <xf numFmtId="0" fontId="11" fillId="6" borderId="40" xfId="17" applyFont="1" applyFill="1" applyBorder="1" applyAlignment="1">
      <alignment horizontal="center" vertical="center"/>
    </xf>
    <xf numFmtId="0" fontId="73" fillId="6" borderId="11" xfId="17" applyFont="1" applyFill="1" applyBorder="1" applyAlignment="1">
      <alignment horizontal="center" vertical="center"/>
    </xf>
    <xf numFmtId="0" fontId="68" fillId="6" borderId="12" xfId="17" applyFont="1" applyFill="1" applyBorder="1" applyAlignment="1">
      <alignment horizontal="center" vertical="center" wrapText="1"/>
    </xf>
    <xf numFmtId="176" fontId="12" fillId="6" borderId="10" xfId="17" applyNumberFormat="1" applyFont="1" applyFill="1" applyBorder="1" applyAlignment="1">
      <alignment horizontal="center" vertical="center"/>
    </xf>
    <xf numFmtId="0" fontId="69" fillId="6" borderId="12" xfId="17" applyFont="1" applyFill="1" applyBorder="1" applyAlignment="1">
      <alignment horizontal="center" vertical="center" wrapText="1"/>
    </xf>
    <xf numFmtId="0" fontId="11" fillId="6" borderId="9" xfId="17" applyFont="1" applyFill="1" applyBorder="1" applyAlignment="1">
      <alignment horizontal="center" vertical="center"/>
    </xf>
    <xf numFmtId="0" fontId="69" fillId="6" borderId="40" xfId="17" applyFont="1" applyFill="1" applyBorder="1" applyAlignment="1">
      <alignment horizontal="center" vertical="center" wrapText="1"/>
    </xf>
    <xf numFmtId="176" fontId="12" fillId="5" borderId="10" xfId="17" applyNumberFormat="1" applyFont="1" applyFill="1" applyBorder="1">
      <alignment vertical="center"/>
    </xf>
    <xf numFmtId="0" fontId="69" fillId="6" borderId="9" xfId="17" applyFont="1" applyFill="1" applyBorder="1" applyAlignment="1">
      <alignment horizontal="center" vertical="center" wrapText="1"/>
    </xf>
    <xf numFmtId="10" fontId="12" fillId="6" borderId="12" xfId="18" applyNumberFormat="1" applyFont="1" applyFill="1" applyBorder="1" applyAlignment="1">
      <alignment horizontal="center" vertical="center"/>
    </xf>
    <xf numFmtId="176" fontId="12" fillId="6" borderId="40" xfId="17" applyNumberFormat="1" applyFont="1" applyFill="1" applyBorder="1" applyAlignment="1">
      <alignment horizontal="center" vertical="center" wrapText="1"/>
    </xf>
    <xf numFmtId="0" fontId="75" fillId="6" borderId="12" xfId="17" applyFont="1" applyFill="1" applyBorder="1" applyAlignment="1">
      <alignment horizontal="center" vertical="center" wrapText="1"/>
    </xf>
    <xf numFmtId="0" fontId="69" fillId="6" borderId="7" xfId="17" applyFont="1" applyFill="1" applyBorder="1" applyAlignment="1">
      <alignment horizontal="center" vertical="center" wrapText="1"/>
    </xf>
    <xf numFmtId="176" fontId="12" fillId="6" borderId="9" xfId="17" applyNumberFormat="1" applyFont="1" applyFill="1" applyBorder="1" applyAlignment="1">
      <alignment horizontal="center" vertical="center" wrapText="1"/>
    </xf>
    <xf numFmtId="0" fontId="11" fillId="6" borderId="7" xfId="17" applyFont="1" applyFill="1" applyBorder="1" applyAlignment="1">
      <alignment horizontal="center" vertical="center"/>
    </xf>
    <xf numFmtId="176" fontId="12" fillId="6" borderId="9" xfId="17" applyNumberFormat="1" applyFont="1" applyFill="1" applyBorder="1" applyAlignment="1">
      <alignment horizontal="center" vertical="center" wrapText="1"/>
    </xf>
    <xf numFmtId="0" fontId="13" fillId="6" borderId="9" xfId="17" applyFill="1" applyBorder="1" applyAlignment="1">
      <alignment horizontal="center" vertical="center"/>
    </xf>
  </cellXfs>
  <cellStyles count="9711">
    <cellStyle name="_x000a_mouse.drv=lm" xfId="19"/>
    <cellStyle name="_x0007__x000b_" xfId="20"/>
    <cellStyle name="_x0007__x000b_ 2" xfId="21"/>
    <cellStyle name="_x0007__x000b_ 3" xfId="22"/>
    <cellStyle name="_ 新4#清水池上叠平流沉淀池管配件" xfId="23"/>
    <cellStyle name="_（初设）宝钢电厂取排水改造" xfId="24"/>
    <cellStyle name="_1概算" xfId="25"/>
    <cellStyle name="_2.南昌概算（校对过）20100104" xfId="26"/>
    <cellStyle name="_3.概算(调整正式稿）2010121" xfId="27"/>
    <cellStyle name="_a.合肥第六水厂(投标)070924" xfId="28"/>
    <cellStyle name="_b.南昌估算(修改）20091015" xfId="29"/>
    <cellStyle name="_d.无锡南泉原水厂预处理估算((砍投资后调整稿）20100622" xfId="30"/>
    <cellStyle name="_Sheet1" xfId="31"/>
    <cellStyle name="_安亭总表2014.11.7-直埋管管径DN1400和更改借地费" xfId="32"/>
    <cellStyle name="_安亭总表工可2015.5（校对）-最终稿" xfId="33"/>
    <cellStyle name="_安装工程" xfId="34"/>
    <cellStyle name="_白庙初设2011.9.9" xfId="35"/>
    <cellStyle name="_包头管廊项建书" xfId="36"/>
    <cellStyle name="_材料表" xfId="37"/>
    <cellStyle name="_财务评价报表" xfId="38"/>
    <cellStyle name="_财务评价报表(建设期2年、运营期25年）" xfId="39"/>
    <cellStyle name="_财务评价报表2011.08.04" xfId="40"/>
    <cellStyle name="_财务评价报表粪便" xfId="41"/>
    <cellStyle name="_彩虹路概算汇总表2011.01.31" xfId="42"/>
    <cellStyle name="_常熟市藕渠增压泵站扩建工程自仪材料表0218(张浩）" xfId="43"/>
    <cellStyle name="_超滤膜车间管配件" xfId="44"/>
    <cellStyle name="_成本" xfId="45"/>
    <cellStyle name="_城南污泥项建书120530" xfId="46"/>
    <cellStyle name="_澄西净水厂20100806" xfId="47"/>
    <cellStyle name="_崇明" xfId="48"/>
    <cellStyle name="_崇明崇西水厂初设2012.2.16" xfId="49"/>
    <cellStyle name="_崇明概算0710" xfId="50"/>
    <cellStyle name="_崇明概算调整" xfId="51"/>
    <cellStyle name="_崇明概算调整_沉井工程量-排放口" xfId="52"/>
    <cellStyle name="_崇明概算调整_广东大朗水厂工程可行性201204" xfId="53"/>
    <cellStyle name="_崇明概算调整_广东大朗水厂工程可行性201204_杭州大清谷至九溪输水管道工程项建书201405" xfId="54"/>
    <cellStyle name="_崇明概算调整_广东大朗水厂工程可行性201204_新舟山岱山小高亭水厂工程201208" xfId="55"/>
    <cellStyle name="_崇明概算调整_广东大朗水厂工程可行性201204_新舟山岱山小高亭水厂工程201208_九溪水厂工程厂工程-初设总表" xfId="56"/>
    <cellStyle name="_崇明概算调整_九溪水厂工程厂工程-初设总表" xfId="57"/>
    <cellStyle name="_崇明概算调整_铜陵第五水厂工程工可201402" xfId="58"/>
    <cellStyle name="_崇明概算调整_铜陵第五水厂工程工可方案(泵房设在堤外)201402" xfId="59"/>
    <cellStyle name="_崇明概算调整_芜湖三山水厂工程初设201209" xfId="60"/>
    <cellStyle name="_崇明概算调整_芜湖三山水厂工程初设201209_铜陵第五水厂工程工可方案(泵房设在堤外)201402" xfId="61"/>
    <cellStyle name="_崇明概算调整_芜湖三山水厂工程初设201209_芜湖三山水厂工程初设201209" xfId="62"/>
    <cellStyle name="_崇明概算调整_芜湖三山水厂工程初设201209_芜湖三山水厂工程初设201209_铜陵第五水厂工程工可201402" xfId="63"/>
    <cellStyle name="_崇明概算调整_芜湖三山水厂工程初设201209_芜湖三山水厂工程初设201209_铜陵第五水厂工程工可方案(泵房设在堤外)201402" xfId="64"/>
    <cellStyle name="_崇明概算调整_吴江市庙港水厂深度处理工程初设总表" xfId="65"/>
    <cellStyle name="_崇明概算调整_吴江市区域供水第二水厂(一期)工程初设" xfId="66"/>
    <cellStyle name="_崇明概算调整_吴江市区域供水第二水厂(一期)工程初设_安亭水厂扩建工程可行性201411" xfId="67"/>
    <cellStyle name="_崇明概算调整_吴江市区域供水第二水厂(一期)工程初设_沉井工程量-排放口" xfId="68"/>
    <cellStyle name="_崇明概算调整_吴江市区域供水第二水厂(一期)工程初设_丹阳善巷水厂工程项建书201108" xfId="69"/>
    <cellStyle name="_崇明概算调整_吴江市区域供水第二水厂(一期)工程初设_奉贤区海湾镇供水集约化一期工程初设" xfId="70"/>
    <cellStyle name="_崇明概算调整_吴江市区域供水第二水厂(一期)工程初设_广东省建设工程造价咨询服务收费标准表" xfId="71"/>
    <cellStyle name="_崇明概算调整_吴江市区域供水第二水厂(一期)工程初设_广东省建设工程造价咨询服务收费标准表_广东大朗水厂工程可行性201204" xfId="72"/>
    <cellStyle name="_崇明概算调整_吴江市区域供水第二水厂(一期)工程初设_广东省建设工程造价咨询服务收费标准表_广东大朗水厂工程可行性201204_杭州大清谷至九溪输水管道工程项建书201405" xfId="73"/>
    <cellStyle name="_崇明概算调整_吴江市区域供水第二水厂(一期)工程初设_广东省建设工程造价咨询服务收费标准表_广东大朗水厂工程可行性201204_新舟山岱山小高亭水厂工程201208" xfId="74"/>
    <cellStyle name="_崇明概算调整_吴江市区域供水第二水厂(一期)工程初设_广东省建设工程造价咨询服务收费标准表_广东大朗水厂工程可行性201204_新舟山岱山小高亭水厂工程201208_九溪水厂工程厂工程-初设总表" xfId="75"/>
    <cellStyle name="_崇明概算调整_吴江市区域供水第二水厂(一期)工程初设_广东省建设工程造价咨询服务收费标准表_九溪水厂工程厂工程-初设总表" xfId="76"/>
    <cellStyle name="_崇明概算调整_吴江市区域供水第二水厂(一期)工程初设_杭州大清谷至九溪输水管道工程项建书201405" xfId="77"/>
    <cellStyle name="_崇明概算调整_吴江市区域供水第二水厂(一期)工程初设_嘉定供水管初设201304" xfId="78"/>
    <cellStyle name="_崇明概算调整_吴江市区域供水第二水厂(一期)工程初设_嘉定供水管初设201304审批后修改" xfId="79"/>
    <cellStyle name="_崇明概算调整_吴江市区域供水第二水厂(一期)工程初设_取水泵房" xfId="80"/>
    <cellStyle name="_崇明概算调整_吴江市区域供水第二水厂(一期)工程初设_上海工程范例" xfId="81"/>
    <cellStyle name="_崇明概算调整_吴江市区域供水第二水厂(一期)工程初设_上海工程范例_沉井工程量-排放口" xfId="82"/>
    <cellStyle name="_崇明概算调整_吴江市区域供水第二水厂(一期)工程初设_苏州白洋湾水厂改建工程可行性201107" xfId="83"/>
    <cellStyle name="_崇明概算调整_吴江市区域供水第二水厂(一期)工程初设_苏州白洋湾水厂改建工程可行性201107_沉井工程量-排放口" xfId="84"/>
    <cellStyle name="_崇明概算调整_吴江市区域供水第二水厂(一期)工程初设_苏州白洋湾水厂改建工程可行性201107_广东大朗水厂工程可行性201204" xfId="85"/>
    <cellStyle name="_崇明概算调整_吴江市区域供水第二水厂(一期)工程初设_苏州白洋湾水厂改建工程可行性201107_广东大朗水厂工程可行性201204_杭州大清谷至九溪输水管道工程项建书201405" xfId="86"/>
    <cellStyle name="_崇明概算调整_吴江市区域供水第二水厂(一期)工程初设_苏州白洋湾水厂改建工程可行性201107_广东大朗水厂工程可行性201204_新舟山岱山小高亭水厂工程201208" xfId="87"/>
    <cellStyle name="_崇明概算调整_吴江市区域供水第二水厂(一期)工程初设_苏州白洋湾水厂改建工程可行性201107_广东大朗水厂工程可行性201204_新舟山岱山小高亭水厂工程201208_九溪水厂工程厂工程-初设总表" xfId="88"/>
    <cellStyle name="_崇明概算调整_吴江市区域供水第二水厂(一期)工程初设_苏州白洋湾水厂改建工程可行性201107_九溪水厂工程厂工程-初设总表" xfId="89"/>
    <cellStyle name="_崇明概算调整_吴江市区域供水第二水厂(一期)工程初设_苏州白洋湾水厂改建工程可行性201107_铜陵第五水厂工程工可201402" xfId="90"/>
    <cellStyle name="_崇明概算调整_吴江市区域供水第二水厂(一期)工程初设_苏州白洋湾水厂改建工程可行性201107_铜陵第五水厂工程工可方案(泵房设在堤外)201402" xfId="91"/>
    <cellStyle name="_崇明概算调整_吴江市区域供水第二水厂(一期)工程初设_苏州白洋湾水厂改建工程可行性201107_芜湖三山水厂工程初设201209" xfId="92"/>
    <cellStyle name="_崇明概算调整_吴江市区域供水第二水厂(一期)工程初设_苏州白洋湾水厂改建工程可行性201107_芜湖三山水厂工程初设201209_铜陵第五水厂工程工可方案(泵房设在堤外)201402" xfId="93"/>
    <cellStyle name="_崇明概算调整_吴江市区域供水第二水厂(一期)工程初设_苏州白洋湾水厂改建工程可行性201107_芜湖三山水厂工程初设201209_芜湖三山水厂工程初设201209" xfId="94"/>
    <cellStyle name="_崇明概算调整_吴江市区域供水第二水厂(一期)工程初设_苏州白洋湾水厂改建工程可行性201107_芜湖三山水厂工程初设201209_芜湖三山水厂工程初设201209_铜陵第五水厂工程工可201402" xfId="95"/>
    <cellStyle name="_崇明概算调整_吴江市区域供水第二水厂(一期)工程初设_苏州白洋湾水厂改建工程可行性201107_芜湖三山水厂工程初设201209_芜湖三山水厂工程初设201209_铜陵第五水厂工程工可方案(泵房设在堤外)201402" xfId="96"/>
    <cellStyle name="_崇明概算调整_吴江市区域供水第二水厂(一期)工程初设_苏州白洋湾水厂改建工程可行性201107_徐州刘湾水厂工程可行性201203" xfId="97"/>
    <cellStyle name="_崇明概算调整_吴江市区域供水第二水厂(一期)工程初设_苏州白洋湾水厂改建工程可行性201107_徐州刘湾水厂工程可行性201203_广东大朗水厂工程可行性201204" xfId="98"/>
    <cellStyle name="_崇明概算调整_吴江市区域供水第二水厂(一期)工程初设_苏州白洋湾水厂改建工程可行性201107_徐州刘湾水厂工程可行性201203_广东大朗水厂工程可行性201204_杭州大清谷至九溪输水管道工程项建书201405" xfId="99"/>
    <cellStyle name="_崇明概算调整_吴江市区域供水第二水厂(一期)工程初设_苏州白洋湾水厂改建工程可行性201107_徐州刘湾水厂工程可行性201203_广东大朗水厂工程可行性201204_新舟山岱山小高亭水厂工程201208" xfId="100"/>
    <cellStyle name="_崇明概算调整_吴江市区域供水第二水厂(一期)工程初设_苏州白洋湾水厂改建工程可行性201107_徐州刘湾水厂工程可行性201203_广东大朗水厂工程可行性201204_新舟山岱山小高亭水厂工程201208_九溪水厂工程厂工程-初设总表" xfId="101"/>
    <cellStyle name="_崇明概算调整_吴江市区域供水第二水厂(一期)工程初设_苏州白洋湾水厂改建工程可行性201107_徐州刘湾水厂工程可行性201203_九溪水厂工程厂工程-初设总表" xfId="102"/>
    <cellStyle name="_崇明概算调整_吴江市区域供水第二水厂(一期)工程初设_苏州白洋湾水厂改建工程可行性201107_徐州刘湾水厂工程可行性201203_徐州刘湾水厂工程可行性201203" xfId="103"/>
    <cellStyle name="_崇明概算调整_吴江市区域供水第二水厂(一期)工程初设_苏州白洋湾水厂改建工程可行性201107_徐州刘湾水厂工程可行性201203_徐州刘湾水厂工程可行性201203_广东大朗水厂工程可行性201204" xfId="104"/>
    <cellStyle name="_崇明概算调整_吴江市区域供水第二水厂(一期)工程初设_苏州白洋湾水厂改建工程可行性201107_徐州刘湾水厂工程可行性201203_徐州刘湾水厂工程可行性201203_广东大朗水厂工程可行性201204_杭州大清谷至九溪输水管道工程项建书201405" xfId="105"/>
    <cellStyle name="_崇明概算调整_吴江市区域供水第二水厂(一期)工程初设_苏州白洋湾水厂改建工程可行性201107_徐州刘湾水厂工程可行性201203_徐州刘湾水厂工程可行性201203_广东大朗水厂工程可行性201204_新舟山岱山小高亭水厂工程201208" xfId="106"/>
    <cellStyle name="_崇明概算调整_吴江市区域供水第二水厂(一期)工程初设_苏州白洋湾水厂改建工程可行性201107_徐州刘湾水厂工程可行性201203_徐州刘湾水厂工程可行性201203_广东大朗水厂工程可行性201204_新舟山岱山小高亭水厂工程201208_九溪水厂工程厂工程-初设总表" xfId="107"/>
    <cellStyle name="_崇明概算调整_吴江市区域供水第二水厂(一期)工程初设_苏州白洋湾水厂改建工程可行性201107_徐州刘湾水厂工程可行性201203_徐州刘湾水厂工程可行性201203_九溪水厂工程厂工程-初设总表" xfId="108"/>
    <cellStyle name="_崇明概算调整_吴江市区域供水第二水厂(一期)工程初设_苏州白洋湾水厂改建工程可行性201107_徐州刘湾水厂工程项建书" xfId="109"/>
    <cellStyle name="_崇明概算调整_吴江市区域供水第二水厂(一期)工程初设_苏州白洋湾水厂改建工程可行性201107_徐州刘湾水厂工程项建书(水厂取水泵站部分)20020210" xfId="110"/>
    <cellStyle name="_崇明概算调整_吴江市区域供水第二水厂(一期)工程初设_苏州白洋湾水厂改建工程可行性201107_徐州刘湾水厂工程项建书(水厂取水泵站部分)20020210_广东大朗水厂工程可行性201204" xfId="111"/>
    <cellStyle name="_崇明概算调整_吴江市区域供水第二水厂(一期)工程初设_苏州白洋湾水厂改建工程可行性201107_徐州刘湾水厂工程项建书(水厂取水泵站部分)20020210_广东大朗水厂工程可行性201204_杭州大清谷至九溪输水管道工程项建书201405" xfId="112"/>
    <cellStyle name="_崇明概算调整_吴江市区域供水第二水厂(一期)工程初设_苏州白洋湾水厂改建工程可行性201107_徐州刘湾水厂工程项建书(水厂取水泵站部分)20020210_广东大朗水厂工程可行性201204_新舟山岱山小高亭水厂工程201208" xfId="113"/>
    <cellStyle name="_崇明概算调整_吴江市区域供水第二水厂(一期)工程初设_苏州白洋湾水厂改建工程可行性201107_徐州刘湾水厂工程项建书(水厂取水泵站部分)20020210_广东大朗水厂工程可行性201204_新舟山岱山小高亭水厂工程201208_九溪水厂工程厂工程-初设总表" xfId="114"/>
    <cellStyle name="_崇明概算调整_吴江市区域供水第二水厂(一期)工程初设_苏州白洋湾水厂改建工程可行性201107_徐州刘湾水厂工程项建书(水厂取水泵站部分)20020210_九溪水厂工程厂工程-初设总表" xfId="115"/>
    <cellStyle name="_崇明概算调整_吴江市区域供水第二水厂(一期)工程初设_苏州白洋湾水厂改建工程可行性201107_徐州刘湾水厂工程项建书(水厂取水泵站部分)20020210_徐州刘湾水厂工程可行性201203" xfId="116"/>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 xfId="117"/>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杭州大清谷至九溪输水管道工程项建书201405" xfId="118"/>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新舟山岱山小高亭水厂工程201208" xfId="119"/>
    <cellStyle name="_崇明概算调整_吴江市区域供水第二水厂(一期)工程初设_苏州白洋湾水厂改建工程可行性201107_徐州刘湾水厂工程项建书(水厂取水泵站部分)20020210_徐州刘湾水厂工程可行性201203_广东大朗水厂工程可行性201204_新舟山岱山小高亭水厂工程201208_九溪水厂工程厂工程-初设总表" xfId="120"/>
    <cellStyle name="_崇明概算调整_吴江市区域供水第二水厂(一期)工程初设_苏州白洋湾水厂改建工程可行性201107_徐州刘湾水厂工程项建书(水厂取水泵站部分)20020210_徐州刘湾水厂工程可行性201203_九溪水厂工程厂工程-初设总表" xfId="121"/>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 xfId="122"/>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 xfId="123"/>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杭州大清谷至九溪输水管道工程项建书201405" xfId="124"/>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新舟山岱山小高亭水厂工程201208" xfId="125"/>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新舟山岱山小高亭水厂工程201208_九溪水厂工程厂工程-初设总表" xfId="126"/>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九溪水厂工程厂工程-初设总表" xfId="127"/>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28"/>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 xfId="129"/>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30"/>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新舟山岱山小高亭水厂工程201208" xfId="131"/>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新舟山岱山小高亭水厂工程201208_九溪水厂工程厂工程-初设总表" xfId="132"/>
    <cellStyle name="_崇明概算调整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九溪水厂工程厂工程-初设总表" xfId="133"/>
    <cellStyle name="_崇明概算调整_吴江市区域供水第二水厂(一期)工程初设_苏州白洋湾水厂改建工程可行性201107_徐州刘湾水厂工程项建书_广东大朗水厂工程可行性201204" xfId="134"/>
    <cellStyle name="_崇明概算调整_吴江市区域供水第二水厂(一期)工程初设_苏州白洋湾水厂改建工程可行性201107_徐州刘湾水厂工程项建书_广东大朗水厂工程可行性201204_杭州大清谷至九溪输水管道工程项建书201405" xfId="135"/>
    <cellStyle name="_崇明概算调整_吴江市区域供水第二水厂(一期)工程初设_苏州白洋湾水厂改建工程可行性201107_徐州刘湾水厂工程项建书_广东大朗水厂工程可行性201204_新舟山岱山小高亭水厂工程201208" xfId="136"/>
    <cellStyle name="_崇明概算调整_吴江市区域供水第二水厂(一期)工程初设_苏州白洋湾水厂改建工程可行性201107_徐州刘湾水厂工程项建书_广东大朗水厂工程可行性201204_新舟山岱山小高亭水厂工程201208_九溪水厂工程厂工程-初设总表" xfId="137"/>
    <cellStyle name="_崇明概算调整_吴江市区域供水第二水厂(一期)工程初设_苏州白洋湾水厂改建工程可行性201107_徐州刘湾水厂工程项建书_九溪水厂工程厂工程-初设总表" xfId="138"/>
    <cellStyle name="_崇明概算调整_吴江市区域供水第二水厂(一期)工程初设_苏州白洋湾水厂改建工程可行性201107_徐州刘湾水厂工程项建书_徐州刘湾水厂工程可行性201203" xfId="139"/>
    <cellStyle name="_崇明概算调整_吴江市区域供水第二水厂(一期)工程初设_苏州白洋湾水厂改建工程可行性201107_徐州刘湾水厂工程项建书_徐州刘湾水厂工程可行性201203_广东大朗水厂工程可行性201204" xfId="140"/>
    <cellStyle name="_崇明概算调整_吴江市区域供水第二水厂(一期)工程初设_苏州白洋湾水厂改建工程可行性201107_徐州刘湾水厂工程项建书_徐州刘湾水厂工程可行性201203_广东大朗水厂工程可行性201204_杭州大清谷至九溪输水管道工程项建书201405" xfId="141"/>
    <cellStyle name="_崇明概算调整_吴江市区域供水第二水厂(一期)工程初设_苏州白洋湾水厂改建工程可行性201107_徐州刘湾水厂工程项建书_徐州刘湾水厂工程可行性201203_广东大朗水厂工程可行性201204_新舟山岱山小高亭水厂工程201208" xfId="142"/>
    <cellStyle name="_崇明概算调整_吴江市区域供水第二水厂(一期)工程初设_苏州白洋湾水厂改建工程可行性201107_徐州刘湾水厂工程项建书_徐州刘湾水厂工程可行性201203_广东大朗水厂工程可行性201204_新舟山岱山小高亭水厂工程201208_九溪水厂工程厂工程-初设总表" xfId="143"/>
    <cellStyle name="_崇明概算调整_吴江市区域供水第二水厂(一期)工程初设_苏州白洋湾水厂改建工程可行性201107_徐州刘湾水厂工程项建书_徐州刘湾水厂工程可行性201203_九溪水厂工程厂工程-初设总表" xfId="144"/>
    <cellStyle name="_崇明概算调整_吴江市区域供水第二水厂(一期)工程初设_苏州白洋湾水厂改建工程可行性201107_徐州刘湾水厂工程项建书_徐州刘湾水厂工程可行性201203_徐州刘湾水厂工程可行性201203" xfId="145"/>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 xfId="146"/>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杭州大清谷至九溪输水管道工程项建书201405" xfId="147"/>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新舟山岱山小高亭水厂工程201208" xfId="148"/>
    <cellStyle name="_崇明概算调整_吴江市区域供水第二水厂(一期)工程初设_苏州白洋湾水厂改建工程可行性201107_徐州刘湾水厂工程项建书_徐州刘湾水厂工程可行性201203_徐州刘湾水厂工程可行性201203_广东大朗水厂工程可行性201204_新舟山岱山小高亭水厂工程201208_九溪水厂工程厂工程-初设总表" xfId="149"/>
    <cellStyle name="_崇明概算调整_吴江市区域供水第二水厂(一期)工程初设_苏州白洋湾水厂改建工程可行性201107_徐州刘湾水厂工程项建书_徐州刘湾水厂工程可行性201203_徐州刘湾水厂工程可行性201203_九溪水厂工程厂工程-初设总表" xfId="150"/>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 xfId="151"/>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 xfId="152"/>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杭州大清谷至九溪输水管道工程项建书201405" xfId="153"/>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新舟山岱山小高亭水厂工程201208" xfId="154"/>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新舟山岱山小高亭水厂工程201208_九溪水厂工程厂工程-初设总表" xfId="155"/>
    <cellStyle name="_崇明概算调整_吴江市区域供水第二水厂(一期)工程初设_苏州白洋湾水厂改建工程可行性201107_徐州刘湾水厂工程项建书_徐州刘湾水厂工程可行性201203_徐州刘湾水厂工程可行性201203_徐州刘湾水厂工程可行性201203_九溪水厂工程厂工程-初设总表" xfId="156"/>
    <cellStyle name="_崇明概算调整_吴江市区域供水第二水厂(一期)工程初设_苏州白洋湾水厂改建工程可行性201107_徐州刘湾水厂工程项建书_徐州刘湾水厂工程项建书" xfId="157"/>
    <cellStyle name="_崇明概算调整_吴江市区域供水第二水厂(一期)工程初设_苏州白洋湾水厂改建工程可行性201107_徐州刘湾水厂工程项建书_徐州刘湾水厂工程项建书(水厂部分一二期拆分)20111207" xfId="158"/>
    <cellStyle name="_崇明概算调整_吴江市区域供水第二水厂(一期)工程初设_苏州白洋湾水厂改建工程可行性201107_徐州刘湾水厂工程项建书_徐州刘湾水厂工程项建书(水厂部分一二期拆分)20111207_广东大朗水厂工程可行性201204" xfId="159"/>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杭州大清谷至九溪输水管道工程项建书201405" xfId="160"/>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新舟山岱山小高亭水厂工程201208" xfId="161"/>
    <cellStyle name="_崇明概算调整_吴江市区域供水第二水厂(一期)工程初设_苏州白洋湾水厂改建工程可行性201107_徐州刘湾水厂工程项建书_徐州刘湾水厂工程项建书(水厂部分一二期拆分)20111207_广东大朗水厂工程可行性201204_新舟山岱山小高亭水厂工程201208_九溪水厂工程厂工程-初设总表" xfId="162"/>
    <cellStyle name="_崇明概算调整_吴江市区域供水第二水厂(一期)工程初设_苏州白洋湾水厂改建工程可行性201107_徐州刘湾水厂工程项建书_徐州刘湾水厂工程项建书(水厂部分一二期拆分)20111207_九溪水厂工程厂工程-初设总表" xfId="163"/>
    <cellStyle name="_崇明概算调整_吴江市区域供水第二水厂(一期)工程初设_苏州白洋湾水厂改建工程可行性201107_徐州刘湾水厂工程项建书_徐州刘湾水厂工程项建书(水厂部分一二期拆分)20111207_徐州刘湾水厂工程可行性201203" xfId="164"/>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 xfId="165"/>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杭州大清谷至九溪输水管道工程项建书201405" xfId="166"/>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新舟山岱山小高亭水厂工程201208" xfId="167"/>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新舟山岱山小高亭水厂工程201208_九溪水厂工程厂工程-初设总表" xfId="168"/>
    <cellStyle name="_崇明概算调整_吴江市区域供水第二水厂(一期)工程初设_苏州白洋湾水厂改建工程可行性201107_徐州刘湾水厂工程项建书_徐州刘湾水厂工程项建书(水厂部分一二期拆分)20111207_徐州刘湾水厂工程可行性201203_九溪水厂工程厂工程-初设总表" xfId="169"/>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70"/>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 xfId="171"/>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72"/>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新舟山岱山小高亭水厂工程201208" xfId="173"/>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新舟山岱山小高亭水厂工程201208_九溪水厂工程厂工程-初设总表" xfId="174"/>
    <cellStyle name="_崇明概算调整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九溪水厂工程厂工程-初设总表" xfId="175"/>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 xfId="176"/>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 xfId="177"/>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杭州大清谷至九溪输水管道工程项建书201405" xfId="178"/>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新舟山岱山小高亭水厂工程201208" xfId="179"/>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新舟山岱山小高亭水厂工程201208_九溪水厂工程厂工程-初设总表" xfId="180"/>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九溪水厂工程厂工程-初设总表" xfId="181"/>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82"/>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 xfId="183"/>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84"/>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185"/>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九溪水厂工程厂工程-初设总表" xfId="186"/>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87"/>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88"/>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89"/>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190"/>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1"/>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92"/>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93"/>
    <cellStyle name="_崇明概算调整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194"/>
    <cellStyle name="_崇明概算调整_吴江市区域供水第二水厂(一期)工程初设_苏州白洋湾水厂改建工程可行性201107_徐州刘湾水厂工程项建书_徐州刘湾水厂工程项建书_广东大朗水厂工程可行性201204" xfId="195"/>
    <cellStyle name="_崇明概算调整_吴江市区域供水第二水厂(一期)工程初设_苏州白洋湾水厂改建工程可行性201107_徐州刘湾水厂工程项建书_徐州刘湾水厂工程项建书_广东大朗水厂工程可行性201204_杭州大清谷至九溪输水管道工程项建书201405" xfId="196"/>
    <cellStyle name="_崇明概算调整_吴江市区域供水第二水厂(一期)工程初设_苏州白洋湾水厂改建工程可行性201107_徐州刘湾水厂工程项建书_徐州刘湾水厂工程项建书_广东大朗水厂工程可行性201204_新舟山岱山小高亭水厂工程201208" xfId="197"/>
    <cellStyle name="_崇明概算调整_吴江市区域供水第二水厂(一期)工程初设_苏州白洋湾水厂改建工程可行性201107_徐州刘湾水厂工程项建书_徐州刘湾水厂工程项建书_九溪水厂工程厂工程-初设总表" xfId="198"/>
    <cellStyle name="_崇明概算调整_吴江市区域供水第二水厂(一期)工程初设_苏州白洋湾水厂改建工程可行性201107_徐州刘湾水厂工程项建书_徐州刘湾水厂工程项建书_徐州刘湾水厂工程可行性201203" xfId="199"/>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 xfId="200"/>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_杭州大清谷至九溪输水管道工程项建书201405" xfId="201"/>
    <cellStyle name="_崇明概算调整_吴江市区域供水第二水厂(一期)工程初设_苏州白洋湾水厂改建工程可行性201107_徐州刘湾水厂工程项建书_徐州刘湾水厂工程项建书_徐州刘湾水厂工程可行性201203_广东大朗水厂工程可行性201204_新舟山岱山小高亭水厂工程201208" xfId="202"/>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 xfId="203"/>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 xfId="204"/>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杭州大清谷至九溪输水管道工程项建书201405" xfId="205"/>
    <cellStyle name="_崇明概算调整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新舟山岱山小高亭水厂工程201208" xfId="206"/>
    <cellStyle name="_崇明概算调整_吴江市区域供水第二水厂(一期)工程初设_苏州白洋湾水厂改建工程可行性201107_徐州刘湾水厂工程项建书_徐州刘湾水厂工程项建书_徐州刘湾水厂工程项建书(水厂取水泵站部分)20020210" xfId="207"/>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 xfId="208"/>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_杭州大清谷至九溪输水管道工程项建书201405" xfId="209"/>
    <cellStyle name="_崇明概算调整_吴江市区域供水第二水厂(一期)工程初设_苏州白洋湾水厂改建工程可行性201107_徐州刘湾水厂工程项建书_徐州刘湾水厂工程项建书_徐州刘湾水厂工程项建书(水厂取水泵站部分)20020210_广东大朗水厂工程可行性201204_新舟山岱山小高亭水厂工程201208" xfId="210"/>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211"/>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 xfId="212"/>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杭州大清谷至九溪输水管道工程项建书201405" xfId="213"/>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新舟山岱山小高亭水厂工程201208" xfId="214"/>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215"/>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 xfId="216"/>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217"/>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218"/>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219"/>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220"/>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221"/>
    <cellStyle name="_崇明概算调整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222"/>
    <cellStyle name="_崇明概算调整_吴江市区域供水第二水厂(一期)工程初设_苏州白洋湾水厂改建工程可行性最新修改方案" xfId="223"/>
    <cellStyle name="_崇明概算调整_吴江市区域供水第二水厂(一期)工程初设_苏州白洋湾水厂改建工程可行性最新修改方案_沉井工程量-排放口" xfId="224"/>
    <cellStyle name="_崇明概算调整_吴江市区域供水第二水厂(一期)工程初设_苏州白洋湾水厂改建工程可行性最新修改方案_广东大朗水厂工程可行性201204" xfId="225"/>
    <cellStyle name="_崇明概算调整_吴江市区域供水第二水厂(一期)工程初设_苏州白洋湾水厂改建工程可行性最新修改方案_广东大朗水厂工程可行性201204_杭州大清谷至九溪输水管道工程项建书201405" xfId="226"/>
    <cellStyle name="_崇明概算调整_吴江市区域供水第二水厂(一期)工程初设_苏州白洋湾水厂改建工程可行性最新修改方案_广东大朗水厂工程可行性201204_新舟山岱山小高亭水厂工程201208" xfId="227"/>
    <cellStyle name="_崇明概算调整_吴江市区域供水第二水厂(一期)工程初设_苏州白洋湾水厂改建工程可行性最新修改方案_铜陵第五水厂工程工可201402" xfId="228"/>
    <cellStyle name="_崇明概算调整_吴江市区域供水第二水厂(一期)工程初设_苏州白洋湾水厂改建工程可行性最新修改方案_铜陵第五水厂工程工可方案(泵房设在堤外)201402" xfId="229"/>
    <cellStyle name="_崇明概算调整_吴江市区域供水第二水厂(一期)工程初设_苏州白洋湾水厂改建工程可行性最新修改方案_芜湖三山水厂工程初设201209" xfId="230"/>
    <cellStyle name="_崇明概算调整_吴江市区域供水第二水厂(一期)工程初设_苏州白洋湾水厂改建工程可行性最新修改方案_芜湖三山水厂工程初设201209_铜陵第五水厂工程工可方案(泵房设在堤外)201402" xfId="231"/>
    <cellStyle name="_崇明概算调整_吴江市区域供水第二水厂(一期)工程初设_苏州白洋湾水厂改建工程可行性最新修改方案_芜湖三山水厂工程初设201209_芜湖三山水厂工程初设201209" xfId="232"/>
    <cellStyle name="_崇明概算调整_吴江市区域供水第二水厂(一期)工程初设_苏州白洋湾水厂改建工程可行性最新修改方案_芜湖三山水厂工程初设201209_芜湖三山水厂工程初设201209_铜陵第五水厂工程工可201402" xfId="233"/>
    <cellStyle name="_崇明概算调整_吴江市区域供水第二水厂(一期)工程初设_苏州白洋湾水厂改建工程可行性最新修改方案_芜湖三山水厂工程初设201209_芜湖三山水厂工程初设201209_铜陵第五水厂工程工可方案(泵房设在堤外)201402" xfId="234"/>
    <cellStyle name="_崇明概算调整_吴江市区域供水第二水厂(一期)工程初设_苏州白洋湾水厂改建工程可行性最新修改方案_徐州刘湾水厂工程可行性201203" xfId="235"/>
    <cellStyle name="_崇明概算调整_吴江市区域供水第二水厂(一期)工程初设_苏州白洋湾水厂改建工程可行性最新修改方案_徐州刘湾水厂工程可行性201203_广东大朗水厂工程可行性201204" xfId="236"/>
    <cellStyle name="_崇明概算调整_吴江市区域供水第二水厂(一期)工程初设_苏州白洋湾水厂改建工程可行性最新修改方案_徐州刘湾水厂工程可行性201203_广东大朗水厂工程可行性201204_杭州大清谷至九溪输水管道工程项建书201405" xfId="237"/>
    <cellStyle name="_崇明概算调整_吴江市区域供水第二水厂(一期)工程初设_苏州白洋湾水厂改建工程可行性最新修改方案_徐州刘湾水厂工程可行性201203_广东大朗水厂工程可行性201204_新舟山岱山小高亭水厂工程201208" xfId="238"/>
    <cellStyle name="_崇明概算调整_吴江市区域供水第二水厂(一期)工程初设_苏州白洋湾水厂改建工程可行性最新修改方案_徐州刘湾水厂工程可行性201203_徐州刘湾水厂工程可行性201203" xfId="239"/>
    <cellStyle name="_崇明概算调整_吴江市区域供水第二水厂(一期)工程初设_苏州白洋湾水厂改建工程可行性最新修改方案_徐州刘湾水厂工程可行性201203_徐州刘湾水厂工程可行性201203_广东大朗水厂工程可行性201204" xfId="240"/>
    <cellStyle name="_崇明概算调整_吴江市区域供水第二水厂(一期)工程初设_苏州白洋湾水厂改建工程可行性最新修改方案_徐州刘湾水厂工程可行性201203_徐州刘湾水厂工程可行性201203_广东大朗水厂工程可行性201204_杭州大清谷至九溪输水管道工程项建书201405" xfId="241"/>
    <cellStyle name="_崇明概算调整_吴江市区域供水第二水厂(一期)工程初设_苏州白洋湾水厂改建工程可行性最新修改方案_徐州刘湾水厂工程可行性201203_徐州刘湾水厂工程可行性201203_广东大朗水厂工程可行性201204_新舟山岱山小高亭水厂工程201208" xfId="242"/>
    <cellStyle name="_崇明概算调整_吴江市区域供水第二水厂(一期)工程初设_苏州白洋湾水厂改建工程可行性最新修改方案_徐州刘湾水厂工程项建书" xfId="243"/>
    <cellStyle name="_崇明概算调整_吴江市区域供水第二水厂(一期)工程初设_苏州白洋湾水厂改建工程可行性最新修改方案_徐州刘湾水厂工程项建书(水厂取水泵站部分)20020210" xfId="244"/>
    <cellStyle name="_崇明概算调整_吴江市区域供水第二水厂(一期)工程初设_苏州白洋湾水厂改建工程可行性最新修改方案_徐州刘湾水厂工程项建书(水厂取水泵站部分)20020210_广东大朗水厂工程可行性201204" xfId="245"/>
    <cellStyle name="_崇明概算调整_吴江市区域供水第二水厂(一期)工程初设_苏州白洋湾水厂改建工程可行性最新修改方案_徐州刘湾水厂工程项建书(水厂取水泵站部分)20020210_广东大朗水厂工程可行性201204_杭州大清谷至九溪输水管道工程项建书201405" xfId="246"/>
    <cellStyle name="_崇明概算调整_吴江市区域供水第二水厂(一期)工程初设_苏州白洋湾水厂改建工程可行性最新修改方案_徐州刘湾水厂工程项建书(水厂取水泵站部分)20020210_广东大朗水厂工程可行性201204_新舟山岱山小高亭水厂工程201208" xfId="247"/>
    <cellStyle name="_崇明概算调整_吴江市区域供水第二水厂(一期)工程初设_苏州白洋湾水厂改建工程可行性最新修改方案_徐州刘湾水厂工程项建书(水厂取水泵站部分)20020210_徐州刘湾水厂工程可行性201203" xfId="248"/>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 xfId="249"/>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_杭州大清谷至九溪输水管道工程项建书201405" xfId="250"/>
    <cellStyle name="_崇明概算调整_吴江市区域供水第二水厂(一期)工程初设_苏州白洋湾水厂改建工程可行性最新修改方案_徐州刘湾水厂工程项建书(水厂取水泵站部分)20020210_徐州刘湾水厂工程可行性201203_广东大朗水厂工程可行性201204_新舟山岱山小高亭水厂工程201208" xfId="251"/>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 xfId="252"/>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 xfId="253"/>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杭州大清谷至九溪输水管道工程项建书201405" xfId="254"/>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新舟山岱山小高亭水厂工程201208" xfId="255"/>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256"/>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 xfId="257"/>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258"/>
    <cellStyle name="_崇明概算调整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新舟山岱山小高亭水厂工程201208" xfId="259"/>
    <cellStyle name="_崇明概算调整_吴江市区域供水第二水厂(一期)工程初设_苏州白洋湾水厂改建工程可行性最新修改方案_徐州刘湾水厂工程项建书_广东大朗水厂工程可行性201204" xfId="260"/>
    <cellStyle name="_崇明概算调整_吴江市区域供水第二水厂(一期)工程初设_苏州白洋湾水厂改建工程可行性最新修改方案_徐州刘湾水厂工程项建书_广东大朗水厂工程可行性201204_杭州大清谷至九溪输水管道工程项建书201405" xfId="261"/>
    <cellStyle name="_崇明概算调整_吴江市区域供水第二水厂(一期)工程初设_苏州白洋湾水厂改建工程可行性最新修改方案_徐州刘湾水厂工程项建书_广东大朗水厂工程可行性201204_新舟山岱山小高亭水厂工程201208" xfId="262"/>
    <cellStyle name="_崇明概算调整_吴江市区域供水第二水厂(一期)工程初设_苏州白洋湾水厂改建工程可行性最新修改方案_徐州刘湾水厂工程项建书_徐州刘湾水厂工程可行性201203" xfId="263"/>
    <cellStyle name="_崇明概算调整_吴江市区域供水第二水厂(一期)工程初设_苏州白洋湾水厂改建工程可行性最新修改方案_徐州刘湾水厂工程项建书_徐州刘湾水厂工程可行性201203_广东大朗水厂工程可行性201204" xfId="264"/>
    <cellStyle name="_崇明概算调整_吴江市区域供水第二水厂(一期)工程初设_苏州白洋湾水厂改建工程可行性最新修改方案_徐州刘湾水厂工程项建书_徐州刘湾水厂工程可行性201203_广东大朗水厂工程可行性201204_杭州大清谷至九溪输水管道工程项建书201405" xfId="265"/>
    <cellStyle name="_崇明概算调整_吴江市区域供水第二水厂(一期)工程初设_苏州白洋湾水厂改建工程可行性最新修改方案_徐州刘湾水厂工程项建书_徐州刘湾水厂工程可行性201203_广东大朗水厂工程可行性201204_新舟山岱山小高亭水厂工程201208" xfId="266"/>
    <cellStyle name="_崇明概算调整_吴江市区域供水第二水厂(一期)工程初设_苏州白洋湾水厂改建工程可行性最新修改方案_徐州刘湾水厂工程项建书_徐州刘湾水厂工程可行性201203_徐州刘湾水厂工程可行性201203" xfId="267"/>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 xfId="268"/>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_杭州大清谷至九溪输水管道工程项建书201405" xfId="269"/>
    <cellStyle name="_崇明概算调整_吴江市区域供水第二水厂(一期)工程初设_苏州白洋湾水厂改建工程可行性最新修改方案_徐州刘湾水厂工程项建书_徐州刘湾水厂工程可行性201203_徐州刘湾水厂工程可行性201203_广东大朗水厂工程可行性201204_新舟山岱山小高亭水厂工程201208" xfId="270"/>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 xfId="271"/>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 xfId="272"/>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杭州大清谷至九溪输水管道工程项建书201405" xfId="273"/>
    <cellStyle name="_崇明概算调整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新舟山岱山小高亭水厂工程201208" xfId="274"/>
    <cellStyle name="_崇明概算调整_吴江市区域供水第二水厂(一期)工程初设_苏州白洋湾水厂改建工程可行性最新修改方案_徐州刘湾水厂工程项建书_徐州刘湾水厂工程项建书" xfId="275"/>
    <cellStyle name="_崇明概算调整_吴江市区域供水第二水厂(一期)工程初设_苏州白洋湾水厂改建工程可行性最新修改方案_徐州刘湾水厂工程项建书_徐州刘湾水厂工程项建书(水厂部分一二期拆分)20111207" xfId="276"/>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 xfId="277"/>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_杭州大清谷至九溪输水管道工程项建书201405" xfId="278"/>
    <cellStyle name="_崇明概算调整_吴江市区域供水第二水厂(一期)工程初设_苏州白洋湾水厂改建工程可行性最新修改方案_徐州刘湾水厂工程项建书_徐州刘湾水厂工程项建书(水厂部分一二期拆分)20111207_广东大朗水厂工程可行性201204_新舟山岱山小高亭水厂工程201208" xfId="279"/>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 xfId="280"/>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 xfId="281"/>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杭州大清谷至九溪输水管道工程项建书201405" xfId="282"/>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新舟山岱山小高亭水厂工程201208" xfId="283"/>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284"/>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 xfId="285"/>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286"/>
    <cellStyle name="_崇明概算调整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新舟山岱山小高亭水厂工程201208" xfId="287"/>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288"/>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 xfId="289"/>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杭州大清谷至九溪输水管道工程项建书201405" xfId="290"/>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新舟山岱山小高亭水厂工程201208" xfId="291"/>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292"/>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 xfId="293"/>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294"/>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295"/>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296"/>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297"/>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298"/>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299"/>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300"/>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301"/>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02"/>
    <cellStyle name="_崇明概算调整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303"/>
    <cellStyle name="_崇明概算调整_吴江市区域供水第二水厂(一期)工程初设_苏州白洋湾水厂改建工程可行性最新修改方案_徐州刘湾水厂工程项建书_徐州刘湾水厂工程项建书_广东大朗水厂工程可行性201204" xfId="304"/>
    <cellStyle name="_崇明概算调整_吴江市区域供水第二水厂(一期)工程初设_苏州白洋湾水厂改建工程可行性最新修改方案_徐州刘湾水厂工程项建书_徐州刘湾水厂工程项建书_广东大朗水厂工程可行性201204_杭州大清谷至九溪输水管道工程项建书201405" xfId="305"/>
    <cellStyle name="_崇明概算调整_吴江市区域供水第二水厂(一期)工程初设_苏州白洋湾水厂改建工程可行性最新修改方案_徐州刘湾水厂工程项建书_徐州刘湾水厂工程项建书_广东大朗水厂工程可行性201204_新舟山岱山小高亭水厂工程201208" xfId="306"/>
    <cellStyle name="_崇明概算调整_吴江市区域供水第二水厂(一期)工程初设_苏州白洋湾水厂改建工程可行性最新修改方案_徐州刘湾水厂工程项建书_徐州刘湾水厂工程项建书_徐州刘湾水厂工程可行性201203" xfId="307"/>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 xfId="308"/>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_杭州大清谷至九溪输水管道工程项建书201405" xfId="309"/>
    <cellStyle name="_崇明概算调整_吴江市区域供水第二水厂(一期)工程初设_苏州白洋湾水厂改建工程可行性最新修改方案_徐州刘湾水厂工程项建书_徐州刘湾水厂工程项建书_徐州刘湾水厂工程可行性201203_广东大朗水厂工程可行性201204_新舟山岱山小高亭水厂工程201208" xfId="310"/>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 xfId="311"/>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 xfId="312"/>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杭州大清谷至九溪输水管道工程项建书201405" xfId="313"/>
    <cellStyle name="_崇明概算调整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新舟山岱山小高亭水厂工程201208" xfId="314"/>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 xfId="315"/>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 xfId="316"/>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杭州大清谷至九溪输水管道工程项建书201405" xfId="317"/>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新舟山岱山小高亭水厂工程201208" xfId="318"/>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319"/>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 xfId="320"/>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杭州大清谷至九溪输水管道工程项建书201405" xfId="321"/>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新舟山岱山小高亭水厂工程201208" xfId="322"/>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323"/>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 xfId="324"/>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325"/>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326"/>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327"/>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328"/>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29"/>
    <cellStyle name="_崇明概算调整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330"/>
    <cellStyle name="_崇明概算调整_吴江市区域供水第二水厂(一期)工程初设_苏州白洋湾水厂改建工程可行性最新修改方案2" xfId="331"/>
    <cellStyle name="_崇明概算调整_吴江市区域供水第二水厂(一期)工程初设_苏州白洋湾水厂改建工程可行性最新修改方案2_沉井工程量-排放口" xfId="332"/>
    <cellStyle name="_崇明概算调整_吴江市区域供水第二水厂(一期)工程初设_苏州白洋湾水厂改建工程可行性最新修改方案2_广东大朗水厂工程可行性201204" xfId="333"/>
    <cellStyle name="_崇明概算调整_吴江市区域供水第二水厂(一期)工程初设_苏州白洋湾水厂改建工程可行性最新修改方案2_广东大朗水厂工程可行性201204_杭州大清谷至九溪输水管道工程项建书201405" xfId="334"/>
    <cellStyle name="_崇明概算调整_吴江市区域供水第二水厂(一期)工程初设_苏州白洋湾水厂改建工程可行性最新修改方案2_广东大朗水厂工程可行性201204_新舟山岱山小高亭水厂工程201208" xfId="335"/>
    <cellStyle name="_崇明概算调整_吴江市区域供水第二水厂(一期)工程初设_苏州白洋湾水厂改建工程可行性最新修改方案2_铜陵第五水厂工程工可201402" xfId="336"/>
    <cellStyle name="_崇明概算调整_吴江市区域供水第二水厂(一期)工程初设_苏州白洋湾水厂改建工程可行性最新修改方案2_铜陵第五水厂工程工可方案(泵房设在堤外)201402" xfId="337"/>
    <cellStyle name="_崇明概算调整_吴江市区域供水第二水厂(一期)工程初设_苏州白洋湾水厂改建工程可行性最新修改方案2_芜湖三山水厂工程初设201209" xfId="338"/>
    <cellStyle name="_崇明概算调整_吴江市区域供水第二水厂(一期)工程初设_苏州白洋湾水厂改建工程可行性最新修改方案2_芜湖三山水厂工程初设201209_铜陵第五水厂工程工可方案(泵房设在堤外)201402" xfId="339"/>
    <cellStyle name="_崇明概算调整_吴江市区域供水第二水厂(一期)工程初设_苏州白洋湾水厂改建工程可行性最新修改方案2_芜湖三山水厂工程初设201209_芜湖三山水厂工程初设201209" xfId="340"/>
    <cellStyle name="_崇明概算调整_吴江市区域供水第二水厂(一期)工程初设_苏州白洋湾水厂改建工程可行性最新修改方案2_芜湖三山水厂工程初设201209_芜湖三山水厂工程初设201209_铜陵第五水厂工程工可201402" xfId="341"/>
    <cellStyle name="_崇明概算调整_吴江市区域供水第二水厂(一期)工程初设_苏州白洋湾水厂改建工程可行性最新修改方案2_芜湖三山水厂工程初设201209_芜湖三山水厂工程初设201209_铜陵第五水厂工程工可方案(泵房设在堤外)201402" xfId="342"/>
    <cellStyle name="_崇明概算调整_吴江市区域供水第二水厂(一期)工程初设_苏州白洋湾水厂改建工程可行性最新修改方案2_徐州刘湾水厂工程可行性201203" xfId="343"/>
    <cellStyle name="_崇明概算调整_吴江市区域供水第二水厂(一期)工程初设_苏州白洋湾水厂改建工程可行性最新修改方案2_徐州刘湾水厂工程可行性201203_广东大朗水厂工程可行性201204" xfId="344"/>
    <cellStyle name="_崇明概算调整_吴江市区域供水第二水厂(一期)工程初设_苏州白洋湾水厂改建工程可行性最新修改方案2_徐州刘湾水厂工程可行性201203_广东大朗水厂工程可行性201204_杭州大清谷至九溪输水管道工程项建书201405" xfId="345"/>
    <cellStyle name="_崇明概算调整_吴江市区域供水第二水厂(一期)工程初设_苏州白洋湾水厂改建工程可行性最新修改方案2_徐州刘湾水厂工程可行性201203_广东大朗水厂工程可行性201204_新舟山岱山小高亭水厂工程201208" xfId="346"/>
    <cellStyle name="_崇明概算调整_吴江市区域供水第二水厂(一期)工程初设_苏州白洋湾水厂改建工程可行性最新修改方案2_徐州刘湾水厂工程可行性201203_徐州刘湾水厂工程可行性201203" xfId="347"/>
    <cellStyle name="_崇明概算调整_吴江市区域供水第二水厂(一期)工程初设_苏州白洋湾水厂改建工程可行性最新修改方案2_徐州刘湾水厂工程可行性201203_徐州刘湾水厂工程可行性201203_广东大朗水厂工程可行性201204" xfId="348"/>
    <cellStyle name="_崇明概算调整_吴江市区域供水第二水厂(一期)工程初设_苏州白洋湾水厂改建工程可行性最新修改方案2_徐州刘湾水厂工程可行性201203_徐州刘湾水厂工程可行性201203_广东大朗水厂工程可行性201204_杭州大清谷至九溪输水管道工程项建书201405" xfId="349"/>
    <cellStyle name="_崇明概算调整_吴江市区域供水第二水厂(一期)工程初设_苏州白洋湾水厂改建工程可行性最新修改方案2_徐州刘湾水厂工程可行性201203_徐州刘湾水厂工程可行性201203_广东大朗水厂工程可行性201204_新舟山岱山小高亭水厂工程201208" xfId="350"/>
    <cellStyle name="_崇明概算调整_吴江市区域供水第二水厂(一期)工程初设_苏州白洋湾水厂改建工程可行性最新修改方案2_徐州刘湾水厂工程项建书" xfId="351"/>
    <cellStyle name="_崇明概算调整_吴江市区域供水第二水厂(一期)工程初设_苏州白洋湾水厂改建工程可行性最新修改方案2_徐州刘湾水厂工程项建书(水厂取水泵站部分)20020210" xfId="352"/>
    <cellStyle name="_崇明概算调整_吴江市区域供水第二水厂(一期)工程初设_苏州白洋湾水厂改建工程可行性最新修改方案2_徐州刘湾水厂工程项建书(水厂取水泵站部分)20020210_广东大朗水厂工程可行性201204" xfId="353"/>
    <cellStyle name="_崇明概算调整_吴江市区域供水第二水厂(一期)工程初设_苏州白洋湾水厂改建工程可行性最新修改方案2_徐州刘湾水厂工程项建书(水厂取水泵站部分)20020210_广东大朗水厂工程可行性201204_杭州大清谷至九溪输水管道工程项建书201405" xfId="354"/>
    <cellStyle name="_崇明概算调整_吴江市区域供水第二水厂(一期)工程初设_苏州白洋湾水厂改建工程可行性最新修改方案2_徐州刘湾水厂工程项建书(水厂取水泵站部分)20020210_广东大朗水厂工程可行性201204_新舟山岱山小高亭水厂工程201208" xfId="355"/>
    <cellStyle name="_崇明概算调整_吴江市区域供水第二水厂(一期)工程初设_苏州白洋湾水厂改建工程可行性最新修改方案2_徐州刘湾水厂工程项建书(水厂取水泵站部分)20020210_徐州刘湾水厂工程可行性201203" xfId="356"/>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 xfId="357"/>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_杭州大清谷至九溪输水管道工程项建书201405" xfId="358"/>
    <cellStyle name="_崇明概算调整_吴江市区域供水第二水厂(一期)工程初设_苏州白洋湾水厂改建工程可行性最新修改方案2_徐州刘湾水厂工程项建书(水厂取水泵站部分)20020210_徐州刘湾水厂工程可行性201203_广东大朗水厂工程可行性201204_新舟山岱山小高亭水厂工程201208" xfId="359"/>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 xfId="360"/>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 xfId="361"/>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杭州大清谷至九溪输水管道工程项建书201405" xfId="362"/>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新舟山岱山小高亭水厂工程201208" xfId="363"/>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364"/>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 xfId="365"/>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366"/>
    <cellStyle name="_崇明概算调整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新舟山岱山小高亭水厂工程201208" xfId="367"/>
    <cellStyle name="_崇明概算调整_吴江市区域供水第二水厂(一期)工程初设_苏州白洋湾水厂改建工程可行性最新修改方案2_徐州刘湾水厂工程项建书_广东大朗水厂工程可行性201204" xfId="368"/>
    <cellStyle name="_崇明概算调整_吴江市区域供水第二水厂(一期)工程初设_苏州白洋湾水厂改建工程可行性最新修改方案2_徐州刘湾水厂工程项建书_广东大朗水厂工程可行性201204_杭州大清谷至九溪输水管道工程项建书201405" xfId="369"/>
    <cellStyle name="_崇明概算调整_吴江市区域供水第二水厂(一期)工程初设_苏州白洋湾水厂改建工程可行性最新修改方案2_徐州刘湾水厂工程项建书_广东大朗水厂工程可行性201204_新舟山岱山小高亭水厂工程201208" xfId="370"/>
    <cellStyle name="_崇明概算调整_吴江市区域供水第二水厂(一期)工程初设_苏州白洋湾水厂改建工程可行性最新修改方案2_徐州刘湾水厂工程项建书_徐州刘湾水厂工程可行性201203" xfId="371"/>
    <cellStyle name="_崇明概算调整_吴江市区域供水第二水厂(一期)工程初设_苏州白洋湾水厂改建工程可行性最新修改方案2_徐州刘湾水厂工程项建书_徐州刘湾水厂工程可行性201203_广东大朗水厂工程可行性201204" xfId="372"/>
    <cellStyle name="_崇明概算调整_吴江市区域供水第二水厂(一期)工程初设_苏州白洋湾水厂改建工程可行性最新修改方案2_徐州刘湾水厂工程项建书_徐州刘湾水厂工程可行性201203_广东大朗水厂工程可行性201204_杭州大清谷至九溪输水管道工程项建书201405" xfId="373"/>
    <cellStyle name="_崇明概算调整_吴江市区域供水第二水厂(一期)工程初设_苏州白洋湾水厂改建工程可行性最新修改方案2_徐州刘湾水厂工程项建书_徐州刘湾水厂工程可行性201203_广东大朗水厂工程可行性201204_新舟山岱山小高亭水厂工程201208" xfId="374"/>
    <cellStyle name="_崇明概算调整_吴江市区域供水第二水厂(一期)工程初设_苏州白洋湾水厂改建工程可行性最新修改方案2_徐州刘湾水厂工程项建书_徐州刘湾水厂工程可行性201203_徐州刘湾水厂工程可行性201203" xfId="375"/>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 xfId="376"/>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_杭州大清谷至九溪输水管道工程项建书201405" xfId="377"/>
    <cellStyle name="_崇明概算调整_吴江市区域供水第二水厂(一期)工程初设_苏州白洋湾水厂改建工程可行性最新修改方案2_徐州刘湾水厂工程项建书_徐州刘湾水厂工程可行性201203_徐州刘湾水厂工程可行性201203_广东大朗水厂工程可行性201204_新舟山岱山小高亭水厂工程201208" xfId="378"/>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 xfId="379"/>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 xfId="380"/>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杭州大清谷至九溪输水管道工程项建书201405" xfId="381"/>
    <cellStyle name="_崇明概算调整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新舟山岱山小高亭水厂工程201208" xfId="382"/>
    <cellStyle name="_崇明概算调整_吴江市区域供水第二水厂(一期)工程初设_苏州白洋湾水厂改建工程可行性最新修改方案2_徐州刘湾水厂工程项建书_徐州刘湾水厂工程项建书" xfId="383"/>
    <cellStyle name="_崇明概算调整_吴江市区域供水第二水厂(一期)工程初设_苏州白洋湾水厂改建工程可行性最新修改方案2_徐州刘湾水厂工程项建书_徐州刘湾水厂工程项建书(水厂部分一二期拆分)20111207" xfId="384"/>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 xfId="385"/>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_杭州大清谷至九溪输水管道工程项建书201405" xfId="386"/>
    <cellStyle name="_崇明概算调整_吴江市区域供水第二水厂(一期)工程初设_苏州白洋湾水厂改建工程可行性最新修改方案2_徐州刘湾水厂工程项建书_徐州刘湾水厂工程项建书(水厂部分一二期拆分)20111207_广东大朗水厂工程可行性201204_新舟山岱山小高亭水厂工程201208" xfId="387"/>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 xfId="388"/>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 xfId="389"/>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杭州大清谷至九溪输水管道工程项建书201405" xfId="390"/>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新舟山岱山小高亭水厂工程201208" xfId="391"/>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392"/>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 xfId="393"/>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394"/>
    <cellStyle name="_崇明概算调整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新舟山岱山小高亭水厂工程201208" xfId="395"/>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396"/>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 xfId="397"/>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杭州大清谷至九溪输水管道工程项建书201405" xfId="398"/>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新舟山岱山小高亭水厂工程201208" xfId="399"/>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400"/>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 xfId="401"/>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402"/>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新舟山岱山小高亭水厂工程201208" xfId="403"/>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404"/>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405"/>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406"/>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新舟山岱山小高亭水厂工程201208" xfId="407"/>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408"/>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409"/>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10"/>
    <cellStyle name="_崇明概算调整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新舟山岱山小高亭水厂工程201208" xfId="411"/>
    <cellStyle name="_崇明概算调整_吴江市区域供水第二水厂(一期)工程初设_苏州白洋湾水厂改建工程可行性最新修改方案2_徐州刘湾水厂工程项建书_徐州刘湾水厂工程项建书_广东大朗水厂工程可行性201204" xfId="412"/>
    <cellStyle name="_崇明概算调整_吴江市区域供水第二水厂(一期)工程初设_苏州白洋湾水厂改建工程可行性最新修改方案2_徐州刘湾水厂工程项建书_徐州刘湾水厂工程项建书_广东大朗水厂工程可行性201204_杭州大清谷至九溪输水管道工程项建书201405" xfId="413"/>
    <cellStyle name="_崇明概算调整_吴江市区域供水第二水厂(一期)工程初设_苏州白洋湾水厂改建工程可行性最新修改方案2_徐州刘湾水厂工程项建书_徐州刘湾水厂工程项建书_广东大朗水厂工程可行性201204_新舟山岱山小高亭水厂工程201208" xfId="414"/>
    <cellStyle name="_崇明概算调整_吴江市区域供水第二水厂(一期)工程初设_苏州白洋湾水厂改建工程可行性最新修改方案2_徐州刘湾水厂工程项建书_徐州刘湾水厂工程项建书_徐州刘湾水厂工程可行性201203" xfId="415"/>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 xfId="416"/>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_杭州大清谷至九溪输水管道工程项建书201405" xfId="417"/>
    <cellStyle name="_崇明概算调整_吴江市区域供水第二水厂(一期)工程初设_苏州白洋湾水厂改建工程可行性最新修改方案2_徐州刘湾水厂工程项建书_徐州刘湾水厂工程项建书_徐州刘湾水厂工程可行性201203_广东大朗水厂工程可行性201204_新舟山岱山小高亭水厂工程201208" xfId="418"/>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 xfId="419"/>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 xfId="420"/>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杭州大清谷至九溪输水管道工程项建书201405" xfId="421"/>
    <cellStyle name="_崇明概算调整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新舟山岱山小高亭水厂工程201208" xfId="422"/>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 xfId="423"/>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 xfId="424"/>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杭州大清谷至九溪输水管道工程项建书201405" xfId="425"/>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新舟山岱山小高亭水厂工程201208" xfId="426"/>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427"/>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 xfId="428"/>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杭州大清谷至九溪输水管道工程项建书201405" xfId="429"/>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新舟山岱山小高亭水厂工程201208" xfId="430"/>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431"/>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 xfId="432"/>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433"/>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新舟山岱山小高亭水厂工程201208" xfId="434"/>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435"/>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436"/>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37"/>
    <cellStyle name="_崇明概算调整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新舟山岱山小高亭水厂工程201208" xfId="438"/>
    <cellStyle name="_崇明概算调整_吴江市区域供水第二水厂(一期)工程初设_苏州工业园区阳澄湖水厂工程初步设计201206" xfId="439"/>
    <cellStyle name="_崇明概算调整_吴江市区域供水第二水厂(一期)工程初设_苏州工业园区阳澄湖水厂工程可行性201108" xfId="440"/>
    <cellStyle name="_崇明概算调整_吴江市区域供水第二水厂(一期)工程初设_苏州工业园区阳澄湖水厂工程可行性201108_沉井工程量-排放口" xfId="441"/>
    <cellStyle name="_崇明概算调整_吴江市区域供水第二水厂(一期)工程初设_苏州工业园区阳澄湖水厂工程可行性201108_广东大朗水厂工程可行性201204" xfId="442"/>
    <cellStyle name="_崇明概算调整_吴江市区域供水第二水厂(一期)工程初设_苏州工业园区阳澄湖水厂工程可行性201108_广东大朗水厂工程可行性201204_杭州大清谷至九溪输水管道工程项建书201405" xfId="443"/>
    <cellStyle name="_崇明概算调整_吴江市区域供水第二水厂(一期)工程初设_苏州工业园区阳澄湖水厂工程可行性201108_广东大朗水厂工程可行性201204_新舟山岱山小高亭水厂工程201208" xfId="444"/>
    <cellStyle name="_崇明概算调整_吴江市区域供水第二水厂(一期)工程初设_苏州工业园区阳澄湖水厂工程可行性201108_铜陵第五水厂工程工可201402" xfId="445"/>
    <cellStyle name="_崇明概算调整_吴江市区域供水第二水厂(一期)工程初设_苏州工业园区阳澄湖水厂工程可行性201108_铜陵第五水厂工程工可方案(泵房设在堤外)201402" xfId="446"/>
    <cellStyle name="_崇明概算调整_吴江市区域供水第二水厂(一期)工程初设_苏州工业园区阳澄湖水厂工程可行性201108_芜湖三山水厂工程初设201209" xfId="447"/>
    <cellStyle name="_崇明概算调整_吴江市区域供水第二水厂(一期)工程初设_苏州工业园区阳澄湖水厂工程可行性201108_芜湖三山水厂工程初设201209_铜陵第五水厂工程工可方案(泵房设在堤外)201402" xfId="448"/>
    <cellStyle name="_崇明概算调整_吴江市区域供水第二水厂(一期)工程初设_苏州工业园区阳澄湖水厂工程可行性201108_芜湖三山水厂工程初设201209_芜湖三山水厂工程初设201209" xfId="449"/>
    <cellStyle name="_崇明概算调整_吴江市区域供水第二水厂(一期)工程初设_苏州工业园区阳澄湖水厂工程可行性201108_芜湖三山水厂工程初设201209_芜湖三山水厂工程初设201209_铜陵第五水厂工程工可201402" xfId="450"/>
    <cellStyle name="_崇明概算调整_吴江市区域供水第二水厂(一期)工程初设_苏州工业园区阳澄湖水厂工程可行性201108_芜湖三山水厂工程初设201209_芜湖三山水厂工程初设201209_铜陵第五水厂工程工可方案(泵房设在堤外)201402" xfId="451"/>
    <cellStyle name="_崇明概算调整_吴江市区域供水第二水厂(一期)工程初设_苏州工业园区阳澄湖水厂工程可行性201108_徐州刘湾水厂工程可行性201203" xfId="452"/>
    <cellStyle name="_崇明概算调整_吴江市区域供水第二水厂(一期)工程初设_苏州工业园区阳澄湖水厂工程可行性201108_徐州刘湾水厂工程可行性201203_广东大朗水厂工程可行性201204" xfId="453"/>
    <cellStyle name="_崇明概算调整_吴江市区域供水第二水厂(一期)工程初设_苏州工业园区阳澄湖水厂工程可行性201108_徐州刘湾水厂工程可行性201203_广东大朗水厂工程可行性201204_杭州大清谷至九溪输水管道工程项建书201405" xfId="454"/>
    <cellStyle name="_崇明概算调整_吴江市区域供水第二水厂(一期)工程初设_苏州工业园区阳澄湖水厂工程可行性201108_徐州刘湾水厂工程可行性201203_广东大朗水厂工程可行性201204_新舟山岱山小高亭水厂工程201208" xfId="455"/>
    <cellStyle name="_崇明概算调整_吴江市区域供水第二水厂(一期)工程初设_苏州工业园区阳澄湖水厂工程可行性201108_徐州刘湾水厂工程可行性201203_徐州刘湾水厂工程可行性201203" xfId="456"/>
    <cellStyle name="_崇明概算调整_吴江市区域供水第二水厂(一期)工程初设_苏州工业园区阳澄湖水厂工程可行性201108_徐州刘湾水厂工程可行性201203_徐州刘湾水厂工程可行性201203_广东大朗水厂工程可行性201204" xfId="457"/>
    <cellStyle name="_崇明概算调整_吴江市区域供水第二水厂(一期)工程初设_苏州工业园区阳澄湖水厂工程可行性201108_徐州刘湾水厂工程可行性201203_徐州刘湾水厂工程可行性201203_广东大朗水厂工程可行性201204_杭州大清谷至九溪输水管道工程项建书201405" xfId="458"/>
    <cellStyle name="_崇明概算调整_吴江市区域供水第二水厂(一期)工程初设_苏州工业园区阳澄湖水厂工程可行性201108_徐州刘湾水厂工程可行性201203_徐州刘湾水厂工程可行性201203_广东大朗水厂工程可行性201204_新舟山岱山小高亭水厂工程201208" xfId="459"/>
    <cellStyle name="_崇明概算调整_吴江市区域供水第二水厂(一期)工程初设_苏州工业园区阳澄湖水厂工程可行性201108_徐州刘湾水厂工程项建书" xfId="460"/>
    <cellStyle name="_崇明概算调整_吴江市区域供水第二水厂(一期)工程初设_苏州工业园区阳澄湖水厂工程可行性201108_徐州刘湾水厂工程项建书(水厂取水泵站部分)20020210" xfId="461"/>
    <cellStyle name="_崇明概算调整_吴江市区域供水第二水厂(一期)工程初设_苏州工业园区阳澄湖水厂工程可行性201108_徐州刘湾水厂工程项建书(水厂取水泵站部分)20020210_广东大朗水厂工程可行性201204" xfId="462"/>
    <cellStyle name="_崇明概算调整_吴江市区域供水第二水厂(一期)工程初设_苏州工业园区阳澄湖水厂工程可行性201108_徐州刘湾水厂工程项建书(水厂取水泵站部分)20020210_广东大朗水厂工程可行性201204_杭州大清谷至九溪输水管道工程项建书201405" xfId="463"/>
    <cellStyle name="_崇明概算调整_吴江市区域供水第二水厂(一期)工程初设_苏州工业园区阳澄湖水厂工程可行性201108_徐州刘湾水厂工程项建书(水厂取水泵站部分)20020210_徐州刘湾水厂工程可行性201203" xfId="464"/>
    <cellStyle name="_崇明概算调整_吴江市区域供水第二水厂(一期)工程初设_苏州工业园区阳澄湖水厂工程可行性201108_徐州刘湾水厂工程项建书(水厂取水泵站部分)20020210_徐州刘湾水厂工程可行性201203_广东大朗水厂工程可行性201204" xfId="465"/>
    <cellStyle name="_崇明概算调整_吴江市区域供水第二水厂(一期)工程初设_苏州工业园区阳澄湖水厂工程可行性201108_徐州刘湾水厂工程项建书(水厂取水泵站部分)20020210_徐州刘湾水厂工程可行性201203_广东大朗水厂工程可行性201204_杭州大清谷至九溪输水管道工程项建书201405" xfId="466"/>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 xfId="467"/>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 xfId="468"/>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_杭州大清谷至九溪输水管道工程项建书201405" xfId="469"/>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470"/>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 xfId="471"/>
    <cellStyle name="_崇明概算调整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472"/>
    <cellStyle name="_崇明概算调整_吴江市区域供水第二水厂(一期)工程初设_苏州工业园区阳澄湖水厂工程可行性201108_徐州刘湾水厂工程项建书_广东大朗水厂工程可行性201204" xfId="473"/>
    <cellStyle name="_崇明概算调整_吴江市区域供水第二水厂(一期)工程初设_苏州工业园区阳澄湖水厂工程可行性201108_徐州刘湾水厂工程项建书_广东大朗水厂工程可行性201204_杭州大清谷至九溪输水管道工程项建书201405" xfId="474"/>
    <cellStyle name="_崇明概算调整_吴江市区域供水第二水厂(一期)工程初设_苏州工业园区阳澄湖水厂工程可行性201108_徐州刘湾水厂工程项建书_徐州刘湾水厂工程可行性201203" xfId="475"/>
    <cellStyle name="_崇明概算调整_吴江市区域供水第二水厂(一期)工程初设_苏州工业园区阳澄湖水厂工程可行性201108_徐州刘湾水厂工程项建书_徐州刘湾水厂工程可行性201203_广东大朗水厂工程可行性201204" xfId="476"/>
    <cellStyle name="_崇明概算调整_吴江市区域供水第二水厂(一期)工程初设_苏州工业园区阳澄湖水厂工程可行性201108_徐州刘湾水厂工程项建书_徐州刘湾水厂工程可行性201203_广东大朗水厂工程可行性201204_杭州大清谷至九溪输水管道工程项建书201405" xfId="477"/>
    <cellStyle name="_崇明概算调整_吴江市区域供水第二水厂(一期)工程初设_苏州工业园区阳澄湖水厂工程可行性201108_徐州刘湾水厂工程项建书_徐州刘湾水厂工程可行性201203_徐州刘湾水厂工程可行性201203" xfId="478"/>
    <cellStyle name="_崇明概算调整_吴江市区域供水第二水厂(一期)工程初设_苏州工业园区阳澄湖水厂工程可行性201108_徐州刘湾水厂工程项建书_徐州刘湾水厂工程可行性201203_徐州刘湾水厂工程可行性201203_广东大朗水厂工程可行性201204" xfId="479"/>
    <cellStyle name="_崇明概算调整_吴江市区域供水第二水厂(一期)工程初设_苏州工业园区阳澄湖水厂工程可行性201108_徐州刘湾水厂工程项建书_徐州刘湾水厂工程可行性201203_徐州刘湾水厂工程可行性201203_广东大朗水厂工程可行性201204_杭州大清谷至九溪输水管道工程项建书201405" xfId="480"/>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 xfId="481"/>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 xfId="482"/>
    <cellStyle name="_崇明概算调整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_杭州大清谷至九溪输水管道工程项建书201405" xfId="483"/>
    <cellStyle name="_崇明概算调整_吴江市区域供水第二水厂(一期)工程初设_苏州工业园区阳澄湖水厂工程可行性201108_徐州刘湾水厂工程项建书_徐州刘湾水厂工程项建书" xfId="484"/>
    <cellStyle name="_崇明概算调整_吴江市区域供水第二水厂(一期)工程初设_苏州工业园区阳澄湖水厂工程可行性201108_徐州刘湾水厂工程项建书_徐州刘湾水厂工程项建书(水厂部分一二期拆分)20111207" xfId="485"/>
    <cellStyle name="_崇明概算调整_吴江市区域供水第二水厂(一期)工程初设_苏州工业园区阳澄湖水厂工程可行性201108_徐州刘湾水厂工程项建书_徐州刘湾水厂工程项建书(水厂部分一二期拆分)20111207_广东大朗水厂工程可行性201204" xfId="486"/>
    <cellStyle name="_崇明概算调整_吴江市区域供水第二水厂(一期)工程初设_苏州工业园区阳澄湖水厂工程可行性201108_徐州刘湾水厂工程项建书_徐州刘湾水厂工程项建书(水厂部分一二期拆分)20111207_广东大朗水厂工程可行性201204_杭州大清谷至九溪输水管道工程项建书201405" xfId="487"/>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 xfId="488"/>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 xfId="489"/>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_杭州大清谷至九溪输水管道工程项建书201405" xfId="490"/>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491"/>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 xfId="492"/>
    <cellStyle name="_崇明概算调整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493"/>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494"/>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 xfId="495"/>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_杭州大清谷至九溪输水管道工程项建书201405" xfId="496"/>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497"/>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 xfId="498"/>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499"/>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500"/>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501"/>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502"/>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503"/>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504"/>
    <cellStyle name="_崇明概算调整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05"/>
    <cellStyle name="_崇明概算调整_吴江市区域供水第二水厂(一期)工程初设_苏州工业园区阳澄湖水厂工程可行性201108_徐州刘湾水厂工程项建书_徐州刘湾水厂工程项建书_广东大朗水厂工程可行性201204" xfId="506"/>
    <cellStyle name="_崇明概算调整_吴江市区域供水第二水厂(一期)工程初设_苏州工业园区阳澄湖水厂工程可行性201108_徐州刘湾水厂工程项建书_徐州刘湾水厂工程项建书_广东大朗水厂工程可行性201204_杭州大清谷至九溪输水管道工程项建书201405" xfId="507"/>
    <cellStyle name="_崇明概算调整_吴江市区域供水第二水厂(一期)工程初设_苏州工业园区阳澄湖水厂工程可行性201108_徐州刘湾水厂工程项建书_徐州刘湾水厂工程项建书_徐州刘湾水厂工程可行性201203" xfId="508"/>
    <cellStyle name="_崇明概算调整_吴江市区域供水第二水厂(一期)工程初设_苏州工业园区阳澄湖水厂工程可行性201108_徐州刘湾水厂工程项建书_徐州刘湾水厂工程项建书_徐州刘湾水厂工程可行性201203_广东大朗水厂工程可行性201204" xfId="509"/>
    <cellStyle name="_崇明概算调整_吴江市区域供水第二水厂(一期)工程初设_苏州工业园区阳澄湖水厂工程可行性201108_徐州刘湾水厂工程项建书_徐州刘湾水厂工程项建书_徐州刘湾水厂工程可行性201203_广东大朗水厂工程可行性201204_杭州大清谷至九溪输水管道工程项建书201405" xfId="510"/>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 xfId="511"/>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 xfId="512"/>
    <cellStyle name="_崇明概算调整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_杭州大清谷至九溪输水管道工程项建书201405" xfId="513"/>
    <cellStyle name="_崇明概算调整_吴江市区域供水第二水厂(一期)工程初设_苏州工业园区阳澄湖水厂工程可行性201108_徐州刘湾水厂工程项建书_徐州刘湾水厂工程项建书_徐州刘湾水厂工程项建书(水厂取水泵站部分)20020210" xfId="514"/>
    <cellStyle name="_崇明概算调整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 xfId="515"/>
    <cellStyle name="_崇明概算调整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_杭州大清谷至九溪输水管道工程项建书201405" xfId="516"/>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517"/>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 xfId="518"/>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_杭州大清谷至九溪输水管道工程项建书201405" xfId="519"/>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520"/>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 xfId="521"/>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522"/>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523"/>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524"/>
    <cellStyle name="_崇明概算调整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25"/>
    <cellStyle name="_崇明概算调整_吴江市区域供水第二水厂(一期)工程初设_铜陵第五水厂工程工可方案(泵房设在堤外)201402" xfId="526"/>
    <cellStyle name="_崇明概算调整_吴江市区域供水第二水厂(一期)工程初设_芜湖三山水厂工程初设201209" xfId="527"/>
    <cellStyle name="_崇明概算调整_吴江市区域供水第二水厂(一期)工程初设_芜湖三山水厂工程初设201209_铜陵第五水厂工程工可201402" xfId="528"/>
    <cellStyle name="_崇明概算调整_吴江市区域供水第二水厂(一期)工程初设_芜湖三山水厂工程初设201209_铜陵第五水厂工程工可方案(泵房设在堤外)201402" xfId="529"/>
    <cellStyle name="_崇明概算调整_吴江市区域供水第二水厂(一期)工程初设_吴江市庙港水厂深度处理工程方案" xfId="530"/>
    <cellStyle name="_崇明概算调整_吴江市区域供水第二水厂(一期)工程初设_吴江市庙港水厂深度处理工程方案_吴江市庙港水厂深度处理工程初设总表" xfId="531"/>
    <cellStyle name="_崇明概算调整_吴江市区域供水第二水厂(一期)工程初设_吴江市庙港水厂深度处理工程可行性" xfId="532"/>
    <cellStyle name="_崇明概算调整_吴江市区域供水第二水厂(一期)工程初设_吴江市区域供水第二水厂(一期)工程初设" xfId="533"/>
    <cellStyle name="_崇明概算调整_吴江市区域供水第二水厂(一期)工程初设_吴江市区域供水第二水厂(一期)工程初设_沉井工程量-排放口" xfId="534"/>
    <cellStyle name="_崇明概算调整_吴江市区域供水第二水厂(一期)工程初设_吴江市区域供水第二水厂(一期)工程初设_广东大朗水厂工程可行性201204" xfId="535"/>
    <cellStyle name="_崇明概算调整_吴江市区域供水第二水厂(一期)工程初设_吴江市区域供水第二水厂(一期)工程初设_广东大朗水厂工程可行性201204_杭州大清谷至九溪输水管道工程项建书201405" xfId="536"/>
    <cellStyle name="_崇明概算调整_吴江市区域供水第二水厂(一期)工程初设_吴江市区域供水第二水厂(一期)工程初设_铜陵第五水厂工程工可201402" xfId="537"/>
    <cellStyle name="_崇明概算调整_吴江市区域供水第二水厂(一期)工程初设_吴江市区域供水第二水厂(一期)工程初设_铜陵第五水厂工程工可方案(泵房设在堤外)201402" xfId="538"/>
    <cellStyle name="_崇明概算调整_吴江市区域供水第二水厂(一期)工程初设_吴江市区域供水第二水厂(一期)工程初设_芜湖三山水厂工程初设201209" xfId="539"/>
    <cellStyle name="_崇明概算调整_吴江市区域供水第二水厂(一期)工程初设_吴江市区域供水第二水厂(一期)工程初设_芜湖三山水厂工程初设201209_铜陵第五水厂工程工可方案(泵房设在堤外)201402" xfId="540"/>
    <cellStyle name="_崇明概算调整_吴江市区域供水第二水厂(一期)工程初设_吴江市区域供水第二水厂(一期)工程初设_芜湖三山水厂工程初设201209_芜湖三山水厂工程初设201209" xfId="541"/>
    <cellStyle name="_崇明概算调整_吴江市区域供水第二水厂(一期)工程初设_吴江市区域供水第二水厂(一期)工程初设_芜湖三山水厂工程初设201209_芜湖三山水厂工程初设201209_铜陵第五水厂工程工可201402" xfId="542"/>
    <cellStyle name="_崇明概算调整_吴江市区域供水第二水厂(一期)工程初设_吴江市区域供水第二水厂(一期)工程初设_芜湖三山水厂工程初设201209_芜湖三山水厂工程初设201209_铜陵第五水厂工程工可方案(泵房设在堤外)201402" xfId="543"/>
    <cellStyle name="_崇明概算调整_吴江市区域供水第二水厂(一期)工程初设_吴江市区域供水第二水厂(一期)工程初设_吴江市庙港水厂深度处理工程初设总表" xfId="544"/>
    <cellStyle name="_崇明概算调整_吴江市区域供水第二水厂(一期)工程初设_吴江市区域供水第二水厂(一期)工程初设_吴江市区域供水第二水厂(一期)工程初设" xfId="545"/>
    <cellStyle name="_崇明概算调整_吴江市区域供水第二水厂(一期)工程初设_吴江市区域供水第二水厂(一期)工程初设_吴江市区域供水第二水厂(一期)工程初设_安亭水厂扩建工程可行性201411" xfId="546"/>
    <cellStyle name="_崇明概算调整_吴江市区域供水第二水厂(一期)工程初设_吴江市区域供水第二水厂(一期)工程初设_吴江市区域供水第二水厂(一期)工程初设_沉井工程量-排放口" xfId="547"/>
    <cellStyle name="_崇明概算调整_吴江市区域供水第二水厂(一期)工程初设_吴江市区域供水第二水厂(一期)工程初设_吴江市区域供水第二水厂(一期)工程初设_丹阳善巷水厂工程项建书201108" xfId="548"/>
    <cellStyle name="_崇明概算调整_吴江市区域供水第二水厂(一期)工程初设_吴江市区域供水第二水厂(一期)工程初设_吴江市区域供水第二水厂(一期)工程初设_奉贤区海湾镇供水集约化一期工程初设" xfId="549"/>
    <cellStyle name="_崇明概算调整_吴江市区域供水第二水厂(一期)工程初设_吴江市区域供水第二水厂(一期)工程初设_吴江市区域供水第二水厂(一期)工程初设_广东省建设工程造价咨询服务收费标准表" xfId="550"/>
    <cellStyle name="_崇明概算调整_吴江市区域供水第二水厂(一期)工程初设_吴江市区域供水第二水厂(一期)工程初设_吴江市区域供水第二水厂(一期)工程初设_广东省建设工程造价咨询服务收费标准表_广东大朗水厂工程可行性201204" xfId="551"/>
    <cellStyle name="_崇明概算调整_吴江市区域供水第二水厂(一期)工程初设_吴江市区域供水第二水厂(一期)工程初设_吴江市区域供水第二水厂(一期)工程初设_广东省建设工程造价咨询服务收费标准表_广东大朗水厂工程可行性201204_杭州大清谷至九溪输水管道工程项建书201405" xfId="552"/>
    <cellStyle name="_崇明概算调整_吴江市区域供水第二水厂(一期)工程初设_吴江市区域供水第二水厂(一期)工程初设_吴江市区域供水第二水厂(一期)工程初设_杭州大清谷至九溪输水管道工程项建书201405" xfId="553"/>
    <cellStyle name="_崇明概算调整_吴江市区域供水第二水厂(一期)工程初设_吴江市区域供水第二水厂(一期)工程初设_吴江市区域供水第二水厂(一期)工程初设_嘉定供水管初设201304" xfId="554"/>
    <cellStyle name="_崇明概算调整_吴江市区域供水第二水厂(一期)工程初设_吴江市区域供水第二水厂(一期)工程初设_吴江市区域供水第二水厂(一期)工程初设_嘉定供水管初设201304审批后修改" xfId="555"/>
    <cellStyle name="_崇明概算调整_吴江市区域供水第二水厂(一期)工程初设_吴江市区域供水第二水厂(一期)工程初设_吴江市区域供水第二水厂(一期)工程初设_取水泵房" xfId="556"/>
    <cellStyle name="_崇明概算调整_吴江市区域供水第二水厂(一期)工程初设_吴江市区域供水第二水厂(一期)工程初设_吴江市区域供水第二水厂(一期)工程初设_上海工程范例" xfId="557"/>
    <cellStyle name="_崇明概算调整_吴江市区域供水第二水厂(一期)工程初设_吴江市区域供水第二水厂(一期)工程初设_吴江市区域供水第二水厂(一期)工程初设_上海工程范例_沉井工程量-排放口" xfId="558"/>
    <cellStyle name="_崇明概算调整_吴江市区域供水第二水厂(一期)工程初设_吴江市区域供水第二水厂(一期)工程初设_吴江市区域供水第二水厂(一期)工程初设_苏州白洋湾水厂改建工程可行性201107" xfId="559"/>
    <cellStyle name="_崇明概算调整_吴江市区域供水第二水厂(一期)工程初设_吴江市区域供水第二水厂(一期)工程初设_吴江市区域供水第二水厂(一期)工程初设_苏州白洋湾水厂改建工程可行性201107_沉井工程量-排放口" xfId="560"/>
    <cellStyle name="_崇明概算调整_吴江市区域供水第二水厂(一期)工程初设_吴江市区域供水第二水厂(一期)工程初设_吴江市区域供水第二水厂(一期)工程初设_苏州白洋湾水厂改建工程可行性201107_广东大朗水厂工程可行性201204" xfId="561"/>
    <cellStyle name="_崇明概算调整_吴江市区域供水第二水厂(一期)工程初设_吴江市区域供水第二水厂(一期)工程初设_吴江市区域供水第二水厂(一期)工程初设_苏州白洋湾水厂改建工程可行性201107_广东大朗水厂工程可行性201204_杭州大清谷至九溪输水管道工程项建书201405" xfId="562"/>
    <cellStyle name="_崇明概算调整_吴江市区域供水第二水厂(一期)工程初设_吴江市区域供水第二水厂(一期)工程初设_吴江市区域供水第二水厂(一期)工程初设_苏州白洋湾水厂改建工程可行性201107_铜陵第五水厂工程工可201402" xfId="563"/>
    <cellStyle name="_崇明概算调整_吴江市区域供水第二水厂(一期)工程初设_吴江市区域供水第二水厂(一期)工程初设_吴江市区域供水第二水厂(一期)工程初设_苏州白洋湾水厂改建工程可行性201107_铜陵第五水厂工程工可方案(泵房设在堤外)201402" xfId="564"/>
    <cellStyle name="_崇明概算调整_吴江市区域供水第二水厂(一期)工程初设_吴江市区域供水第二水厂(一期)工程初设_吴江市区域供水第二水厂(一期)工程初设_苏州白洋湾水厂改建工程可行性201107_芜湖三山水厂工程初设201209" xfId="565"/>
    <cellStyle name="_崇明概算调整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566"/>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567"/>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568"/>
    <cellStyle name="_崇明概算调整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569"/>
    <cellStyle name="_崇明概算调整_吴江市区域供水第二水厂(一期)工程初设_吴江市区域供水第二水厂(一期)工程初设_吴江市区域供水第二水厂(一期)工程初设_苏州白洋湾水厂改建工程可行性201107_徐州刘湾水厂工程可行性201203" xfId="570"/>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广东大朗水厂工程可行性201204" xfId="571"/>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广东大朗水厂工程可行性201204_杭州大清谷至九溪输水管道工程项建书201405" xfId="572"/>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573"/>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_广东大朗水厂工程可行性201204" xfId="574"/>
    <cellStyle name="_崇明概算调整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_广东大朗水厂工程可行性201204_杭州大清谷至九溪输水管道工程项建书201405" xfId="575"/>
    <cellStyle name="_崇明概算调整_吴江市区域供水第二水厂(一期)工程初设_吴江市区域供水第二水厂(一期)工程初设_吴江市区域供水第二水厂(一期)工程初设_苏州白洋湾水厂改建工程可行性201107_徐州刘湾水厂工程项建书" xfId="576"/>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 xfId="577"/>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广东大朗水厂工程可行性201204" xfId="578"/>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广东大朗水厂工程可行性201204_杭州大清谷至九溪输水管道工程项建书201405" xfId="579"/>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580"/>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广东大朗水厂工程可行性201204" xfId="581"/>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广东大朗水厂工程可行性201204_杭州大清谷至九溪输水管道工程项建书201405" xfId="582"/>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583"/>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 xfId="584"/>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广东大朗水厂工程可行性201204_杭州大清谷至九溪输水管道工程项建书201405" xfId="585"/>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586"/>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 xfId="587"/>
    <cellStyle name="_崇明概算调整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588"/>
    <cellStyle name="_崇明概算调整_吴江市区域供水第二水厂(一期)工程初设_吴江市区域供水第二水厂(一期)工程初设_吴江市区域供水第二水厂(一期)工程初设_苏州白洋湾水厂改建工程可行性201107_徐州刘湾水厂工程项建书_广东大朗水厂工程可行性201204" xfId="589"/>
    <cellStyle name="_崇明概算调整_吴江市区域供水第二水厂(一期)工程初设_吴江市区域供水第二水厂(一期)工程初设_吴江市区域供水第二水厂(一期)工程初设_苏州白洋湾水厂改建工程可行性201107_徐州刘湾水厂工程项建书_广东大朗水厂工程可行性201204_杭州大清谷至九溪输水管道工程项建书201405" xfId="59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59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广东大朗水厂工程可行性201204" xfId="59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广东大朗水厂工程可行性201204_杭州大清谷至九溪输水管道工程项建书201405" xfId="59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59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广东大朗水厂工程可行性201204" xfId="59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广东大朗水厂工程可行性201204_杭州大清谷至九溪输水管道工程项建书201405" xfId="59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59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 xfId="59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_广东大朗水厂工程可行性201204_杭州大清谷至九溪输水管道工程项建书201405" xfId="59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 xfId="60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60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广东大朗水厂工程可行性201204" xfId="60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广东大朗水厂工程可行性201204_杭州大清谷至九溪输水管道工程项建书201405" xfId="60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60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 xfId="60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广东大朗水厂工程可行性201204_杭州大清谷至九溪输水管道工程项建书201405" xfId="60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60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 xfId="60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60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61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 xfId="61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广东大朗水厂工程可行性201204_杭州大清谷至九溪输水管道工程项建书201405" xfId="61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61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 xfId="61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61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61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61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61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61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62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 xfId="62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广东大朗水厂工程可行性201204" xfId="62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广东大朗水厂工程可行性201204_杭州大清谷至九溪输水管道工程项建书201405" xfId="62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62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广东大朗水厂工程可行性201204" xfId="62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广东大朗水厂工程可行性201204_杭州大清谷至九溪输水管道工程项建书201405" xfId="62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62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 xfId="62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_广东大朗水厂工程可行性201204_杭州大清谷至九溪输水管道工程项建书201405" xfId="62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63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广东大朗水厂工程可行性201204" xfId="631"/>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广东大朗水厂工程可行性201204_杭州大清谷至九溪输水管道工程项建书201405" xfId="632"/>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633"/>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 xfId="634"/>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广东大朗水厂工程可行性201204_杭州大清谷至九溪输水管道工程项建书201405" xfId="635"/>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636"/>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 xfId="637"/>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638"/>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639"/>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640"/>
    <cellStyle name="_崇明概算调整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641"/>
    <cellStyle name="_崇明概算调整_吴江市区域供水第二水厂(一期)工程初设_吴江市区域供水第二水厂(一期)工程初设_吴江市区域供水第二水厂(一期)工程初设_苏州白洋湾水厂改建工程可行性最新修改方案" xfId="642"/>
    <cellStyle name="_崇明概算调整_吴江市区域供水第二水厂(一期)工程初设_吴江市区域供水第二水厂(一期)工程初设_吴江市区域供水第二水厂(一期)工程初设_苏州白洋湾水厂改建工程可行性最新修改方案_沉井工程量-排放口" xfId="643"/>
    <cellStyle name="_崇明概算调整_吴江市区域供水第二水厂(一期)工程初设_吴江市区域供水第二水厂(一期)工程初设_吴江市区域供水第二水厂(一期)工程初设_苏州白洋湾水厂改建工程可行性最新修改方案_广东大朗水厂工程可行性201204" xfId="644"/>
    <cellStyle name="_崇明概算调整_吴江市区域供水第二水厂(一期)工程初设_吴江市区域供水第二水厂(一期)工程初设_吴江市区域供水第二水厂(一期)工程初设_苏州白洋湾水厂改建工程可行性最新修改方案_广东大朗水厂工程可行性201204_杭州大清谷至九溪输水管道工程项建书201405" xfId="645"/>
    <cellStyle name="_崇明概算调整_吴江市区域供水第二水厂(一期)工程初设_吴江市区域供水第二水厂(一期)工程初设_吴江市区域供水第二水厂(一期)工程初设_苏州白洋湾水厂改建工程可行性最新修改方案_铜陵第五水厂工程工可201402" xfId="646"/>
    <cellStyle name="_崇明概算调整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647"/>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 xfId="648"/>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649"/>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650"/>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651"/>
    <cellStyle name="_崇明概算调整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652"/>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 xfId="653"/>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广东大朗水厂工程可行性201204" xfId="654"/>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广东大朗水厂工程可行性201204_杭州大清谷至九溪输水管道工程项建书201405" xfId="655"/>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656"/>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_广东大朗水厂工程可行性201204" xfId="657"/>
    <cellStyle name="_崇明概算调整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_广东大朗水厂工程可行性201204_杭州大清谷至九溪输水管道工程项建书201405" xfId="65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 xfId="65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66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广东大朗水厂工程可行性201204" xfId="66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广东大朗水厂工程可行性201204_杭州大清谷至九溪输水管道工程项建书201405" xfId="66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66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广东大朗水厂工程可行性201204" xfId="66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广东大朗水厂工程可行性201204_杭州大清谷至九溪输水管道工程项建书201405" xfId="66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66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 xfId="66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广东大朗水厂工程可行性201204_杭州大清谷至九溪输水管道工程项建书201405" xfId="66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66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 xfId="67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67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广东大朗水厂工程可行性201204" xfId="67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广东大朗水厂工程可行性201204_杭州大清谷至九溪输水管道工程项建书201405" xfId="67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67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广东大朗水厂工程可行性201204" xfId="67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广东大朗水厂工程可行性201204_杭州大清谷至九溪输水管道工程项建书201405" xfId="67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67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广东大朗水厂工程可行性201204" xfId="67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广东大朗水厂工程可行性201204_杭州大清谷至九溪输水管道工程项建书201405" xfId="67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68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 xfId="68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_广东大朗水厂工程可行性201204_杭州大清谷至九溪输水管道工程项建书201405" xfId="68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68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68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广东大朗水厂工程可行性201204" xfId="68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广东大朗水厂工程可行性201204_杭州大清谷至九溪输水管道工程项建书201405" xfId="68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68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 xfId="68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广东大朗水厂工程可行性201204_杭州大清谷至九溪输水管道工程项建书201405" xfId="68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69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 xfId="69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69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69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 xfId="69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广东大朗水厂工程可行性201204_杭州大清谷至九溪输水管道工程项建书201405" xfId="69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69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 xfId="69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69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69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70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70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70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70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 xfId="70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广东大朗水厂工程可行性201204" xfId="70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广东大朗水厂工程可行性201204_杭州大清谷至九溪输水管道工程项建书201405" xfId="70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70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广东大朗水厂工程可行性201204" xfId="70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广东大朗水厂工程可行性201204_杭州大清谷至九溪输水管道工程项建书201405" xfId="70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71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 xfId="71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_广东大朗水厂工程可行性201204_杭州大清谷至九溪输水管道工程项建书201405" xfId="71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71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 xfId="714"/>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广东大朗水厂工程可行性201204_杭州大清谷至九溪输水管道工程项建书201405" xfId="715"/>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716"/>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 xfId="717"/>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广东大朗水厂工程可行性201204_杭州大清谷至九溪输水管道工程项建书201405" xfId="718"/>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719"/>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 xfId="720"/>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721"/>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722"/>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723"/>
    <cellStyle name="_崇明概算调整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724"/>
    <cellStyle name="_崇明概算调整_吴江市区域供水第二水厂(一期)工程初设_吴江市区域供水第二水厂(一期)工程初设_吴江市区域供水第二水厂(一期)工程初设_苏州白洋湾水厂改建工程可行性最新修改方案2" xfId="725"/>
    <cellStyle name="_崇明概算调整_吴江市区域供水第二水厂(一期)工程初设_吴江市区域供水第二水厂(一期)工程初设_吴江市区域供水第二水厂(一期)工程初设_苏州白洋湾水厂改建工程可行性最新修改方案2_沉井工程量-排放口" xfId="726"/>
    <cellStyle name="_崇明概算调整_吴江市区域供水第二水厂(一期)工程初设_吴江市区域供水第二水厂(一期)工程初设_吴江市区域供水第二水厂(一期)工程初设_苏州白洋湾水厂改建工程可行性最新修改方案2_广东大朗水厂工程可行性201204" xfId="727"/>
    <cellStyle name="_崇明概算调整_吴江市区域供水第二水厂(一期)工程初设_吴江市区域供水第二水厂(一期)工程初设_吴江市区域供水第二水厂(一期)工程初设_苏州白洋湾水厂改建工程可行性最新修改方案2_广东大朗水厂工程可行性201204_杭州大清谷至九溪输水管道工程项建书201405" xfId="728"/>
    <cellStyle name="_崇明概算调整_吴江市区域供水第二水厂(一期)工程初设_吴江市区域供水第二水厂(一期)工程初设_吴江市区域供水第二水厂(一期)工程初设_苏州白洋湾水厂改建工程可行性最新修改方案2_铜陵第五水厂工程工可201402" xfId="729"/>
    <cellStyle name="_崇明概算调整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730"/>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 xfId="731"/>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732"/>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733"/>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734"/>
    <cellStyle name="_崇明概算调整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735"/>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 xfId="736"/>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广东大朗水厂工程可行性201204" xfId="737"/>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广东大朗水厂工程可行性201204_杭州大清谷至九溪输水管道工程项建书201405" xfId="738"/>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739"/>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_广东大朗水厂工程可行性201204" xfId="740"/>
    <cellStyle name="_崇明概算调整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_广东大朗水厂工程可行性201204_杭州大清谷至九溪输水管道工程项建书201405" xfId="74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 xfId="74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74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广东大朗水厂工程可行性201204" xfId="74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广东大朗水厂工程可行性201204_杭州大清谷至九溪输水管道工程项建书201405" xfId="74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74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广东大朗水厂工程可行性201204" xfId="74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广东大朗水厂工程可行性201204_杭州大清谷至九溪输水管道工程项建书201405" xfId="74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74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 xfId="75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广东大朗水厂工程可行性201204_杭州大清谷至九溪输水管道工程项建书201405" xfId="75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75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 xfId="75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75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广东大朗水厂工程可行性201204" xfId="75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广东大朗水厂工程可行性201204_杭州大清谷至九溪输水管道工程项建书201405" xfId="75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75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广东大朗水厂工程可行性201204" xfId="75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广东大朗水厂工程可行性201204_杭州大清谷至九溪输水管道工程项建书201405" xfId="75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76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广东大朗水厂工程可行性201204" xfId="76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广东大朗水厂工程可行性201204_杭州大清谷至九溪输水管道工程项建书201405" xfId="76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76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 xfId="76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_广东大朗水厂工程可行性201204_杭州大清谷至九溪输水管道工程项建书201405" xfId="76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76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76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广东大朗水厂工程可行性201204" xfId="76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广东大朗水厂工程可行性201204_杭州大清谷至九溪输水管道工程项建书201405" xfId="76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77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 xfId="77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广东大朗水厂工程可行性201204_杭州大清谷至九溪输水管道工程项建书201405" xfId="77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77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 xfId="77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77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77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 xfId="77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广东大朗水厂工程可行性201204_杭州大清谷至九溪输水管道工程项建书201405" xfId="77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77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 xfId="78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78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78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78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78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78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78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 xfId="78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广东大朗水厂工程可行性201204" xfId="78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广东大朗水厂工程可行性201204_杭州大清谷至九溪输水管道工程项建书201405" xfId="78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79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广东大朗水厂工程可行性201204" xfId="79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广东大朗水厂工程可行性201204_杭州大清谷至九溪输水管道工程项建书201405" xfId="79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79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 xfId="79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_广东大朗水厂工程可行性201204_杭州大清谷至九溪输水管道工程项建书201405" xfId="79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79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 xfId="797"/>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广东大朗水厂工程可行性201204_杭州大清谷至九溪输水管道工程项建书201405" xfId="798"/>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799"/>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 xfId="800"/>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广东大朗水厂工程可行性201204_杭州大清谷至九溪输水管道工程项建书201405" xfId="801"/>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802"/>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 xfId="803"/>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804"/>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805"/>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806"/>
    <cellStyle name="_崇明概算调整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07"/>
    <cellStyle name="_崇明概算调整_吴江市区域供水第二水厂(一期)工程初设_吴江市区域供水第二水厂(一期)工程初设_吴江市区域供水第二水厂(一期)工程初设_苏州工业园区阳澄湖水厂工程初步设计201206" xfId="808"/>
    <cellStyle name="_崇明概算调整_吴江市区域供水第二水厂(一期)工程初设_吴江市区域供水第二水厂(一期)工程初设_吴江市区域供水第二水厂(一期)工程初设_苏州工业园区阳澄湖水厂工程可行性201108" xfId="809"/>
    <cellStyle name="_崇明概算调整_吴江市区域供水第二水厂(一期)工程初设_吴江市区域供水第二水厂(一期)工程初设_吴江市区域供水第二水厂(一期)工程初设_苏州工业园区阳澄湖水厂工程可行性201108_沉井工程量-排放口" xfId="810"/>
    <cellStyle name="_崇明概算调整_吴江市区域供水第二水厂(一期)工程初设_吴江市区域供水第二水厂(一期)工程初设_吴江市区域供水第二水厂(一期)工程初设_苏州工业园区阳澄湖水厂工程可行性201108_广东大朗水厂工程可行性201204" xfId="811"/>
    <cellStyle name="_崇明概算调整_吴江市区域供水第二水厂(一期)工程初设_吴江市区域供水第二水厂(一期)工程初设_吴江市区域供水第二水厂(一期)工程初设_苏州工业园区阳澄湖水厂工程可行性201108_广东大朗水厂工程可行性201204_杭州大清谷至九溪输水管道工程项建书201405" xfId="812"/>
    <cellStyle name="_崇明概算调整_吴江市区域供水第二水厂(一期)工程初设_吴江市区域供水第二水厂(一期)工程初设_吴江市区域供水第二水厂(一期)工程初设_苏州工业园区阳澄湖水厂工程可行性201108_铜陵第五水厂工程工可201402" xfId="813"/>
    <cellStyle name="_崇明概算调整_吴江市区域供水第二水厂(一期)工程初设_吴江市区域供水第二水厂(一期)工程初设_吴江市区域供水第二水厂(一期)工程初设_苏州工业园区阳澄湖水厂工程可行性201108_铜陵第五水厂工程工可方案(泵房设在堤外)201402" xfId="814"/>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 xfId="815"/>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816"/>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817"/>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818"/>
    <cellStyle name="_崇明概算调整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819"/>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 xfId="820"/>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广东大朗水厂工程可行性201204" xfId="821"/>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广东大朗水厂工程可行性201204_杭州大清谷至九溪输水管道工程项建书201405" xfId="822"/>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823"/>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_广东大朗水厂工程可行性201204" xfId="824"/>
    <cellStyle name="_崇明概算调整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_广东大朗水厂工程可行性201204_杭州大清谷至九溪输水管道工程项建书201405" xfId="82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 xfId="82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82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广东大朗水厂工程可行性201204" xfId="82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广东大朗水厂工程可行性201204_杭州大清谷至九溪输水管道工程项建书201405" xfId="82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83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广东大朗水厂工程可行性201204" xfId="83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广东大朗水厂工程可行性201204_杭州大清谷至九溪输水管道工程项建书201405" xfId="83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83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 xfId="83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广东大朗水厂工程可行性201204_杭州大清谷至九溪输水管道工程项建书201405" xfId="83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83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 xfId="83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3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广东大朗水厂工程可行性201204" xfId="83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广东大朗水厂工程可行性201204_杭州大清谷至九溪输水管道工程项建书201405" xfId="84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84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广东大朗水厂工程可行性201204" xfId="84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广东大朗水厂工程可行性201204_杭州大清谷至九溪输水管道工程项建书201405" xfId="84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84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广东大朗水厂工程可行性201204" xfId="84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广东大朗水厂工程可行性201204_杭州大清谷至九溪输水管道工程项建书201405" xfId="84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84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 xfId="84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_广东大朗水厂工程可行性201204_杭州大清谷至九溪输水管道工程项建书201405" xfId="84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85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85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广东大朗水厂工程可行性201204" xfId="85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广东大朗水厂工程可行性201204_杭州大清谷至九溪输水管道工程项建书201405" xfId="85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85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 xfId="85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广东大朗水厂工程可行性201204_杭州大清谷至九溪输水管道工程项建书201405" xfId="85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85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 xfId="85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85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86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 xfId="86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广东大朗水厂工程可行性201204_杭州大清谷至九溪输水管道工程项建书201405" xfId="86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86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 xfId="86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86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86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86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86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86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87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 xfId="87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广东大朗水厂工程可行性201204" xfId="87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广东大朗水厂工程可行性201204_杭州大清谷至九溪输水管道工程项建书201405" xfId="87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87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广东大朗水厂工程可行性201204" xfId="87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广东大朗水厂工程可行性201204_杭州大清谷至九溪输水管道工程项建书201405" xfId="87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87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 xfId="87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_广东大朗水厂工程可行性201204_杭州大清谷至九溪输水管道工程项建书201405" xfId="87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88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 xfId="881"/>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广东大朗水厂工程可行性201204_杭州大清谷至九溪输水管道工程项建书201405" xfId="882"/>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883"/>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 xfId="884"/>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广东大朗水厂工程可行性201204_杭州大清谷至九溪输水管道工程项建书201405" xfId="885"/>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886"/>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 xfId="887"/>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888"/>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889"/>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890"/>
    <cellStyle name="_崇明概算调整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891"/>
    <cellStyle name="_崇明概算调整_吴江市区域供水第二水厂(一期)工程初设_吴江市区域供水第二水厂(一期)工程初设_吴江市区域供水第二水厂(一期)工程初设_铜陵第五水厂工程工可方案(泵房设在堤外)201402" xfId="892"/>
    <cellStyle name="_崇明概算调整_吴江市区域供水第二水厂(一期)工程初设_吴江市区域供水第二水厂(一期)工程初设_吴江市区域供水第二水厂(一期)工程初设_芜湖三山水厂工程初设201209" xfId="893"/>
    <cellStyle name="_崇明概算调整_吴江市区域供水第二水厂(一期)工程初设_吴江市区域供水第二水厂(一期)工程初设_吴江市区域供水第二水厂(一期)工程初设_芜湖三山水厂工程初设201209_铜陵第五水厂工程工可201402" xfId="894"/>
    <cellStyle name="_崇明概算调整_吴江市区域供水第二水厂(一期)工程初设_吴江市区域供水第二水厂(一期)工程初设_吴江市区域供水第二水厂(一期)工程初设_芜湖三山水厂工程初设201209_铜陵第五水厂工程工可方案(泵房设在堤外)201402" xfId="895"/>
    <cellStyle name="_崇明概算调整_吴江市区域供水第二水厂(一期)工程初设_吴江市区域供水第二水厂(一期)工程初设_吴江市区域供水第二水厂(一期)工程初设_吴江市庙港水厂深度处理工程方案" xfId="896"/>
    <cellStyle name="_崇明概算调整_吴江市区域供水第二水厂(一期)工程初设_吴江市区域供水第二水厂(一期)工程初设_吴江市区域供水第二水厂(一期)工程初设_吴江市庙港水厂深度处理工程方案_吴江市庙港水厂深度处理工程初设总表" xfId="897"/>
    <cellStyle name="_崇明概算调整_吴江市区域供水第二水厂(一期)工程初设_吴江市区域供水第二水厂(一期)工程初设_吴江市区域供水第二水厂(一期)工程初设_吴江市庙港水厂深度处理工程可行性" xfId="898"/>
    <cellStyle name="_崇明概算调整_吴江市区域供水第二水厂(一期)工程初设_吴江市区域供水第二水厂(一期)工程初设_吴江市区域供水第二水厂(一期)工程初设_吴江市区域供水第二水厂(一期)工程初设" xfId="899"/>
    <cellStyle name="_崇明概算调整_吴江市区域供水第二水厂(一期)工程初设_吴江市区域供水第二水厂(一期)工程初设_吴江市区域供水第二水厂(一期)工程初设_吴江市区域供水第二水厂(一期)工程初设_沉井工程量-排放口" xfId="900"/>
    <cellStyle name="_崇明概算调整_吴江市区域供水第二水厂(一期)工程初设_吴江市区域供水第二水厂(一期)工程初设_吴江市区域供水第二水厂(一期)工程初设_吴江市区域供水第二水厂(一期)工程初设_广东大朗水厂工程可行性201204" xfId="901"/>
    <cellStyle name="_崇明概算调整_吴江市区域供水第二水厂(一期)工程初设_吴江市区域供水第二水厂(一期)工程初设_吴江市区域供水第二水厂(一期)工程初设_吴江市区域供水第二水厂(一期)工程初设_广东大朗水厂工程可行性201204_杭州大清谷至九溪输水管道工程项建书201405" xfId="902"/>
    <cellStyle name="_崇明概算调整_吴江市区域供水第二水厂(一期)工程初设_吴江市区域供水第二水厂(一期)工程初设_吴江市区域供水第二水厂(一期)工程初设_吴江市区域供水第二水厂(一期)工程初设_铜陵第五水厂工程工可201402" xfId="903"/>
    <cellStyle name="_崇明概算调整_吴江市区域供水第二水厂(一期)工程初设_吴江市区域供水第二水厂(一期)工程初设_吴江市区域供水第二水厂(一期)工程初设_吴江市区域供水第二水厂(一期)工程初设_铜陵第五水厂工程工可方案(泵房设在堤外)201402" xfId="904"/>
    <cellStyle name="_崇明概算调整_吴江市区域供水第二水厂(一期)工程初设_吴江市区域供水第二水厂(一期)工程初设_吴江市区域供水第二水厂(一期)工程初设_吴江市区域供水第二水厂(一期)工程初设_芜湖三山水厂工程初设201209" xfId="905"/>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906"/>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907"/>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908"/>
    <cellStyle name="_崇明概算调整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909"/>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 xfId="910"/>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广东大朗水厂工程可行性201204" xfId="911"/>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广东大朗水厂工程可行性201204_杭州大清谷至九溪输水管道工程项建书201405" xfId="912"/>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913"/>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_广东大朗水厂工程可行性201204" xfId="914"/>
    <cellStyle name="_崇明概算调整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915"/>
    <cellStyle name="_崇明概算调整_吴江市区域供水第二水厂(一期)工程初设_吴江市区域供水第二水厂(一期)工程初设_吴江市区域供水第二水厂(一期)工程初设_吴江市区域供水第二水厂(一期)工程初设_徐州刘湾水厂工程项建书" xfId="916"/>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 xfId="917"/>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广东大朗水厂工程可行性201204" xfId="918"/>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广东大朗水厂工程可行性201204_杭州大清谷至九溪输水管道工程项建书201405" xfId="919"/>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920"/>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广东大朗水厂工程可行性201204" xfId="921"/>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广东大朗水厂工程可行性201204_杭州大清谷至九溪输水管道工程项建书201405" xfId="922"/>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923"/>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 xfId="924"/>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_杭州大清谷至九溪输水管道工程项建书201405" xfId="925"/>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926"/>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 xfId="927"/>
    <cellStyle name="_崇明概算调整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928"/>
    <cellStyle name="_崇明概算调整_吴江市区域供水第二水厂(一期)工程初设_吴江市区域供水第二水厂(一期)工程初设_吴江市区域供水第二水厂(一期)工程初设_吴江市区域供水第二水厂(一期)工程初设_徐州刘湾水厂工程项建书_广东大朗水厂工程可行性201204" xfId="929"/>
    <cellStyle name="_崇明概算调整_吴江市区域供水第二水厂(一期)工程初设_吴江市区域供水第二水厂(一期)工程初设_吴江市区域供水第二水厂(一期)工程初设_吴江市区域供水第二水厂(一期)工程初设_徐州刘湾水厂工程项建书_广东大朗水厂工程可行性201204_杭州大清谷至九溪输水管道工程项建书201405" xfId="93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93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广东大朗水厂工程可行性201204" xfId="93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93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93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 xfId="93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93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93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 xfId="93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_杭州大清谷至九溪输水管道工程项建书201405" xfId="93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94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94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广东大朗水厂工程可行性201204" xfId="94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广东大朗水厂工程可行性201204_杭州大清谷至九溪输水管道工程项建书201405" xfId="94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94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 xfId="94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_杭州大清谷至九溪输水管道工程项建书201405" xfId="94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94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 xfId="94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94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95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 xfId="95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_杭州大清谷至九溪输水管道工程项建书201405" xfId="95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95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 xfId="95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95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95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95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95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95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96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 xfId="96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广东大朗水厂工程可行性201204" xfId="96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广东大朗水厂工程可行性201204_杭州大清谷至九溪输水管道工程项建书201405" xfId="96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96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 xfId="96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96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96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96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96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97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广东大朗水厂工程可行性201204" xfId="971"/>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广东大朗水厂工程可行性201204_杭州大清谷至九溪输水管道工程项建书201405" xfId="972"/>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973"/>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 xfId="974"/>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_杭州大清谷至九溪输水管道工程项建书201405" xfId="975"/>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976"/>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 xfId="977"/>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978"/>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979"/>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980"/>
    <cellStyle name="_崇明概算调整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981"/>
    <cellStyle name="_崇明概算调整_吴江市区域供水第二水厂(一期)工程初设_吴江市区域供水第二水厂(一期)工程初设_吴江市区域供水第二水厂(一期)工程初设_徐州刘湾水厂工程可行性201203" xfId="982"/>
    <cellStyle name="_崇明概算调整_吴江市区域供水第二水厂(一期)工程初设_吴江市区域供水第二水厂(一期)工程初设_吴江市区域供水第二水厂(一期)工程初设_徐州刘湾水厂工程可行性201203_广东大朗水厂工程可行性201204" xfId="983"/>
    <cellStyle name="_崇明概算调整_吴江市区域供水第二水厂(一期)工程初设_吴江市区域供水第二水厂(一期)工程初设_吴江市区域供水第二水厂(一期)工程初设_徐州刘湾水厂工程可行性201203_广东大朗水厂工程可行性201204_杭州大清谷至九溪输水管道工程项建书201405" xfId="984"/>
    <cellStyle name="_崇明概算调整_吴江市区域供水第二水厂(一期)工程初设_吴江市区域供水第二水厂(一期)工程初设_吴江市区域供水第二水厂(一期)工程初设_徐州刘湾水厂工程可行性201203_徐州刘湾水厂工程可行性201203" xfId="985"/>
    <cellStyle name="_崇明概算调整_吴江市区域供水第二水厂(一期)工程初设_吴江市区域供水第二水厂(一期)工程初设_吴江市区域供水第二水厂(一期)工程初设_徐州刘湾水厂工程可行性201203_徐州刘湾水厂工程可行性201203_广东大朗水厂工程可行性201204" xfId="986"/>
    <cellStyle name="_崇明概算调整_吴江市区域供水第二水厂(一期)工程初设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987"/>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988"/>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_广东大朗水厂工程可行性201204" xfId="989"/>
    <cellStyle name="_崇明概算调整_吴江市区域供水第二水厂(一期)工程初设_吴江市区域供水第二水厂(一期)工程初设_吴江市区域供水第二水厂(一期)工程初设_徐州刘湾水厂工程可行性201203_徐州刘湾水厂工程可行性201203_徐州刘湾水厂工程可行性201203_广东大朗水厂工程可行性201204_杭州大清谷至九溪输水管道工程项建书201405" xfId="990"/>
    <cellStyle name="_崇明概算调整_吴江市区域供水第二水厂(一期)工程初设_吴江市区域供水第二水厂(一期)工程初设_吴江市区域供水第二水厂(一期)工程初设_徐州刘湾水厂工程项建书" xfId="991"/>
    <cellStyle name="_崇明概算调整_吴江市区域供水第二水厂(一期)工程初设_吴江市区域供水第二水厂(一期)工程初设_吴江市区域供水第二水厂(一期)工程初设_徐州刘湾水厂工程项建书(水厂部分一二期拆分)20111207" xfId="992"/>
    <cellStyle name="_崇明概算调整_吴江市区域供水第二水厂(一期)工程初设_吴江市区域供水第二水厂(一期)工程初设_吴江市区域供水第二水厂(一期)工程初设_徐州刘湾水厂工程项建书(水厂部分一二期拆分)20111207_广东大朗水厂工程可行性201204" xfId="993"/>
    <cellStyle name="_崇明概算调整_吴江市区域供水第二水厂(一期)工程初设_吴江市区域供水第二水厂(一期)工程初设_吴江市区域供水第二水厂(一期)工程初设_徐州刘湾水厂工程项建书(水厂部分一二期拆分)20111207_广东大朗水厂工程可行性201204_杭州大清谷至九溪输水管道工程项建书201405" xfId="994"/>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 xfId="995"/>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广东大朗水厂工程可行性201204" xfId="996"/>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广东大朗水厂工程可行性201204_杭州大清谷至九溪输水管道工程项建书201405" xfId="997"/>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998"/>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_广东大朗水厂工程可行性201204" xfId="999"/>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_广东大朗水厂工程可行性201204_杭州大清谷至九溪输水管道工程项建书201405" xfId="1000"/>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1001"/>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广东大朗水厂工程可行性201204" xfId="1002"/>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广东大朗水厂工程可行性201204_杭州大清谷至九溪输水管道工程项建书201405" xfId="1003"/>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1004"/>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广东大朗水厂工程可行性201204" xfId="1005"/>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广东大朗水厂工程可行性201204_杭州大清谷至九溪输水管道工程项建书201405" xfId="1006"/>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1007"/>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广东大朗水厂工程可行性201204" xfId="1008"/>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009"/>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010"/>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011"/>
    <cellStyle name="_崇明概算调整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12"/>
    <cellStyle name="_崇明概算调整_吴江市区域供水第二水厂(一期)工程初设_吴江市区域供水第二水厂(一期)工程初设_吴江市区域供水第二水厂(一期)工程初设_徐州刘湾水厂工程项建书_广东大朗水厂工程可行性201204" xfId="1013"/>
    <cellStyle name="_崇明概算调整_吴江市区域供水第二水厂(一期)工程初设_吴江市区域供水第二水厂(一期)工程初设_吴江市区域供水第二水厂(一期)工程初设_徐州刘湾水厂工程项建书_广东大朗水厂工程可行性201204_杭州大清谷至九溪输水管道工程项建书201405" xfId="1014"/>
    <cellStyle name="_崇明概算调整_吴江市区域供水第二水厂(一期)工程初设_吴江市区域供水第二水厂(一期)工程初设_吴江市区域供水第二水厂(一期)工程初设_徐州刘湾水厂工程项建书_徐州刘湾水厂工程可行性201203" xfId="1015"/>
    <cellStyle name="_崇明概算调整_吴江市区域供水第二水厂(一期)工程初设_吴江市区域供水第二水厂(一期)工程初设_吴江市区域供水第二水厂(一期)工程初设_徐州刘湾水厂工程项建书_徐州刘湾水厂工程可行性201203_广东大朗水厂工程可行性201204" xfId="1016"/>
    <cellStyle name="_崇明概算调整_吴江市区域供水第二水厂(一期)工程初设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1017"/>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 xfId="1018"/>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 xfId="1019"/>
    <cellStyle name="_崇明概算调整_吴江市区域供水第二水厂(一期)工程初设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1020"/>
    <cellStyle name="_崇明概算调整_吴江市区域供水第二水厂(一期)工程初设_吴江市区域供水第二水厂(一期)工程初设_吴江市区域供水第二水厂(一期)工程初设_徐州刘湾水厂工程项建书_徐州刘湾水厂工程项建书" xfId="1021"/>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 xfId="1022"/>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广东大朗水厂工程可行性201204" xfId="1023"/>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广东大朗水厂工程可行性201204_杭州大清谷至九溪输水管道工程项建书201405" xfId="1024"/>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1025"/>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广东大朗水厂工程可行性201204" xfId="1026"/>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广东大朗水厂工程可行性201204_杭州大清谷至九溪输水管道工程项建书201405" xfId="1027"/>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1028"/>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广东大朗水厂工程可行性201204" xfId="1029"/>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030"/>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1031"/>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_广东大朗水厂工程可行性201204" xfId="1032"/>
    <cellStyle name="_崇明概算调整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33"/>
    <cellStyle name="_崇明概算调整_吴江市区域供水第二水厂(一期)工程初设_吴江市区域供水第二水厂(一期)工程初设_吴江市区域供水第二水厂(一期)工程初设_徐州刘湾水厂工程项建书_徐州刘湾水厂工程项建书_广东大朗水厂工程可行性201204" xfId="1034"/>
    <cellStyle name="_崇明概算调整_吴江市区域供水第二水厂(一期)工程初设_吴江市区域供水第二水厂(一期)工程初设_吴江市区域供水第二水厂(一期)工程初设_徐州刘湾水厂工程项建书_徐州刘湾水厂工程项建书_广东大朗水厂工程可行性201204_杭州大清谷至九溪输水管道工程项建书201405" xfId="103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 xfId="103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 xfId="103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103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03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104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104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104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_广东大朗水厂工程可行性201204" xfId="104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_广东大朗水厂工程可行性201204_杭州大清谷至九溪输水管道工程项建书201405" xfId="104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 xfId="104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104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广东大朗水厂工程可行性201204" xfId="104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广东大朗水厂工程可行性201204_杭州大清谷至九溪输水管道工程项建书201405" xfId="104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104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广东大朗水厂工程可行性201204" xfId="105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广东大朗水厂工程可行性201204_杭州大清谷至九溪输水管道工程项建书201405" xfId="105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105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_广东大朗水厂工程可行性201204" xfId="105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05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105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广东大朗水厂工程可行性201204" xfId="105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广东大朗水厂工程可行性201204_杭州大清谷至九溪输水管道工程项建书201405" xfId="105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05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广东大朗水厂工程可行性201204" xfId="105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06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06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06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06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06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06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6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广东大朗水厂工程可行性201204" xfId="106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广东大朗水厂工程可行性201204_杭州大清谷至九溪输水管道工程项建书201405" xfId="106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106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广东大朗水厂工程可行性201204" xfId="107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广东大朗水厂工程可行性201204_杭州大清谷至九溪输水管道工程项建书201405" xfId="107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107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_广东大朗水厂工程可行性201204" xfId="107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_广东大朗水厂工程可行性201204_杭州大清谷至九溪输水管道工程项建书201405" xfId="107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107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广东大朗水厂工程可行性201204" xfId="1076"/>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广东大朗水厂工程可行性201204_杭州大清谷至九溪输水管道工程项建书201405" xfId="1077"/>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1078"/>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广东大朗水厂工程可行性201204" xfId="1079"/>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广东大朗水厂工程可行性201204_杭州大清谷至九溪输水管道工程项建书201405" xfId="1080"/>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081"/>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广东大朗水厂工程可行性201204" xfId="1082"/>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083"/>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084"/>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1085"/>
    <cellStyle name="_崇明概算调整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086"/>
    <cellStyle name="_崇明概算调整_吴江市区域供水第二水厂(一期)工程初设_吴江市区域供水第二水厂(一期)工程初设_徐州刘湾水厂工程可行性201203" xfId="1087"/>
    <cellStyle name="_崇明概算调整_吴江市区域供水第二水厂(一期)工程初设_吴江市区域供水第二水厂(一期)工程初设_徐州刘湾水厂工程可行性201203_广东大朗水厂工程可行性201204" xfId="1088"/>
    <cellStyle name="_崇明概算调整_吴江市区域供水第二水厂(一期)工程初设_吴江市区域供水第二水厂(一期)工程初设_徐州刘湾水厂工程可行性201203_广东大朗水厂工程可行性201204_杭州大清谷至九溪输水管道工程项建书201405" xfId="1089"/>
    <cellStyle name="_崇明概算调整_吴江市区域供水第二水厂(一期)工程初设_吴江市区域供水第二水厂(一期)工程初设_徐州刘湾水厂工程可行性201203_徐州刘湾水厂工程可行性201203" xfId="1090"/>
    <cellStyle name="_崇明概算调整_吴江市区域供水第二水厂(一期)工程初设_吴江市区域供水第二水厂(一期)工程初设_徐州刘湾水厂工程可行性201203_徐州刘湾水厂工程可行性201203_广东大朗水厂工程可行性201204" xfId="1091"/>
    <cellStyle name="_崇明概算调整_吴江市区域供水第二水厂(一期)工程初设_吴江市区域供水第二水厂(一期)工程初设_徐州刘湾水厂工程可行性201203_徐州刘湾水厂工程可行性201203_广东大朗水厂工程可行性201204_杭州大清谷至九溪输水管道工程项建书201405" xfId="1092"/>
    <cellStyle name="_崇明概算调整_吴江市区域供水第二水厂(一期)工程初设_吴江市区域供水第二水厂(一期)工程初设_徐州刘湾水厂工程项建书" xfId="1093"/>
    <cellStyle name="_崇明概算调整_吴江市区域供水第二水厂(一期)工程初设_吴江市区域供水第二水厂(一期)工程初设_徐州刘湾水厂工程项建书(水厂取水泵站部分)20020210" xfId="1094"/>
    <cellStyle name="_崇明概算调整_吴江市区域供水第二水厂(一期)工程初设_吴江市区域供水第二水厂(一期)工程初设_徐州刘湾水厂工程项建书(水厂取水泵站部分)20020210_广东大朗水厂工程可行性201204" xfId="1095"/>
    <cellStyle name="_崇明概算调整_吴江市区域供水第二水厂(一期)工程初设_吴江市区域供水第二水厂(一期)工程初设_徐州刘湾水厂工程项建书(水厂取水泵站部分)20020210_广东大朗水厂工程可行性201204_杭州大清谷至九溪输水管道工程项建书201405" xfId="1096"/>
    <cellStyle name="_崇明概算调整_吴江市区域供水第二水厂(一期)工程初设_吴江市区域供水第二水厂(一期)工程初设_徐州刘湾水厂工程项建书(水厂取水泵站部分)20020210_徐州刘湾水厂工程可行性201203" xfId="1097"/>
    <cellStyle name="_崇明概算调整_吴江市区域供水第二水厂(一期)工程初设_吴江市区域供水第二水厂(一期)工程初设_徐州刘湾水厂工程项建书(水厂取水泵站部分)20020210_徐州刘湾水厂工程可行性201203_广东大朗水厂工程可行性201204" xfId="1098"/>
    <cellStyle name="_崇明概算调整_吴江市区域供水第二水厂(一期)工程初设_吴江市区域供水第二水厂(一期)工程初设_徐州刘湾水厂工程项建书(水厂取水泵站部分)20020210_徐州刘湾水厂工程可行性201203_广东大朗水厂工程可行性201204_杭州大清谷至九溪输水管道工程项建书201405" xfId="1099"/>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 xfId="1100"/>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 xfId="1101"/>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广东大朗水厂工程可行性201204_杭州大清谷至九溪输水管道工程项建书201405" xfId="1102"/>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103"/>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 xfId="1104"/>
    <cellStyle name="_崇明概算调整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05"/>
    <cellStyle name="_崇明概算调整_吴江市区域供水第二水厂(一期)工程初设_吴江市区域供水第二水厂(一期)工程初设_徐州刘湾水厂工程项建书_广东大朗水厂工程可行性201204" xfId="1106"/>
    <cellStyle name="_崇明概算调整_吴江市区域供水第二水厂(一期)工程初设_吴江市区域供水第二水厂(一期)工程初设_徐州刘湾水厂工程项建书_广东大朗水厂工程可行性201204_杭州大清谷至九溪输水管道工程项建书201405" xfId="1107"/>
    <cellStyle name="_崇明概算调整_吴江市区域供水第二水厂(一期)工程初设_吴江市区域供水第二水厂(一期)工程初设_徐州刘湾水厂工程项建书_徐州刘湾水厂工程可行性201203" xfId="1108"/>
    <cellStyle name="_崇明概算调整_吴江市区域供水第二水厂(一期)工程初设_吴江市区域供水第二水厂(一期)工程初设_徐州刘湾水厂工程项建书_徐州刘湾水厂工程可行性201203_广东大朗水厂工程可行性201204" xfId="1109"/>
    <cellStyle name="_崇明概算调整_吴江市区域供水第二水厂(一期)工程初设_吴江市区域供水第二水厂(一期)工程初设_徐州刘湾水厂工程项建书_徐州刘湾水厂工程可行性201203_广东大朗水厂工程可行性201204_杭州大清谷至九溪输水管道工程项建书201405" xfId="1110"/>
    <cellStyle name="_崇明概算调整_吴江市区域供水第二水厂(一期)工程初设_吴江市区域供水第二水厂(一期)工程初设_徐州刘湾水厂工程项建书_徐州刘湾水厂工程可行性201203_徐州刘湾水厂工程可行性201203" xfId="1111"/>
    <cellStyle name="_崇明概算调整_吴江市区域供水第二水厂(一期)工程初设_吴江市区域供水第二水厂(一期)工程初设_徐州刘湾水厂工程项建书_徐州刘湾水厂工程可行性201203_徐州刘湾水厂工程可行性201203_广东大朗水厂工程可行性201204" xfId="1112"/>
    <cellStyle name="_崇明概算调整_吴江市区域供水第二水厂(一期)工程初设_吴江市区域供水第二水厂(一期)工程初设_徐州刘湾水厂工程项建书_徐州刘湾水厂工程可行性201203_徐州刘湾水厂工程可行性201203_广东大朗水厂工程可行性201204_杭州大清谷至九溪输水管道工程项建书201405" xfId="1113"/>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 xfId="1114"/>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 xfId="1115"/>
    <cellStyle name="_崇明概算调整_吴江市区域供水第二水厂(一期)工程初设_吴江市区域供水第二水厂(一期)工程初设_徐州刘湾水厂工程项建书_徐州刘湾水厂工程可行性201203_徐州刘湾水厂工程可行性201203_徐州刘湾水厂工程可行性201203_广东大朗水厂工程可行性201204_杭州大清谷至九溪输水管道工程项建书201405" xfId="1116"/>
    <cellStyle name="_崇明概算调整_吴江市区域供水第二水厂(一期)工程初设_吴江市区域供水第二水厂(一期)工程初设_徐州刘湾水厂工程项建书_徐州刘湾水厂工程项建书" xfId="1117"/>
    <cellStyle name="_崇明概算调整_吴江市区域供水第二水厂(一期)工程初设_吴江市区域供水第二水厂(一期)工程初设_徐州刘湾水厂工程项建书_徐州刘湾水厂工程项建书(水厂部分一二期拆分)20111207" xfId="1118"/>
    <cellStyle name="_崇明概算调整_吴江市区域供水第二水厂(一期)工程初设_吴江市区域供水第二水厂(一期)工程初设_徐州刘湾水厂工程项建书_徐州刘湾水厂工程项建书(水厂部分一二期拆分)20111207_广东大朗水厂工程可行性201204" xfId="1119"/>
    <cellStyle name="_崇明概算调整_吴江市区域供水第二水厂(一期)工程初设_吴江市区域供水第二水厂(一期)工程初设_徐州刘湾水厂工程项建书_徐州刘湾水厂工程项建书(水厂部分一二期拆分)20111207_广东大朗水厂工程可行性201204_杭州大清谷至九溪输水管道工程项建书201405" xfId="1120"/>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 xfId="1121"/>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 xfId="1122"/>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广东大朗水厂工程可行性201204_杭州大清谷至九溪输水管道工程项建书201405" xfId="1123"/>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124"/>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 xfId="1125"/>
    <cellStyle name="_崇明概算调整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_广东大朗水厂工程可行性201204_杭州大清谷至九溪输水管道工程项建书201405" xfId="1126"/>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 xfId="1127"/>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 xfId="1128"/>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广东大朗水厂工程可行性201204_杭州大清谷至九溪输水管道工程项建书201405" xfId="1129"/>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130"/>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 xfId="1131"/>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广东大朗水厂工程可行性201204_杭州大清谷至九溪输水管道工程项建书201405" xfId="1132"/>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133"/>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 xfId="1134"/>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广东大朗水厂工程可行性201204_杭州大清谷至九溪输水管道工程项建书201405" xfId="1135"/>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136"/>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 xfId="1137"/>
    <cellStyle name="_崇明概算调整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38"/>
    <cellStyle name="_崇明概算调整_吴江市区域供水第二水厂(一期)工程初设_吴江市区域供水第二水厂(一期)工程初设_徐州刘湾水厂工程项建书_徐州刘湾水厂工程项建书_广东大朗水厂工程可行性201204" xfId="1139"/>
    <cellStyle name="_崇明概算调整_吴江市区域供水第二水厂(一期)工程初设_吴江市区域供水第二水厂(一期)工程初设_徐州刘湾水厂工程项建书_徐州刘湾水厂工程项建书_广东大朗水厂工程可行性201204_杭州大清谷至九溪输水管道工程项建书201405" xfId="1140"/>
    <cellStyle name="_崇明概算调整_吴江市区域供水第二水厂(一期)工程初设_吴江市区域供水第二水厂(一期)工程初设_徐州刘湾水厂工程项建书_徐州刘湾水厂工程项建书_徐州刘湾水厂工程可行性201203" xfId="1141"/>
    <cellStyle name="_崇明概算调整_吴江市区域供水第二水厂(一期)工程初设_吴江市区域供水第二水厂(一期)工程初设_徐州刘湾水厂工程项建书_徐州刘湾水厂工程项建书_徐州刘湾水厂工程可行性201203_广东大朗水厂工程可行性201204" xfId="1142"/>
    <cellStyle name="_崇明概算调整_吴江市区域供水第二水厂(一期)工程初设_吴江市区域供水第二水厂(一期)工程初设_徐州刘湾水厂工程项建书_徐州刘湾水厂工程项建书_徐州刘湾水厂工程可行性201203_广东大朗水厂工程可行性201204_杭州大清谷至九溪输水管道工程项建书201405" xfId="1143"/>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 xfId="1144"/>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 xfId="1145"/>
    <cellStyle name="_崇明概算调整_吴江市区域供水第二水厂(一期)工程初设_吴江市区域供水第二水厂(一期)工程初设_徐州刘湾水厂工程项建书_徐州刘湾水厂工程项建书_徐州刘湾水厂工程可行性201203_徐州刘湾水厂工程可行性201203_广东大朗水厂工程可行性201204_杭州大清谷至九溪输水管道工程项建书201405" xfId="1146"/>
    <cellStyle name="_崇明概算调整_吴江市区域供水第二水厂(一期)工程初设_吴江市区域供水第二水厂(一期)工程初设_徐州刘湾水厂工程项建书_徐州刘湾水厂工程项建书_徐州刘湾水厂工程项建书(水厂取水泵站部分)20020210" xfId="1147"/>
    <cellStyle name="_崇明概算调整_吴江市区域供水第二水厂(一期)工程初设_吴江市区域供水第二水厂(一期)工程初设_徐州刘湾水厂工程项建书_徐州刘湾水厂工程项建书_徐州刘湾水厂工程项建书(水厂取水泵站部分)20020210_广东大朗水厂工程可行性201204" xfId="1148"/>
    <cellStyle name="_崇明概算调整_吴江市区域供水第二水厂(一期)工程初设_吴江市区域供水第二水厂(一期)工程初设_徐州刘湾水厂工程项建书_徐州刘湾水厂工程项建书_徐州刘湾水厂工程项建书(水厂取水泵站部分)20020210_广东大朗水厂工程可行性201204_杭州大清谷至九溪输水管道工程项建书201405" xfId="1149"/>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150"/>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 xfId="1151"/>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广东大朗水厂工程可行性201204_杭州大清谷至九溪输水管道工程项建书201405" xfId="1152"/>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153"/>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 xfId="1154"/>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广东大朗水厂工程可行性201204_杭州大清谷至九溪输水管道工程项建书201405" xfId="1155"/>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156"/>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 xfId="1157"/>
    <cellStyle name="_崇明概算调整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_广东大朗水厂工程可行性201204_杭州大清谷至九溪输水管道工程项建书201405" xfId="1158"/>
    <cellStyle name="_崇明概算调整_吴江市区域供水第二水厂(一期)工程初设_新舟山岱山小高亭水厂工程201208" xfId="1159"/>
    <cellStyle name="_崇明概算调整_吴江市区域供水第二水厂(一期)工程初设_徐州刘湾水厂工程可行性201203" xfId="1160"/>
    <cellStyle name="_崇明概算调整_吴江市区域供水第二水厂(一期)工程初设_徐州刘湾水厂工程可行性201203_广东大朗水厂工程可行性201204" xfId="1161"/>
    <cellStyle name="_崇明概算调整_吴江市区域供水第二水厂(一期)工程初设_徐州刘湾水厂工程可行性201203_广东大朗水厂工程可行性201204_杭州大清谷至九溪输水管道工程项建书201405" xfId="1162"/>
    <cellStyle name="_崇明概算调整_吴江市区域供水第二水厂(一期)工程初设_徐州刘湾水厂工程可行性201203_徐州刘湾水厂工程可行性201203" xfId="1163"/>
    <cellStyle name="_崇明概算调整_吴江市区域供水第二水厂(一期)工程初设_徐州刘湾水厂工程可行性201203_徐州刘湾水厂工程可行性201203_广东大朗水厂工程可行性201204" xfId="1164"/>
    <cellStyle name="_崇明概算调整_吴江市区域供水第二水厂(一期)工程初设_徐州刘湾水厂工程可行性201203_徐州刘湾水厂工程可行性201203_广东大朗水厂工程可行性201204_杭州大清谷至九溪输水管道工程项建书201405" xfId="1165"/>
    <cellStyle name="_崇明概算调整_吴江市区域供水第二水厂(一期)工程初设_徐州刘湾水厂工程可行性201203_徐州刘湾水厂工程可行性201203_徐州刘湾水厂工程可行性201203" xfId="1166"/>
    <cellStyle name="_崇明概算调整_吴江市区域供水第二水厂(一期)工程初设_徐州刘湾水厂工程可行性201203_徐州刘湾水厂工程可行性201203_徐州刘湾水厂工程可行性201203_广东大朗水厂工程可行性201204" xfId="1167"/>
    <cellStyle name="_崇明概算调整_吴江市区域供水第二水厂(一期)工程初设_徐州刘湾水厂工程可行性201203_徐州刘湾水厂工程可行性201203_徐州刘湾水厂工程可行性201203_广东大朗水厂工程可行性201204_杭州大清谷至九溪输水管道工程项建书201405" xfId="1168"/>
    <cellStyle name="_崇明概算调整_吴江市区域供水第二水厂(一期)工程初设_徐州刘湾水厂工程项建书" xfId="1169"/>
    <cellStyle name="_崇明概算调整_吴江市区域供水第二水厂(一期)工程初设_徐州刘湾水厂工程项建书(水厂部分一二期拆分)20111207" xfId="1170"/>
    <cellStyle name="_崇明概算调整_吴江市区域供水第二水厂(一期)工程初设_徐州刘湾水厂工程项建书(水厂部分一二期拆分)20111207_广东大朗水厂工程可行性201204" xfId="1171"/>
    <cellStyle name="_崇明概算调整_吴江市区域供水第二水厂(一期)工程初设_徐州刘湾水厂工程项建书(水厂部分一二期拆分)20111207_广东大朗水厂工程可行性201204_杭州大清谷至九溪输水管道工程项建书201405" xfId="1172"/>
    <cellStyle name="_崇明概算调整_吴江市区域供水第二水厂(一期)工程初设_徐州刘湾水厂工程项建书(水厂部分一二期拆分)20111207_徐州刘湾水厂工程可行性201203" xfId="1173"/>
    <cellStyle name="_崇明概算调整_吴江市区域供水第二水厂(一期)工程初设_徐州刘湾水厂工程项建书(水厂部分一二期拆分)20111207_徐州刘湾水厂工程可行性201203_广东大朗水厂工程可行性201204" xfId="1174"/>
    <cellStyle name="_崇明概算调整_吴江市区域供水第二水厂(一期)工程初设_徐州刘湾水厂工程项建书(水厂部分一二期拆分)20111207_徐州刘湾水厂工程可行性201203_广东大朗水厂工程可行性201204_杭州大清谷至九溪输水管道工程项建书201405" xfId="1175"/>
    <cellStyle name="_崇明概算调整_吴江市区域供水第二水厂(一期)工程初设_徐州刘湾水厂工程项建书(水厂部分一二期拆分)20111207_徐州刘湾水厂工程可行性201203_徐州刘湾水厂工程可行性201203" xfId="1176"/>
    <cellStyle name="_崇明概算调整_吴江市区域供水第二水厂(一期)工程初设_徐州刘湾水厂工程项建书(水厂部分一二期拆分)20111207_徐州刘湾水厂工程可行性201203_徐州刘湾水厂工程可行性201203_广东大朗水厂工程可行性201204" xfId="1177"/>
    <cellStyle name="_崇明概算调整_吴江市区域供水第二水厂(一期)工程初设_徐州刘湾水厂工程项建书(水厂部分一二期拆分)20111207_徐州刘湾水厂工程可行性201203_徐州刘湾水厂工程可行性201203_广东大朗水厂工程可行性201204_杭州大清谷至九溪输水管道工程项建书201405" xfId="1178"/>
    <cellStyle name="_崇明概算调整_吴江市区域供水第二水厂(一期)工程初设_徐州刘湾水厂工程项建书(水厂部分一二期拆分)20111207_徐州刘湾水厂工程项建书(水厂取水泵站部分)20020210" xfId="1179"/>
    <cellStyle name="_崇明概算调整_吴江市区域供水第二水厂(一期)工程初设_徐州刘湾水厂工程项建书(水厂部分一二期拆分)20111207_徐州刘湾水厂工程项建书(水厂取水泵站部分)20020210_徐州刘湾水厂工程可行性201203" xfId="1180"/>
    <cellStyle name="_崇明概算调整_吴江市区域供水第二水厂(一期)工程初设_徐州刘湾水厂工程项建书(水厂部分一二期拆分)20111207_徐州刘湾水厂工程项建书(水厂取水泵站部分)20020210_徐州刘湾水厂工程可行性201203_徐州刘湾水厂工程可行性201203" xfId="1181"/>
    <cellStyle name="_崇明概算调整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182"/>
    <cellStyle name="_崇明概算调整_吴江市区域供水第二水厂(一期)工程初设_徐州刘湾水厂工程项建书_广东大朗水厂工程可行性201204" xfId="1183"/>
    <cellStyle name="_崇明概算调整_吴江市区域供水第二水厂(一期)工程初设_徐州刘湾水厂工程项建书_广东大朗水厂工程可行性201204_杭州大清谷至九溪输水管道工程项建书201405" xfId="1184"/>
    <cellStyle name="_崇明概算调整_吴江市区域供水第二水厂(一期)工程初设_徐州刘湾水厂工程项建书_徐州刘湾水厂工程可行性201203" xfId="1185"/>
    <cellStyle name="_崇明概算调整_吴江市区域供水第二水厂(一期)工程初设_徐州刘湾水厂工程项建书_徐州刘湾水厂工程可行性201203_徐州刘湾水厂工程可行性201203" xfId="1186"/>
    <cellStyle name="_崇明概算调整_吴江市区域供水第二水厂(一期)工程初设_徐州刘湾水厂工程项建书_徐州刘湾水厂工程项建书" xfId="1187"/>
    <cellStyle name="_崇明概算调整_吴江市区域供水第二水厂(一期)工程初设_徐州刘湾水厂工程项建书_徐州刘湾水厂工程项建书(水厂取水泵站部分)20020210" xfId="1188"/>
    <cellStyle name="_崇明概算调整_吴江市区域供水第二水厂(一期)工程初设_徐州刘湾水厂工程项建书_徐州刘湾水厂工程项建书(水厂取水泵站部分)20020210_徐州刘湾水厂工程可行性201203" xfId="1189"/>
    <cellStyle name="_崇明概算调整_吴江市区域供水第二水厂(一期)工程初设_徐州刘湾水厂工程项建书_徐州刘湾水厂工程项建书(水厂取水泵站部分)20020210_徐州刘湾水厂工程可行性201203_徐州刘湾水厂工程可行性201203" xfId="1190"/>
    <cellStyle name="_崇明概算调整_吴江市区域供水第二水厂(一期)工程初设_徐州刘湾水厂工程项建书_徐州刘湾水厂工程项建书(水厂取水泵站部分)20020210_徐州刘湾水厂工程可行性201203_徐州刘湾水厂工程可行性201203_徐州刘湾水厂工程可行性201203" xfId="1191"/>
    <cellStyle name="_崇明概算调整_吴江市区域供水第二水厂(一期)工程初设_徐州刘湾水厂工程项建书_徐州刘湾水厂工程项建书_徐州刘湾水厂工程可行性201203" xfId="1192"/>
    <cellStyle name="_崇明概算调整_吴江市区域供水第二水厂(一期)工程初设_徐州刘湾水厂工程项建书_徐州刘湾水厂工程项建书_徐州刘湾水厂工程可行性201203_徐州刘湾水厂工程可行性201203" xfId="1193"/>
    <cellStyle name="_崇明概算调整_吴江市区域供水第二水厂(一期)工程初设_徐州刘湾水厂工程项建书_徐州刘湾水厂工程项建书_徐州刘湾水厂工程可行性201203_徐州刘湾水厂工程可行性201203_徐州刘湾水厂工程可行性201203" xfId="1194"/>
    <cellStyle name="_崇明概算调整_吴江市区域供水第二水厂(一期)工程初设_徐州刘湾水厂工程项建书_徐州刘湾水厂工程项建书_徐州刘湾水厂工程项建书" xfId="1195"/>
    <cellStyle name="_崇明概算调整_吴江市区域供水第二水厂(一期)工程初设_徐州刘湾水厂工程项建书_徐州刘湾水厂工程项建书_徐州刘湾水厂工程项建书(水厂部分一二期拆分)20111207" xfId="1196"/>
    <cellStyle name="_崇明概算调整_吴江市区域供水第二水厂(一期)工程初设_徐州刘湾水厂工程项建书_徐州刘湾水厂工程项建书_徐州刘湾水厂工程项建书(水厂部分一二期拆分)20111207_徐州刘湾水厂工程可行性201203" xfId="1197"/>
    <cellStyle name="_崇明概算调整_吴江市区域供水第二水厂(一期)工程初设_徐州刘湾水厂工程项建书_徐州刘湾水厂工程项建书_徐州刘湾水厂工程项建书(水厂部分一二期拆分)20111207_徐州刘湾水厂工程可行性201203_徐州刘湾水厂工程可行性201203" xfId="1198"/>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 xfId="1199"/>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200"/>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201"/>
    <cellStyle name="_崇明概算调整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02"/>
    <cellStyle name="_崇明概算调整_吴江市区域供水第二水厂(一期)工程初设_徐州刘湾水厂工程项建书_徐州刘湾水厂工程项建书_徐州刘湾水厂工程项建书_徐州刘湾水厂工程可行性201203" xfId="1203"/>
    <cellStyle name="_崇明概算调整_吴江市区域供水第二水厂(一期)工程初设_徐州刘湾水厂工程项建书_徐州刘湾水厂工程项建书_徐州刘湾水厂工程项建书_徐州刘湾水厂工程可行性201203_徐州刘湾水厂工程可行性201203" xfId="1204"/>
    <cellStyle name="_崇明概算调整_吴江市区域供水第二水厂(一期)工程初设_徐州刘湾水厂工程项建书_徐州刘湾水厂工程项建书_徐州刘湾水厂工程项建书_徐州刘湾水厂工程项建书(水厂取水泵站部分)20020210" xfId="1205"/>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 xfId="1206"/>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207"/>
    <cellStyle name="_崇明概算调整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208"/>
    <cellStyle name="_崇明概算调整_徐州刘湾水厂工程可行性201203" xfId="1209"/>
    <cellStyle name="_崇明概算调整_徐州刘湾水厂工程可行性201203_徐州刘湾水厂工程可行性201203" xfId="1210"/>
    <cellStyle name="_崇明概算调整_徐州刘湾水厂工程项建书" xfId="1211"/>
    <cellStyle name="_崇明概算调整_徐州刘湾水厂工程项建书(水厂取水泵站部分)20020210" xfId="1212"/>
    <cellStyle name="_崇明概算调整_徐州刘湾水厂工程项建书(水厂取水泵站部分)20020210_徐州刘湾水厂工程可行性201203" xfId="1213"/>
    <cellStyle name="_崇明概算调整_徐州刘湾水厂工程项建书(水厂取水泵站部分)20020210_徐州刘湾水厂工程可行性201203_徐州刘湾水厂工程可行性201203" xfId="1214"/>
    <cellStyle name="_崇明概算调整_徐州刘湾水厂工程项建书(水厂取水泵站部分)20020210_徐州刘湾水厂工程可行性201203_徐州刘湾水厂工程可行性201203_徐州刘湾水厂工程可行性201203" xfId="1215"/>
    <cellStyle name="_崇明概算调整_徐州刘湾水厂工程项建书_徐州刘湾水厂工程可行性201203" xfId="1216"/>
    <cellStyle name="_崇明概算调整_徐州刘湾水厂工程项建书_徐州刘湾水厂工程可行性201203_徐州刘湾水厂工程可行性201203" xfId="1217"/>
    <cellStyle name="_崇明概算调整_徐州刘湾水厂工程项建书_徐州刘湾水厂工程可行性201203_徐州刘湾水厂工程可行性201203_徐州刘湾水厂工程可行性201203" xfId="1218"/>
    <cellStyle name="_崇明概算调整_徐州刘湾水厂工程项建书_徐州刘湾水厂工程项建书" xfId="1219"/>
    <cellStyle name="_崇明概算调整_徐州刘湾水厂工程项建书_徐州刘湾水厂工程项建书(水厂部分一二期拆分)20111207" xfId="1220"/>
    <cellStyle name="_崇明概算调整_徐州刘湾水厂工程项建书_徐州刘湾水厂工程项建书(水厂部分一二期拆分)20111207_徐州刘湾水厂工程可行性201203" xfId="1221"/>
    <cellStyle name="_崇明概算调整_徐州刘湾水厂工程项建书_徐州刘湾水厂工程项建书(水厂部分一二期拆分)20111207_徐州刘湾水厂工程可行性201203_徐州刘湾水厂工程可行性201203" xfId="1222"/>
    <cellStyle name="_崇明概算调整_徐州刘湾水厂工程项建书_徐州刘湾水厂工程项建书(水厂部分一二期拆分)20111207_徐州刘湾水厂工程项建书(水厂取水泵站部分)20020210" xfId="1223"/>
    <cellStyle name="_崇明概算调整_徐州刘湾水厂工程项建书_徐州刘湾水厂工程项建书(水厂部分一二期拆分)20111207_徐州刘湾水厂工程项建书(水厂取水泵站部分)20020210_徐州刘湾水厂工程可行性201203" xfId="1224"/>
    <cellStyle name="_崇明概算调整_徐州刘湾水厂工程项建书_徐州刘湾水厂工程项建书(水厂部分一二期拆分)20111207_徐州刘湾水厂工程项建书(水厂取水泵站部分)20020210_徐州刘湾水厂工程可行性201203_徐州刘湾水厂工程可行性201203" xfId="1225"/>
    <cellStyle name="_崇明概算调整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26"/>
    <cellStyle name="_崇明概算调整_徐州刘湾水厂工程项建书_徐州刘湾水厂工程项建书_徐州刘湾水厂工程可行性201203" xfId="1227"/>
    <cellStyle name="_崇明概算调整_徐州刘湾水厂工程项建书_徐州刘湾水厂工程项建书_徐州刘湾水厂工程可行性201203_徐州刘湾水厂工程可行性201203" xfId="1228"/>
    <cellStyle name="_崇明概算调整_徐州刘湾水厂工程项建书_徐州刘湾水厂工程项建书_徐州刘湾水厂工程项建书(水厂取水泵站部分)20020210" xfId="1229"/>
    <cellStyle name="_崇明概算调整_徐州刘湾水厂工程项建书_徐州刘湾水厂工程项建书_徐州刘湾水厂工程项建书(水厂取水泵站部分)20020210_徐州刘湾水厂工程可行性201203" xfId="1230"/>
    <cellStyle name="_崇明概算调整_徐州刘湾水厂工程项建书_徐州刘湾水厂工程项建书_徐州刘湾水厂工程项建书(水厂取水泵站部分)20020210_徐州刘湾水厂工程可行性201203_徐州刘湾水厂工程可行性201203" xfId="1231"/>
    <cellStyle name="_崇明概算调整_徐州刘湾水厂工程项建书_徐州刘湾水厂工程项建书_徐州刘湾水厂工程项建书(水厂取水泵站部分)20020210_徐州刘湾水厂工程可行性201203_徐州刘湾水厂工程可行性201203_徐州刘湾水厂工程可行性201203" xfId="1232"/>
    <cellStyle name="_崇明县堡镇水厂工可2011.2.18" xfId="1233"/>
    <cellStyle name="_崇明县崇西水厂工可" xfId="1234"/>
    <cellStyle name="_崇明县崇西水厂工可2011.5.11（电子版）" xfId="1235"/>
    <cellStyle name="_初设概算2011.12.29" xfId="1236"/>
    <cellStyle name="_大河水厂初设" xfId="1237"/>
    <cellStyle name="_丹阳管线计算" xfId="1238"/>
    <cellStyle name="_丹阳水厂自仪初设20100223" xfId="1239"/>
    <cellStyle name="_丹阳长湾水厂－工可-调整（例）" xfId="1240"/>
    <cellStyle name="_电气" xfId="1241"/>
    <cellStyle name="_都江堰二期" xfId="1242"/>
    <cellStyle name="_都江堰二期2011.6.3初设" xfId="1243"/>
    <cellStyle name="_二期工程概算（无深度处理）正式稿" xfId="1244"/>
    <cellStyle name="_方案080729" xfId="1245"/>
    <cellStyle name="_方案估算201008010" xfId="1246"/>
    <cellStyle name="_方案投资估算20111107" xfId="1247"/>
    <cellStyle name="_肥西县水厂" xfId="1248"/>
    <cellStyle name="_副本南泉原水厂估算20100304" xfId="1249"/>
    <cellStyle name="_副本青浦二水厂三期工程" xfId="1250"/>
    <cellStyle name="_概算0710" xfId="1251"/>
    <cellStyle name="_概算0710_沉井工程量-排放口" xfId="1252"/>
    <cellStyle name="_概算0710_铜陵第五水厂工程工可201402" xfId="1253"/>
    <cellStyle name="_概算0710_铜陵第五水厂工程工可方案(泵房设在堤外)201402" xfId="1254"/>
    <cellStyle name="_概算0710_芜湖三山水厂工程初设201209" xfId="1255"/>
    <cellStyle name="_概算0710_芜湖三山水厂工程初设201209_铜陵第五水厂工程工可方案(泵房设在堤外)201402" xfId="1256"/>
    <cellStyle name="_概算0710_芜湖三山水厂工程初设201209_芜湖三山水厂工程初设201209" xfId="1257"/>
    <cellStyle name="_概算0710_芜湖三山水厂工程初设201209_芜湖三山水厂工程初设201209_铜陵第五水厂工程工可201402" xfId="1258"/>
    <cellStyle name="_概算0710_芜湖三山水厂工程初设201209_芜湖三山水厂工程初设201209_铜陵第五水厂工程工可方案(泵房设在堤外)201402" xfId="1259"/>
    <cellStyle name="_概算0710_吴江市庙港水厂深度处理工程初设总表" xfId="1260"/>
    <cellStyle name="_概算0710_吴江市区域供水第二水厂(一期)工程初设" xfId="1261"/>
    <cellStyle name="_概算0710_吴江市区域供水第二水厂(一期)工程初设_安亭水厂扩建工程可行性201411" xfId="1262"/>
    <cellStyle name="_概算0710_吴江市区域供水第二水厂(一期)工程初设_沉井工程量-排放口" xfId="1263"/>
    <cellStyle name="_概算0710_吴江市区域供水第二水厂(一期)工程初设_丹阳善巷水厂工程项建书201108" xfId="1264"/>
    <cellStyle name="_概算0710_吴江市区域供水第二水厂(一期)工程初设_奉贤区海湾镇供水集约化一期工程初设" xfId="1265"/>
    <cellStyle name="_概算0710_吴江市区域供水第二水厂(一期)工程初设_广东省建设工程造价咨询服务收费标准表" xfId="1266"/>
    <cellStyle name="_概算0710_吴江市区域供水第二水厂(一期)工程初设_杭州大清谷至九溪输水管道工程项建书201405" xfId="1267"/>
    <cellStyle name="_概算0710_吴江市区域供水第二水厂(一期)工程初设_嘉定供水管初设201304" xfId="1268"/>
    <cellStyle name="_概算0710_吴江市区域供水第二水厂(一期)工程初设_嘉定供水管初设201304审批后修改" xfId="1269"/>
    <cellStyle name="_概算0710_吴江市区域供水第二水厂(一期)工程初设_取水泵房" xfId="1270"/>
    <cellStyle name="_概算0710_吴江市区域供水第二水厂(一期)工程初设_上海工程范例" xfId="1271"/>
    <cellStyle name="_概算0710_吴江市区域供水第二水厂(一期)工程初设_上海工程范例_沉井工程量-排放口" xfId="1272"/>
    <cellStyle name="_概算0710_吴江市区域供水第二水厂(一期)工程初设_苏州白洋湾水厂改建工程可行性201107" xfId="1273"/>
    <cellStyle name="_概算0710_吴江市区域供水第二水厂(一期)工程初设_苏州白洋湾水厂改建工程可行性201107_沉井工程量-排放口" xfId="1274"/>
    <cellStyle name="_概算0710_吴江市区域供水第二水厂(一期)工程初设_苏州白洋湾水厂改建工程可行性201107_铜陵第五水厂工程工可201402" xfId="1275"/>
    <cellStyle name="_概算0710_吴江市区域供水第二水厂(一期)工程初设_苏州白洋湾水厂改建工程可行性201107_铜陵第五水厂工程工可方案(泵房设在堤外)201402" xfId="1276"/>
    <cellStyle name="_概算0710_吴江市区域供水第二水厂(一期)工程初设_苏州白洋湾水厂改建工程可行性201107_芜湖三山水厂工程初设201209" xfId="1277"/>
    <cellStyle name="_概算0710_吴江市区域供水第二水厂(一期)工程初设_苏州白洋湾水厂改建工程可行性201107_芜湖三山水厂工程初设201209_铜陵第五水厂工程工可方案(泵房设在堤外)201402" xfId="1278"/>
    <cellStyle name="_概算0710_吴江市区域供水第二水厂(一期)工程初设_苏州白洋湾水厂改建工程可行性201107_芜湖三山水厂工程初设201209_芜湖三山水厂工程初设201209" xfId="1279"/>
    <cellStyle name="_概算0710_吴江市区域供水第二水厂(一期)工程初设_苏州白洋湾水厂改建工程可行性201107_芜湖三山水厂工程初设201209_芜湖三山水厂工程初设201209_铜陵第五水厂工程工可201402" xfId="1280"/>
    <cellStyle name="_概算0710_吴江市区域供水第二水厂(一期)工程初设_苏州白洋湾水厂改建工程可行性201107_芜湖三山水厂工程初设201209_芜湖三山水厂工程初设201209_铜陵第五水厂工程工可方案(泵房设在堤外)201402" xfId="1281"/>
    <cellStyle name="_概算0710_吴江市区域供水第二水厂(一期)工程初设_苏州白洋湾水厂改建工程可行性201107_徐州刘湾水厂工程可行性201203" xfId="1282"/>
    <cellStyle name="_概算0710_吴江市区域供水第二水厂(一期)工程初设_苏州白洋湾水厂改建工程可行性201107_徐州刘湾水厂工程可行性201203_徐州刘湾水厂工程可行性201203" xfId="1283"/>
    <cellStyle name="_概算0710_吴江市区域供水第二水厂(一期)工程初设_苏州白洋湾水厂改建工程可行性201107_徐州刘湾水厂工程项建书" xfId="1284"/>
    <cellStyle name="_概算0710_吴江市区域供水第二水厂(一期)工程初设_苏州白洋湾水厂改建工程可行性201107_徐州刘湾水厂工程项建书(水厂取水泵站部分)20020210" xfId="1285"/>
    <cellStyle name="_概算0710_吴江市区域供水第二水厂(一期)工程初设_苏州白洋湾水厂改建工程可行性201107_徐州刘湾水厂工程项建书(水厂取水泵站部分)20020210_徐州刘湾水厂工程可行性201203" xfId="1286"/>
    <cellStyle name="_概算0710_吴江市区域供水第二水厂(一期)工程初设_苏州白洋湾水厂改建工程可行性201107_徐州刘湾水厂工程项建书(水厂取水泵站部分)20020210_徐州刘湾水厂工程可行性201203_徐州刘湾水厂工程可行性201203" xfId="1287"/>
    <cellStyle name="_概算0710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288"/>
    <cellStyle name="_概算0710_吴江市区域供水第二水厂(一期)工程初设_苏州白洋湾水厂改建工程可行性201107_徐州刘湾水厂工程项建书_徐州刘湾水厂工程可行性201203" xfId="1289"/>
    <cellStyle name="_概算0710_吴江市区域供水第二水厂(一期)工程初设_苏州白洋湾水厂改建工程可行性201107_徐州刘湾水厂工程项建书_徐州刘湾水厂工程可行性201203_徐州刘湾水厂工程可行性201203" xfId="1290"/>
    <cellStyle name="_概算0710_吴江市区域供水第二水厂(一期)工程初设_苏州白洋湾水厂改建工程可行性201107_徐州刘湾水厂工程项建书_徐州刘湾水厂工程可行性201203_徐州刘湾水厂工程可行性201203_徐州刘湾水厂工程可行性201203" xfId="1291"/>
    <cellStyle name="_概算0710_吴江市区域供水第二水厂(一期)工程初设_苏州白洋湾水厂改建工程可行性201107_徐州刘湾水厂工程项建书_徐州刘湾水厂工程项建书" xfId="1292"/>
    <cellStyle name="_概算0710_吴江市区域供水第二水厂(一期)工程初设_苏州白洋湾水厂改建工程可行性201107_徐州刘湾水厂工程项建书_徐州刘湾水厂工程项建书(水厂部分一二期拆分)20111207" xfId="1293"/>
    <cellStyle name="_概算0710_吴江市区域供水第二水厂(一期)工程初设_苏州白洋湾水厂改建工程可行性201107_徐州刘湾水厂工程项建书_徐州刘湾水厂工程项建书(水厂部分一二期拆分)20111207_徐州刘湾水厂工程可行性201203" xfId="1294"/>
    <cellStyle name="_概算0710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295"/>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 xfId="1296"/>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297"/>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298"/>
    <cellStyle name="_概算0710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299"/>
    <cellStyle name="_概算0710_吴江市区域供水第二水厂(一期)工程初设_苏州白洋湾水厂改建工程可行性201107_徐州刘湾水厂工程项建书_徐州刘湾水厂工程项建书_徐州刘湾水厂工程可行性201203" xfId="1300"/>
    <cellStyle name="_概算0710_吴江市区域供水第二水厂(一期)工程初设_苏州白洋湾水厂改建工程可行性201107_徐州刘湾水厂工程项建书_徐州刘湾水厂工程项建书_徐州刘湾水厂工程可行性201203_徐州刘湾水厂工程可行性201203" xfId="1301"/>
    <cellStyle name="_概算0710_吴江市区域供水第二水厂(一期)工程初设_苏州白洋湾水厂改建工程可行性201107_徐州刘湾水厂工程项建书_徐州刘湾水厂工程项建书_徐州刘湾水厂工程项建书(水厂取水泵站部分)20020210" xfId="1302"/>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303"/>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304"/>
    <cellStyle name="_概算0710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305"/>
    <cellStyle name="_概算0710_吴江市区域供水第二水厂(一期)工程初设_苏州白洋湾水厂改建工程可行性最新修改方案" xfId="1306"/>
    <cellStyle name="_概算0710_吴江市区域供水第二水厂(一期)工程初设_苏州白洋湾水厂改建工程可行性最新修改方案_沉井工程量-排放口" xfId="1307"/>
    <cellStyle name="_概算0710_吴江市区域供水第二水厂(一期)工程初设_苏州白洋湾水厂改建工程可行性最新修改方案_铜陵第五水厂工程工可201402" xfId="1308"/>
    <cellStyle name="_概算0710_吴江市区域供水第二水厂(一期)工程初设_苏州白洋湾水厂改建工程可行性最新修改方案_铜陵第五水厂工程工可方案(泵房设在堤外)201402" xfId="1309"/>
    <cellStyle name="_概算0710_吴江市区域供水第二水厂(一期)工程初设_苏州白洋湾水厂改建工程可行性最新修改方案_芜湖三山水厂工程初设201209" xfId="1310"/>
    <cellStyle name="_概算0710_吴江市区域供水第二水厂(一期)工程初设_苏州白洋湾水厂改建工程可行性最新修改方案_芜湖三山水厂工程初设201209_铜陵第五水厂工程工可方案(泵房设在堤外)201402" xfId="1311"/>
    <cellStyle name="_概算0710_吴江市区域供水第二水厂(一期)工程初设_苏州白洋湾水厂改建工程可行性最新修改方案_芜湖三山水厂工程初设201209_芜湖三山水厂工程初设201209" xfId="1312"/>
    <cellStyle name="_概算0710_吴江市区域供水第二水厂(一期)工程初设_苏州白洋湾水厂改建工程可行性最新修改方案_芜湖三山水厂工程初设201209_芜湖三山水厂工程初设201209_铜陵第五水厂工程工可201402" xfId="1313"/>
    <cellStyle name="_概算0710_吴江市区域供水第二水厂(一期)工程初设_苏州白洋湾水厂改建工程可行性最新修改方案_芜湖三山水厂工程初设201209_芜湖三山水厂工程初设201209_铜陵第五水厂工程工可方案(泵房设在堤外)201402" xfId="1314"/>
    <cellStyle name="_概算0710_吴江市区域供水第二水厂(一期)工程初设_苏州白洋湾水厂改建工程可行性最新修改方案_徐州刘湾水厂工程可行性201203" xfId="1315"/>
    <cellStyle name="_概算0710_吴江市区域供水第二水厂(一期)工程初设_苏州白洋湾水厂改建工程可行性最新修改方案_徐州刘湾水厂工程可行性201203_徐州刘湾水厂工程可行性201203" xfId="1316"/>
    <cellStyle name="_概算0710_吴江市区域供水第二水厂(一期)工程初设_苏州白洋湾水厂改建工程可行性最新修改方案_徐州刘湾水厂工程项建书" xfId="1317"/>
    <cellStyle name="_概算0710_吴江市区域供水第二水厂(一期)工程初设_苏州白洋湾水厂改建工程可行性最新修改方案_徐州刘湾水厂工程项建书(水厂取水泵站部分)20020210" xfId="1318"/>
    <cellStyle name="_概算0710_吴江市区域供水第二水厂(一期)工程初设_苏州白洋湾水厂改建工程可行性最新修改方案_徐州刘湾水厂工程项建书(水厂取水泵站部分)20020210_徐州刘湾水厂工程可行性201203" xfId="1319"/>
    <cellStyle name="_概算0710_吴江市区域供水第二水厂(一期)工程初设_苏州白洋湾水厂改建工程可行性最新修改方案_徐州刘湾水厂工程项建书(水厂取水泵站部分)20020210_徐州刘湾水厂工程可行性201203_徐州刘湾水厂工程可行性201203" xfId="1320"/>
    <cellStyle name="_概算0710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321"/>
    <cellStyle name="_概算0710_吴江市区域供水第二水厂(一期)工程初设_苏州白洋湾水厂改建工程可行性最新修改方案_徐州刘湾水厂工程项建书_徐州刘湾水厂工程可行性201203" xfId="1322"/>
    <cellStyle name="_概算0710_吴江市区域供水第二水厂(一期)工程初设_苏州白洋湾水厂改建工程可行性最新修改方案_徐州刘湾水厂工程项建书_徐州刘湾水厂工程可行性201203_徐州刘湾水厂工程可行性201203" xfId="1323"/>
    <cellStyle name="_概算0710_吴江市区域供水第二水厂(一期)工程初设_苏州白洋湾水厂改建工程可行性最新修改方案_徐州刘湾水厂工程项建书_徐州刘湾水厂工程可行性201203_徐州刘湾水厂工程可行性201203_徐州刘湾水厂工程可行性201203" xfId="1324"/>
    <cellStyle name="_概算0710_吴江市区域供水第二水厂(一期)工程初设_苏州白洋湾水厂改建工程可行性最新修改方案_徐州刘湾水厂工程项建书_徐州刘湾水厂工程项建书" xfId="1325"/>
    <cellStyle name="_概算0710_吴江市区域供水第二水厂(一期)工程初设_苏州白洋湾水厂改建工程可行性最新修改方案_徐州刘湾水厂工程项建书_徐州刘湾水厂工程项建书(水厂部分一二期拆分)20111207" xfId="1326"/>
    <cellStyle name="_概算0710_吴江市区域供水第二水厂(一期)工程初设_苏州白洋湾水厂改建工程可行性最新修改方案_徐州刘湾水厂工程项建书_徐州刘湾水厂工程项建书(水厂部分一二期拆分)20111207_徐州刘湾水厂工程可行性201203" xfId="1327"/>
    <cellStyle name="_概算0710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328"/>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329"/>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330"/>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331"/>
    <cellStyle name="_概算0710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32"/>
    <cellStyle name="_概算0710_吴江市区域供水第二水厂(一期)工程初设_苏州白洋湾水厂改建工程可行性最新修改方案_徐州刘湾水厂工程项建书_徐州刘湾水厂工程项建书_徐州刘湾水厂工程可行性201203" xfId="1333"/>
    <cellStyle name="_概算0710_吴江市区域供水第二水厂(一期)工程初设_苏州白洋湾水厂改建工程可行性最新修改方案_徐州刘湾水厂工程项建书_徐州刘湾水厂工程项建书_徐州刘湾水厂工程可行性201203_徐州刘湾水厂工程可行性201203" xfId="1334"/>
    <cellStyle name="_概算0710_吴江市区域供水第二水厂(一期)工程初设_苏州白洋湾水厂改建工程可行性最新修改方案_徐州刘湾水厂工程项建书_徐州刘湾水厂工程项建书_徐州刘湾水厂工程项建书(水厂取水泵站部分)20020210" xfId="1335"/>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336"/>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337"/>
    <cellStyle name="_概算0710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338"/>
    <cellStyle name="_概算0710_吴江市区域供水第二水厂(一期)工程初设_苏州白洋湾水厂改建工程可行性最新修改方案2" xfId="1339"/>
    <cellStyle name="_概算0710_吴江市区域供水第二水厂(一期)工程初设_苏州白洋湾水厂改建工程可行性最新修改方案2_沉井工程量-排放口" xfId="1340"/>
    <cellStyle name="_概算0710_吴江市区域供水第二水厂(一期)工程初设_苏州白洋湾水厂改建工程可行性最新修改方案2_铜陵第五水厂工程工可201402" xfId="1341"/>
    <cellStyle name="_概算0710_吴江市区域供水第二水厂(一期)工程初设_苏州白洋湾水厂改建工程可行性最新修改方案2_铜陵第五水厂工程工可方案(泵房设在堤外)201402" xfId="1342"/>
    <cellStyle name="_概算0710_吴江市区域供水第二水厂(一期)工程初设_苏州白洋湾水厂改建工程可行性最新修改方案2_芜湖三山水厂工程初设201209" xfId="1343"/>
    <cellStyle name="_概算0710_吴江市区域供水第二水厂(一期)工程初设_苏州白洋湾水厂改建工程可行性最新修改方案2_芜湖三山水厂工程初设201209_铜陵第五水厂工程工可方案(泵房设在堤外)201402" xfId="1344"/>
    <cellStyle name="_概算0710_吴江市区域供水第二水厂(一期)工程初设_苏州白洋湾水厂改建工程可行性最新修改方案2_芜湖三山水厂工程初设201209_芜湖三山水厂工程初设201209" xfId="1345"/>
    <cellStyle name="_概算0710_吴江市区域供水第二水厂(一期)工程初设_苏州白洋湾水厂改建工程可行性最新修改方案2_芜湖三山水厂工程初设201209_芜湖三山水厂工程初设201209_铜陵第五水厂工程工可201402" xfId="1346"/>
    <cellStyle name="_概算0710_吴江市区域供水第二水厂(一期)工程初设_苏州白洋湾水厂改建工程可行性最新修改方案2_芜湖三山水厂工程初设201209_芜湖三山水厂工程初设201209_铜陵第五水厂工程工可方案(泵房设在堤外)201402" xfId="1347"/>
    <cellStyle name="_概算0710_吴江市区域供水第二水厂(一期)工程初设_苏州白洋湾水厂改建工程可行性最新修改方案2_徐州刘湾水厂工程可行性201203" xfId="1348"/>
    <cellStyle name="_概算0710_吴江市区域供水第二水厂(一期)工程初设_苏州白洋湾水厂改建工程可行性最新修改方案2_徐州刘湾水厂工程可行性201203_徐州刘湾水厂工程可行性201203" xfId="1349"/>
    <cellStyle name="_概算0710_吴江市区域供水第二水厂(一期)工程初设_苏州白洋湾水厂改建工程可行性最新修改方案2_徐州刘湾水厂工程项建书" xfId="1350"/>
    <cellStyle name="_概算0710_吴江市区域供水第二水厂(一期)工程初设_苏州白洋湾水厂改建工程可行性最新修改方案2_徐州刘湾水厂工程项建书(水厂取水泵站部分)20020210" xfId="1351"/>
    <cellStyle name="_概算0710_吴江市区域供水第二水厂(一期)工程初设_苏州白洋湾水厂改建工程可行性最新修改方案2_徐州刘湾水厂工程项建书(水厂取水泵站部分)20020210_徐州刘湾水厂工程可行性201203" xfId="1352"/>
    <cellStyle name="_概算0710_吴江市区域供水第二水厂(一期)工程初设_苏州白洋湾水厂改建工程可行性最新修改方案2_徐州刘湾水厂工程项建书(水厂取水泵站部分)20020210_徐州刘湾水厂工程可行性201203_徐州刘湾水厂工程可行性201203" xfId="1353"/>
    <cellStyle name="_概算0710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354"/>
    <cellStyle name="_概算0710_吴江市区域供水第二水厂(一期)工程初设_苏州白洋湾水厂改建工程可行性最新修改方案2_徐州刘湾水厂工程项建书_徐州刘湾水厂工程可行性201203" xfId="1355"/>
    <cellStyle name="_概算0710_吴江市区域供水第二水厂(一期)工程初设_苏州白洋湾水厂改建工程可行性最新修改方案2_徐州刘湾水厂工程项建书_徐州刘湾水厂工程可行性201203_徐州刘湾水厂工程可行性201203" xfId="1356"/>
    <cellStyle name="_概算0710_吴江市区域供水第二水厂(一期)工程初设_苏州白洋湾水厂改建工程可行性最新修改方案2_徐州刘湾水厂工程项建书_徐州刘湾水厂工程可行性201203_徐州刘湾水厂工程可行性201203_徐州刘湾水厂工程可行性201203" xfId="1357"/>
    <cellStyle name="_概算0710_吴江市区域供水第二水厂(一期)工程初设_苏州白洋湾水厂改建工程可行性最新修改方案2_徐州刘湾水厂工程项建书_徐州刘湾水厂工程项建书" xfId="1358"/>
    <cellStyle name="_概算0710_吴江市区域供水第二水厂(一期)工程初设_苏州白洋湾水厂改建工程可行性最新修改方案2_徐州刘湾水厂工程项建书_徐州刘湾水厂工程项建书(水厂部分一二期拆分)20111207" xfId="1359"/>
    <cellStyle name="_概算0710_吴江市区域供水第二水厂(一期)工程初设_苏州白洋湾水厂改建工程可行性最新修改方案2_徐州刘湾水厂工程项建书_徐州刘湾水厂工程项建书(水厂部分一二期拆分)20111207_徐州刘湾水厂工程可行性201203" xfId="1360"/>
    <cellStyle name="_概算0710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361"/>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362"/>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363"/>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364"/>
    <cellStyle name="_概算0710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65"/>
    <cellStyle name="_概算0710_吴江市区域供水第二水厂(一期)工程初设_苏州白洋湾水厂改建工程可行性最新修改方案2_徐州刘湾水厂工程项建书_徐州刘湾水厂工程项建书_徐州刘湾水厂工程可行性201203" xfId="1366"/>
    <cellStyle name="_概算0710_吴江市区域供水第二水厂(一期)工程初设_苏州白洋湾水厂改建工程可行性最新修改方案2_徐州刘湾水厂工程项建书_徐州刘湾水厂工程项建书_徐州刘湾水厂工程可行性201203_徐州刘湾水厂工程可行性201203" xfId="1367"/>
    <cellStyle name="_概算0710_吴江市区域供水第二水厂(一期)工程初设_苏州白洋湾水厂改建工程可行性最新修改方案2_徐州刘湾水厂工程项建书_徐州刘湾水厂工程项建书_徐州刘湾水厂工程项建书(水厂取水泵站部分)20020210" xfId="1368"/>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369"/>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370"/>
    <cellStyle name="_概算0710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371"/>
    <cellStyle name="_概算0710_吴江市区域供水第二水厂(一期)工程初设_苏州工业园区阳澄湖水厂工程初步设计201206" xfId="1372"/>
    <cellStyle name="_概算0710_吴江市区域供水第二水厂(一期)工程初设_苏州工业园区阳澄湖水厂工程可行性201108" xfId="1373"/>
    <cellStyle name="_概算0710_吴江市区域供水第二水厂(一期)工程初设_苏州工业园区阳澄湖水厂工程可行性201108_沉井工程量-排放口" xfId="1374"/>
    <cellStyle name="_概算0710_吴江市区域供水第二水厂(一期)工程初设_苏州工业园区阳澄湖水厂工程可行性201108_铜陵第五水厂工程工可201402" xfId="1375"/>
    <cellStyle name="_概算0710_吴江市区域供水第二水厂(一期)工程初设_苏州工业园区阳澄湖水厂工程可行性201108_铜陵第五水厂工程工可方案(泵房设在堤外)201402" xfId="1376"/>
    <cellStyle name="_概算0710_吴江市区域供水第二水厂(一期)工程初设_苏州工业园区阳澄湖水厂工程可行性201108_芜湖三山水厂工程初设201209" xfId="1377"/>
    <cellStyle name="_概算0710_吴江市区域供水第二水厂(一期)工程初设_苏州工业园区阳澄湖水厂工程可行性201108_芜湖三山水厂工程初设201209_铜陵第五水厂工程工可方案(泵房设在堤外)201402" xfId="1378"/>
    <cellStyle name="_概算0710_吴江市区域供水第二水厂(一期)工程初设_苏州工业园区阳澄湖水厂工程可行性201108_芜湖三山水厂工程初设201209_芜湖三山水厂工程初设201209" xfId="1379"/>
    <cellStyle name="_概算0710_吴江市区域供水第二水厂(一期)工程初设_苏州工业园区阳澄湖水厂工程可行性201108_芜湖三山水厂工程初设201209_芜湖三山水厂工程初设201209_铜陵第五水厂工程工可201402" xfId="1380"/>
    <cellStyle name="_概算0710_吴江市区域供水第二水厂(一期)工程初设_苏州工业园区阳澄湖水厂工程可行性201108_芜湖三山水厂工程初设201209_芜湖三山水厂工程初设201209_铜陵第五水厂工程工可方案(泵房设在堤外)201402" xfId="1381"/>
    <cellStyle name="_概算0710_吴江市区域供水第二水厂(一期)工程初设_苏州工业园区阳澄湖水厂工程可行性201108_徐州刘湾水厂工程可行性201203" xfId="1382"/>
    <cellStyle name="_概算0710_吴江市区域供水第二水厂(一期)工程初设_苏州工业园区阳澄湖水厂工程可行性201108_徐州刘湾水厂工程可行性201203_徐州刘湾水厂工程可行性201203" xfId="1383"/>
    <cellStyle name="_概算0710_吴江市区域供水第二水厂(一期)工程初设_苏州工业园区阳澄湖水厂工程可行性201108_徐州刘湾水厂工程项建书" xfId="1384"/>
    <cellStyle name="_概算0710_吴江市区域供水第二水厂(一期)工程初设_苏州工业园区阳澄湖水厂工程可行性201108_徐州刘湾水厂工程项建书(水厂取水泵站部分)20020210" xfId="1385"/>
    <cellStyle name="_概算0710_吴江市区域供水第二水厂(一期)工程初设_苏州工业园区阳澄湖水厂工程可行性201108_徐州刘湾水厂工程项建书(水厂取水泵站部分)20020210_徐州刘湾水厂工程可行性201203" xfId="1386"/>
    <cellStyle name="_概算0710_吴江市区域供水第二水厂(一期)工程初设_苏州工业园区阳澄湖水厂工程可行性201108_徐州刘湾水厂工程项建书(水厂取水泵站部分)20020210_徐州刘湾水厂工程可行性201203_徐州刘湾水厂工程可行性201203" xfId="1387"/>
    <cellStyle name="_概算0710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388"/>
    <cellStyle name="_概算0710_吴江市区域供水第二水厂(一期)工程初设_苏州工业园区阳澄湖水厂工程可行性201108_徐州刘湾水厂工程项建书_徐州刘湾水厂工程可行性201203" xfId="1389"/>
    <cellStyle name="_概算0710_吴江市区域供水第二水厂(一期)工程初设_苏州工业园区阳澄湖水厂工程可行性201108_徐州刘湾水厂工程项建书_徐州刘湾水厂工程可行性201203_徐州刘湾水厂工程可行性201203" xfId="1390"/>
    <cellStyle name="_概算0710_吴江市区域供水第二水厂(一期)工程初设_苏州工业园区阳澄湖水厂工程可行性201108_徐州刘湾水厂工程项建书_徐州刘湾水厂工程可行性201203_徐州刘湾水厂工程可行性201203_徐州刘湾水厂工程可行性201203" xfId="1391"/>
    <cellStyle name="_概算0710_吴江市区域供水第二水厂(一期)工程初设_苏州工业园区阳澄湖水厂工程可行性201108_徐州刘湾水厂工程项建书_徐州刘湾水厂工程项建书" xfId="1392"/>
    <cellStyle name="_概算0710_吴江市区域供水第二水厂(一期)工程初设_苏州工业园区阳澄湖水厂工程可行性201108_徐州刘湾水厂工程项建书_徐州刘湾水厂工程项建书(水厂部分一二期拆分)20111207" xfId="1393"/>
    <cellStyle name="_概算0710_吴江市区域供水第二水厂(一期)工程初设_苏州工业园区阳澄湖水厂工程可行性201108_徐州刘湾水厂工程项建书_徐州刘湾水厂工程项建书(水厂部分一二期拆分)20111207_徐州刘湾水厂工程可行性201203" xfId="1394"/>
    <cellStyle name="_概算0710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395"/>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396"/>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397"/>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398"/>
    <cellStyle name="_概算0710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399"/>
    <cellStyle name="_概算0710_吴江市区域供水第二水厂(一期)工程初设_苏州工业园区阳澄湖水厂工程可行性201108_徐州刘湾水厂工程项建书_徐州刘湾水厂工程项建书_徐州刘湾水厂工程可行性201203" xfId="1400"/>
    <cellStyle name="_概算0710_吴江市区域供水第二水厂(一期)工程初设_苏州工业园区阳澄湖水厂工程可行性201108_徐州刘湾水厂工程项建书_徐州刘湾水厂工程项建书_徐州刘湾水厂工程可行性201203_徐州刘湾水厂工程可行性201203" xfId="1401"/>
    <cellStyle name="_概算0710_吴江市区域供水第二水厂(一期)工程初设_苏州工业园区阳澄湖水厂工程可行性201108_徐州刘湾水厂工程项建书_徐州刘湾水厂工程项建书_徐州刘湾水厂工程项建书(水厂取水泵站部分)20020210" xfId="1402"/>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403"/>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404"/>
    <cellStyle name="_概算0710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405"/>
    <cellStyle name="_概算0710_吴江市区域供水第二水厂(一期)工程初设_铜陵第五水厂工程工可方案(泵房设在堤外)201402" xfId="1406"/>
    <cellStyle name="_概算0710_吴江市区域供水第二水厂(一期)工程初设_芜湖三山水厂工程初设201209" xfId="1407"/>
    <cellStyle name="_概算0710_吴江市区域供水第二水厂(一期)工程初设_芜湖三山水厂工程初设201209_铜陵第五水厂工程工可201402" xfId="1408"/>
    <cellStyle name="_概算0710_吴江市区域供水第二水厂(一期)工程初设_芜湖三山水厂工程初设201209_铜陵第五水厂工程工可方案(泵房设在堤外)201402" xfId="1409"/>
    <cellStyle name="_概算0710_吴江市区域供水第二水厂(一期)工程初设_吴江市庙港水厂深度处理工程方案" xfId="1410"/>
    <cellStyle name="_概算0710_吴江市区域供水第二水厂(一期)工程初设_吴江市庙港水厂深度处理工程方案_吴江市庙港水厂深度处理工程初设总表" xfId="1411"/>
    <cellStyle name="_概算0710_吴江市区域供水第二水厂(一期)工程初设_吴江市庙港水厂深度处理工程可行性" xfId="1412"/>
    <cellStyle name="_概算0710_吴江市区域供水第二水厂(一期)工程初设_吴江市区域供水第二水厂(一期)工程初设" xfId="1413"/>
    <cellStyle name="_概算0710_吴江市区域供水第二水厂(一期)工程初设_吴江市区域供水第二水厂(一期)工程初设_沉井工程量-排放口" xfId="1414"/>
    <cellStyle name="_概算0710_吴江市区域供水第二水厂(一期)工程初设_吴江市区域供水第二水厂(一期)工程初设_铜陵第五水厂工程工可201402" xfId="1415"/>
    <cellStyle name="_概算0710_吴江市区域供水第二水厂(一期)工程初设_吴江市区域供水第二水厂(一期)工程初设_铜陵第五水厂工程工可方案(泵房设在堤外)201402" xfId="1416"/>
    <cellStyle name="_概算0710_吴江市区域供水第二水厂(一期)工程初设_吴江市区域供水第二水厂(一期)工程初设_芜湖三山水厂工程初设201209" xfId="1417"/>
    <cellStyle name="_概算0710_吴江市区域供水第二水厂(一期)工程初设_吴江市区域供水第二水厂(一期)工程初设_芜湖三山水厂工程初设201209_铜陵第五水厂工程工可方案(泵房设在堤外)201402" xfId="1418"/>
    <cellStyle name="_概算0710_吴江市区域供水第二水厂(一期)工程初设_吴江市区域供水第二水厂(一期)工程初设_芜湖三山水厂工程初设201209_芜湖三山水厂工程初设201209" xfId="1419"/>
    <cellStyle name="_概算0710_吴江市区域供水第二水厂(一期)工程初设_吴江市区域供水第二水厂(一期)工程初设_芜湖三山水厂工程初设201209_芜湖三山水厂工程初设201209_铜陵第五水厂工程工可201402" xfId="1420"/>
    <cellStyle name="_概算0710_吴江市区域供水第二水厂(一期)工程初设_吴江市区域供水第二水厂(一期)工程初设_芜湖三山水厂工程初设201209_芜湖三山水厂工程初设201209_铜陵第五水厂工程工可方案(泵房设在堤外)201402" xfId="1421"/>
    <cellStyle name="_概算0710_吴江市区域供水第二水厂(一期)工程初设_吴江市区域供水第二水厂(一期)工程初设_吴江市庙港水厂深度处理工程初设总表" xfId="1422"/>
    <cellStyle name="_概算0710_吴江市区域供水第二水厂(一期)工程初设_吴江市区域供水第二水厂(一期)工程初设_吴江市区域供水第二水厂(一期)工程初设" xfId="1423"/>
    <cellStyle name="_概算0710_吴江市区域供水第二水厂(一期)工程初设_吴江市区域供水第二水厂(一期)工程初设_吴江市区域供水第二水厂(一期)工程初设_安亭水厂扩建工程可行性201411" xfId="1424"/>
    <cellStyle name="_概算0710_吴江市区域供水第二水厂(一期)工程初设_吴江市区域供水第二水厂(一期)工程初设_吴江市区域供水第二水厂(一期)工程初设_沉井工程量-排放口" xfId="1425"/>
    <cellStyle name="_概算0710_吴江市区域供水第二水厂(一期)工程初设_吴江市区域供水第二水厂(一期)工程初设_吴江市区域供水第二水厂(一期)工程初设_丹阳善巷水厂工程项建书201108" xfId="1426"/>
    <cellStyle name="_概算0710_吴江市区域供水第二水厂(一期)工程初设_吴江市区域供水第二水厂(一期)工程初设_吴江市区域供水第二水厂(一期)工程初设_奉贤区海湾镇供水集约化一期工程初设" xfId="1427"/>
    <cellStyle name="_概算0710_吴江市区域供水第二水厂(一期)工程初设_吴江市区域供水第二水厂(一期)工程初设_吴江市区域供水第二水厂(一期)工程初设_广东省建设工程造价咨询服务收费标准表" xfId="1428"/>
    <cellStyle name="_概算0710_吴江市区域供水第二水厂(一期)工程初设_吴江市区域供水第二水厂(一期)工程初设_吴江市区域供水第二水厂(一期)工程初设_杭州大清谷至九溪输水管道工程项建书201405" xfId="1429"/>
    <cellStyle name="_概算0710_吴江市区域供水第二水厂(一期)工程初设_吴江市区域供水第二水厂(一期)工程初设_吴江市区域供水第二水厂(一期)工程初设_嘉定供水管初设201304" xfId="1430"/>
    <cellStyle name="_概算0710_吴江市区域供水第二水厂(一期)工程初设_吴江市区域供水第二水厂(一期)工程初设_吴江市区域供水第二水厂(一期)工程初设_嘉定供水管初设201304审批后修改" xfId="1431"/>
    <cellStyle name="_概算0710_吴江市区域供水第二水厂(一期)工程初设_吴江市区域供水第二水厂(一期)工程初设_吴江市区域供水第二水厂(一期)工程初设_取水泵房" xfId="1432"/>
    <cellStyle name="_概算0710_吴江市区域供水第二水厂(一期)工程初设_吴江市区域供水第二水厂(一期)工程初设_吴江市区域供水第二水厂(一期)工程初设_上海工程范例" xfId="1433"/>
    <cellStyle name="_概算0710_吴江市区域供水第二水厂(一期)工程初设_吴江市区域供水第二水厂(一期)工程初设_吴江市区域供水第二水厂(一期)工程初设_上海工程范例_沉井工程量-排放口" xfId="1434"/>
    <cellStyle name="_概算0710_吴江市区域供水第二水厂(一期)工程初设_吴江市区域供水第二水厂(一期)工程初设_吴江市区域供水第二水厂(一期)工程初设_苏州白洋湾水厂改建工程可行性201107" xfId="1435"/>
    <cellStyle name="_概算0710_吴江市区域供水第二水厂(一期)工程初设_吴江市区域供水第二水厂(一期)工程初设_吴江市区域供水第二水厂(一期)工程初设_苏州白洋湾水厂改建工程可行性201107_沉井工程量-排放口" xfId="1436"/>
    <cellStyle name="_概算0710_吴江市区域供水第二水厂(一期)工程初设_吴江市区域供水第二水厂(一期)工程初设_吴江市区域供水第二水厂(一期)工程初设_苏州白洋湾水厂改建工程可行性201107_铜陵第五水厂工程工可201402" xfId="1437"/>
    <cellStyle name="_概算0710_吴江市区域供水第二水厂(一期)工程初设_吴江市区域供水第二水厂(一期)工程初设_吴江市区域供水第二水厂(一期)工程初设_苏州白洋湾水厂改建工程可行性201107_铜陵第五水厂工程工可方案(泵房设在堤外)201402" xfId="1438"/>
    <cellStyle name="_概算0710_吴江市区域供水第二水厂(一期)工程初设_吴江市区域供水第二水厂(一期)工程初设_吴江市区域供水第二水厂(一期)工程初设_苏州白洋湾水厂改建工程可行性201107_芜湖三山水厂工程初设201209" xfId="1439"/>
    <cellStyle name="_概算0710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1440"/>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1441"/>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1442"/>
    <cellStyle name="_概算0710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1443"/>
    <cellStyle name="_概算0710_吴江市区域供水第二水厂(一期)工程初设_吴江市区域供水第二水厂(一期)工程初设_吴江市区域供水第二水厂(一期)工程初设_苏州白洋湾水厂改建工程可行性201107_徐州刘湾水厂工程可行性201203" xfId="1444"/>
    <cellStyle name="_概算0710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1445"/>
    <cellStyle name="_概算0710_吴江市区域供水第二水厂(一期)工程初设_吴江市区域供水第二水厂(一期)工程初设_吴江市区域供水第二水厂(一期)工程初设_苏州白洋湾水厂改建工程可行性201107_徐州刘湾水厂工程项建书" xfId="1446"/>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 xfId="1447"/>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1448"/>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1449"/>
    <cellStyle name="_概算0710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450"/>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1451"/>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1452"/>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1453"/>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 xfId="1454"/>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1455"/>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1456"/>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457"/>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458"/>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459"/>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460"/>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461"/>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1462"/>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1463"/>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1464"/>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465"/>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466"/>
    <cellStyle name="_概算0710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467"/>
    <cellStyle name="_概算0710_吴江市区域供水第二水厂(一期)工程初设_吴江市区域供水第二水厂(一期)工程初设_吴江市区域供水第二水厂(一期)工程初设_苏州白洋湾水厂改建工程可行性最新修改方案" xfId="1468"/>
    <cellStyle name="_概算0710_吴江市区域供水第二水厂(一期)工程初设_吴江市区域供水第二水厂(一期)工程初设_吴江市区域供水第二水厂(一期)工程初设_苏州白洋湾水厂改建工程可行性最新修改方案_沉井工程量-排放口" xfId="1469"/>
    <cellStyle name="_概算0710_吴江市区域供水第二水厂(一期)工程初设_吴江市区域供水第二水厂(一期)工程初设_吴江市区域供水第二水厂(一期)工程初设_苏州白洋湾水厂改建工程可行性最新修改方案_铜陵第五水厂工程工可201402" xfId="1470"/>
    <cellStyle name="_概算0710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1471"/>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 xfId="1472"/>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1473"/>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1474"/>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1475"/>
    <cellStyle name="_概算0710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1476"/>
    <cellStyle name="_概算0710_吴江市区域供水第二水厂(一期)工程初设_吴江市区域供水第二水厂(一期)工程初设_吴江市区域供水第二水厂(一期)工程初设_苏州白洋湾水厂改建工程可行性最新修改方案_徐州刘湾水厂工程可行性201203" xfId="1477"/>
    <cellStyle name="_概算0710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1478"/>
    <cellStyle name="_概算0710_吴江市区域供水第二水厂(一期)工程初设_吴江市区域供水第二水厂(一期)工程初设_吴江市区域供水第二水厂(一期)工程初设_苏州白洋湾水厂改建工程可行性最新修改方案_徐州刘湾水厂工程项建书" xfId="1479"/>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1480"/>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1481"/>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1482"/>
    <cellStyle name="_概算0710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483"/>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1484"/>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1485"/>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1486"/>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1487"/>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1488"/>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1489"/>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490"/>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491"/>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492"/>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493"/>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494"/>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1495"/>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1496"/>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1497"/>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498"/>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499"/>
    <cellStyle name="_概算0710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500"/>
    <cellStyle name="_概算0710_吴江市区域供水第二水厂(一期)工程初设_吴江市区域供水第二水厂(一期)工程初设_吴江市区域供水第二水厂(一期)工程初设_苏州白洋湾水厂改建工程可行性最新修改方案2" xfId="1501"/>
    <cellStyle name="_概算0710_吴江市区域供水第二水厂(一期)工程初设_吴江市区域供水第二水厂(一期)工程初设_吴江市区域供水第二水厂(一期)工程初设_苏州白洋湾水厂改建工程可行性最新修改方案2_沉井工程量-排放口" xfId="1502"/>
    <cellStyle name="_概算0710_吴江市区域供水第二水厂(一期)工程初设_吴江市区域供水第二水厂(一期)工程初设_吴江市区域供水第二水厂(一期)工程初设_苏州白洋湾水厂改建工程可行性最新修改方案2_铜陵第五水厂工程工可201402" xfId="1503"/>
    <cellStyle name="_概算0710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1504"/>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 xfId="1505"/>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1506"/>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1507"/>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1508"/>
    <cellStyle name="_概算0710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1509"/>
    <cellStyle name="_概算0710_吴江市区域供水第二水厂(一期)工程初设_吴江市区域供水第二水厂(一期)工程初设_吴江市区域供水第二水厂(一期)工程初设_苏州白洋湾水厂改建工程可行性最新修改方案2_徐州刘湾水厂工程可行性201203" xfId="1510"/>
    <cellStyle name="_概算0710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1511"/>
    <cellStyle name="_概算0710_吴江市区域供水第二水厂(一期)工程初设_吴江市区域供水第二水厂(一期)工程初设_吴江市区域供水第二水厂(一期)工程初设_苏州白洋湾水厂改建工程可行性最新修改方案2_徐州刘湾水厂工程项建书" xfId="1512"/>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1513"/>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1514"/>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1515"/>
    <cellStyle name="_概算0710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516"/>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1517"/>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1518"/>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1519"/>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1520"/>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1521"/>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1522"/>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523"/>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524"/>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525"/>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526"/>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527"/>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1528"/>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1529"/>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1530"/>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531"/>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532"/>
    <cellStyle name="_概算0710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533"/>
    <cellStyle name="_概算0710_吴江市区域供水第二水厂(一期)工程初设_吴江市区域供水第二水厂(一期)工程初设_吴江市区域供水第二水厂(一期)工程初设_苏州工业园区阳澄湖水厂工程初步设计201206" xfId="1534"/>
    <cellStyle name="_概算0710_吴江市区域供水第二水厂(一期)工程初设_吴江市区域供水第二水厂(一期)工程初设_吴江市区域供水第二水厂(一期)工程初设_苏州工业园区阳澄湖水厂工程可行性201108" xfId="1535"/>
    <cellStyle name="_概算0710_吴江市区域供水第二水厂(一期)工程初设_吴江市区域供水第二水厂(一期)工程初设_吴江市区域供水第二水厂(一期)工程初设_苏州工业园区阳澄湖水厂工程可行性201108_沉井工程量-排放口" xfId="1536"/>
    <cellStyle name="_概算0710_吴江市区域供水第二水厂(一期)工程初设_吴江市区域供水第二水厂(一期)工程初设_吴江市区域供水第二水厂(一期)工程初设_苏州工业园区阳澄湖水厂工程可行性201108_铜陵第五水厂工程工可201402" xfId="1537"/>
    <cellStyle name="_概算0710_吴江市区域供水第二水厂(一期)工程初设_吴江市区域供水第二水厂(一期)工程初设_吴江市区域供水第二水厂(一期)工程初设_苏州工业园区阳澄湖水厂工程可行性201108_铜陵第五水厂工程工可方案(泵房设在堤外)201402" xfId="1538"/>
    <cellStyle name="_概算0710_吴江市区域供水第二水厂(一期)工程初设_吴江市区域供水第二水厂(一期)工程初设_吴江市区域供水第二水厂(一期)工程初设_苏州工业园区阳澄湖水厂工程可行性201108_芜湖三山水厂工程初设201209" xfId="1539"/>
    <cellStyle name="_概算0710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1540"/>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1541"/>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1542"/>
    <cellStyle name="_概算0710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1543"/>
    <cellStyle name="_概算0710_吴江市区域供水第二水厂(一期)工程初设_吴江市区域供水第二水厂(一期)工程初设_吴江市区域供水第二水厂(一期)工程初设_苏州工业园区阳澄湖水厂工程可行性201108_徐州刘湾水厂工程可行性201203" xfId="1544"/>
    <cellStyle name="_概算0710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1545"/>
    <cellStyle name="_概算0710_吴江市区域供水第二水厂(一期)工程初设_吴江市区域供水第二水厂(一期)工程初设_吴江市区域供水第二水厂(一期)工程初设_苏州工业园区阳澄湖水厂工程可行性201108_徐州刘湾水厂工程项建书" xfId="1546"/>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1547"/>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1548"/>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1549"/>
    <cellStyle name="_概算0710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550"/>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1551"/>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1552"/>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1553"/>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1554"/>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1555"/>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1556"/>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557"/>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558"/>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559"/>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560"/>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561"/>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1562"/>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1563"/>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1564"/>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565"/>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566"/>
    <cellStyle name="_概算0710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567"/>
    <cellStyle name="_概算0710_吴江市区域供水第二水厂(一期)工程初设_吴江市区域供水第二水厂(一期)工程初设_吴江市区域供水第二水厂(一期)工程初设_铜陵第五水厂工程工可方案(泵房设在堤外)201402" xfId="1568"/>
    <cellStyle name="_概算0710_吴江市区域供水第二水厂(一期)工程初设_吴江市区域供水第二水厂(一期)工程初设_吴江市区域供水第二水厂(一期)工程初设_芜湖三山水厂工程初设201209" xfId="1569"/>
    <cellStyle name="_概算0710_吴江市区域供水第二水厂(一期)工程初设_吴江市区域供水第二水厂(一期)工程初设_吴江市区域供水第二水厂(一期)工程初设_芜湖三山水厂工程初设201209_铜陵第五水厂工程工可201402" xfId="1570"/>
    <cellStyle name="_概算0710_吴江市区域供水第二水厂(一期)工程初设_吴江市区域供水第二水厂(一期)工程初设_吴江市区域供水第二水厂(一期)工程初设_芜湖三山水厂工程初设201209_铜陵第五水厂工程工可方案(泵房设在堤外)201402" xfId="1571"/>
    <cellStyle name="_概算0710_吴江市区域供水第二水厂(一期)工程初设_吴江市区域供水第二水厂(一期)工程初设_吴江市区域供水第二水厂(一期)工程初设_吴江市庙港水厂深度处理工程方案" xfId="1572"/>
    <cellStyle name="_概算0710_吴江市区域供水第二水厂(一期)工程初设_吴江市区域供水第二水厂(一期)工程初设_吴江市区域供水第二水厂(一期)工程初设_吴江市庙港水厂深度处理工程方案_吴江市庙港水厂深度处理工程初设总表" xfId="1573"/>
    <cellStyle name="_概算0710_吴江市区域供水第二水厂(一期)工程初设_吴江市区域供水第二水厂(一期)工程初设_吴江市区域供水第二水厂(一期)工程初设_吴江市庙港水厂深度处理工程可行性" xfId="1574"/>
    <cellStyle name="_概算0710_吴江市区域供水第二水厂(一期)工程初设_吴江市区域供水第二水厂(一期)工程初设_吴江市区域供水第二水厂(一期)工程初设_吴江市区域供水第二水厂(一期)工程初设" xfId="1575"/>
    <cellStyle name="_概算0710_吴江市区域供水第二水厂(一期)工程初设_吴江市区域供水第二水厂(一期)工程初设_吴江市区域供水第二水厂(一期)工程初设_吴江市区域供水第二水厂(一期)工程初设_沉井工程量-排放口" xfId="1576"/>
    <cellStyle name="_概算0710_吴江市区域供水第二水厂(一期)工程初设_吴江市区域供水第二水厂(一期)工程初设_吴江市区域供水第二水厂(一期)工程初设_吴江市区域供水第二水厂(一期)工程初设_铜陵第五水厂工程工可201402" xfId="1577"/>
    <cellStyle name="_概算0710_吴江市区域供水第二水厂(一期)工程初设_吴江市区域供水第二水厂(一期)工程初设_吴江市区域供水第二水厂(一期)工程初设_吴江市区域供水第二水厂(一期)工程初设_铜陵第五水厂工程工可方案(泵房设在堤外)201402" xfId="1578"/>
    <cellStyle name="_概算0710_吴江市区域供水第二水厂(一期)工程初设_吴江市区域供水第二水厂(一期)工程初设_吴江市区域供水第二水厂(一期)工程初设_吴江市区域供水第二水厂(一期)工程初设_芜湖三山水厂工程初设201209" xfId="1579"/>
    <cellStyle name="_概算0710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1580"/>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1581"/>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1582"/>
    <cellStyle name="_概算0710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1583"/>
    <cellStyle name="_概算0710_吴江市区域供水第二水厂(一期)工程初设_吴江市区域供水第二水厂(一期)工程初设_吴江市区域供水第二水厂(一期)工程初设_吴江市区域供水第二水厂(一期)工程初设_徐州刘湾水厂工程可行性201203" xfId="1584"/>
    <cellStyle name="_概算0710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1585"/>
    <cellStyle name="_概算0710_吴江市区域供水第二水厂(一期)工程初设_吴江市区域供水第二水厂(一期)工程初设_吴江市区域供水第二水厂(一期)工程初设_吴江市区域供水第二水厂(一期)工程初设_徐州刘湾水厂工程项建书" xfId="1586"/>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 xfId="1587"/>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1588"/>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1589"/>
    <cellStyle name="_概算0710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590"/>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1591"/>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1592"/>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1593"/>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1594"/>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1595"/>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1596"/>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597"/>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1598"/>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599"/>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600"/>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01"/>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1602"/>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603"/>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1604"/>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605"/>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606"/>
    <cellStyle name="_概算0710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607"/>
    <cellStyle name="_概算0710_吴江市区域供水第二水厂(一期)工程初设_吴江市区域供水第二水厂(一期)工程初设_吴江市区域供水第二水厂(一期)工程初设_徐州刘湾水厂工程可行性201203" xfId="1608"/>
    <cellStyle name="_概算0710_吴江市区域供水第二水厂(一期)工程初设_吴江市区域供水第二水厂(一期)工程初设_吴江市区域供水第二水厂(一期)工程初设_徐州刘湾水厂工程可行性201203_徐州刘湾水厂工程可行性201203" xfId="1609"/>
    <cellStyle name="_概算0710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1610"/>
    <cellStyle name="_概算0710_吴江市区域供水第二水厂(一期)工程初设_吴江市区域供水第二水厂(一期)工程初设_吴江市区域供水第二水厂(一期)工程初设_徐州刘湾水厂工程项建书" xfId="1611"/>
    <cellStyle name="_概算0710_吴江市区域供水第二水厂(一期)工程初设_吴江市区域供水第二水厂(一期)工程初设_吴江市区域供水第二水厂(一期)工程初设_徐州刘湾水厂工程项建书(水厂部分一二期拆分)20111207" xfId="1612"/>
    <cellStyle name="_概算0710_吴江市区域供水第二水厂(一期)工程初设_吴江市区域供水第二水厂(一期)工程初设_吴江市区域供水第二水厂(一期)工程初设_徐州刘湾水厂工程项建书(水厂部分一二期拆分)20111207_徐州刘湾水厂工程可行性201203" xfId="1613"/>
    <cellStyle name="_概算0710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1614"/>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1615"/>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1616"/>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1617"/>
    <cellStyle name="_概算0710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618"/>
    <cellStyle name="_概算0710_吴江市区域供水第二水厂(一期)工程初设_吴江市区域供水第二水厂(一期)工程初设_吴江市区域供水第二水厂(一期)工程初设_徐州刘湾水厂工程项建书_徐州刘湾水厂工程可行性201203" xfId="1619"/>
    <cellStyle name="_概算0710_吴江市区域供水第二水厂(一期)工程初设_吴江市区域供水第二水厂(一期)工程初设_吴江市区域供水第二水厂(一期)工程初设_徐州刘湾水厂工程项建书_徐州刘湾水厂工程可行性201203_徐州刘湾水厂工程可行性201203" xfId="1620"/>
    <cellStyle name="_概算0710_吴江市区域供水第二水厂(一期)工程初设_吴江市区域供水第二水厂(一期)工程初设_吴江市区域供水第二水厂(一期)工程初设_徐州刘湾水厂工程项建书_徐州刘湾水厂工程项建书" xfId="1621"/>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 xfId="1622"/>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1623"/>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1624"/>
    <cellStyle name="_概算0710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1625"/>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 xfId="1626"/>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1627"/>
    <cellStyle name="_概算0710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1628"/>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 xfId="1629"/>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1630"/>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1631"/>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1632"/>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1633"/>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634"/>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635"/>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36"/>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1637"/>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1638"/>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1639"/>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1640"/>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641"/>
    <cellStyle name="_概算0710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642"/>
    <cellStyle name="_概算0710_吴江市区域供水第二水厂(一期)工程初设_吴江市区域供水第二水厂(一期)工程初设_徐州刘湾水厂工程可行性201203" xfId="1643"/>
    <cellStyle name="_概算0710_吴江市区域供水第二水厂(一期)工程初设_吴江市区域供水第二水厂(一期)工程初设_徐州刘湾水厂工程可行性201203_徐州刘湾水厂工程可行性201203" xfId="1644"/>
    <cellStyle name="_概算0710_吴江市区域供水第二水厂(一期)工程初设_吴江市区域供水第二水厂(一期)工程初设_徐州刘湾水厂工程项建书" xfId="1645"/>
    <cellStyle name="_概算0710_吴江市区域供水第二水厂(一期)工程初设_吴江市区域供水第二水厂(一期)工程初设_徐州刘湾水厂工程项建书(水厂取水泵站部分)20020210" xfId="1646"/>
    <cellStyle name="_概算0710_吴江市区域供水第二水厂(一期)工程初设_吴江市区域供水第二水厂(一期)工程初设_徐州刘湾水厂工程项建书(水厂取水泵站部分)20020210_徐州刘湾水厂工程可行性201203" xfId="1647"/>
    <cellStyle name="_概算0710_吴江市区域供水第二水厂(一期)工程初设_吴江市区域供水第二水厂(一期)工程初设_徐州刘湾水厂工程项建书(水厂取水泵站部分)20020210_徐州刘湾水厂工程可行性201203_徐州刘湾水厂工程可行性201203" xfId="1648"/>
    <cellStyle name="_概算0710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1649"/>
    <cellStyle name="_概算0710_吴江市区域供水第二水厂(一期)工程初设_吴江市区域供水第二水厂(一期)工程初设_徐州刘湾水厂工程项建书_徐州刘湾水厂工程可行性201203" xfId="1650"/>
    <cellStyle name="_概算0710_吴江市区域供水第二水厂(一期)工程初设_吴江市区域供水第二水厂(一期)工程初设_徐州刘湾水厂工程项建书_徐州刘湾水厂工程可行性201203_徐州刘湾水厂工程可行性201203" xfId="1651"/>
    <cellStyle name="_概算0710_吴江市区域供水第二水厂(一期)工程初设_吴江市区域供水第二水厂(一期)工程初设_徐州刘湾水厂工程项建书_徐州刘湾水厂工程可行性201203_徐州刘湾水厂工程可行性201203_徐州刘湾水厂工程可行性201203" xfId="1652"/>
    <cellStyle name="_概算0710_吴江市区域供水第二水厂(一期)工程初设_吴江市区域供水第二水厂(一期)工程初设_徐州刘湾水厂工程项建书_徐州刘湾水厂工程项建书" xfId="1653"/>
    <cellStyle name="_概算0710_吴江市区域供水第二水厂(一期)工程初设_吴江市区域供水第二水厂(一期)工程初设_徐州刘湾水厂工程项建书_徐州刘湾水厂工程项建书(水厂部分一二期拆分)20111207" xfId="1654"/>
    <cellStyle name="_概算0710_吴江市区域供水第二水厂(一期)工程初设_吴江市区域供水第二水厂(一期)工程初设_徐州刘湾水厂工程项建书_徐州刘湾水厂工程项建书(水厂部分一二期拆分)20111207_徐州刘湾水厂工程可行性201203" xfId="1655"/>
    <cellStyle name="_概算0710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1656"/>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 xfId="1657"/>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1658"/>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1659"/>
    <cellStyle name="_概算0710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60"/>
    <cellStyle name="_概算0710_吴江市区域供水第二水厂(一期)工程初设_吴江市区域供水第二水厂(一期)工程初设_徐州刘湾水厂工程项建书_徐州刘湾水厂工程项建书_徐州刘湾水厂工程可行性201203" xfId="1661"/>
    <cellStyle name="_概算0710_吴江市区域供水第二水厂(一期)工程初设_吴江市区域供水第二水厂(一期)工程初设_徐州刘湾水厂工程项建书_徐州刘湾水厂工程项建书_徐州刘湾水厂工程可行性201203_徐州刘湾水厂工程可行性201203" xfId="1662"/>
    <cellStyle name="_概算0710_吴江市区域供水第二水厂(一期)工程初设_吴江市区域供水第二水厂(一期)工程初设_徐州刘湾水厂工程项建书_徐州刘湾水厂工程项建书_徐州刘湾水厂工程项建书(水厂取水泵站部分)20020210" xfId="1663"/>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1664"/>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1665"/>
    <cellStyle name="_概算0710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1666"/>
    <cellStyle name="_概算0710_吴江市区域供水第二水厂(一期)工程初设_徐州刘湾水厂工程可行性201203" xfId="1667"/>
    <cellStyle name="_概算0710_吴江市区域供水第二水厂(一期)工程初设_徐州刘湾水厂工程可行性201203_徐州刘湾水厂工程可行性201203" xfId="1668"/>
    <cellStyle name="_概算0710_吴江市区域供水第二水厂(一期)工程初设_徐州刘湾水厂工程可行性201203_徐州刘湾水厂工程可行性201203_徐州刘湾水厂工程可行性201203" xfId="1669"/>
    <cellStyle name="_概算0710_吴江市区域供水第二水厂(一期)工程初设_徐州刘湾水厂工程项建书" xfId="1670"/>
    <cellStyle name="_概算0710_吴江市区域供水第二水厂(一期)工程初设_徐州刘湾水厂工程项建书(水厂部分一二期拆分)20111207" xfId="1671"/>
    <cellStyle name="_概算0710_吴江市区域供水第二水厂(一期)工程初设_徐州刘湾水厂工程项建书(水厂部分一二期拆分)20111207_徐州刘湾水厂工程可行性201203" xfId="1672"/>
    <cellStyle name="_概算0710_吴江市区域供水第二水厂(一期)工程初设_徐州刘湾水厂工程项建书(水厂部分一二期拆分)20111207_徐州刘湾水厂工程可行性201203_徐州刘湾水厂工程可行性201203" xfId="1673"/>
    <cellStyle name="_概算0710_吴江市区域供水第二水厂(一期)工程初设_徐州刘湾水厂工程项建书(水厂部分一二期拆分)20111207_徐州刘湾水厂工程项建书(水厂取水泵站部分)20020210" xfId="1674"/>
    <cellStyle name="_概算0710_吴江市区域供水第二水厂(一期)工程初设_徐州刘湾水厂工程项建书(水厂部分一二期拆分)20111207_徐州刘湾水厂工程项建书(水厂取水泵站部分)20020210_徐州刘湾水厂工程可行性201203" xfId="1675"/>
    <cellStyle name="_概算0710_吴江市区域供水第二水厂(一期)工程初设_徐州刘湾水厂工程项建书(水厂部分一二期拆分)20111207_徐州刘湾水厂工程项建书(水厂取水泵站部分)20020210_徐州刘湾水厂工程可行性201203_徐州刘湾水厂工程可行性201203" xfId="1676"/>
    <cellStyle name="_概算0710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1677"/>
    <cellStyle name="_概算0710_吴江市区域供水第二水厂(一期)工程初设_徐州刘湾水厂工程项建书_徐州刘湾水厂工程可行性201203" xfId="1678"/>
    <cellStyle name="_概算0710_吴江市区域供水第二水厂(一期)工程初设_徐州刘湾水厂工程项建书_徐州刘湾水厂工程可行性201203_徐州刘湾水厂工程可行性201203" xfId="1679"/>
    <cellStyle name="_概算0710_吴江市区域供水第二水厂(一期)工程初设_徐州刘湾水厂工程项建书_徐州刘湾水厂工程项建书" xfId="1680"/>
    <cellStyle name="_概算0710_吴江市区域供水第二水厂(一期)工程初设_徐州刘湾水厂工程项建书_徐州刘湾水厂工程项建书(水厂取水泵站部分)20020210" xfId="1681"/>
    <cellStyle name="_概算0710_吴江市区域供水第二水厂(一期)工程初设_徐州刘湾水厂工程项建书_徐州刘湾水厂工程项建书(水厂取水泵站部分)20020210_徐州刘湾水厂工程可行性201203" xfId="1682"/>
    <cellStyle name="_概算0710_吴江市区域供水第二水厂(一期)工程初设_徐州刘湾水厂工程项建书_徐州刘湾水厂工程项建书(水厂取水泵站部分)20020210_徐州刘湾水厂工程可行性201203_徐州刘湾水厂工程可行性201203" xfId="1683"/>
    <cellStyle name="_概算0710_吴江市区域供水第二水厂(一期)工程初设_徐州刘湾水厂工程项建书_徐州刘湾水厂工程项建书(水厂取水泵站部分)20020210_徐州刘湾水厂工程可行性201203_徐州刘湾水厂工程可行性201203_徐州刘湾水厂工程可行性201203" xfId="1684"/>
    <cellStyle name="_概算0710_吴江市区域供水第二水厂(一期)工程初设_徐州刘湾水厂工程项建书_徐州刘湾水厂工程项建书_徐州刘湾水厂工程可行性201203" xfId="1685"/>
    <cellStyle name="_概算0710_吴江市区域供水第二水厂(一期)工程初设_徐州刘湾水厂工程项建书_徐州刘湾水厂工程项建书_徐州刘湾水厂工程可行性201203_徐州刘湾水厂工程可行性201203" xfId="1686"/>
    <cellStyle name="_概算0710_吴江市区域供水第二水厂(一期)工程初设_徐州刘湾水厂工程项建书_徐州刘湾水厂工程项建书_徐州刘湾水厂工程可行性201203_徐州刘湾水厂工程可行性201203_徐州刘湾水厂工程可行性201203" xfId="1687"/>
    <cellStyle name="_概算0710_吴江市区域供水第二水厂(一期)工程初设_徐州刘湾水厂工程项建书_徐州刘湾水厂工程项建书_徐州刘湾水厂工程项建书" xfId="1688"/>
    <cellStyle name="_概算0710_吴江市区域供水第二水厂(一期)工程初设_徐州刘湾水厂工程项建书_徐州刘湾水厂工程项建书_徐州刘湾水厂工程项建书(水厂部分一二期拆分)20111207" xfId="1689"/>
    <cellStyle name="_概算0710_吴江市区域供水第二水厂(一期)工程初设_徐州刘湾水厂工程项建书_徐州刘湾水厂工程项建书_徐州刘湾水厂工程项建书(水厂部分一二期拆分)20111207_徐州刘湾水厂工程可行性201203" xfId="1690"/>
    <cellStyle name="_概算0710_吴江市区域供水第二水厂(一期)工程初设_徐州刘湾水厂工程项建书_徐州刘湾水厂工程项建书_徐州刘湾水厂工程项建书(水厂部分一二期拆分)20111207_徐州刘湾水厂工程可行性201203_徐州刘湾水厂工程可行性201203" xfId="1691"/>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 xfId="1692"/>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1693"/>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1694"/>
    <cellStyle name="_概算0710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695"/>
    <cellStyle name="_概算0710_吴江市区域供水第二水厂(一期)工程初设_徐州刘湾水厂工程项建书_徐州刘湾水厂工程项建书_徐州刘湾水厂工程项建书_徐州刘湾水厂工程可行性201203" xfId="1696"/>
    <cellStyle name="_概算0710_吴江市区域供水第二水厂(一期)工程初设_徐州刘湾水厂工程项建书_徐州刘湾水厂工程项建书_徐州刘湾水厂工程项建书_徐州刘湾水厂工程可行性201203_徐州刘湾水厂工程可行性201203" xfId="1697"/>
    <cellStyle name="_概算0710_吴江市区域供水第二水厂(一期)工程初设_徐州刘湾水厂工程项建书_徐州刘湾水厂工程项建书_徐州刘湾水厂工程项建书_徐州刘湾水厂工程项建书(水厂取水泵站部分)20020210" xfId="1698"/>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 xfId="1699"/>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1700"/>
    <cellStyle name="_概算0710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1701"/>
    <cellStyle name="_概算0710_徐州刘湾水厂工程可行性201203" xfId="1702"/>
    <cellStyle name="_概算0710_徐州刘湾水厂工程可行性201203_徐州刘湾水厂工程可行性201203" xfId="1703"/>
    <cellStyle name="_概算0710_徐州刘湾水厂工程项建书" xfId="1704"/>
    <cellStyle name="_概算0710_徐州刘湾水厂工程项建书(水厂取水泵站部分)20020210" xfId="1705"/>
    <cellStyle name="_概算0710_徐州刘湾水厂工程项建书(水厂取水泵站部分)20020210_徐州刘湾水厂工程可行性201203" xfId="1706"/>
    <cellStyle name="_概算0710_徐州刘湾水厂工程项建书(水厂取水泵站部分)20020210_徐州刘湾水厂工程可行性201203_徐州刘湾水厂工程可行性201203" xfId="1707"/>
    <cellStyle name="_概算0710_徐州刘湾水厂工程项建书(水厂取水泵站部分)20020210_徐州刘湾水厂工程可行性201203_徐州刘湾水厂工程可行性201203_徐州刘湾水厂工程可行性201203" xfId="1708"/>
    <cellStyle name="_概算0710_徐州刘湾水厂工程项建书_徐州刘湾水厂工程可行性201203" xfId="1709"/>
    <cellStyle name="_概算0710_徐州刘湾水厂工程项建书_徐州刘湾水厂工程可行性201203_徐州刘湾水厂工程可行性201203" xfId="1710"/>
    <cellStyle name="_概算0710_徐州刘湾水厂工程项建书_徐州刘湾水厂工程可行性201203_徐州刘湾水厂工程可行性201203_徐州刘湾水厂工程可行性201203" xfId="1711"/>
    <cellStyle name="_概算0710_徐州刘湾水厂工程项建书_徐州刘湾水厂工程项建书" xfId="1712"/>
    <cellStyle name="_概算0710_徐州刘湾水厂工程项建书_徐州刘湾水厂工程项建书(水厂部分一二期拆分)20111207" xfId="1713"/>
    <cellStyle name="_概算0710_徐州刘湾水厂工程项建书_徐州刘湾水厂工程项建书(水厂部分一二期拆分)20111207_徐州刘湾水厂工程可行性201203" xfId="1714"/>
    <cellStyle name="_概算0710_徐州刘湾水厂工程项建书_徐州刘湾水厂工程项建书(水厂部分一二期拆分)20111207_徐州刘湾水厂工程可行性201203_徐州刘湾水厂工程可行性201203" xfId="1715"/>
    <cellStyle name="_概算0710_徐州刘湾水厂工程项建书_徐州刘湾水厂工程项建书(水厂部分一二期拆分)20111207_徐州刘湾水厂工程项建书(水厂取水泵站部分)20020210" xfId="1716"/>
    <cellStyle name="_概算0710_徐州刘湾水厂工程项建书_徐州刘湾水厂工程项建书(水厂部分一二期拆分)20111207_徐州刘湾水厂工程项建书(水厂取水泵站部分)20020210_徐州刘湾水厂工程可行性201203" xfId="1717"/>
    <cellStyle name="_概算0710_徐州刘湾水厂工程项建书_徐州刘湾水厂工程项建书(水厂部分一二期拆分)20111207_徐州刘湾水厂工程项建书(水厂取水泵站部分)20020210_徐州刘湾水厂工程可行性201203_徐州刘湾水厂工程可行性201203" xfId="1718"/>
    <cellStyle name="_概算0710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719"/>
    <cellStyle name="_概算0710_徐州刘湾水厂工程项建书_徐州刘湾水厂工程项建书_徐州刘湾水厂工程可行性201203" xfId="1720"/>
    <cellStyle name="_概算0710_徐州刘湾水厂工程项建书_徐州刘湾水厂工程项建书_徐州刘湾水厂工程可行性201203_徐州刘湾水厂工程可行性201203" xfId="1721"/>
    <cellStyle name="_概算0710_徐州刘湾水厂工程项建书_徐州刘湾水厂工程项建书_徐州刘湾水厂工程项建书(水厂取水泵站部分)20020210" xfId="1722"/>
    <cellStyle name="_概算0710_徐州刘湾水厂工程项建书_徐州刘湾水厂工程项建书_徐州刘湾水厂工程项建书(水厂取水泵站部分)20020210_徐州刘湾水厂工程可行性201203" xfId="1723"/>
    <cellStyle name="_概算0710_徐州刘湾水厂工程项建书_徐州刘湾水厂工程项建书_徐州刘湾水厂工程项建书(水厂取水泵站部分)20020210_徐州刘湾水厂工程可行性201203_徐州刘湾水厂工程可行性201203" xfId="1724"/>
    <cellStyle name="_概算0710_徐州刘湾水厂工程项建书_徐州刘湾水厂工程项建书_徐州刘湾水厂工程项建书(水厂取水泵站部分)20020210_徐州刘湾水厂工程可行性201203_徐州刘湾水厂工程可行性201203_徐州刘湾水厂工程可行性201203" xfId="1725"/>
    <cellStyle name="_概算090721" xfId="1726"/>
    <cellStyle name="_概算091117" xfId="1727"/>
    <cellStyle name="_钢配件" xfId="1728"/>
    <cellStyle name="_给排水" xfId="1729"/>
    <cellStyle name="_给水工程财务评价(qq版)" xfId="1730"/>
    <cellStyle name="_给水工程财务评价123" xfId="1731"/>
    <cellStyle name="_工程投资估算20100427" xfId="1732"/>
    <cellStyle name="_工可估算(评审后调整）20100505" xfId="1733"/>
    <cellStyle name="_估算" xfId="1734"/>
    <cellStyle name="_估算_拆分概算20120315" xfId="1735"/>
    <cellStyle name="_估算_概算20111227" xfId="1736"/>
    <cellStyle name="_估算_估算20110704（修改）" xfId="1737"/>
    <cellStyle name="_估算表0522" xfId="1738"/>
    <cellStyle name="_管道计算" xfId="1739"/>
    <cellStyle name="_管线单价" xfId="1740"/>
    <cellStyle name="_广州市兴丰生活垃圾卫生填埋场第六区工程总表2010.11.15初稿" xfId="1741"/>
    <cellStyle name="_杭州工程量计算1" xfId="1742"/>
    <cellStyle name="_航空港初设（评审调整）" xfId="1743"/>
    <cellStyle name="_航空港二水厂工可(校对2015.3.26)" xfId="1744"/>
    <cellStyle name="_湖州水厂投标" xfId="1745"/>
    <cellStyle name="_浑南二期管廊初设" xfId="1746"/>
    <cellStyle name="_浑南二期管廊初设（评审调整）" xfId="1747"/>
    <cellStyle name="_棘洪滩二期初设" xfId="1748"/>
    <cellStyle name="_嘉善幽澜水厂一期、二期改造工程-总表 (方案二)-校对" xfId="1749"/>
    <cellStyle name="_江浦水厂" xfId="1750"/>
    <cellStyle name="_金海水厂二期可行性" xfId="1751"/>
    <cellStyle name="_金山工程量计算(张晓波）" xfId="1752"/>
    <cellStyle name="_金山一期自控改造方案估算20110630" xfId="1753"/>
    <cellStyle name="_扩建工程" xfId="1754"/>
    <cellStyle name="_老港固体废弃物综合利用基地内河工程工可估算总表" xfId="1755"/>
    <cellStyle name="_刘湾初设" xfId="1756"/>
    <cellStyle name="_闽行新桥概算初设" xfId="1757"/>
    <cellStyle name="_闽行新桥概算初设_沉井工程量-排放口" xfId="1758"/>
    <cellStyle name="_闽行新桥概算初设_铜陵第五水厂工程工可201402" xfId="1759"/>
    <cellStyle name="_闽行新桥概算初设_铜陵第五水厂工程工可方案(泵房设在堤外)201402" xfId="1760"/>
    <cellStyle name="_闽行新桥概算初设_芜湖三山水厂工程初设201209" xfId="1761"/>
    <cellStyle name="_闽行新桥概算初设_芜湖三山水厂工程初设201209_铜陵第五水厂工程工可方案(泵房设在堤外)201402" xfId="1762"/>
    <cellStyle name="_闽行新桥概算初设_芜湖三山水厂工程初设201209_芜湖三山水厂工程初设201209" xfId="1763"/>
    <cellStyle name="_闽行新桥概算初设_芜湖三山水厂工程初设201209_芜湖三山水厂工程初设201209_铜陵第五水厂工程工可201402" xfId="1764"/>
    <cellStyle name="_闽行新桥概算初设_芜湖三山水厂工程初设201209_芜湖三山水厂工程初设201209_铜陵第五水厂工程工可方案(泵房设在堤外)201402" xfId="1765"/>
    <cellStyle name="_闽行新桥概算初设_吴江市庙港水厂深度处理工程初设总表" xfId="1766"/>
    <cellStyle name="_闽行新桥概算初设_吴江市区域供水第二水厂(一期)工程初设" xfId="1767"/>
    <cellStyle name="_闽行新桥概算初设_吴江市区域供水第二水厂(一期)工程初设_安亭水厂扩建工程可行性201411" xfId="1768"/>
    <cellStyle name="_闽行新桥概算初设_吴江市区域供水第二水厂(一期)工程初设_沉井工程量-排放口" xfId="1769"/>
    <cellStyle name="_闽行新桥概算初设_吴江市区域供水第二水厂(一期)工程初设_丹阳善巷水厂工程项建书201108" xfId="1770"/>
    <cellStyle name="_闽行新桥概算初设_吴江市区域供水第二水厂(一期)工程初设_奉贤区海湾镇供水集约化一期工程初设" xfId="1771"/>
    <cellStyle name="_闽行新桥概算初设_吴江市区域供水第二水厂(一期)工程初设_广东省建设工程造价咨询服务收费标准表" xfId="1772"/>
    <cellStyle name="_闽行新桥概算初设_吴江市区域供水第二水厂(一期)工程初设_杭州大清谷至九溪输水管道工程项建书201405" xfId="1773"/>
    <cellStyle name="_闽行新桥概算初设_吴江市区域供水第二水厂(一期)工程初设_嘉定供水管初设201304" xfId="1774"/>
    <cellStyle name="_闽行新桥概算初设_吴江市区域供水第二水厂(一期)工程初设_嘉定供水管初设201304审批后修改" xfId="1775"/>
    <cellStyle name="_闽行新桥概算初设_吴江市区域供水第二水厂(一期)工程初设_取水泵房" xfId="1776"/>
    <cellStyle name="_闽行新桥概算初设_吴江市区域供水第二水厂(一期)工程初设_上海工程范例" xfId="1777"/>
    <cellStyle name="_闽行新桥概算初设_吴江市区域供水第二水厂(一期)工程初设_上海工程范例_沉井工程量-排放口" xfId="1778"/>
    <cellStyle name="_闽行新桥概算初设_吴江市区域供水第二水厂(一期)工程初设_苏州白洋湾水厂改建工程可行性201107" xfId="1779"/>
    <cellStyle name="_闽行新桥概算初设_吴江市区域供水第二水厂(一期)工程初设_苏州白洋湾水厂改建工程可行性201107_沉井工程量-排放口" xfId="1780"/>
    <cellStyle name="_闽行新桥概算初设_吴江市区域供水第二水厂(一期)工程初设_苏州白洋湾水厂改建工程可行性201107_铜陵第五水厂工程工可201402" xfId="1781"/>
    <cellStyle name="_闽行新桥概算初设_吴江市区域供水第二水厂(一期)工程初设_苏州白洋湾水厂改建工程可行性201107_铜陵第五水厂工程工可方案(泵房设在堤外)201402" xfId="1782"/>
    <cellStyle name="_闽行新桥概算初设_吴江市区域供水第二水厂(一期)工程初设_苏州白洋湾水厂改建工程可行性201107_芜湖三山水厂工程初设201209" xfId="1783"/>
    <cellStyle name="_闽行新桥概算初设_吴江市区域供水第二水厂(一期)工程初设_苏州白洋湾水厂改建工程可行性201107_芜湖三山水厂工程初设201209_铜陵第五水厂工程工可方案(泵房设在堤外)201402" xfId="1784"/>
    <cellStyle name="_闽行新桥概算初设_吴江市区域供水第二水厂(一期)工程初设_苏州白洋湾水厂改建工程可行性201107_芜湖三山水厂工程初设201209_芜湖三山水厂工程初设201209" xfId="1785"/>
    <cellStyle name="_闽行新桥概算初设_吴江市区域供水第二水厂(一期)工程初设_苏州白洋湾水厂改建工程可行性201107_芜湖三山水厂工程初设201209_芜湖三山水厂工程初设201209_铜陵第五水厂工程工可201402" xfId="1786"/>
    <cellStyle name="_闽行新桥概算初设_吴江市区域供水第二水厂(一期)工程初设_苏州白洋湾水厂改建工程可行性201107_芜湖三山水厂工程初设201209_芜湖三山水厂工程初设201209_铜陵第五水厂工程工可方案(泵房设在堤外)201402" xfId="1787"/>
    <cellStyle name="_闽行新桥概算初设_吴江市区域供水第二水厂(一期)工程初设_苏州白洋湾水厂改建工程可行性201107_徐州刘湾水厂工程可行性201203" xfId="1788"/>
    <cellStyle name="_闽行新桥概算初设_吴江市区域供水第二水厂(一期)工程初设_苏州白洋湾水厂改建工程可行性201107_徐州刘湾水厂工程可行性201203_徐州刘湾水厂工程可行性201203" xfId="1789"/>
    <cellStyle name="_闽行新桥概算初设_吴江市区域供水第二水厂(一期)工程初设_苏州白洋湾水厂改建工程可行性201107_徐州刘湾水厂工程项建书" xfId="1790"/>
    <cellStyle name="_闽行新桥概算初设_吴江市区域供水第二水厂(一期)工程初设_苏州白洋湾水厂改建工程可行性201107_徐州刘湾水厂工程项建书(水厂取水泵站部分)20020210" xfId="1791"/>
    <cellStyle name="_闽行新桥概算初设_吴江市区域供水第二水厂(一期)工程初设_苏州白洋湾水厂改建工程可行性201107_徐州刘湾水厂工程项建书(水厂取水泵站部分)20020210_徐州刘湾水厂工程可行性201203" xfId="1792"/>
    <cellStyle name="_闽行新桥概算初设_吴江市区域供水第二水厂(一期)工程初设_苏州白洋湾水厂改建工程可行性201107_徐州刘湾水厂工程项建书(水厂取水泵站部分)20020210_徐州刘湾水厂工程可行性201203_徐州刘湾水厂工程可行性201203" xfId="1793"/>
    <cellStyle name="_闽行新桥概算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794"/>
    <cellStyle name="_闽行新桥概算初设_吴江市区域供水第二水厂(一期)工程初设_苏州白洋湾水厂改建工程可行性201107_徐州刘湾水厂工程项建书_徐州刘湾水厂工程可行性201203" xfId="1795"/>
    <cellStyle name="_闽行新桥概算初设_吴江市区域供水第二水厂(一期)工程初设_苏州白洋湾水厂改建工程可行性201107_徐州刘湾水厂工程项建书_徐州刘湾水厂工程可行性201203_徐州刘湾水厂工程可行性201203" xfId="1796"/>
    <cellStyle name="_闽行新桥概算初设_吴江市区域供水第二水厂(一期)工程初设_苏州白洋湾水厂改建工程可行性201107_徐州刘湾水厂工程项建书_徐州刘湾水厂工程可行性201203_徐州刘湾水厂工程可行性201203_徐州刘湾水厂工程可行性201203" xfId="1797"/>
    <cellStyle name="_闽行新桥概算初设_吴江市区域供水第二水厂(一期)工程初设_苏州白洋湾水厂改建工程可行性201107_徐州刘湾水厂工程项建书_徐州刘湾水厂工程项建书" xfId="1798"/>
    <cellStyle name="_闽行新桥概算初设_吴江市区域供水第二水厂(一期)工程初设_苏州白洋湾水厂改建工程可行性201107_徐州刘湾水厂工程项建书_徐州刘湾水厂工程项建书(水厂部分一二期拆分)20111207" xfId="1799"/>
    <cellStyle name="_闽行新桥概算初设_吴江市区域供水第二水厂(一期)工程初设_苏州白洋湾水厂改建工程可行性201107_徐州刘湾水厂工程项建书_徐州刘湾水厂工程项建书(水厂部分一二期拆分)20111207_徐州刘湾水厂工程可行性201203" xfId="1800"/>
    <cellStyle name="_闽行新桥概算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801"/>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802"/>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803"/>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804"/>
    <cellStyle name="_闽行新桥概算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05"/>
    <cellStyle name="_闽行新桥概算初设_吴江市区域供水第二水厂(一期)工程初设_苏州白洋湾水厂改建工程可行性201107_徐州刘湾水厂工程项建书_徐州刘湾水厂工程项建书_徐州刘湾水厂工程可行性201203" xfId="1806"/>
    <cellStyle name="_闽行新桥概算初设_吴江市区域供水第二水厂(一期)工程初设_苏州白洋湾水厂改建工程可行性201107_徐州刘湾水厂工程项建书_徐州刘湾水厂工程项建书_徐州刘湾水厂工程可行性201203_徐州刘湾水厂工程可行性201203" xfId="1807"/>
    <cellStyle name="_闽行新桥概算初设_吴江市区域供水第二水厂(一期)工程初设_苏州白洋湾水厂改建工程可行性201107_徐州刘湾水厂工程项建书_徐州刘湾水厂工程项建书_徐州刘湾水厂工程项建书(水厂取水泵站部分)20020210" xfId="1808"/>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809"/>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810"/>
    <cellStyle name="_闽行新桥概算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811"/>
    <cellStyle name="_闽行新桥概算初设_吴江市区域供水第二水厂(一期)工程初设_苏州白洋湾水厂改建工程可行性最新修改方案" xfId="1812"/>
    <cellStyle name="_闽行新桥概算初设_吴江市区域供水第二水厂(一期)工程初设_苏州白洋湾水厂改建工程可行性最新修改方案_沉井工程量-排放口" xfId="1813"/>
    <cellStyle name="_闽行新桥概算初设_吴江市区域供水第二水厂(一期)工程初设_苏州白洋湾水厂改建工程可行性最新修改方案_铜陵第五水厂工程工可201402" xfId="1814"/>
    <cellStyle name="_闽行新桥概算初设_吴江市区域供水第二水厂(一期)工程初设_苏州白洋湾水厂改建工程可行性最新修改方案_铜陵第五水厂工程工可方案(泵房设在堤外)201402" xfId="1815"/>
    <cellStyle name="_闽行新桥概算初设_吴江市区域供水第二水厂(一期)工程初设_苏州白洋湾水厂改建工程可行性最新修改方案_芜湖三山水厂工程初设201209" xfId="1816"/>
    <cellStyle name="_闽行新桥概算初设_吴江市区域供水第二水厂(一期)工程初设_苏州白洋湾水厂改建工程可行性最新修改方案_芜湖三山水厂工程初设201209_铜陵第五水厂工程工可方案(泵房设在堤外)201402" xfId="1817"/>
    <cellStyle name="_闽行新桥概算初设_吴江市区域供水第二水厂(一期)工程初设_苏州白洋湾水厂改建工程可行性最新修改方案_芜湖三山水厂工程初设201209_芜湖三山水厂工程初设201209" xfId="1818"/>
    <cellStyle name="_闽行新桥概算初设_吴江市区域供水第二水厂(一期)工程初设_苏州白洋湾水厂改建工程可行性最新修改方案_芜湖三山水厂工程初设201209_芜湖三山水厂工程初设201209_铜陵第五水厂工程工可201402" xfId="1819"/>
    <cellStyle name="_闽行新桥概算初设_吴江市区域供水第二水厂(一期)工程初设_苏州白洋湾水厂改建工程可行性最新修改方案_芜湖三山水厂工程初设201209_芜湖三山水厂工程初设201209_铜陵第五水厂工程工可方案(泵房设在堤外)201402" xfId="1820"/>
    <cellStyle name="_闽行新桥概算初设_吴江市区域供水第二水厂(一期)工程初设_苏州白洋湾水厂改建工程可行性最新修改方案_徐州刘湾水厂工程可行性201203" xfId="1821"/>
    <cellStyle name="_闽行新桥概算初设_吴江市区域供水第二水厂(一期)工程初设_苏州白洋湾水厂改建工程可行性最新修改方案_徐州刘湾水厂工程可行性201203_徐州刘湾水厂工程可行性201203" xfId="1822"/>
    <cellStyle name="_闽行新桥概算初设_吴江市区域供水第二水厂(一期)工程初设_苏州白洋湾水厂改建工程可行性最新修改方案_徐州刘湾水厂工程项建书" xfId="1823"/>
    <cellStyle name="_闽行新桥概算初设_吴江市区域供水第二水厂(一期)工程初设_苏州白洋湾水厂改建工程可行性最新修改方案_徐州刘湾水厂工程项建书(水厂取水泵站部分)20020210" xfId="1824"/>
    <cellStyle name="_闽行新桥概算初设_吴江市区域供水第二水厂(一期)工程初设_苏州白洋湾水厂改建工程可行性最新修改方案_徐州刘湾水厂工程项建书(水厂取水泵站部分)20020210_徐州刘湾水厂工程可行性201203" xfId="1825"/>
    <cellStyle name="_闽行新桥概算初设_吴江市区域供水第二水厂(一期)工程初设_苏州白洋湾水厂改建工程可行性最新修改方案_徐州刘湾水厂工程项建书(水厂取水泵站部分)20020210_徐州刘湾水厂工程可行性201203_徐州刘湾水厂工程可行性201203" xfId="1826"/>
    <cellStyle name="_闽行新桥概算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827"/>
    <cellStyle name="_闽行新桥概算初设_吴江市区域供水第二水厂(一期)工程初设_苏州白洋湾水厂改建工程可行性最新修改方案_徐州刘湾水厂工程项建书_徐州刘湾水厂工程可行性201203" xfId="1828"/>
    <cellStyle name="_闽行新桥概算初设_吴江市区域供水第二水厂(一期)工程初设_苏州白洋湾水厂改建工程可行性最新修改方案_徐州刘湾水厂工程项建书_徐州刘湾水厂工程可行性201203_徐州刘湾水厂工程可行性201203" xfId="1829"/>
    <cellStyle name="_闽行新桥概算初设_吴江市区域供水第二水厂(一期)工程初设_苏州白洋湾水厂改建工程可行性最新修改方案_徐州刘湾水厂工程项建书_徐州刘湾水厂工程可行性201203_徐州刘湾水厂工程可行性201203_徐州刘湾水厂工程可行性201203" xfId="1830"/>
    <cellStyle name="_闽行新桥概算初设_吴江市区域供水第二水厂(一期)工程初设_苏州白洋湾水厂改建工程可行性最新修改方案_徐州刘湾水厂工程项建书_徐州刘湾水厂工程项建书" xfId="1831"/>
    <cellStyle name="_闽行新桥概算初设_吴江市区域供水第二水厂(一期)工程初设_苏州白洋湾水厂改建工程可行性最新修改方案_徐州刘湾水厂工程项建书_徐州刘湾水厂工程项建书(水厂部分一二期拆分)20111207" xfId="1832"/>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可行性201203" xfId="1833"/>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834"/>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835"/>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836"/>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837"/>
    <cellStyle name="_闽行新桥概算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38"/>
    <cellStyle name="_闽行新桥概算初设_吴江市区域供水第二水厂(一期)工程初设_苏州白洋湾水厂改建工程可行性最新修改方案_徐州刘湾水厂工程项建书_徐州刘湾水厂工程项建书_徐州刘湾水厂工程可行性201203" xfId="1839"/>
    <cellStyle name="_闽行新桥概算初设_吴江市区域供水第二水厂(一期)工程初设_苏州白洋湾水厂改建工程可行性最新修改方案_徐州刘湾水厂工程项建书_徐州刘湾水厂工程项建书_徐州刘湾水厂工程可行性201203_徐州刘湾水厂工程可行性201203" xfId="1840"/>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 xfId="1841"/>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1842"/>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1843"/>
    <cellStyle name="_闽行新桥概算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1844"/>
    <cellStyle name="_闽行新桥概算初设_吴江市区域供水第二水厂(一期)工程初设_苏州白洋湾水厂改建工程可行性最新修改方案2" xfId="1845"/>
    <cellStyle name="_闽行新桥概算初设_吴江市区域供水第二水厂(一期)工程初设_苏州白洋湾水厂改建工程可行性最新修改方案2_沉井工程量-排放口" xfId="1846"/>
    <cellStyle name="_闽行新桥概算初设_吴江市区域供水第二水厂(一期)工程初设_苏州白洋湾水厂改建工程可行性最新修改方案2_铜陵第五水厂工程工可201402" xfId="1847"/>
    <cellStyle name="_闽行新桥概算初设_吴江市区域供水第二水厂(一期)工程初设_苏州白洋湾水厂改建工程可行性最新修改方案2_铜陵第五水厂工程工可方案(泵房设在堤外)201402" xfId="1848"/>
    <cellStyle name="_闽行新桥概算初设_吴江市区域供水第二水厂(一期)工程初设_苏州白洋湾水厂改建工程可行性最新修改方案2_芜湖三山水厂工程初设201209" xfId="1849"/>
    <cellStyle name="_闽行新桥概算初设_吴江市区域供水第二水厂(一期)工程初设_苏州白洋湾水厂改建工程可行性最新修改方案2_芜湖三山水厂工程初设201209_铜陵第五水厂工程工可方案(泵房设在堤外)201402" xfId="1850"/>
    <cellStyle name="_闽行新桥概算初设_吴江市区域供水第二水厂(一期)工程初设_苏州白洋湾水厂改建工程可行性最新修改方案2_芜湖三山水厂工程初设201209_芜湖三山水厂工程初设201209" xfId="1851"/>
    <cellStyle name="_闽行新桥概算初设_吴江市区域供水第二水厂(一期)工程初设_苏州白洋湾水厂改建工程可行性最新修改方案2_芜湖三山水厂工程初设201209_芜湖三山水厂工程初设201209_铜陵第五水厂工程工可201402" xfId="1852"/>
    <cellStyle name="_闽行新桥概算初设_吴江市区域供水第二水厂(一期)工程初设_苏州白洋湾水厂改建工程可行性最新修改方案2_芜湖三山水厂工程初设201209_芜湖三山水厂工程初设201209_铜陵第五水厂工程工可方案(泵房设在堤外)201402" xfId="1853"/>
    <cellStyle name="_闽行新桥概算初设_吴江市区域供水第二水厂(一期)工程初设_苏州白洋湾水厂改建工程可行性最新修改方案2_徐州刘湾水厂工程可行性201203" xfId="1854"/>
    <cellStyle name="_闽行新桥概算初设_吴江市区域供水第二水厂(一期)工程初设_苏州白洋湾水厂改建工程可行性最新修改方案2_徐州刘湾水厂工程可行性201203_徐州刘湾水厂工程可行性201203" xfId="1855"/>
    <cellStyle name="_闽行新桥概算初设_吴江市区域供水第二水厂(一期)工程初设_苏州白洋湾水厂改建工程可行性最新修改方案2_徐州刘湾水厂工程项建书" xfId="1856"/>
    <cellStyle name="_闽行新桥概算初设_吴江市区域供水第二水厂(一期)工程初设_苏州白洋湾水厂改建工程可行性最新修改方案2_徐州刘湾水厂工程项建书(水厂取水泵站部分)20020210" xfId="1857"/>
    <cellStyle name="_闽行新桥概算初设_吴江市区域供水第二水厂(一期)工程初设_苏州白洋湾水厂改建工程可行性最新修改方案2_徐州刘湾水厂工程项建书(水厂取水泵站部分)20020210_徐州刘湾水厂工程可行性201203" xfId="1858"/>
    <cellStyle name="_闽行新桥概算初设_吴江市区域供水第二水厂(一期)工程初设_苏州白洋湾水厂改建工程可行性最新修改方案2_徐州刘湾水厂工程项建书(水厂取水泵站部分)20020210_徐州刘湾水厂工程可行性201203_徐州刘湾水厂工程可行性201203" xfId="1859"/>
    <cellStyle name="_闽行新桥概算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1860"/>
    <cellStyle name="_闽行新桥概算初设_吴江市区域供水第二水厂(一期)工程初设_苏州白洋湾水厂改建工程可行性最新修改方案2_徐州刘湾水厂工程项建书_徐州刘湾水厂工程可行性201203" xfId="1861"/>
    <cellStyle name="_闽行新桥概算初设_吴江市区域供水第二水厂(一期)工程初设_苏州白洋湾水厂改建工程可行性最新修改方案2_徐州刘湾水厂工程项建书_徐州刘湾水厂工程可行性201203_徐州刘湾水厂工程可行性201203" xfId="1862"/>
    <cellStyle name="_闽行新桥概算初设_吴江市区域供水第二水厂(一期)工程初设_苏州白洋湾水厂改建工程可行性最新修改方案2_徐州刘湾水厂工程项建书_徐州刘湾水厂工程可行性201203_徐州刘湾水厂工程可行性201203_徐州刘湾水厂工程可行性201203" xfId="1863"/>
    <cellStyle name="_闽行新桥概算初设_吴江市区域供水第二水厂(一期)工程初设_苏州白洋湾水厂改建工程可行性最新修改方案2_徐州刘湾水厂工程项建书_徐州刘湾水厂工程项建书" xfId="1864"/>
    <cellStyle name="_闽行新桥概算初设_吴江市区域供水第二水厂(一期)工程初设_苏州白洋湾水厂改建工程可行性最新修改方案2_徐州刘湾水厂工程项建书_徐州刘湾水厂工程项建书(水厂部分一二期拆分)20111207" xfId="1865"/>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可行性201203" xfId="1866"/>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1867"/>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1868"/>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1869"/>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1870"/>
    <cellStyle name="_闽行新桥概算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871"/>
    <cellStyle name="_闽行新桥概算初设_吴江市区域供水第二水厂(一期)工程初设_苏州白洋湾水厂改建工程可行性最新修改方案2_徐州刘湾水厂工程项建书_徐州刘湾水厂工程项建书_徐州刘湾水厂工程可行性201203" xfId="1872"/>
    <cellStyle name="_闽行新桥概算初设_吴江市区域供水第二水厂(一期)工程初设_苏州白洋湾水厂改建工程可行性最新修改方案2_徐州刘湾水厂工程项建书_徐州刘湾水厂工程项建书_徐州刘湾水厂工程可行性201203_徐州刘湾水厂工程可行性201203" xfId="1873"/>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 xfId="1874"/>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1875"/>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1876"/>
    <cellStyle name="_闽行新桥概算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1877"/>
    <cellStyle name="_闽行新桥概算初设_吴江市区域供水第二水厂(一期)工程初设_苏州工业园区阳澄湖水厂工程初步设计201206" xfId="1878"/>
    <cellStyle name="_闽行新桥概算初设_吴江市区域供水第二水厂(一期)工程初设_苏州工业园区阳澄湖水厂工程可行性201108" xfId="1879"/>
    <cellStyle name="_闽行新桥概算初设_吴江市区域供水第二水厂(一期)工程初设_苏州工业园区阳澄湖水厂工程可行性201108_沉井工程量-排放口" xfId="1880"/>
    <cellStyle name="_闽行新桥概算初设_吴江市区域供水第二水厂(一期)工程初设_苏州工业园区阳澄湖水厂工程可行性201108_铜陵第五水厂工程工可201402" xfId="1881"/>
    <cellStyle name="_闽行新桥概算初设_吴江市区域供水第二水厂(一期)工程初设_苏州工业园区阳澄湖水厂工程可行性201108_铜陵第五水厂工程工可方案(泵房设在堤外)201402" xfId="1882"/>
    <cellStyle name="_闽行新桥概算初设_吴江市区域供水第二水厂(一期)工程初设_苏州工业园区阳澄湖水厂工程可行性201108_芜湖三山水厂工程初设201209" xfId="1883"/>
    <cellStyle name="_闽行新桥概算初设_吴江市区域供水第二水厂(一期)工程初设_苏州工业园区阳澄湖水厂工程可行性201108_芜湖三山水厂工程初设201209_铜陵第五水厂工程工可方案(泵房设在堤外)201402" xfId="1884"/>
    <cellStyle name="_闽行新桥概算初设_吴江市区域供水第二水厂(一期)工程初设_苏州工业园区阳澄湖水厂工程可行性201108_芜湖三山水厂工程初设201209_芜湖三山水厂工程初设201209" xfId="1885"/>
    <cellStyle name="_闽行新桥概算初设_吴江市区域供水第二水厂(一期)工程初设_苏州工业园区阳澄湖水厂工程可行性201108_芜湖三山水厂工程初设201209_芜湖三山水厂工程初设201209_铜陵第五水厂工程工可201402" xfId="1886"/>
    <cellStyle name="_闽行新桥概算初设_吴江市区域供水第二水厂(一期)工程初设_苏州工业园区阳澄湖水厂工程可行性201108_芜湖三山水厂工程初设201209_芜湖三山水厂工程初设201209_铜陵第五水厂工程工可方案(泵房设在堤外)201402" xfId="1887"/>
    <cellStyle name="_闽行新桥概算初设_吴江市区域供水第二水厂(一期)工程初设_苏州工业园区阳澄湖水厂工程可行性201108_徐州刘湾水厂工程可行性201203" xfId="1888"/>
    <cellStyle name="_闽行新桥概算初设_吴江市区域供水第二水厂(一期)工程初设_苏州工业园区阳澄湖水厂工程可行性201108_徐州刘湾水厂工程可行性201203_徐州刘湾水厂工程可行性201203" xfId="1889"/>
    <cellStyle name="_闽行新桥概算初设_吴江市区域供水第二水厂(一期)工程初设_苏州工业园区阳澄湖水厂工程可行性201108_徐州刘湾水厂工程项建书" xfId="1890"/>
    <cellStyle name="_闽行新桥概算初设_吴江市区域供水第二水厂(一期)工程初设_苏州工业园区阳澄湖水厂工程可行性201108_徐州刘湾水厂工程项建书(水厂取水泵站部分)20020210" xfId="1891"/>
    <cellStyle name="_闽行新桥概算初设_吴江市区域供水第二水厂(一期)工程初设_苏州工业园区阳澄湖水厂工程可行性201108_徐州刘湾水厂工程项建书(水厂取水泵站部分)20020210_徐州刘湾水厂工程可行性201203" xfId="1892"/>
    <cellStyle name="_闽行新桥概算初设_吴江市区域供水第二水厂(一期)工程初设_苏州工业园区阳澄湖水厂工程可行性201108_徐州刘湾水厂工程项建书(水厂取水泵站部分)20020210_徐州刘湾水厂工程可行性201203_徐州刘湾水厂工程可行性201203" xfId="1893"/>
    <cellStyle name="_闽行新桥概算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1894"/>
    <cellStyle name="_闽行新桥概算初设_吴江市区域供水第二水厂(一期)工程初设_苏州工业园区阳澄湖水厂工程可行性201108_徐州刘湾水厂工程项建书_徐州刘湾水厂工程可行性201203" xfId="1895"/>
    <cellStyle name="_闽行新桥概算初设_吴江市区域供水第二水厂(一期)工程初设_苏州工业园区阳澄湖水厂工程可行性201108_徐州刘湾水厂工程项建书_徐州刘湾水厂工程可行性201203_徐州刘湾水厂工程可行性201203" xfId="1896"/>
    <cellStyle name="_闽行新桥概算初设_吴江市区域供水第二水厂(一期)工程初设_苏州工业园区阳澄湖水厂工程可行性201108_徐州刘湾水厂工程项建书_徐州刘湾水厂工程可行性201203_徐州刘湾水厂工程可行性201203_徐州刘湾水厂工程可行性201203" xfId="1897"/>
    <cellStyle name="_闽行新桥概算初设_吴江市区域供水第二水厂(一期)工程初设_苏州工业园区阳澄湖水厂工程可行性201108_徐州刘湾水厂工程项建书_徐州刘湾水厂工程项建书" xfId="1898"/>
    <cellStyle name="_闽行新桥概算初设_吴江市区域供水第二水厂(一期)工程初设_苏州工业园区阳澄湖水厂工程可行性201108_徐州刘湾水厂工程项建书_徐州刘湾水厂工程项建书(水厂部分一二期拆分)20111207" xfId="1899"/>
    <cellStyle name="_闽行新桥概算初设_吴江市区域供水第二水厂(一期)工程初设_苏州工业园区阳澄湖水厂工程可行性201108_徐州刘湾水厂工程项建书_徐州刘湾水厂工程项建书(水厂部分一二期拆分)20111207_徐州刘湾水厂工程可行性201203" xfId="1900"/>
    <cellStyle name="_闽行新桥概算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1901"/>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1902"/>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1903"/>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1904"/>
    <cellStyle name="_闽行新桥概算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05"/>
    <cellStyle name="_闽行新桥概算初设_吴江市区域供水第二水厂(一期)工程初设_苏州工业园区阳澄湖水厂工程可行性201108_徐州刘湾水厂工程项建书_徐州刘湾水厂工程项建书_徐州刘湾水厂工程可行性201203" xfId="1906"/>
    <cellStyle name="_闽行新桥概算初设_吴江市区域供水第二水厂(一期)工程初设_苏州工业园区阳澄湖水厂工程可行性201108_徐州刘湾水厂工程项建书_徐州刘湾水厂工程项建书_徐州刘湾水厂工程可行性201203_徐州刘湾水厂工程可行性201203" xfId="1907"/>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 xfId="1908"/>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1909"/>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1910"/>
    <cellStyle name="_闽行新桥概算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1911"/>
    <cellStyle name="_闽行新桥概算初设_吴江市区域供水第二水厂(一期)工程初设_铜陵第五水厂工程工可方案(泵房设在堤外)201402" xfId="1912"/>
    <cellStyle name="_闽行新桥概算初设_吴江市区域供水第二水厂(一期)工程初设_芜湖三山水厂工程初设201209" xfId="1913"/>
    <cellStyle name="_闽行新桥概算初设_吴江市区域供水第二水厂(一期)工程初设_芜湖三山水厂工程初设201209_铜陵第五水厂工程工可201402" xfId="1914"/>
    <cellStyle name="_闽行新桥概算初设_吴江市区域供水第二水厂(一期)工程初设_芜湖三山水厂工程初设201209_铜陵第五水厂工程工可方案(泵房设在堤外)201402" xfId="1915"/>
    <cellStyle name="_闽行新桥概算初设_吴江市区域供水第二水厂(一期)工程初设_吴江市庙港水厂深度处理工程方案" xfId="1916"/>
    <cellStyle name="_闽行新桥概算初设_吴江市区域供水第二水厂(一期)工程初设_吴江市庙港水厂深度处理工程方案_吴江市庙港水厂深度处理工程初设总表" xfId="1917"/>
    <cellStyle name="_闽行新桥概算初设_吴江市区域供水第二水厂(一期)工程初设_吴江市庙港水厂深度处理工程可行性" xfId="1918"/>
    <cellStyle name="_闽行新桥概算初设_吴江市区域供水第二水厂(一期)工程初设_吴江市区域供水第二水厂(一期)工程初设" xfId="1919"/>
    <cellStyle name="_闽行新桥概算初设_吴江市区域供水第二水厂(一期)工程初设_吴江市区域供水第二水厂(一期)工程初设_沉井工程量-排放口" xfId="1920"/>
    <cellStyle name="_闽行新桥概算初设_吴江市区域供水第二水厂(一期)工程初设_吴江市区域供水第二水厂(一期)工程初设_铜陵第五水厂工程工可201402" xfId="1921"/>
    <cellStyle name="_闽行新桥概算初设_吴江市区域供水第二水厂(一期)工程初设_吴江市区域供水第二水厂(一期)工程初设_铜陵第五水厂工程工可方案(泵房设在堤外)201402" xfId="1922"/>
    <cellStyle name="_闽行新桥概算初设_吴江市区域供水第二水厂(一期)工程初设_吴江市区域供水第二水厂(一期)工程初设_芜湖三山水厂工程初设201209" xfId="1923"/>
    <cellStyle name="_闽行新桥概算初设_吴江市区域供水第二水厂(一期)工程初设_吴江市区域供水第二水厂(一期)工程初设_芜湖三山水厂工程初设201209_铜陵第五水厂工程工可方案(泵房设在堤外)201402" xfId="1924"/>
    <cellStyle name="_闽行新桥概算初设_吴江市区域供水第二水厂(一期)工程初设_吴江市区域供水第二水厂(一期)工程初设_芜湖三山水厂工程初设201209_芜湖三山水厂工程初设201209" xfId="1925"/>
    <cellStyle name="_闽行新桥概算初设_吴江市区域供水第二水厂(一期)工程初设_吴江市区域供水第二水厂(一期)工程初设_芜湖三山水厂工程初设201209_芜湖三山水厂工程初设201209_铜陵第五水厂工程工可201402" xfId="1926"/>
    <cellStyle name="_闽行新桥概算初设_吴江市区域供水第二水厂(一期)工程初设_吴江市区域供水第二水厂(一期)工程初设_芜湖三山水厂工程初设201209_芜湖三山水厂工程初设201209_铜陵第五水厂工程工可方案(泵房设在堤外)201402" xfId="1927"/>
    <cellStyle name="_闽行新桥概算初设_吴江市区域供水第二水厂(一期)工程初设_吴江市区域供水第二水厂(一期)工程初设_吴江市庙港水厂深度处理工程初设总表" xfId="1928"/>
    <cellStyle name="_闽行新桥概算初设_吴江市区域供水第二水厂(一期)工程初设_吴江市区域供水第二水厂(一期)工程初设_吴江市区域供水第二水厂(一期)工程初设" xfId="1929"/>
    <cellStyle name="_闽行新桥概算初设_吴江市区域供水第二水厂(一期)工程初设_吴江市区域供水第二水厂(一期)工程初设_吴江市区域供水第二水厂(一期)工程初设_安亭水厂扩建工程可行性201411" xfId="1930"/>
    <cellStyle name="_闽行新桥概算初设_吴江市区域供水第二水厂(一期)工程初设_吴江市区域供水第二水厂(一期)工程初设_吴江市区域供水第二水厂(一期)工程初设_沉井工程量-排放口" xfId="1931"/>
    <cellStyle name="_闽行新桥概算初设_吴江市区域供水第二水厂(一期)工程初设_吴江市区域供水第二水厂(一期)工程初设_吴江市区域供水第二水厂(一期)工程初设_丹阳善巷水厂工程项建书201108" xfId="1932"/>
    <cellStyle name="_闽行新桥概算初设_吴江市区域供水第二水厂(一期)工程初设_吴江市区域供水第二水厂(一期)工程初设_吴江市区域供水第二水厂(一期)工程初设_奉贤区海湾镇供水集约化一期工程初设" xfId="1933"/>
    <cellStyle name="_闽行新桥概算初设_吴江市区域供水第二水厂(一期)工程初设_吴江市区域供水第二水厂(一期)工程初设_吴江市区域供水第二水厂(一期)工程初设_广东省建设工程造价咨询服务收费标准表" xfId="1934"/>
    <cellStyle name="_闽行新桥概算初设_吴江市区域供水第二水厂(一期)工程初设_吴江市区域供水第二水厂(一期)工程初设_吴江市区域供水第二水厂(一期)工程初设_杭州大清谷至九溪输水管道工程项建书201405" xfId="1935"/>
    <cellStyle name="_闽行新桥概算初设_吴江市区域供水第二水厂(一期)工程初设_吴江市区域供水第二水厂(一期)工程初设_吴江市区域供水第二水厂(一期)工程初设_嘉定供水管初设201304" xfId="1936"/>
    <cellStyle name="_闽行新桥概算初设_吴江市区域供水第二水厂(一期)工程初设_吴江市区域供水第二水厂(一期)工程初设_吴江市区域供水第二水厂(一期)工程初设_嘉定供水管初设201304审批后修改" xfId="1937"/>
    <cellStyle name="_闽行新桥概算初设_吴江市区域供水第二水厂(一期)工程初设_吴江市区域供水第二水厂(一期)工程初设_吴江市区域供水第二水厂(一期)工程初设_取水泵房" xfId="1938"/>
    <cellStyle name="_闽行新桥概算初设_吴江市区域供水第二水厂(一期)工程初设_吴江市区域供水第二水厂(一期)工程初设_吴江市区域供水第二水厂(一期)工程初设_上海工程范例" xfId="1939"/>
    <cellStyle name="_闽行新桥概算初设_吴江市区域供水第二水厂(一期)工程初设_吴江市区域供水第二水厂(一期)工程初设_吴江市区域供水第二水厂(一期)工程初设_上海工程范例_沉井工程量-排放口" xfId="1940"/>
    <cellStyle name="_闽行新桥概算初设_吴江市区域供水第二水厂(一期)工程初设_吴江市区域供水第二水厂(一期)工程初设_吴江市区域供水第二水厂(一期)工程初设_苏州白洋湾水厂改建工程可行性201107" xfId="1941"/>
    <cellStyle name="_闽行新桥概算初设_吴江市区域供水第二水厂(一期)工程初设_吴江市区域供水第二水厂(一期)工程初设_吴江市区域供水第二水厂(一期)工程初设_苏州白洋湾水厂改建工程可行性201107_沉井工程量-排放口" xfId="1942"/>
    <cellStyle name="_闽行新桥概算初设_吴江市区域供水第二水厂(一期)工程初设_吴江市区域供水第二水厂(一期)工程初设_吴江市区域供水第二水厂(一期)工程初设_苏州白洋湾水厂改建工程可行性201107_铜陵第五水厂工程工可201402" xfId="1943"/>
    <cellStyle name="_闽行新桥概算初设_吴江市区域供水第二水厂(一期)工程初设_吴江市区域供水第二水厂(一期)工程初设_吴江市区域供水第二水厂(一期)工程初设_苏州白洋湾水厂改建工程可行性201107_铜陵第五水厂工程工可方案(泵房设在堤外)201402" xfId="1944"/>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 xfId="1945"/>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铜陵第五水厂工程工可方案(泵房设在堤外)201402" xfId="1946"/>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 xfId="1947"/>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201402" xfId="1948"/>
    <cellStyle name="_闽行新桥概算初设_吴江市区域供水第二水厂(一期)工程初设_吴江市区域供水第二水厂(一期)工程初设_吴江市区域供水第二水厂(一期)工程初设_苏州白洋湾水厂改建工程可行性201107_芜湖三山水厂工程初设201209_芜湖三山水厂工程初设201209_铜陵第五水厂工程工可方案(泵房设在堤外)201402" xfId="1949"/>
    <cellStyle name="_闽行新桥概算初设_吴江市区域供水第二水厂(一期)工程初设_吴江市区域供水第二水厂(一期)工程初设_吴江市区域供水第二水厂(一期)工程初设_苏州白洋湾水厂改建工程可行性201107_徐州刘湾水厂工程可行性201203" xfId="1950"/>
    <cellStyle name="_闽行新桥概算初设_吴江市区域供水第二水厂(一期)工程初设_吴江市区域供水第二水厂(一期)工程初设_吴江市区域供水第二水厂(一期)工程初设_苏州白洋湾水厂改建工程可行性201107_徐州刘湾水厂工程可行性201203_徐州刘湾水厂工程可行性201203" xfId="195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 xfId="1952"/>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 xfId="1953"/>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 xfId="1954"/>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 xfId="1955"/>
    <cellStyle name="_闽行新桥概算初设_吴江市区域供水第二水厂(一期)工程初设_吴江市区域供水第二水厂(一期)工程初设_吴江市区域供水第二水厂(一期)工程初设_苏州白洋湾水厂改建工程可行性201107_徐州刘湾水厂工程项建书(水厂取水泵站部分)20020210_徐州刘湾水厂工程可行性201203_徐州刘湾水厂工程可行性201203_徐州刘湾水厂工程可行性201203" xfId="1956"/>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 xfId="1957"/>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 xfId="1958"/>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可行性201203_徐州刘湾水厂工程可行性201203_徐州刘湾水厂工程可行性201203" xfId="1959"/>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 xfId="1960"/>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 xfId="196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 xfId="1962"/>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可行性201203_徐州刘湾水厂工程可行性201203" xfId="1963"/>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 xfId="1964"/>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 xfId="1965"/>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 xfId="1966"/>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1967"/>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 xfId="1968"/>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可行性201203_徐州刘湾水厂工程可行性201203" xfId="1969"/>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 xfId="1970"/>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 xfId="1971"/>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 xfId="1972"/>
    <cellStyle name="_闽行新桥概算初设_吴江市区域供水第二水厂(一期)工程初设_吴江市区域供水第二水厂(一期)工程初设_吴江市区域供水第二水厂(一期)工程初设_苏州白洋湾水厂改建工程可行性201107_徐州刘湾水厂工程项建书_徐州刘湾水厂工程项建书_徐州刘湾水厂工程项建书(水厂取水泵站部分)20020210_徐州刘湾水厂工程可行性201203_徐州刘湾水厂工程可行性201203_徐州刘湾水厂工程可行性201203" xfId="1973"/>
    <cellStyle name="_闽行新桥概算初设_吴江市区域供水第二水厂(一期)工程初设_吴江市区域供水第二水厂(一期)工程初设_吴江市区域供水第二水厂(一期)工程初设_苏州白洋湾水厂改建工程可行性最新修改方案" xfId="1974"/>
    <cellStyle name="_闽行新桥概算初设_吴江市区域供水第二水厂(一期)工程初设_吴江市区域供水第二水厂(一期)工程初设_吴江市区域供水第二水厂(一期)工程初设_苏州白洋湾水厂改建工程可行性最新修改方案_沉井工程量-排放口" xfId="1975"/>
    <cellStyle name="_闽行新桥概算初设_吴江市区域供水第二水厂(一期)工程初设_吴江市区域供水第二水厂(一期)工程初设_吴江市区域供水第二水厂(一期)工程初设_苏州白洋湾水厂改建工程可行性最新修改方案_铜陵第五水厂工程工可201402" xfId="1976"/>
    <cellStyle name="_闽行新桥概算初设_吴江市区域供水第二水厂(一期)工程初设_吴江市区域供水第二水厂(一期)工程初设_吴江市区域供水第二水厂(一期)工程初设_苏州白洋湾水厂改建工程可行性最新修改方案_铜陵第五水厂工程工可方案(泵房设在堤外)201402" xfId="1977"/>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 xfId="1978"/>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铜陵第五水厂工程工可方案(泵房设在堤外)201402" xfId="1979"/>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 xfId="1980"/>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201402" xfId="1981"/>
    <cellStyle name="_闽行新桥概算初设_吴江市区域供水第二水厂(一期)工程初设_吴江市区域供水第二水厂(一期)工程初设_吴江市区域供水第二水厂(一期)工程初设_苏州白洋湾水厂改建工程可行性最新修改方案_芜湖三山水厂工程初设201209_芜湖三山水厂工程初设201209_铜陵第五水厂工程工可方案(泵房设在堤外)201402" xfId="198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可行性201203" xfId="198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可行性201203_徐州刘湾水厂工程可行性201203" xfId="198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 xfId="1985"/>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 xfId="1986"/>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 xfId="1987"/>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 xfId="1988"/>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水厂取水泵站部分)20020210_徐州刘湾水厂工程可行性201203_徐州刘湾水厂工程可行性201203_徐州刘湾水厂工程可行性201203" xfId="1989"/>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 xfId="1990"/>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 xfId="1991"/>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可行性201203_徐州刘湾水厂工程可行性201203_徐州刘湾水厂工程可行性201203" xfId="199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 xfId="199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 xfId="199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 xfId="1995"/>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可行性201203_徐州刘湾水厂工程可行性201203" xfId="1996"/>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 xfId="1997"/>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 xfId="1998"/>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 xfId="1999"/>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000"/>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 xfId="2001"/>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可行性201203_徐州刘湾水厂工程可行性201203" xfId="2002"/>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 xfId="2003"/>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 xfId="2004"/>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 xfId="2005"/>
    <cellStyle name="_闽行新桥概算初设_吴江市区域供水第二水厂(一期)工程初设_吴江市区域供水第二水厂(一期)工程初设_吴江市区域供水第二水厂(一期)工程初设_苏州白洋湾水厂改建工程可行性最新修改方案_徐州刘湾水厂工程项建书_徐州刘湾水厂工程项建书_徐州刘湾水厂工程项建书(水厂取水泵站部分)20020210_徐州刘湾水厂工程可行性201203_徐州刘湾水厂工程可行性201203_徐州刘湾水厂工程可行性201203" xfId="2006"/>
    <cellStyle name="_闽行新桥概算初设_吴江市区域供水第二水厂(一期)工程初设_吴江市区域供水第二水厂(一期)工程初设_吴江市区域供水第二水厂(一期)工程初设_苏州白洋湾水厂改建工程可行性最新修改方案2" xfId="2007"/>
    <cellStyle name="_闽行新桥概算初设_吴江市区域供水第二水厂(一期)工程初设_吴江市区域供水第二水厂(一期)工程初设_吴江市区域供水第二水厂(一期)工程初设_苏州白洋湾水厂改建工程可行性最新修改方案2_沉井工程量-排放口" xfId="2008"/>
    <cellStyle name="_闽行新桥概算初设_吴江市区域供水第二水厂(一期)工程初设_吴江市区域供水第二水厂(一期)工程初设_吴江市区域供水第二水厂(一期)工程初设_苏州白洋湾水厂改建工程可行性最新修改方案2_铜陵第五水厂工程工可201402" xfId="2009"/>
    <cellStyle name="_闽行新桥概算初设_吴江市区域供水第二水厂(一期)工程初设_吴江市区域供水第二水厂(一期)工程初设_吴江市区域供水第二水厂(一期)工程初设_苏州白洋湾水厂改建工程可行性最新修改方案2_铜陵第五水厂工程工可方案(泵房设在堤外)201402" xfId="2010"/>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 xfId="2011"/>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铜陵第五水厂工程工可方案(泵房设在堤外)201402" xfId="2012"/>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 xfId="2013"/>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201402" xfId="2014"/>
    <cellStyle name="_闽行新桥概算初设_吴江市区域供水第二水厂(一期)工程初设_吴江市区域供水第二水厂(一期)工程初设_吴江市区域供水第二水厂(一期)工程初设_苏州白洋湾水厂改建工程可行性最新修改方案2_芜湖三山水厂工程初设201209_芜湖三山水厂工程初设201209_铜陵第五水厂工程工可方案(泵房设在堤外)201402" xfId="201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可行性201203" xfId="201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可行性201203_徐州刘湾水厂工程可行性201203" xfId="201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 xfId="2018"/>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 xfId="2019"/>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 xfId="2020"/>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 xfId="2021"/>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水厂取水泵站部分)20020210_徐州刘湾水厂工程可行性201203_徐州刘湾水厂工程可行性201203_徐州刘湾水厂工程可行性201203" xfId="2022"/>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 xfId="2023"/>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 xfId="2024"/>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可行性201203_徐州刘湾水厂工程可行性201203_徐州刘湾水厂工程可行性201203" xfId="202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 xfId="202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 xfId="202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 xfId="2028"/>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可行性201203_徐州刘湾水厂工程可行性201203" xfId="2029"/>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 xfId="2030"/>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 xfId="2031"/>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 xfId="2032"/>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033"/>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 xfId="2034"/>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可行性201203_徐州刘湾水厂工程可行性201203" xfId="2035"/>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 xfId="2036"/>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 xfId="2037"/>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 xfId="2038"/>
    <cellStyle name="_闽行新桥概算初设_吴江市区域供水第二水厂(一期)工程初设_吴江市区域供水第二水厂(一期)工程初设_吴江市区域供水第二水厂(一期)工程初设_苏州白洋湾水厂改建工程可行性最新修改方案2_徐州刘湾水厂工程项建书_徐州刘湾水厂工程项建书_徐州刘湾水厂工程项建书(水厂取水泵站部分)20020210_徐州刘湾水厂工程可行性201203_徐州刘湾水厂工程可行性201203_徐州刘湾水厂工程可行性201203" xfId="2039"/>
    <cellStyle name="_闽行新桥概算初设_吴江市区域供水第二水厂(一期)工程初设_吴江市区域供水第二水厂(一期)工程初设_吴江市区域供水第二水厂(一期)工程初设_苏州工业园区阳澄湖水厂工程初步设计201206" xfId="2040"/>
    <cellStyle name="_闽行新桥概算初设_吴江市区域供水第二水厂(一期)工程初设_吴江市区域供水第二水厂(一期)工程初设_吴江市区域供水第二水厂(一期)工程初设_苏州工业园区阳澄湖水厂工程可行性201108" xfId="2041"/>
    <cellStyle name="_闽行新桥概算初设_吴江市区域供水第二水厂(一期)工程初设_吴江市区域供水第二水厂(一期)工程初设_吴江市区域供水第二水厂(一期)工程初设_苏州工业园区阳澄湖水厂工程可行性201108_沉井工程量-排放口" xfId="2042"/>
    <cellStyle name="_闽行新桥概算初设_吴江市区域供水第二水厂(一期)工程初设_吴江市区域供水第二水厂(一期)工程初设_吴江市区域供水第二水厂(一期)工程初设_苏州工业园区阳澄湖水厂工程可行性201108_铜陵第五水厂工程工可201402" xfId="2043"/>
    <cellStyle name="_闽行新桥概算初设_吴江市区域供水第二水厂(一期)工程初设_吴江市区域供水第二水厂(一期)工程初设_吴江市区域供水第二水厂(一期)工程初设_苏州工业园区阳澄湖水厂工程可行性201108_铜陵第五水厂工程工可方案(泵房设在堤外)201402" xfId="2044"/>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 xfId="2045"/>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铜陵第五水厂工程工可方案(泵房设在堤外)201402" xfId="2046"/>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 xfId="2047"/>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201402" xfId="2048"/>
    <cellStyle name="_闽行新桥概算初设_吴江市区域供水第二水厂(一期)工程初设_吴江市区域供水第二水厂(一期)工程初设_吴江市区域供水第二水厂(一期)工程初设_苏州工业园区阳澄湖水厂工程可行性201108_芜湖三山水厂工程初设201209_芜湖三山水厂工程初设201209_铜陵第五水厂工程工可方案(泵房设在堤外)201402" xfId="2049"/>
    <cellStyle name="_闽行新桥概算初设_吴江市区域供水第二水厂(一期)工程初设_吴江市区域供水第二水厂(一期)工程初设_吴江市区域供水第二水厂(一期)工程初设_苏州工业园区阳澄湖水厂工程可行性201108_徐州刘湾水厂工程可行性201203" xfId="2050"/>
    <cellStyle name="_闽行新桥概算初设_吴江市区域供水第二水厂(一期)工程初设_吴江市区域供水第二水厂(一期)工程初设_吴江市区域供水第二水厂(一期)工程初设_苏州工业园区阳澄湖水厂工程可行性201108_徐州刘湾水厂工程可行性201203_徐州刘湾水厂工程可行性201203" xfId="205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 xfId="2052"/>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 xfId="2053"/>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 xfId="2054"/>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 xfId="2055"/>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水厂取水泵站部分)20020210_徐州刘湾水厂工程可行性201203_徐州刘湾水厂工程可行性201203_徐州刘湾水厂工程可行性201203" xfId="2056"/>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 xfId="2057"/>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 xfId="2058"/>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可行性201203_徐州刘湾水厂工程可行性201203_徐州刘湾水厂工程可行性201203" xfId="2059"/>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 xfId="2060"/>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 xfId="206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 xfId="2062"/>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可行性201203_徐州刘湾水厂工程可行性201203" xfId="2063"/>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 xfId="2064"/>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 xfId="2065"/>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 xfId="2066"/>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067"/>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 xfId="2068"/>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可行性201203_徐州刘湾水厂工程可行性201203" xfId="2069"/>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 xfId="2070"/>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 xfId="2071"/>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 xfId="2072"/>
    <cellStyle name="_闽行新桥概算初设_吴江市区域供水第二水厂(一期)工程初设_吴江市区域供水第二水厂(一期)工程初设_吴江市区域供水第二水厂(一期)工程初设_苏州工业园区阳澄湖水厂工程可行性201108_徐州刘湾水厂工程项建书_徐州刘湾水厂工程项建书_徐州刘湾水厂工程项建书(水厂取水泵站部分)20020210_徐州刘湾水厂工程可行性201203_徐州刘湾水厂工程可行性201203_徐州刘湾水厂工程可行性201203" xfId="2073"/>
    <cellStyle name="_闽行新桥概算初设_吴江市区域供水第二水厂(一期)工程初设_吴江市区域供水第二水厂(一期)工程初设_吴江市区域供水第二水厂(一期)工程初设_铜陵第五水厂工程工可方案(泵房设在堤外)201402" xfId="2074"/>
    <cellStyle name="_闽行新桥概算初设_吴江市区域供水第二水厂(一期)工程初设_吴江市区域供水第二水厂(一期)工程初设_吴江市区域供水第二水厂(一期)工程初设_芜湖三山水厂工程初设201209" xfId="2075"/>
    <cellStyle name="_闽行新桥概算初设_吴江市区域供水第二水厂(一期)工程初设_吴江市区域供水第二水厂(一期)工程初设_吴江市区域供水第二水厂(一期)工程初设_芜湖三山水厂工程初设201209_铜陵第五水厂工程工可201402" xfId="2076"/>
    <cellStyle name="_闽行新桥概算初设_吴江市区域供水第二水厂(一期)工程初设_吴江市区域供水第二水厂(一期)工程初设_吴江市区域供水第二水厂(一期)工程初设_芜湖三山水厂工程初设201209_铜陵第五水厂工程工可方案(泵房设在堤外)201402" xfId="2077"/>
    <cellStyle name="_闽行新桥概算初设_吴江市区域供水第二水厂(一期)工程初设_吴江市区域供水第二水厂(一期)工程初设_吴江市区域供水第二水厂(一期)工程初设_吴江市庙港水厂深度处理工程方案" xfId="2078"/>
    <cellStyle name="_闽行新桥概算初设_吴江市区域供水第二水厂(一期)工程初设_吴江市区域供水第二水厂(一期)工程初设_吴江市区域供水第二水厂(一期)工程初设_吴江市庙港水厂深度处理工程方案_吴江市庙港水厂深度处理工程初设总表" xfId="2079"/>
    <cellStyle name="_闽行新桥概算初设_吴江市区域供水第二水厂(一期)工程初设_吴江市区域供水第二水厂(一期)工程初设_吴江市区域供水第二水厂(一期)工程初设_吴江市庙港水厂深度处理工程可行性" xfId="2080"/>
    <cellStyle name="_闽行新桥概算初设_吴江市区域供水第二水厂(一期)工程初设_吴江市区域供水第二水厂(一期)工程初设_吴江市区域供水第二水厂(一期)工程初设_吴江市区域供水第二水厂(一期)工程初设" xfId="2081"/>
    <cellStyle name="_闽行新桥概算初设_吴江市区域供水第二水厂(一期)工程初设_吴江市区域供水第二水厂(一期)工程初设_吴江市区域供水第二水厂(一期)工程初设_吴江市区域供水第二水厂(一期)工程初设_沉井工程量-排放口" xfId="2082"/>
    <cellStyle name="_闽行新桥概算初设_吴江市区域供水第二水厂(一期)工程初设_吴江市区域供水第二水厂(一期)工程初设_吴江市区域供水第二水厂(一期)工程初设_吴江市区域供水第二水厂(一期)工程初设_铜陵第五水厂工程工可201402" xfId="2083"/>
    <cellStyle name="_闽行新桥概算初设_吴江市区域供水第二水厂(一期)工程初设_吴江市区域供水第二水厂(一期)工程初设_吴江市区域供水第二水厂(一期)工程初设_吴江市区域供水第二水厂(一期)工程初设_铜陵第五水厂工程工可方案(泵房设在堤外)201402" xfId="2084"/>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 xfId="2085"/>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铜陵第五水厂工程工可方案(泵房设在堤外)201402" xfId="2086"/>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 xfId="2087"/>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201402" xfId="2088"/>
    <cellStyle name="_闽行新桥概算初设_吴江市区域供水第二水厂(一期)工程初设_吴江市区域供水第二水厂(一期)工程初设_吴江市区域供水第二水厂(一期)工程初设_吴江市区域供水第二水厂(一期)工程初设_芜湖三山水厂工程初设201209_芜湖三山水厂工程初设201209_铜陵第五水厂工程工可方案(泵房设在堤外)201402" xfId="2089"/>
    <cellStyle name="_闽行新桥概算初设_吴江市区域供水第二水厂(一期)工程初设_吴江市区域供水第二水厂(一期)工程初设_吴江市区域供水第二水厂(一期)工程初设_吴江市区域供水第二水厂(一期)工程初设_徐州刘湾水厂工程可行性201203" xfId="2090"/>
    <cellStyle name="_闽行新桥概算初设_吴江市区域供水第二水厂(一期)工程初设_吴江市区域供水第二水厂(一期)工程初设_吴江市区域供水第二水厂(一期)工程初设_吴江市区域供水第二水厂(一期)工程初设_徐州刘湾水厂工程可行性201203_徐州刘湾水厂工程可行性201203" xfId="209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 xfId="2092"/>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 xfId="2093"/>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 xfId="2094"/>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 xfId="2095"/>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2096"/>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 xfId="2097"/>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2098"/>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可行性201203_徐州刘湾水厂工程可行性201203_徐州刘湾水厂工程可行性201203" xfId="2099"/>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 xfId="2100"/>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 xfId="210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 xfId="2102"/>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2103"/>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2104"/>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2105"/>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2106"/>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07"/>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 xfId="2108"/>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2109"/>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 xfId="2110"/>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2111"/>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2112"/>
    <cellStyle name="_闽行新桥概算初设_吴江市区域供水第二水厂(一期)工程初设_吴江市区域供水第二水厂(一期)工程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2113"/>
    <cellStyle name="_闽行新桥概算初设_吴江市区域供水第二水厂(一期)工程初设_吴江市区域供水第二水厂(一期)工程初设_吴江市区域供水第二水厂(一期)工程初设_徐州刘湾水厂工程可行性201203" xfId="2114"/>
    <cellStyle name="_闽行新桥概算初设_吴江市区域供水第二水厂(一期)工程初设_吴江市区域供水第二水厂(一期)工程初设_吴江市区域供水第二水厂(一期)工程初设_徐州刘湾水厂工程可行性201203_徐州刘湾水厂工程可行性201203" xfId="2115"/>
    <cellStyle name="_闽行新桥概算初设_吴江市区域供水第二水厂(一期)工程初设_吴江市区域供水第二水厂(一期)工程初设_吴江市区域供水第二水厂(一期)工程初设_徐州刘湾水厂工程可行性201203_徐州刘湾水厂工程可行性201203_徐州刘湾水厂工程可行性201203" xfId="2116"/>
    <cellStyle name="_闽行新桥概算初设_吴江市区域供水第二水厂(一期)工程初设_吴江市区域供水第二水厂(一期)工程初设_吴江市区域供水第二水厂(一期)工程初设_徐州刘湾水厂工程项建书" xfId="2117"/>
    <cellStyle name="_闽行新桥概算初设_吴江市区域供水第二水厂(一期)工程初设_吴江市区域供水第二水厂(一期)工程初设_吴江市区域供水第二水厂(一期)工程初设_徐州刘湾水厂工程项建书(水厂部分一二期拆分)20111207" xfId="2118"/>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可行性201203" xfId="2119"/>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可行性201203_徐州刘湾水厂工程可行性201203" xfId="2120"/>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 xfId="2121"/>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 xfId="2122"/>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 xfId="2123"/>
    <cellStyle name="_闽行新桥概算初设_吴江市区域供水第二水厂(一期)工程初设_吴江市区域供水第二水厂(一期)工程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2124"/>
    <cellStyle name="_闽行新桥概算初设_吴江市区域供水第二水厂(一期)工程初设_吴江市区域供水第二水厂(一期)工程初设_吴江市区域供水第二水厂(一期)工程初设_徐州刘湾水厂工程项建书_徐州刘湾水厂工程可行性201203" xfId="2125"/>
    <cellStyle name="_闽行新桥概算初设_吴江市区域供水第二水厂(一期)工程初设_吴江市区域供水第二水厂(一期)工程初设_吴江市区域供水第二水厂(一期)工程初设_徐州刘湾水厂工程项建书_徐州刘湾水厂工程可行性201203_徐州刘湾水厂工程可行性201203" xfId="2126"/>
    <cellStyle name="_闽行新桥概算初设_吴江市区域供水第二水厂(一期)工程初设_吴江市区域供水第二水厂(一期)工程初设_吴江市区域供水第二水厂(一期)工程初设_徐州刘湾水厂工程项建书_徐州刘湾水厂工程项建书" xfId="2127"/>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 xfId="2128"/>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 xfId="2129"/>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 xfId="2130"/>
    <cellStyle name="_闽行新桥概算初设_吴江市区域供水第二水厂(一期)工程初设_吴江市区域供水第二水厂(一期)工程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2131"/>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 xfId="2132"/>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 xfId="2133"/>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可行性201203_徐州刘湾水厂工程可行性201203_徐州刘湾水厂工程可行性201203" xfId="2134"/>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 xfId="2135"/>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 xfId="2136"/>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 xfId="2137"/>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2138"/>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 xfId="2139"/>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2140"/>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2141"/>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42"/>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 xfId="2143"/>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可行性201203_徐州刘湾水厂工程可行性201203" xfId="2144"/>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 xfId="2145"/>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 xfId="2146"/>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2147"/>
    <cellStyle name="_闽行新桥概算初设_吴江市区域供水第二水厂(一期)工程初设_吴江市区域供水第二水厂(一期)工程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2148"/>
    <cellStyle name="_闽行新桥概算初设_吴江市区域供水第二水厂(一期)工程初设_吴江市区域供水第二水厂(一期)工程初设_徐州刘湾水厂工程可行性201203" xfId="2149"/>
    <cellStyle name="_闽行新桥概算初设_吴江市区域供水第二水厂(一期)工程初设_吴江市区域供水第二水厂(一期)工程初设_徐州刘湾水厂工程可行性201203_徐州刘湾水厂工程可行性201203" xfId="2150"/>
    <cellStyle name="_闽行新桥概算初设_吴江市区域供水第二水厂(一期)工程初设_吴江市区域供水第二水厂(一期)工程初设_徐州刘湾水厂工程项建书" xfId="2151"/>
    <cellStyle name="_闽行新桥概算初设_吴江市区域供水第二水厂(一期)工程初设_吴江市区域供水第二水厂(一期)工程初设_徐州刘湾水厂工程项建书(水厂取水泵站部分)20020210" xfId="2152"/>
    <cellStyle name="_闽行新桥概算初设_吴江市区域供水第二水厂(一期)工程初设_吴江市区域供水第二水厂(一期)工程初设_徐州刘湾水厂工程项建书(水厂取水泵站部分)20020210_徐州刘湾水厂工程可行性201203" xfId="2153"/>
    <cellStyle name="_闽行新桥概算初设_吴江市区域供水第二水厂(一期)工程初设_吴江市区域供水第二水厂(一期)工程初设_徐州刘湾水厂工程项建书(水厂取水泵站部分)20020210_徐州刘湾水厂工程可行性201203_徐州刘湾水厂工程可行性201203" xfId="2154"/>
    <cellStyle name="_闽行新桥概算初设_吴江市区域供水第二水厂(一期)工程初设_吴江市区域供水第二水厂(一期)工程初设_徐州刘湾水厂工程项建书(水厂取水泵站部分)20020210_徐州刘湾水厂工程可行性201203_徐州刘湾水厂工程可行性201203_徐州刘湾水厂工程可行性201203" xfId="2155"/>
    <cellStyle name="_闽行新桥概算初设_吴江市区域供水第二水厂(一期)工程初设_吴江市区域供水第二水厂(一期)工程初设_徐州刘湾水厂工程项建书_徐州刘湾水厂工程可行性201203" xfId="2156"/>
    <cellStyle name="_闽行新桥概算初设_吴江市区域供水第二水厂(一期)工程初设_吴江市区域供水第二水厂(一期)工程初设_徐州刘湾水厂工程项建书_徐州刘湾水厂工程可行性201203_徐州刘湾水厂工程可行性201203" xfId="2157"/>
    <cellStyle name="_闽行新桥概算初设_吴江市区域供水第二水厂(一期)工程初设_吴江市区域供水第二水厂(一期)工程初设_徐州刘湾水厂工程项建书_徐州刘湾水厂工程可行性201203_徐州刘湾水厂工程可行性201203_徐州刘湾水厂工程可行性201203" xfId="2158"/>
    <cellStyle name="_闽行新桥概算初设_吴江市区域供水第二水厂(一期)工程初设_吴江市区域供水第二水厂(一期)工程初设_徐州刘湾水厂工程项建书_徐州刘湾水厂工程项建书" xfId="2159"/>
    <cellStyle name="_闽行新桥概算初设_吴江市区域供水第二水厂(一期)工程初设_吴江市区域供水第二水厂(一期)工程初设_徐州刘湾水厂工程项建书_徐州刘湾水厂工程项建书(水厂部分一二期拆分)20111207" xfId="2160"/>
    <cellStyle name="_闽行新桥概算初设_吴江市区域供水第二水厂(一期)工程初设_吴江市区域供水第二水厂(一期)工程初设_徐州刘湾水厂工程项建书_徐州刘湾水厂工程项建书(水厂部分一二期拆分)20111207_徐州刘湾水厂工程可行性201203" xfId="2161"/>
    <cellStyle name="_闽行新桥概算初设_吴江市区域供水第二水厂(一期)工程初设_吴江市区域供水第二水厂(一期)工程初设_徐州刘湾水厂工程项建书_徐州刘湾水厂工程项建书(水厂部分一二期拆分)20111207_徐州刘湾水厂工程可行性201203_徐州刘湾水厂工程可行性201203" xfId="2162"/>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 xfId="2163"/>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 xfId="2164"/>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 xfId="2165"/>
    <cellStyle name="_闽行新桥概算初设_吴江市区域供水第二水厂(一期)工程初设_吴江市区域供水第二水厂(一期)工程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166"/>
    <cellStyle name="_闽行新桥概算初设_吴江市区域供水第二水厂(一期)工程初设_吴江市区域供水第二水厂(一期)工程初设_徐州刘湾水厂工程项建书_徐州刘湾水厂工程项建书_徐州刘湾水厂工程可行性201203" xfId="2167"/>
    <cellStyle name="_闽行新桥概算初设_吴江市区域供水第二水厂(一期)工程初设_吴江市区域供水第二水厂(一期)工程初设_徐州刘湾水厂工程项建书_徐州刘湾水厂工程项建书_徐州刘湾水厂工程可行性201203_徐州刘湾水厂工程可行性201203" xfId="2168"/>
    <cellStyle name="_闽行新桥概算初设_吴江市区域供水第二水厂(一期)工程初设_吴江市区域供水第二水厂(一期)工程初设_徐州刘湾水厂工程项建书_徐州刘湾水厂工程项建书_徐州刘湾水厂工程项建书(水厂取水泵站部分)20020210" xfId="2169"/>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 xfId="2170"/>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 xfId="2171"/>
    <cellStyle name="_闽行新桥概算初设_吴江市区域供水第二水厂(一期)工程初设_吴江市区域供水第二水厂(一期)工程初设_徐州刘湾水厂工程项建书_徐州刘湾水厂工程项建书_徐州刘湾水厂工程项建书(水厂取水泵站部分)20020210_徐州刘湾水厂工程可行性201203_徐州刘湾水厂工程可行性201203_徐州刘湾水厂工程可行性201203" xfId="2172"/>
    <cellStyle name="_闽行新桥概算初设_吴江市区域供水第二水厂(一期)工程初设_徐州刘湾水厂工程可行性201203" xfId="2173"/>
    <cellStyle name="_闽行新桥概算初设_吴江市区域供水第二水厂(一期)工程初设_徐州刘湾水厂工程可行性201203_徐州刘湾水厂工程可行性201203" xfId="2174"/>
    <cellStyle name="_闽行新桥概算初设_吴江市区域供水第二水厂(一期)工程初设_徐州刘湾水厂工程可行性201203_徐州刘湾水厂工程可行性201203_徐州刘湾水厂工程可行性201203" xfId="2175"/>
    <cellStyle name="_闽行新桥概算初设_吴江市区域供水第二水厂(一期)工程初设_徐州刘湾水厂工程项建书" xfId="2176"/>
    <cellStyle name="_闽行新桥概算初设_吴江市区域供水第二水厂(一期)工程初设_徐州刘湾水厂工程项建书(水厂部分一二期拆分)20111207" xfId="2177"/>
    <cellStyle name="_闽行新桥概算初设_吴江市区域供水第二水厂(一期)工程初设_徐州刘湾水厂工程项建书(水厂部分一二期拆分)20111207_徐州刘湾水厂工程可行性201203" xfId="2178"/>
    <cellStyle name="_闽行新桥概算初设_吴江市区域供水第二水厂(一期)工程初设_徐州刘湾水厂工程项建书(水厂部分一二期拆分)20111207_徐州刘湾水厂工程可行性201203_徐州刘湾水厂工程可行性201203" xfId="2179"/>
    <cellStyle name="_闽行新桥概算初设_吴江市区域供水第二水厂(一期)工程初设_徐州刘湾水厂工程项建书(水厂部分一二期拆分)20111207_徐州刘湾水厂工程项建书(水厂取水泵站部分)20020210" xfId="2180"/>
    <cellStyle name="_闽行新桥概算初设_吴江市区域供水第二水厂(一期)工程初设_徐州刘湾水厂工程项建书(水厂部分一二期拆分)20111207_徐州刘湾水厂工程项建书(水厂取水泵站部分)20020210_徐州刘湾水厂工程可行性201203" xfId="2181"/>
    <cellStyle name="_闽行新桥概算初设_吴江市区域供水第二水厂(一期)工程初设_徐州刘湾水厂工程项建书(水厂部分一二期拆分)20111207_徐州刘湾水厂工程项建书(水厂取水泵站部分)20020210_徐州刘湾水厂工程可行性201203_徐州刘湾水厂工程可行性201203" xfId="2182"/>
    <cellStyle name="_闽行新桥概算初设_吴江市区域供水第二水厂(一期)工程初设_徐州刘湾水厂工程项建书(水厂部分一二期拆分)20111207_徐州刘湾水厂工程项建书(水厂取水泵站部分)20020210_徐州刘湾水厂工程可行性201203_徐州刘湾水厂工程可行性201203_徐州刘湾水厂工程可行性201203" xfId="2183"/>
    <cellStyle name="_闽行新桥概算初设_吴江市区域供水第二水厂(一期)工程初设_徐州刘湾水厂工程项建书_徐州刘湾水厂工程可行性201203" xfId="2184"/>
    <cellStyle name="_闽行新桥概算初设_吴江市区域供水第二水厂(一期)工程初设_徐州刘湾水厂工程项建书_徐州刘湾水厂工程可行性201203_徐州刘湾水厂工程可行性201203" xfId="2185"/>
    <cellStyle name="_闽行新桥概算初设_吴江市区域供水第二水厂(一期)工程初设_徐州刘湾水厂工程项建书_徐州刘湾水厂工程项建书" xfId="2186"/>
    <cellStyle name="_闽行新桥概算初设_吴江市区域供水第二水厂(一期)工程初设_徐州刘湾水厂工程项建书_徐州刘湾水厂工程项建书(水厂取水泵站部分)20020210" xfId="2187"/>
    <cellStyle name="_闽行新桥概算初设_吴江市区域供水第二水厂(一期)工程初设_徐州刘湾水厂工程项建书_徐州刘湾水厂工程项建书(水厂取水泵站部分)20020210_徐州刘湾水厂工程可行性201203" xfId="2188"/>
    <cellStyle name="_闽行新桥概算初设_吴江市区域供水第二水厂(一期)工程初设_徐州刘湾水厂工程项建书_徐州刘湾水厂工程项建书(水厂取水泵站部分)20020210_徐州刘湾水厂工程可行性201203_徐州刘湾水厂工程可行性201203" xfId="2189"/>
    <cellStyle name="_闽行新桥概算初设_吴江市区域供水第二水厂(一期)工程初设_徐州刘湾水厂工程项建书_徐州刘湾水厂工程项建书(水厂取水泵站部分)20020210_徐州刘湾水厂工程可行性201203_徐州刘湾水厂工程可行性201203_徐州刘湾水厂工程可行性201203" xfId="2190"/>
    <cellStyle name="_闽行新桥概算初设_吴江市区域供水第二水厂(一期)工程初设_徐州刘湾水厂工程项建书_徐州刘湾水厂工程项建书_徐州刘湾水厂工程可行性201203" xfId="2191"/>
    <cellStyle name="_闽行新桥概算初设_吴江市区域供水第二水厂(一期)工程初设_徐州刘湾水厂工程项建书_徐州刘湾水厂工程项建书_徐州刘湾水厂工程可行性201203_徐州刘湾水厂工程可行性201203" xfId="2192"/>
    <cellStyle name="_闽行新桥概算初设_吴江市区域供水第二水厂(一期)工程初设_徐州刘湾水厂工程项建书_徐州刘湾水厂工程项建书_徐州刘湾水厂工程可行性201203_徐州刘湾水厂工程可行性201203_徐州刘湾水厂工程可行性201203" xfId="2193"/>
    <cellStyle name="_闽行新桥概算初设_吴江市区域供水第二水厂(一期)工程初设_徐州刘湾水厂工程项建书_徐州刘湾水厂工程项建书_徐州刘湾水厂工程项建书" xfId="2194"/>
    <cellStyle name="_闽行新桥概算初设_吴江市区域供水第二水厂(一期)工程初设_徐州刘湾水厂工程项建书_徐州刘湾水厂工程项建书_徐州刘湾水厂工程项建书(水厂部分一二期拆分)20111207" xfId="2195"/>
    <cellStyle name="_闽行新桥概算初设_吴江市区域供水第二水厂(一期)工程初设_徐州刘湾水厂工程项建书_徐州刘湾水厂工程项建书_徐州刘湾水厂工程项建书(水厂部分一二期拆分)20111207_徐州刘湾水厂工程可行性201203" xfId="2196"/>
    <cellStyle name="_闽行新桥概算初设_吴江市区域供水第二水厂(一期)工程初设_徐州刘湾水厂工程项建书_徐州刘湾水厂工程项建书_徐州刘湾水厂工程项建书(水厂部分一二期拆分)20111207_徐州刘湾水厂工程可行性201203_徐州刘湾水厂工程可行性201203" xfId="2197"/>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 xfId="2198"/>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 xfId="2199"/>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 xfId="2200"/>
    <cellStyle name="_闽行新桥概算初设_吴江市区域供水第二水厂(一期)工程初设_徐州刘湾水厂工程项建书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201"/>
    <cellStyle name="_闽行新桥概算初设_吴江市区域供水第二水厂(一期)工程初设_徐州刘湾水厂工程项建书_徐州刘湾水厂工程项建书_徐州刘湾水厂工程项建书_徐州刘湾水厂工程可行性201203" xfId="2202"/>
    <cellStyle name="_闽行新桥概算初设_吴江市区域供水第二水厂(一期)工程初设_徐州刘湾水厂工程项建书_徐州刘湾水厂工程项建书_徐州刘湾水厂工程项建书_徐州刘湾水厂工程可行性201203_徐州刘湾水厂工程可行性201203" xfId="2203"/>
    <cellStyle name="_闽行新桥概算初设_吴江市区域供水第二水厂(一期)工程初设_徐州刘湾水厂工程项建书_徐州刘湾水厂工程项建书_徐州刘湾水厂工程项建书_徐州刘湾水厂工程项建书(水厂取水泵站部分)20020210" xfId="2204"/>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 xfId="2205"/>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 xfId="2206"/>
    <cellStyle name="_闽行新桥概算初设_吴江市区域供水第二水厂(一期)工程初设_徐州刘湾水厂工程项建书_徐州刘湾水厂工程项建书_徐州刘湾水厂工程项建书_徐州刘湾水厂工程项建书(水厂取水泵站部分)20020210_徐州刘湾水厂工程可行性201203_徐州刘湾水厂工程可行性201203_徐州刘湾水厂工程可行性201203" xfId="2207"/>
    <cellStyle name="_闽行新桥概算初设_徐州刘湾水厂工程可行性201203" xfId="2208"/>
    <cellStyle name="_闽行新桥概算初设_徐州刘湾水厂工程可行性201203_徐州刘湾水厂工程可行性201203" xfId="2209"/>
    <cellStyle name="_闽行新桥概算初设_徐州刘湾水厂工程项建书" xfId="2210"/>
    <cellStyle name="_闽行新桥概算初设_徐州刘湾水厂工程项建书(水厂取水泵站部分)20020210" xfId="2211"/>
    <cellStyle name="_闽行新桥概算初设_徐州刘湾水厂工程项建书(水厂取水泵站部分)20020210_徐州刘湾水厂工程可行性201203" xfId="2212"/>
    <cellStyle name="_闽行新桥概算初设_徐州刘湾水厂工程项建书(水厂取水泵站部分)20020210_徐州刘湾水厂工程可行性201203_徐州刘湾水厂工程可行性201203" xfId="2213"/>
    <cellStyle name="_闽行新桥概算初设_徐州刘湾水厂工程项建书(水厂取水泵站部分)20020210_徐州刘湾水厂工程可行性201203_徐州刘湾水厂工程可行性201203_徐州刘湾水厂工程可行性201203" xfId="2214"/>
    <cellStyle name="_闽行新桥概算初设_徐州刘湾水厂工程项建书_徐州刘湾水厂工程可行性201203" xfId="2215"/>
    <cellStyle name="_闽行新桥概算初设_徐州刘湾水厂工程项建书_徐州刘湾水厂工程可行性201203_徐州刘湾水厂工程可行性201203" xfId="2216"/>
    <cellStyle name="_闽行新桥概算初设_徐州刘湾水厂工程项建书_徐州刘湾水厂工程可行性201203_徐州刘湾水厂工程可行性201203_徐州刘湾水厂工程可行性201203" xfId="2217"/>
    <cellStyle name="_闽行新桥概算初设_徐州刘湾水厂工程项建书_徐州刘湾水厂工程项建书" xfId="2218"/>
    <cellStyle name="_闽行新桥概算初设_徐州刘湾水厂工程项建书_徐州刘湾水厂工程项建书(水厂部分一二期拆分)20111207" xfId="2219"/>
    <cellStyle name="_闽行新桥概算初设_徐州刘湾水厂工程项建书_徐州刘湾水厂工程项建书(水厂部分一二期拆分)20111207_徐州刘湾水厂工程可行性201203" xfId="2220"/>
    <cellStyle name="_闽行新桥概算初设_徐州刘湾水厂工程项建书_徐州刘湾水厂工程项建书(水厂部分一二期拆分)20111207_徐州刘湾水厂工程可行性201203_徐州刘湾水厂工程可行性201203" xfId="2221"/>
    <cellStyle name="_闽行新桥概算初设_徐州刘湾水厂工程项建书_徐州刘湾水厂工程项建书(水厂部分一二期拆分)20111207_徐州刘湾水厂工程项建书(水厂取水泵站部分)20020210" xfId="2222"/>
    <cellStyle name="_闽行新桥概算初设_徐州刘湾水厂工程项建书_徐州刘湾水厂工程项建书(水厂部分一二期拆分)20111207_徐州刘湾水厂工程项建书(水厂取水泵站部分)20020210_徐州刘湾水厂工程可行性201203" xfId="2223"/>
    <cellStyle name="_闽行新桥概算初设_徐州刘湾水厂工程项建书_徐州刘湾水厂工程项建书(水厂部分一二期拆分)20111207_徐州刘湾水厂工程项建书(水厂取水泵站部分)20020210_徐州刘湾水厂工程可行性201203_徐州刘湾水厂工程可行性201203" xfId="2224"/>
    <cellStyle name="_闽行新桥概算初设_徐州刘湾水厂工程项建书_徐州刘湾水厂工程项建书(水厂部分一二期拆分)20111207_徐州刘湾水厂工程项建书(水厂取水泵站部分)20020210_徐州刘湾水厂工程可行性201203_徐州刘湾水厂工程可行性201203_徐州刘湾水厂工程可行性201203" xfId="2225"/>
    <cellStyle name="_闽行新桥概算初设_徐州刘湾水厂工程项建书_徐州刘湾水厂工程项建书_徐州刘湾水厂工程可行性201203" xfId="2226"/>
    <cellStyle name="_闽行新桥概算初设_徐州刘湾水厂工程项建书_徐州刘湾水厂工程项建书_徐州刘湾水厂工程可行性201203_徐州刘湾水厂工程可行性201203" xfId="2227"/>
    <cellStyle name="_闽行新桥概算初设_徐州刘湾水厂工程项建书_徐州刘湾水厂工程项建书_徐州刘湾水厂工程项建书(水厂取水泵站部分)20020210" xfId="2228"/>
    <cellStyle name="_闽行新桥概算初设_徐州刘湾水厂工程项建书_徐州刘湾水厂工程项建书_徐州刘湾水厂工程项建书(水厂取水泵站部分)20020210_徐州刘湾水厂工程可行性201203" xfId="2229"/>
    <cellStyle name="_闽行新桥概算初设_徐州刘湾水厂工程项建书_徐州刘湾水厂工程项建书_徐州刘湾水厂工程项建书(水厂取水泵站部分)20020210_徐州刘湾水厂工程可行性201203_徐州刘湾水厂工程可行性201203" xfId="2230"/>
    <cellStyle name="_闽行新桥概算初设_徐州刘湾水厂工程项建书_徐州刘湾水厂工程项建书_徐州刘湾水厂工程项建书(水厂取水泵站部分)20020210_徐州刘湾水厂工程可行性201203_徐州刘湾水厂工程可行性201203_徐州刘湾水厂工程可行性201203" xfId="2231"/>
    <cellStyle name="_南昌概算20100608" xfId="2232"/>
    <cellStyle name="_南昌估算（初稿）(校队修改稿）081124" xfId="2233"/>
    <cellStyle name="_南京龙潭水厂修改20110323" xfId="2234"/>
    <cellStyle name="_南通狼山分厂计算2" xfId="2235"/>
    <cellStyle name="_南通狼山水厂分厂初设2010.11.1" xfId="2236"/>
    <cellStyle name="_南通狼山水厂分厂工可2010.7.9" xfId="2237"/>
    <cellStyle name="_南通狼山水厂分厂工可投标2010.5.19" xfId="2238"/>
    <cellStyle name="_南通西北片补工可" xfId="2239"/>
    <cellStyle name="_宁波化工区工业水厂异地迁建工程(QQ）" xfId="2240"/>
    <cellStyle name="_平面布置安装" xfId="2241"/>
    <cellStyle name="_浦东机场-项建书2" xfId="2242"/>
    <cellStyle name="_鹊华水厂电气、自控" xfId="2243"/>
    <cellStyle name="_三明市第二水源工程工可调整" xfId="2244"/>
    <cellStyle name="_厦门工可估算" xfId="2245"/>
    <cellStyle name="_上街5万吨投资估算" xfId="2246"/>
    <cellStyle name="_上溪-1（审批调整）" xfId="2247"/>
    <cellStyle name="_蛇口管网" xfId="2248"/>
    <cellStyle name="_设备及管配件" xfId="2249"/>
    <cellStyle name="_设备及管配件V1.01" xfId="2250"/>
    <cellStyle name="_沈阳管沟初设" xfId="2251"/>
    <cellStyle name="_沈阳管沟工可（现浇）" xfId="2252"/>
    <cellStyle name="_十一厂管配件表(刘)" xfId="2253"/>
    <cellStyle name="_世博园区(浦东)管沟.-孙晨xls" xfId="2254"/>
    <cellStyle name="_世博园区-(浦东)-综合管沟-修" xfId="2255"/>
    <cellStyle name="_柿园水厂2011.10.11" xfId="2256"/>
    <cellStyle name="_柿园水厂2011.9.9" xfId="2257"/>
    <cellStyle name="_泗泾水库泵站工可" xfId="2258"/>
    <cellStyle name="_松江区小昆山水厂一期工程" xfId="2259"/>
    <cellStyle name="_苏州吴中区概算" xfId="2260"/>
    <cellStyle name="_太原路中转站2010.09.04" xfId="2261"/>
    <cellStyle name="_泰安初设(新出调1.3亿)" xfId="2262"/>
    <cellStyle name="_泰和水厂初设概算（改设备不改土建）" xfId="2263"/>
    <cellStyle name="_投资20111015" xfId="2264"/>
    <cellStyle name="_投资估算" xfId="2265"/>
    <cellStyle name="_投资估算(设计优化）20090318" xfId="2266"/>
    <cellStyle name="_投资估算070820" xfId="2267"/>
    <cellStyle name="_投资估算071105" xfId="2268"/>
    <cellStyle name="_土建清单" xfId="2269"/>
    <cellStyle name="_温岭南片污水厂概算2012.6.60" xfId="2270"/>
    <cellStyle name="_无锡工可" xfId="2271"/>
    <cellStyle name="_无锡工可调整" xfId="2272"/>
    <cellStyle name="_无锡中桥深度处理初设" xfId="2273"/>
    <cellStyle name="_西外环初设概算" xfId="2274"/>
    <cellStyle name="_箱涵初设校对(按四段分)" xfId="2275"/>
    <cellStyle name="_箱涵初设校对评审稿(按四段分)" xfId="2276"/>
    <cellStyle name="_项建书估算20110106" xfId="2277"/>
    <cellStyle name="_项建书细" xfId="2278"/>
    <cellStyle name="_新舟山岱山小高亭水厂工程201208-工可总表" xfId="2279"/>
    <cellStyle name="_徐泾概算(上报稿）" xfId="2280"/>
    <cellStyle name="_徐州刘湾水厂工程初设审批后调整201304" xfId="2281"/>
    <cellStyle name="_仪表计算" xfId="2282"/>
    <cellStyle name="_义乌水厂二期(上溪)2015.3.17" xfId="2283"/>
    <cellStyle name="_玉清水厂电气、自控" xfId="2284"/>
    <cellStyle name="_预臭氧接触池管配件" xfId="2285"/>
    <cellStyle name="_预臭氧接触池管配件_1" xfId="2286"/>
    <cellStyle name="_源江水厂一期工程初设概算（最终稿科技委评审2）" xfId="2287"/>
    <cellStyle name="_源江水厂一期工程施工图设计土建计算底稿（李）" xfId="2288"/>
    <cellStyle name="_正式稿 gs20101224" xfId="2289"/>
    <cellStyle name="_郑州刘湾水厂" xfId="2290"/>
    <cellStyle name="_郑州刘湾水厂工可（电子版）2011.9.1" xfId="2291"/>
    <cellStyle name="_郑州刘湾水厂工可2011.10.9 (version 1)" xfId="2292"/>
    <cellStyle name="_郑州刘湾水厂工可2011.6.16" xfId="2293"/>
    <cellStyle name="_郑州刘湾水厂工可2011.8.12" xfId="2294"/>
    <cellStyle name="_郑州刘湾水厂工可2011.9.1" xfId="2295"/>
    <cellStyle name="_郑州刘湾水厂工可总表（电子版）2011.10.13" xfId="2296"/>
    <cellStyle name="_郑州市东周水厂改造工程2011.10.11" xfId="2297"/>
    <cellStyle name="_中南院投标" xfId="2298"/>
    <cellStyle name="_淄博水厂计算0910" xfId="2299"/>
    <cellStyle name="_自控材料0506" xfId="2300"/>
    <cellStyle name="_综合加药间设备" xfId="2301"/>
    <cellStyle name="_总表" xfId="2302"/>
    <cellStyle name="_总表 " xfId="2303"/>
    <cellStyle name="_总表20110331" xfId="2304"/>
    <cellStyle name="_总表最终版" xfId="2305"/>
    <cellStyle name="0,0_x000a__x000a_NA_x000a__x000a_" xfId="2306"/>
    <cellStyle name="0,0_x000d__x000a_NA_x000d__x000a_" xfId="2307"/>
    <cellStyle name="0,0_x000d__x000a_NA_x000d__x000a_ 2" xfId="2308"/>
    <cellStyle name="0,0_x000d__x000a_NA_x000d__x000a_ 2 2" xfId="2309"/>
    <cellStyle name="0,0_x000d__x000a_NA_x000d__x000a_ 2 2 2" xfId="2310"/>
    <cellStyle name="0,0_x000d__x000a_NA_x000d__x000a_ 2 2 2 2" xfId="2311"/>
    <cellStyle name="0,0_x000d__x000a_NA_x000d__x000a_ 2 2 2 2 2" xfId="2312"/>
    <cellStyle name="0,0_x000d__x000a_NA_x000d__x000a_ 2 2 2 3" xfId="2313"/>
    <cellStyle name="0,0_x000d__x000a_NA_x000d__x000a_ 2 2 2 3 2" xfId="2314"/>
    <cellStyle name="0,0_x000d__x000a_NA_x000d__x000a_ 2 2 2 4" xfId="2315"/>
    <cellStyle name="0,0_x000d__x000a_NA_x000d__x000a_ 2 2 2_郑州新区二期扩建工程-概算总表 20180723" xfId="2316"/>
    <cellStyle name="0,0_x000d__x000a_NA_x000d__x000a_ 2 2 3" xfId="2317"/>
    <cellStyle name="0,0_x000d__x000a_NA_x000d__x000a_ 2 2 3 2" xfId="2318"/>
    <cellStyle name="0,0_x000d__x000a_NA_x000d__x000a_ 2 2 3 2 2" xfId="2319"/>
    <cellStyle name="0,0_x000d__x000a_NA_x000d__x000a_ 2 2 3 3" xfId="2320"/>
    <cellStyle name="0,0_x000d__x000a_NA_x000d__x000a_ 2 2 4" xfId="2321"/>
    <cellStyle name="0,0_x000d__x000a_NA_x000d__x000a_ 2 2 4 2" xfId="2322"/>
    <cellStyle name="0,0_x000d__x000a_NA_x000d__x000a_ 2 2 5" xfId="2323"/>
    <cellStyle name="0,0_x000d__x000a_NA_x000d__x000a_ 2 2 5 2" xfId="2324"/>
    <cellStyle name="0,0_x000d__x000a_NA_x000d__x000a_ 2 2 6" xfId="2325"/>
    <cellStyle name="0,0_x000d__x000a_NA_x000d__x000a_ 2 2_郑州新区二期扩建工程-概算总表 20180723" xfId="2326"/>
    <cellStyle name="0,0_x000d__x000a_NA_x000d__x000a_ 2 3" xfId="2327"/>
    <cellStyle name="0,0_x000d__x000a_NA_x000d__x000a_ 2 3 2" xfId="2328"/>
    <cellStyle name="0,0_x000d__x000a_NA_x000d__x000a_ 2 3 2 2" xfId="2329"/>
    <cellStyle name="0,0_x000d__x000a_NA_x000d__x000a_ 2 3 3" xfId="2330"/>
    <cellStyle name="0,0_x000d__x000a_NA_x000d__x000a_ 2 3 3 2" xfId="2331"/>
    <cellStyle name="0,0_x000d__x000a_NA_x000d__x000a_ 2 3 4" xfId="2332"/>
    <cellStyle name="0,0_x000d__x000a_NA_x000d__x000a_ 2 4" xfId="2333"/>
    <cellStyle name="0,0_x000d__x000a_NA_x000d__x000a_ 2 4 2" xfId="2334"/>
    <cellStyle name="0,0_x000d__x000a_NA_x000d__x000a_ 2 4 2 2" xfId="2335"/>
    <cellStyle name="0,0_x000d__x000a_NA_x000d__x000a_ 2 4 3" xfId="2336"/>
    <cellStyle name="0,0_x000d__x000a_NA_x000d__x000a_ 2 5" xfId="2337"/>
    <cellStyle name="0,0_x000d__x000a_NA_x000d__x000a_ 2 5 2" xfId="2338"/>
    <cellStyle name="0,0_x000d__x000a_NA_x000d__x000a_ 2 6" xfId="2339"/>
    <cellStyle name="0,0_x000d__x000a_NA_x000d__x000a_ 2 6 2" xfId="2340"/>
    <cellStyle name="0,0_x000d__x000a_NA_x000d__x000a_ 2 7" xfId="2341"/>
    <cellStyle name="0,0_x000d__x000a_NA_x000d__x000a_ 2 7 2" xfId="2342"/>
    <cellStyle name="0,0_x000d__x000a_NA_x000d__x000a_ 2 8" xfId="2343"/>
    <cellStyle name="0,0_x000d__x000a_NA_x000d__x000a_ 2_郑州新区二期扩建工程-概算总表 20180723" xfId="2344"/>
    <cellStyle name="0,0_x000d__x000a_NA_x000d__x000a_ 3" xfId="2345"/>
    <cellStyle name="0,0_x000d__x000a_NA_x000d__x000a_ 3 2" xfId="2346"/>
    <cellStyle name="0,0_x000d__x000a_NA_x000d__x000a_ 3 2 2" xfId="2347"/>
    <cellStyle name="0,0_x000d__x000a_NA_x000d__x000a_ 3 2 2 2" xfId="2348"/>
    <cellStyle name="0,0_x000d__x000a_NA_x000d__x000a_ 3 2 2 2 2" xfId="2349"/>
    <cellStyle name="0,0_x000d__x000a_NA_x000d__x000a_ 3 2 2 3" xfId="2350"/>
    <cellStyle name="0,0_x000d__x000a_NA_x000d__x000a_ 3 2 2 3 2" xfId="2351"/>
    <cellStyle name="0,0_x000d__x000a_NA_x000d__x000a_ 3 2 2 4" xfId="2352"/>
    <cellStyle name="0,0_x000d__x000a_NA_x000d__x000a_ 3 2 2_郑州新区二期扩建工程-概算总表 20180723" xfId="2353"/>
    <cellStyle name="0,0_x000d__x000a_NA_x000d__x000a_ 3 2 3" xfId="2354"/>
    <cellStyle name="0,0_x000d__x000a_NA_x000d__x000a_ 3 2 3 2" xfId="2355"/>
    <cellStyle name="0,0_x000d__x000a_NA_x000d__x000a_ 3 2 4" xfId="2356"/>
    <cellStyle name="0,0_x000d__x000a_NA_x000d__x000a_ 3 2 4 2" xfId="2357"/>
    <cellStyle name="0,0_x000d__x000a_NA_x000d__x000a_ 3 2 5" xfId="2358"/>
    <cellStyle name="0,0_x000d__x000a_NA_x000d__x000a_ 3 2_郑州新区二期扩建工程-概算总表 20180723" xfId="2359"/>
    <cellStyle name="0,0_x000d__x000a_NA_x000d__x000a_ 3 3" xfId="2360"/>
    <cellStyle name="0,0_x000d__x000a_NA_x000d__x000a_ 3 3 2" xfId="2361"/>
    <cellStyle name="0,0_x000d__x000a_NA_x000d__x000a_ 3 3 2 2" xfId="2362"/>
    <cellStyle name="0,0_x000d__x000a_NA_x000d__x000a_ 3 3 3" xfId="2363"/>
    <cellStyle name="0,0_x000d__x000a_NA_x000d__x000a_ 3 3 3 2" xfId="2364"/>
    <cellStyle name="0,0_x000d__x000a_NA_x000d__x000a_ 3 3 4" xfId="2365"/>
    <cellStyle name="0,0_x000d__x000a_NA_x000d__x000a_ 3 4" xfId="2366"/>
    <cellStyle name="0,0_x000d__x000a_NA_x000d__x000a_ 3 4 2" xfId="2367"/>
    <cellStyle name="0,0_x000d__x000a_NA_x000d__x000a_ 3 4 2 2" xfId="2368"/>
    <cellStyle name="0,0_x000d__x000a_NA_x000d__x000a_ 3 4 3" xfId="2369"/>
    <cellStyle name="0,0_x000d__x000a_NA_x000d__x000a_ 3 5" xfId="2370"/>
    <cellStyle name="0,0_x000d__x000a_NA_x000d__x000a_ 3 5 2" xfId="2371"/>
    <cellStyle name="0,0_x000d__x000a_NA_x000d__x000a_ 3 6" xfId="2372"/>
    <cellStyle name="0,0_x000d__x000a_NA_x000d__x000a_ 3 6 2" xfId="2373"/>
    <cellStyle name="0,0_x000d__x000a_NA_x000d__x000a_ 3 7" xfId="2374"/>
    <cellStyle name="0,0_x000d__x000a_NA_x000d__x000a_ 3_郑州新区二期扩建工程-概算总表 20180723" xfId="2375"/>
    <cellStyle name="0,0_x000d__x000a_NA_x000d__x000a__初设概算2011.12.29" xfId="2376"/>
    <cellStyle name="20% - Accent1" xfId="2377"/>
    <cellStyle name="20% - Accent2" xfId="2378"/>
    <cellStyle name="20% - Accent3" xfId="2379"/>
    <cellStyle name="20% - Accent4" xfId="2380"/>
    <cellStyle name="20% - Accent5" xfId="2381"/>
    <cellStyle name="20% - Accent6" xfId="2382"/>
    <cellStyle name="20% - 强调文字颜色 1 2" xfId="2383"/>
    <cellStyle name="20% - 强调文字颜色 1 2 10" xfId="2384"/>
    <cellStyle name="20% - 强调文字颜色 1 2 2" xfId="2385"/>
    <cellStyle name="20% - 强调文字颜色 1 2 2 2" xfId="2386"/>
    <cellStyle name="20% - 强调文字颜色 1 2 2 2 2" xfId="2387"/>
    <cellStyle name="20% - 强调文字颜色 1 2 2 2 2 2" xfId="2388"/>
    <cellStyle name="20% - 强调文字颜色 1 2 2 2 2 2 2" xfId="2389"/>
    <cellStyle name="20% - 强调文字颜色 1 2 2 2 2 3" xfId="2390"/>
    <cellStyle name="20% - 强调文字颜色 1 2 2 2 3" xfId="2391"/>
    <cellStyle name="20% - 强调文字颜色 1 2 2 2 3 2" xfId="2392"/>
    <cellStyle name="20% - 强调文字颜色 1 2 2 2 4" xfId="2393"/>
    <cellStyle name="20% - 强调文字颜色 1 2 2 2 4 2" xfId="2394"/>
    <cellStyle name="20% - 强调文字颜色 1 2 2 2 5" xfId="2395"/>
    <cellStyle name="20% - 强调文字颜色 1 2 2 3" xfId="2396"/>
    <cellStyle name="20% - 强调文字颜色 1 2 2 3 2" xfId="2397"/>
    <cellStyle name="20% - 强调文字颜色 1 2 2 3 2 2" xfId="2398"/>
    <cellStyle name="20% - 强调文字颜色 1 2 2 3 3" xfId="2399"/>
    <cellStyle name="20% - 强调文字颜色 1 2 2 3 3 2" xfId="2400"/>
    <cellStyle name="20% - 强调文字颜色 1 2 2 3 4" xfId="2401"/>
    <cellStyle name="20% - 强调文字颜色 1 2 2 3 4 2" xfId="2402"/>
    <cellStyle name="20% - 强调文字颜色 1 2 2 3 5" xfId="2403"/>
    <cellStyle name="20% - 强调文字颜色 1 2 2 4" xfId="2404"/>
    <cellStyle name="20% - 强调文字颜色 1 2 2 4 2" xfId="2405"/>
    <cellStyle name="20% - 强调文字颜色 1 2 2 4 2 2" xfId="2406"/>
    <cellStyle name="20% - 强调文字颜色 1 2 2 4 3" xfId="2407"/>
    <cellStyle name="20% - 强调文字颜色 1 2 2 5" xfId="2408"/>
    <cellStyle name="20% - 强调文字颜色 1 2 2 5 2" xfId="2409"/>
    <cellStyle name="20% - 强调文字颜色 1 2 2 6" xfId="2410"/>
    <cellStyle name="20% - 强调文字颜色 1 2 2 6 2" xfId="2411"/>
    <cellStyle name="20% - 强调文字颜色 1 2 2 7" xfId="2412"/>
    <cellStyle name="20% - 强调文字颜色 1 2 3" xfId="2413"/>
    <cellStyle name="20% - 强调文字颜色 1 2 3 2" xfId="2414"/>
    <cellStyle name="20% - 强调文字颜色 1 2 3 2 2" xfId="2415"/>
    <cellStyle name="20% - 强调文字颜色 1 2 3 2 2 2" xfId="2416"/>
    <cellStyle name="20% - 强调文字颜色 1 2 3 2 3" xfId="2417"/>
    <cellStyle name="20% - 强调文字颜色 1 2 3 3" xfId="2418"/>
    <cellStyle name="20% - 强调文字颜色 1 2 3 3 2" xfId="2419"/>
    <cellStyle name="20% - 强调文字颜色 1 2 3 4" xfId="2420"/>
    <cellStyle name="20% - 强调文字颜色 1 2 3 4 2" xfId="2421"/>
    <cellStyle name="20% - 强调文字颜色 1 2 3 5" xfId="2422"/>
    <cellStyle name="20% - 强调文字颜色 1 2 4" xfId="2423"/>
    <cellStyle name="20% - 强调文字颜色 1 2 4 2" xfId="2424"/>
    <cellStyle name="20% - 强调文字颜色 1 2 4 2 2" xfId="2425"/>
    <cellStyle name="20% - 强调文字颜色 1 2 4 3" xfId="2426"/>
    <cellStyle name="20% - 强调文字颜色 1 2 5" xfId="2427"/>
    <cellStyle name="20% - 强调文字颜色 1 2 5 2" xfId="2428"/>
    <cellStyle name="20% - 强调文字颜色 1 2 5 2 2" xfId="2429"/>
    <cellStyle name="20% - 强调文字颜色 1 2 5 3" xfId="2430"/>
    <cellStyle name="20% - 强调文字颜色 1 2 6" xfId="2431"/>
    <cellStyle name="20% - 强调文字颜色 1 2 6 2" xfId="2432"/>
    <cellStyle name="20% - 强调文字颜色 1 2 7" xfId="2433"/>
    <cellStyle name="20% - 强调文字颜色 1 2 7 2" xfId="2434"/>
    <cellStyle name="20% - 强调文字颜色 1 2 8" xfId="2435"/>
    <cellStyle name="20% - 强调文字颜色 1 2 8 2" xfId="2436"/>
    <cellStyle name="20% - 强调文字颜色 1 2 9" xfId="2437"/>
    <cellStyle name="20% - 强调文字颜色 1 2 9 2" xfId="2438"/>
    <cellStyle name="20% - 强调文字颜色 1 2_郑州新区二期扩建工程-概算总表 20180723" xfId="2439"/>
    <cellStyle name="20% - 强调文字颜色 1 3" xfId="2440"/>
    <cellStyle name="20% - 强调文字颜色 1 3 2" xfId="2441"/>
    <cellStyle name="20% - 强调文字颜色 1 3 2 2" xfId="2442"/>
    <cellStyle name="20% - 强调文字颜色 1 3 3" xfId="2443"/>
    <cellStyle name="20% - 强调文字颜色 2 2" xfId="2444"/>
    <cellStyle name="20% - 强调文字颜色 2 2 10" xfId="2445"/>
    <cellStyle name="20% - 强调文字颜色 2 2 2" xfId="2446"/>
    <cellStyle name="20% - 强调文字颜色 2 2 2 2" xfId="2447"/>
    <cellStyle name="20% - 强调文字颜色 2 2 2 2 2" xfId="2448"/>
    <cellStyle name="20% - 强调文字颜色 2 2 2 2 2 2" xfId="2449"/>
    <cellStyle name="20% - 强调文字颜色 2 2 2 2 2 2 2" xfId="2450"/>
    <cellStyle name="20% - 强调文字颜色 2 2 2 2 2 3" xfId="2451"/>
    <cellStyle name="20% - 强调文字颜色 2 2 2 2 3" xfId="2452"/>
    <cellStyle name="20% - 强调文字颜色 2 2 2 2 3 2" xfId="2453"/>
    <cellStyle name="20% - 强调文字颜色 2 2 2 2 4" xfId="2454"/>
    <cellStyle name="20% - 强调文字颜色 2 2 2 2 4 2" xfId="2455"/>
    <cellStyle name="20% - 强调文字颜色 2 2 2 2 5" xfId="2456"/>
    <cellStyle name="20% - 强调文字颜色 2 2 2 3" xfId="2457"/>
    <cellStyle name="20% - 强调文字颜色 2 2 2 3 2" xfId="2458"/>
    <cellStyle name="20% - 强调文字颜色 2 2 2 3 2 2" xfId="2459"/>
    <cellStyle name="20% - 强调文字颜色 2 2 2 3 3" xfId="2460"/>
    <cellStyle name="20% - 强调文字颜色 2 2 2 3 3 2" xfId="2461"/>
    <cellStyle name="20% - 强调文字颜色 2 2 2 3 4" xfId="2462"/>
    <cellStyle name="20% - 强调文字颜色 2 2 2 3 4 2" xfId="2463"/>
    <cellStyle name="20% - 强调文字颜色 2 2 2 3 5" xfId="2464"/>
    <cellStyle name="20% - 强调文字颜色 2 2 2 4" xfId="2465"/>
    <cellStyle name="20% - 强调文字颜色 2 2 2 4 2" xfId="2466"/>
    <cellStyle name="20% - 强调文字颜色 2 2 2 4 2 2" xfId="2467"/>
    <cellStyle name="20% - 强调文字颜色 2 2 2 4 3" xfId="2468"/>
    <cellStyle name="20% - 强调文字颜色 2 2 2 5" xfId="2469"/>
    <cellStyle name="20% - 强调文字颜色 2 2 2 5 2" xfId="2470"/>
    <cellStyle name="20% - 强调文字颜色 2 2 2 6" xfId="2471"/>
    <cellStyle name="20% - 强调文字颜色 2 2 2 6 2" xfId="2472"/>
    <cellStyle name="20% - 强调文字颜色 2 2 2 7" xfId="2473"/>
    <cellStyle name="20% - 强调文字颜色 2 2 3" xfId="2474"/>
    <cellStyle name="20% - 强调文字颜色 2 2 3 2" xfId="2475"/>
    <cellStyle name="20% - 强调文字颜色 2 2 3 2 2" xfId="2476"/>
    <cellStyle name="20% - 强调文字颜色 2 2 3 2 2 2" xfId="2477"/>
    <cellStyle name="20% - 强调文字颜色 2 2 3 2 3" xfId="2478"/>
    <cellStyle name="20% - 强调文字颜色 2 2 3 3" xfId="2479"/>
    <cellStyle name="20% - 强调文字颜色 2 2 3 3 2" xfId="2480"/>
    <cellStyle name="20% - 强调文字颜色 2 2 3 4" xfId="2481"/>
    <cellStyle name="20% - 强调文字颜色 2 2 3 4 2" xfId="2482"/>
    <cellStyle name="20% - 强调文字颜色 2 2 3 5" xfId="2483"/>
    <cellStyle name="20% - 强调文字颜色 2 2 4" xfId="2484"/>
    <cellStyle name="20% - 强调文字颜色 2 2 4 2" xfId="2485"/>
    <cellStyle name="20% - 强调文字颜色 2 2 4 2 2" xfId="2486"/>
    <cellStyle name="20% - 强调文字颜色 2 2 4 3" xfId="2487"/>
    <cellStyle name="20% - 强调文字颜色 2 2 5" xfId="2488"/>
    <cellStyle name="20% - 强调文字颜色 2 2 5 2" xfId="2489"/>
    <cellStyle name="20% - 强调文字颜色 2 2 5 2 2" xfId="2490"/>
    <cellStyle name="20% - 强调文字颜色 2 2 5 3" xfId="2491"/>
    <cellStyle name="20% - 强调文字颜色 2 2 6" xfId="2492"/>
    <cellStyle name="20% - 强调文字颜色 2 2 6 2" xfId="2493"/>
    <cellStyle name="20% - 强调文字颜色 2 2 7" xfId="2494"/>
    <cellStyle name="20% - 强调文字颜色 2 2 7 2" xfId="2495"/>
    <cellStyle name="20% - 强调文字颜色 2 2 8" xfId="2496"/>
    <cellStyle name="20% - 强调文字颜色 2 2 8 2" xfId="2497"/>
    <cellStyle name="20% - 强调文字颜色 2 2 9" xfId="2498"/>
    <cellStyle name="20% - 强调文字颜色 2 2 9 2" xfId="2499"/>
    <cellStyle name="20% - 强调文字颜色 2 2_郑州新区二期扩建工程-概算总表 20180723" xfId="2500"/>
    <cellStyle name="20% - 强调文字颜色 2 3" xfId="2501"/>
    <cellStyle name="20% - 强调文字颜色 2 3 2" xfId="2502"/>
    <cellStyle name="20% - 强调文字颜色 2 3 2 2" xfId="2503"/>
    <cellStyle name="20% - 强调文字颜色 2 3 3" xfId="2504"/>
    <cellStyle name="20% - 强调文字颜色 3 2" xfId="2505"/>
    <cellStyle name="20% - 强调文字颜色 3 2 10" xfId="2506"/>
    <cellStyle name="20% - 强调文字颜色 3 2 2" xfId="2507"/>
    <cellStyle name="20% - 强调文字颜色 3 2 2 2" xfId="2508"/>
    <cellStyle name="20% - 强调文字颜色 3 2 2 2 2" xfId="2509"/>
    <cellStyle name="20% - 强调文字颜色 3 2 2 2 2 2" xfId="2510"/>
    <cellStyle name="20% - 强调文字颜色 3 2 2 2 2 2 2" xfId="2511"/>
    <cellStyle name="20% - 强调文字颜色 3 2 2 2 2 3" xfId="2512"/>
    <cellStyle name="20% - 强调文字颜色 3 2 2 2 3" xfId="2513"/>
    <cellStyle name="20% - 强调文字颜色 3 2 2 2 3 2" xfId="2514"/>
    <cellStyle name="20% - 强调文字颜色 3 2 2 2 4" xfId="2515"/>
    <cellStyle name="20% - 强调文字颜色 3 2 2 2 4 2" xfId="2516"/>
    <cellStyle name="20% - 强调文字颜色 3 2 2 2 5" xfId="2517"/>
    <cellStyle name="20% - 强调文字颜色 3 2 2 3" xfId="2518"/>
    <cellStyle name="20% - 强调文字颜色 3 2 2 3 2" xfId="2519"/>
    <cellStyle name="20% - 强调文字颜色 3 2 2 3 2 2" xfId="2520"/>
    <cellStyle name="20% - 强调文字颜色 3 2 2 3 3" xfId="2521"/>
    <cellStyle name="20% - 强调文字颜色 3 2 2 3 3 2" xfId="2522"/>
    <cellStyle name="20% - 强调文字颜色 3 2 2 3 4" xfId="2523"/>
    <cellStyle name="20% - 强调文字颜色 3 2 2 3 4 2" xfId="2524"/>
    <cellStyle name="20% - 强调文字颜色 3 2 2 3 5" xfId="2525"/>
    <cellStyle name="20% - 强调文字颜色 3 2 2 4" xfId="2526"/>
    <cellStyle name="20% - 强调文字颜色 3 2 2 4 2" xfId="2527"/>
    <cellStyle name="20% - 强调文字颜色 3 2 2 4 2 2" xfId="2528"/>
    <cellStyle name="20% - 强调文字颜色 3 2 2 4 3" xfId="2529"/>
    <cellStyle name="20% - 强调文字颜色 3 2 2 5" xfId="2530"/>
    <cellStyle name="20% - 强调文字颜色 3 2 2 5 2" xfId="2531"/>
    <cellStyle name="20% - 强调文字颜色 3 2 2 6" xfId="2532"/>
    <cellStyle name="20% - 强调文字颜色 3 2 2 6 2" xfId="2533"/>
    <cellStyle name="20% - 强调文字颜色 3 2 2 7" xfId="2534"/>
    <cellStyle name="20% - 强调文字颜色 3 2 3" xfId="2535"/>
    <cellStyle name="20% - 强调文字颜色 3 2 3 2" xfId="2536"/>
    <cellStyle name="20% - 强调文字颜色 3 2 3 2 2" xfId="2537"/>
    <cellStyle name="20% - 强调文字颜色 3 2 3 2 2 2" xfId="2538"/>
    <cellStyle name="20% - 强调文字颜色 3 2 3 2 3" xfId="2539"/>
    <cellStyle name="20% - 强调文字颜色 3 2 3 3" xfId="2540"/>
    <cellStyle name="20% - 强调文字颜色 3 2 3 3 2" xfId="2541"/>
    <cellStyle name="20% - 强调文字颜色 3 2 3 4" xfId="2542"/>
    <cellStyle name="20% - 强调文字颜色 3 2 3 4 2" xfId="2543"/>
    <cellStyle name="20% - 强调文字颜色 3 2 3 5" xfId="2544"/>
    <cellStyle name="20% - 强调文字颜色 3 2 4" xfId="2545"/>
    <cellStyle name="20% - 强调文字颜色 3 2 4 2" xfId="2546"/>
    <cellStyle name="20% - 强调文字颜色 3 2 4 2 2" xfId="2547"/>
    <cellStyle name="20% - 强调文字颜色 3 2 4 3" xfId="2548"/>
    <cellStyle name="20% - 强调文字颜色 3 2 5" xfId="2549"/>
    <cellStyle name="20% - 强调文字颜色 3 2 5 2" xfId="2550"/>
    <cellStyle name="20% - 强调文字颜色 3 2 5 2 2" xfId="2551"/>
    <cellStyle name="20% - 强调文字颜色 3 2 5 3" xfId="2552"/>
    <cellStyle name="20% - 强调文字颜色 3 2 6" xfId="2553"/>
    <cellStyle name="20% - 强调文字颜色 3 2 6 2" xfId="2554"/>
    <cellStyle name="20% - 强调文字颜色 3 2 7" xfId="2555"/>
    <cellStyle name="20% - 强调文字颜色 3 2 7 2" xfId="2556"/>
    <cellStyle name="20% - 强调文字颜色 3 2 8" xfId="2557"/>
    <cellStyle name="20% - 强调文字颜色 3 2 8 2" xfId="2558"/>
    <cellStyle name="20% - 强调文字颜色 3 2 9" xfId="2559"/>
    <cellStyle name="20% - 强调文字颜色 3 2 9 2" xfId="2560"/>
    <cellStyle name="20% - 强调文字颜色 3 2_郑州新区二期扩建工程-概算总表 20180723" xfId="2561"/>
    <cellStyle name="20% - 强调文字颜色 3 3" xfId="2562"/>
    <cellStyle name="20% - 强调文字颜色 3 3 2" xfId="2563"/>
    <cellStyle name="20% - 强调文字颜色 3 3 2 2" xfId="2564"/>
    <cellStyle name="20% - 强调文字颜色 3 3 3" xfId="2565"/>
    <cellStyle name="20% - 强调文字颜色 4 2" xfId="2566"/>
    <cellStyle name="20% - 强调文字颜色 4 2 10" xfId="2567"/>
    <cellStyle name="20% - 强调文字颜色 4 2 2" xfId="2568"/>
    <cellStyle name="20% - 强调文字颜色 4 2 2 2" xfId="2569"/>
    <cellStyle name="20% - 强调文字颜色 4 2 2 2 2" xfId="2570"/>
    <cellStyle name="20% - 强调文字颜色 4 2 2 2 2 2" xfId="2571"/>
    <cellStyle name="20% - 强调文字颜色 4 2 2 2 2 2 2" xfId="2572"/>
    <cellStyle name="20% - 强调文字颜色 4 2 2 2 2 3" xfId="2573"/>
    <cellStyle name="20% - 强调文字颜色 4 2 2 2 3" xfId="2574"/>
    <cellStyle name="20% - 强调文字颜色 4 2 2 2 3 2" xfId="2575"/>
    <cellStyle name="20% - 强调文字颜色 4 2 2 2 4" xfId="2576"/>
    <cellStyle name="20% - 强调文字颜色 4 2 2 2 4 2" xfId="2577"/>
    <cellStyle name="20% - 强调文字颜色 4 2 2 2 5" xfId="2578"/>
    <cellStyle name="20% - 强调文字颜色 4 2 2 3" xfId="2579"/>
    <cellStyle name="20% - 强调文字颜色 4 2 2 3 2" xfId="2580"/>
    <cellStyle name="20% - 强调文字颜色 4 2 2 3 2 2" xfId="2581"/>
    <cellStyle name="20% - 强调文字颜色 4 2 2 3 3" xfId="2582"/>
    <cellStyle name="20% - 强调文字颜色 4 2 2 3 3 2" xfId="2583"/>
    <cellStyle name="20% - 强调文字颜色 4 2 2 3 4" xfId="2584"/>
    <cellStyle name="20% - 强调文字颜色 4 2 2 3 4 2" xfId="2585"/>
    <cellStyle name="20% - 强调文字颜色 4 2 2 3 5" xfId="2586"/>
    <cellStyle name="20% - 强调文字颜色 4 2 2 4" xfId="2587"/>
    <cellStyle name="20% - 强调文字颜色 4 2 2 4 2" xfId="2588"/>
    <cellStyle name="20% - 强调文字颜色 4 2 2 4 2 2" xfId="2589"/>
    <cellStyle name="20% - 强调文字颜色 4 2 2 4 3" xfId="2590"/>
    <cellStyle name="20% - 强调文字颜色 4 2 2 5" xfId="2591"/>
    <cellStyle name="20% - 强调文字颜色 4 2 2 5 2" xfId="2592"/>
    <cellStyle name="20% - 强调文字颜色 4 2 2 6" xfId="2593"/>
    <cellStyle name="20% - 强调文字颜色 4 2 2 6 2" xfId="2594"/>
    <cellStyle name="20% - 强调文字颜色 4 2 2 7" xfId="2595"/>
    <cellStyle name="20% - 强调文字颜色 4 2 3" xfId="2596"/>
    <cellStyle name="20% - 强调文字颜色 4 2 3 2" xfId="2597"/>
    <cellStyle name="20% - 强调文字颜色 4 2 3 2 2" xfId="2598"/>
    <cellStyle name="20% - 强调文字颜色 4 2 3 2 2 2" xfId="2599"/>
    <cellStyle name="20% - 强调文字颜色 4 2 3 2 3" xfId="2600"/>
    <cellStyle name="20% - 强调文字颜色 4 2 3 3" xfId="2601"/>
    <cellStyle name="20% - 强调文字颜色 4 2 3 3 2" xfId="2602"/>
    <cellStyle name="20% - 强调文字颜色 4 2 3 4" xfId="2603"/>
    <cellStyle name="20% - 强调文字颜色 4 2 3 4 2" xfId="2604"/>
    <cellStyle name="20% - 强调文字颜色 4 2 3 5" xfId="2605"/>
    <cellStyle name="20% - 强调文字颜色 4 2 4" xfId="2606"/>
    <cellStyle name="20% - 强调文字颜色 4 2 4 2" xfId="2607"/>
    <cellStyle name="20% - 强调文字颜色 4 2 4 2 2" xfId="2608"/>
    <cellStyle name="20% - 强调文字颜色 4 2 4 3" xfId="2609"/>
    <cellStyle name="20% - 强调文字颜色 4 2 5" xfId="2610"/>
    <cellStyle name="20% - 强调文字颜色 4 2 5 2" xfId="2611"/>
    <cellStyle name="20% - 强调文字颜色 4 2 5 2 2" xfId="2612"/>
    <cellStyle name="20% - 强调文字颜色 4 2 5 3" xfId="2613"/>
    <cellStyle name="20% - 强调文字颜色 4 2 6" xfId="2614"/>
    <cellStyle name="20% - 强调文字颜色 4 2 6 2" xfId="2615"/>
    <cellStyle name="20% - 强调文字颜色 4 2 7" xfId="2616"/>
    <cellStyle name="20% - 强调文字颜色 4 2 7 2" xfId="2617"/>
    <cellStyle name="20% - 强调文字颜色 4 2 8" xfId="2618"/>
    <cellStyle name="20% - 强调文字颜色 4 2 8 2" xfId="2619"/>
    <cellStyle name="20% - 强调文字颜色 4 2 9" xfId="2620"/>
    <cellStyle name="20% - 强调文字颜色 4 2 9 2" xfId="2621"/>
    <cellStyle name="20% - 强调文字颜色 4 2_郑州新区二期扩建工程-概算总表 20180723" xfId="2622"/>
    <cellStyle name="20% - 强调文字颜色 4 3" xfId="2623"/>
    <cellStyle name="20% - 强调文字颜色 4 3 2" xfId="2624"/>
    <cellStyle name="20% - 强调文字颜色 4 3 2 2" xfId="2625"/>
    <cellStyle name="20% - 强调文字颜色 4 3 3" xfId="2626"/>
    <cellStyle name="20% - 强调文字颜色 5 2" xfId="2627"/>
    <cellStyle name="20% - 强调文字颜色 5 2 10" xfId="2628"/>
    <cellStyle name="20% - 强调文字颜色 5 2 2" xfId="2629"/>
    <cellStyle name="20% - 强调文字颜色 5 2 2 2" xfId="2630"/>
    <cellStyle name="20% - 强调文字颜色 5 2 2 2 2" xfId="2631"/>
    <cellStyle name="20% - 强调文字颜色 5 2 2 2 2 2" xfId="2632"/>
    <cellStyle name="20% - 强调文字颜色 5 2 2 2 2 2 2" xfId="2633"/>
    <cellStyle name="20% - 强调文字颜色 5 2 2 2 2 3" xfId="2634"/>
    <cellStyle name="20% - 强调文字颜色 5 2 2 2 3" xfId="2635"/>
    <cellStyle name="20% - 强调文字颜色 5 2 2 2 3 2" xfId="2636"/>
    <cellStyle name="20% - 强调文字颜色 5 2 2 2 4" xfId="2637"/>
    <cellStyle name="20% - 强调文字颜色 5 2 2 2 4 2" xfId="2638"/>
    <cellStyle name="20% - 强调文字颜色 5 2 2 2 5" xfId="2639"/>
    <cellStyle name="20% - 强调文字颜色 5 2 2 3" xfId="2640"/>
    <cellStyle name="20% - 强调文字颜色 5 2 2 3 2" xfId="2641"/>
    <cellStyle name="20% - 强调文字颜色 5 2 2 3 2 2" xfId="2642"/>
    <cellStyle name="20% - 强调文字颜色 5 2 2 3 3" xfId="2643"/>
    <cellStyle name="20% - 强调文字颜色 5 2 2 3 3 2" xfId="2644"/>
    <cellStyle name="20% - 强调文字颜色 5 2 2 3 4" xfId="2645"/>
    <cellStyle name="20% - 强调文字颜色 5 2 2 3 4 2" xfId="2646"/>
    <cellStyle name="20% - 强调文字颜色 5 2 2 3 5" xfId="2647"/>
    <cellStyle name="20% - 强调文字颜色 5 2 2 4" xfId="2648"/>
    <cellStyle name="20% - 强调文字颜色 5 2 2 4 2" xfId="2649"/>
    <cellStyle name="20% - 强调文字颜色 5 2 2 4 2 2" xfId="2650"/>
    <cellStyle name="20% - 强调文字颜色 5 2 2 4 3" xfId="2651"/>
    <cellStyle name="20% - 强调文字颜色 5 2 2 5" xfId="2652"/>
    <cellStyle name="20% - 强调文字颜色 5 2 2 5 2" xfId="2653"/>
    <cellStyle name="20% - 强调文字颜色 5 2 2 6" xfId="2654"/>
    <cellStyle name="20% - 强调文字颜色 5 2 2 6 2" xfId="2655"/>
    <cellStyle name="20% - 强调文字颜色 5 2 2 7" xfId="2656"/>
    <cellStyle name="20% - 强调文字颜色 5 2 3" xfId="2657"/>
    <cellStyle name="20% - 强调文字颜色 5 2 3 2" xfId="2658"/>
    <cellStyle name="20% - 强调文字颜色 5 2 3 2 2" xfId="2659"/>
    <cellStyle name="20% - 强调文字颜色 5 2 3 2 2 2" xfId="2660"/>
    <cellStyle name="20% - 强调文字颜色 5 2 3 2 3" xfId="2661"/>
    <cellStyle name="20% - 强调文字颜色 5 2 3 3" xfId="2662"/>
    <cellStyle name="20% - 强调文字颜色 5 2 3 3 2" xfId="2663"/>
    <cellStyle name="20% - 强调文字颜色 5 2 3 4" xfId="2664"/>
    <cellStyle name="20% - 强调文字颜色 5 2 3 4 2" xfId="2665"/>
    <cellStyle name="20% - 强调文字颜色 5 2 3 5" xfId="2666"/>
    <cellStyle name="20% - 强调文字颜色 5 2 4" xfId="2667"/>
    <cellStyle name="20% - 强调文字颜色 5 2 4 2" xfId="2668"/>
    <cellStyle name="20% - 强调文字颜色 5 2 4 2 2" xfId="2669"/>
    <cellStyle name="20% - 强调文字颜色 5 2 4 3" xfId="2670"/>
    <cellStyle name="20% - 强调文字颜色 5 2 5" xfId="2671"/>
    <cellStyle name="20% - 强调文字颜色 5 2 5 2" xfId="2672"/>
    <cellStyle name="20% - 强调文字颜色 5 2 5 2 2" xfId="2673"/>
    <cellStyle name="20% - 强调文字颜色 5 2 5 3" xfId="2674"/>
    <cellStyle name="20% - 强调文字颜色 5 2 6" xfId="2675"/>
    <cellStyle name="20% - 强调文字颜色 5 2 6 2" xfId="2676"/>
    <cellStyle name="20% - 强调文字颜色 5 2 7" xfId="2677"/>
    <cellStyle name="20% - 强调文字颜色 5 2 7 2" xfId="2678"/>
    <cellStyle name="20% - 强调文字颜色 5 2 8" xfId="2679"/>
    <cellStyle name="20% - 强调文字颜色 5 2 8 2" xfId="2680"/>
    <cellStyle name="20% - 强调文字颜色 5 2 9" xfId="2681"/>
    <cellStyle name="20% - 强调文字颜色 5 2 9 2" xfId="2682"/>
    <cellStyle name="20% - 强调文字颜色 5 2_郑州新区二期扩建工程-概算总表 20180723" xfId="2683"/>
    <cellStyle name="20% - 强调文字颜色 5 3" xfId="2684"/>
    <cellStyle name="20% - 强调文字颜色 5 3 2" xfId="2685"/>
    <cellStyle name="20% - 强调文字颜色 5 3 2 2" xfId="2686"/>
    <cellStyle name="20% - 强调文字颜色 5 3 3" xfId="2687"/>
    <cellStyle name="20% - 强调文字颜色 6 2" xfId="2688"/>
    <cellStyle name="20% - 强调文字颜色 6 2 10" xfId="2689"/>
    <cellStyle name="20% - 强调文字颜色 6 2 2" xfId="2690"/>
    <cellStyle name="20% - 强调文字颜色 6 2 2 2" xfId="2691"/>
    <cellStyle name="20% - 强调文字颜色 6 2 2 2 2" xfId="2692"/>
    <cellStyle name="20% - 强调文字颜色 6 2 2 2 2 2" xfId="2693"/>
    <cellStyle name="20% - 强调文字颜色 6 2 2 2 2 2 2" xfId="2694"/>
    <cellStyle name="20% - 强调文字颜色 6 2 2 2 2 3" xfId="2695"/>
    <cellStyle name="20% - 强调文字颜色 6 2 2 2 3" xfId="2696"/>
    <cellStyle name="20% - 强调文字颜色 6 2 2 2 3 2" xfId="2697"/>
    <cellStyle name="20% - 强调文字颜色 6 2 2 2 4" xfId="2698"/>
    <cellStyle name="20% - 强调文字颜色 6 2 2 2 4 2" xfId="2699"/>
    <cellStyle name="20% - 强调文字颜色 6 2 2 2 5" xfId="2700"/>
    <cellStyle name="20% - 强调文字颜色 6 2 2 3" xfId="2701"/>
    <cellStyle name="20% - 强调文字颜色 6 2 2 3 2" xfId="2702"/>
    <cellStyle name="20% - 强调文字颜色 6 2 2 3 2 2" xfId="2703"/>
    <cellStyle name="20% - 强调文字颜色 6 2 2 3 3" xfId="2704"/>
    <cellStyle name="20% - 强调文字颜色 6 2 2 3 3 2" xfId="2705"/>
    <cellStyle name="20% - 强调文字颜色 6 2 2 3 4" xfId="2706"/>
    <cellStyle name="20% - 强调文字颜色 6 2 2 3 4 2" xfId="2707"/>
    <cellStyle name="20% - 强调文字颜色 6 2 2 3 5" xfId="2708"/>
    <cellStyle name="20% - 强调文字颜色 6 2 2 4" xfId="2709"/>
    <cellStyle name="20% - 强调文字颜色 6 2 2 4 2" xfId="2710"/>
    <cellStyle name="20% - 强调文字颜色 6 2 2 4 2 2" xfId="2711"/>
    <cellStyle name="20% - 强调文字颜色 6 2 2 4 3" xfId="2712"/>
    <cellStyle name="20% - 强调文字颜色 6 2 2 5" xfId="2713"/>
    <cellStyle name="20% - 强调文字颜色 6 2 2 5 2" xfId="2714"/>
    <cellStyle name="20% - 强调文字颜色 6 2 2 6" xfId="2715"/>
    <cellStyle name="20% - 强调文字颜色 6 2 2 6 2" xfId="2716"/>
    <cellStyle name="20% - 强调文字颜色 6 2 2 7" xfId="2717"/>
    <cellStyle name="20% - 强调文字颜色 6 2 3" xfId="2718"/>
    <cellStyle name="20% - 强调文字颜色 6 2 3 2" xfId="2719"/>
    <cellStyle name="20% - 强调文字颜色 6 2 3 2 2" xfId="2720"/>
    <cellStyle name="20% - 强调文字颜色 6 2 3 2 2 2" xfId="2721"/>
    <cellStyle name="20% - 强调文字颜色 6 2 3 2 3" xfId="2722"/>
    <cellStyle name="20% - 强调文字颜色 6 2 3 3" xfId="2723"/>
    <cellStyle name="20% - 强调文字颜色 6 2 3 3 2" xfId="2724"/>
    <cellStyle name="20% - 强调文字颜色 6 2 3 4" xfId="2725"/>
    <cellStyle name="20% - 强调文字颜色 6 2 3 4 2" xfId="2726"/>
    <cellStyle name="20% - 强调文字颜色 6 2 3 5" xfId="2727"/>
    <cellStyle name="20% - 强调文字颜色 6 2 4" xfId="2728"/>
    <cellStyle name="20% - 强调文字颜色 6 2 4 2" xfId="2729"/>
    <cellStyle name="20% - 强调文字颜色 6 2 4 2 2" xfId="2730"/>
    <cellStyle name="20% - 强调文字颜色 6 2 4 3" xfId="2731"/>
    <cellStyle name="20% - 强调文字颜色 6 2 5" xfId="2732"/>
    <cellStyle name="20% - 强调文字颜色 6 2 5 2" xfId="2733"/>
    <cellStyle name="20% - 强调文字颜色 6 2 5 2 2" xfId="2734"/>
    <cellStyle name="20% - 强调文字颜色 6 2 5 3" xfId="2735"/>
    <cellStyle name="20% - 强调文字颜色 6 2 6" xfId="2736"/>
    <cellStyle name="20% - 强调文字颜色 6 2 6 2" xfId="2737"/>
    <cellStyle name="20% - 强调文字颜色 6 2 7" xfId="2738"/>
    <cellStyle name="20% - 强调文字颜色 6 2 7 2" xfId="2739"/>
    <cellStyle name="20% - 强调文字颜色 6 2 8" xfId="2740"/>
    <cellStyle name="20% - 强调文字颜色 6 2 8 2" xfId="2741"/>
    <cellStyle name="20% - 强调文字颜色 6 2 9" xfId="2742"/>
    <cellStyle name="20% - 强调文字颜色 6 2 9 2" xfId="2743"/>
    <cellStyle name="20% - 强调文字颜色 6 2_郑州新区二期扩建工程-概算总表 20180723" xfId="2744"/>
    <cellStyle name="20% - 强调文字颜色 6 3" xfId="2745"/>
    <cellStyle name="20% - 强调文字颜色 6 3 2" xfId="2746"/>
    <cellStyle name="20% - 强调文字颜色 6 3 2 2" xfId="2747"/>
    <cellStyle name="20% - 强调文字颜色 6 3 3" xfId="2748"/>
    <cellStyle name="20% - 着色 1 2" xfId="2749"/>
    <cellStyle name="20% - 着色 2 2" xfId="2750"/>
    <cellStyle name="20% - 着色 3 2" xfId="2751"/>
    <cellStyle name="20% - 着色 4 2" xfId="2752"/>
    <cellStyle name="20% - 着色 5 2" xfId="2753"/>
    <cellStyle name="20% - 着色 6 2" xfId="2754"/>
    <cellStyle name="40% - Accent1" xfId="2755"/>
    <cellStyle name="40% - Accent2" xfId="2756"/>
    <cellStyle name="40% - Accent3" xfId="2757"/>
    <cellStyle name="40% - Accent4" xfId="2758"/>
    <cellStyle name="40% - Accent5" xfId="2759"/>
    <cellStyle name="40% - Accent6" xfId="2760"/>
    <cellStyle name="40% - 强调文字颜色 1 2" xfId="2761"/>
    <cellStyle name="40% - 强调文字颜色 1 2 10" xfId="2762"/>
    <cellStyle name="40% - 强调文字颜色 1 2 2" xfId="2763"/>
    <cellStyle name="40% - 强调文字颜色 1 2 2 2" xfId="2764"/>
    <cellStyle name="40% - 强调文字颜色 1 2 2 2 2" xfId="2765"/>
    <cellStyle name="40% - 强调文字颜色 1 2 2 2 2 2" xfId="2766"/>
    <cellStyle name="40% - 强调文字颜色 1 2 2 2 2 2 2" xfId="2767"/>
    <cellStyle name="40% - 强调文字颜色 1 2 2 2 2 3" xfId="2768"/>
    <cellStyle name="40% - 强调文字颜色 1 2 2 2 3" xfId="2769"/>
    <cellStyle name="40% - 强调文字颜色 1 2 2 2 3 2" xfId="2770"/>
    <cellStyle name="40% - 强调文字颜色 1 2 2 2 4" xfId="2771"/>
    <cellStyle name="40% - 强调文字颜色 1 2 2 2 4 2" xfId="2772"/>
    <cellStyle name="40% - 强调文字颜色 1 2 2 2 5" xfId="2773"/>
    <cellStyle name="40% - 强调文字颜色 1 2 2 3" xfId="2774"/>
    <cellStyle name="40% - 强调文字颜色 1 2 2 3 2" xfId="2775"/>
    <cellStyle name="40% - 强调文字颜色 1 2 2 3 2 2" xfId="2776"/>
    <cellStyle name="40% - 强调文字颜色 1 2 2 3 3" xfId="2777"/>
    <cellStyle name="40% - 强调文字颜色 1 2 2 3 3 2" xfId="2778"/>
    <cellStyle name="40% - 强调文字颜色 1 2 2 3 4" xfId="2779"/>
    <cellStyle name="40% - 强调文字颜色 1 2 2 3 4 2" xfId="2780"/>
    <cellStyle name="40% - 强调文字颜色 1 2 2 3 5" xfId="2781"/>
    <cellStyle name="40% - 强调文字颜色 1 2 2 4" xfId="2782"/>
    <cellStyle name="40% - 强调文字颜色 1 2 2 4 2" xfId="2783"/>
    <cellStyle name="40% - 强调文字颜色 1 2 2 4 2 2" xfId="2784"/>
    <cellStyle name="40% - 强调文字颜色 1 2 2 4 3" xfId="2785"/>
    <cellStyle name="40% - 强调文字颜色 1 2 2 5" xfId="2786"/>
    <cellStyle name="40% - 强调文字颜色 1 2 2 5 2" xfId="2787"/>
    <cellStyle name="40% - 强调文字颜色 1 2 2 6" xfId="2788"/>
    <cellStyle name="40% - 强调文字颜色 1 2 2 6 2" xfId="2789"/>
    <cellStyle name="40% - 强调文字颜色 1 2 2 7" xfId="2790"/>
    <cellStyle name="40% - 强调文字颜色 1 2 3" xfId="2791"/>
    <cellStyle name="40% - 强调文字颜色 1 2 3 2" xfId="2792"/>
    <cellStyle name="40% - 强调文字颜色 1 2 3 2 2" xfId="2793"/>
    <cellStyle name="40% - 强调文字颜色 1 2 3 2 2 2" xfId="2794"/>
    <cellStyle name="40% - 强调文字颜色 1 2 3 2 3" xfId="2795"/>
    <cellStyle name="40% - 强调文字颜色 1 2 3 3" xfId="2796"/>
    <cellStyle name="40% - 强调文字颜色 1 2 3 3 2" xfId="2797"/>
    <cellStyle name="40% - 强调文字颜色 1 2 3 4" xfId="2798"/>
    <cellStyle name="40% - 强调文字颜色 1 2 3 4 2" xfId="2799"/>
    <cellStyle name="40% - 强调文字颜色 1 2 3 5" xfId="2800"/>
    <cellStyle name="40% - 强调文字颜色 1 2 4" xfId="2801"/>
    <cellStyle name="40% - 强调文字颜色 1 2 4 2" xfId="2802"/>
    <cellStyle name="40% - 强调文字颜色 1 2 4 2 2" xfId="2803"/>
    <cellStyle name="40% - 强调文字颜色 1 2 4 3" xfId="2804"/>
    <cellStyle name="40% - 强调文字颜色 1 2 5" xfId="2805"/>
    <cellStyle name="40% - 强调文字颜色 1 2 5 2" xfId="2806"/>
    <cellStyle name="40% - 强调文字颜色 1 2 5 2 2" xfId="2807"/>
    <cellStyle name="40% - 强调文字颜色 1 2 5 3" xfId="2808"/>
    <cellStyle name="40% - 强调文字颜色 1 2 6" xfId="2809"/>
    <cellStyle name="40% - 强调文字颜色 1 2 6 2" xfId="2810"/>
    <cellStyle name="40% - 强调文字颜色 1 2 7" xfId="2811"/>
    <cellStyle name="40% - 强调文字颜色 1 2 7 2" xfId="2812"/>
    <cellStyle name="40% - 强调文字颜色 1 2 8" xfId="2813"/>
    <cellStyle name="40% - 强调文字颜色 1 2 8 2" xfId="2814"/>
    <cellStyle name="40% - 强调文字颜色 1 2 9" xfId="2815"/>
    <cellStyle name="40% - 强调文字颜色 1 2 9 2" xfId="2816"/>
    <cellStyle name="40% - 强调文字颜色 1 2_郑州新区二期扩建工程-概算总表 20180723" xfId="2817"/>
    <cellStyle name="40% - 强调文字颜色 1 3" xfId="2818"/>
    <cellStyle name="40% - 强调文字颜色 1 3 2" xfId="2819"/>
    <cellStyle name="40% - 强调文字颜色 1 3 2 2" xfId="2820"/>
    <cellStyle name="40% - 强调文字颜色 1 3 3" xfId="2821"/>
    <cellStyle name="40% - 强调文字颜色 2 2" xfId="2822"/>
    <cellStyle name="40% - 强调文字颜色 2 2 10" xfId="2823"/>
    <cellStyle name="40% - 强调文字颜色 2 2 2" xfId="2824"/>
    <cellStyle name="40% - 强调文字颜色 2 2 2 2" xfId="2825"/>
    <cellStyle name="40% - 强调文字颜色 2 2 2 2 2" xfId="2826"/>
    <cellStyle name="40% - 强调文字颜色 2 2 2 2 2 2" xfId="2827"/>
    <cellStyle name="40% - 强调文字颜色 2 2 2 2 2 2 2" xfId="2828"/>
    <cellStyle name="40% - 强调文字颜色 2 2 2 2 2 3" xfId="2829"/>
    <cellStyle name="40% - 强调文字颜色 2 2 2 2 3" xfId="2830"/>
    <cellStyle name="40% - 强调文字颜色 2 2 2 2 3 2" xfId="2831"/>
    <cellStyle name="40% - 强调文字颜色 2 2 2 2 4" xfId="2832"/>
    <cellStyle name="40% - 强调文字颜色 2 2 2 2 4 2" xfId="2833"/>
    <cellStyle name="40% - 强调文字颜色 2 2 2 2 5" xfId="2834"/>
    <cellStyle name="40% - 强调文字颜色 2 2 2 3" xfId="2835"/>
    <cellStyle name="40% - 强调文字颜色 2 2 2 3 2" xfId="2836"/>
    <cellStyle name="40% - 强调文字颜色 2 2 2 3 2 2" xfId="2837"/>
    <cellStyle name="40% - 强调文字颜色 2 2 2 3 3" xfId="2838"/>
    <cellStyle name="40% - 强调文字颜色 2 2 2 3 3 2" xfId="2839"/>
    <cellStyle name="40% - 强调文字颜色 2 2 2 3 4" xfId="2840"/>
    <cellStyle name="40% - 强调文字颜色 2 2 2 3 4 2" xfId="2841"/>
    <cellStyle name="40% - 强调文字颜色 2 2 2 3 5" xfId="2842"/>
    <cellStyle name="40% - 强调文字颜色 2 2 2 4" xfId="2843"/>
    <cellStyle name="40% - 强调文字颜色 2 2 2 4 2" xfId="2844"/>
    <cellStyle name="40% - 强调文字颜色 2 2 2 4 2 2" xfId="2845"/>
    <cellStyle name="40% - 强调文字颜色 2 2 2 4 3" xfId="2846"/>
    <cellStyle name="40% - 强调文字颜色 2 2 2 5" xfId="2847"/>
    <cellStyle name="40% - 强调文字颜色 2 2 2 5 2" xfId="2848"/>
    <cellStyle name="40% - 强调文字颜色 2 2 2 6" xfId="2849"/>
    <cellStyle name="40% - 强调文字颜色 2 2 2 6 2" xfId="2850"/>
    <cellStyle name="40% - 强调文字颜色 2 2 2 7" xfId="2851"/>
    <cellStyle name="40% - 强调文字颜色 2 2 3" xfId="2852"/>
    <cellStyle name="40% - 强调文字颜色 2 2 3 2" xfId="2853"/>
    <cellStyle name="40% - 强调文字颜色 2 2 3 2 2" xfId="2854"/>
    <cellStyle name="40% - 强调文字颜色 2 2 3 2 2 2" xfId="2855"/>
    <cellStyle name="40% - 强调文字颜色 2 2 3 2 3" xfId="2856"/>
    <cellStyle name="40% - 强调文字颜色 2 2 3 3" xfId="2857"/>
    <cellStyle name="40% - 强调文字颜色 2 2 3 3 2" xfId="2858"/>
    <cellStyle name="40% - 强调文字颜色 2 2 3 4" xfId="2859"/>
    <cellStyle name="40% - 强调文字颜色 2 2 3 4 2" xfId="2860"/>
    <cellStyle name="40% - 强调文字颜色 2 2 3 5" xfId="2861"/>
    <cellStyle name="40% - 强调文字颜色 2 2 4" xfId="2862"/>
    <cellStyle name="40% - 强调文字颜色 2 2 4 2" xfId="2863"/>
    <cellStyle name="40% - 强调文字颜色 2 2 4 2 2" xfId="2864"/>
    <cellStyle name="40% - 强调文字颜色 2 2 4 3" xfId="2865"/>
    <cellStyle name="40% - 强调文字颜色 2 2 5" xfId="2866"/>
    <cellStyle name="40% - 强调文字颜色 2 2 5 2" xfId="2867"/>
    <cellStyle name="40% - 强调文字颜色 2 2 5 2 2" xfId="2868"/>
    <cellStyle name="40% - 强调文字颜色 2 2 5 3" xfId="2869"/>
    <cellStyle name="40% - 强调文字颜色 2 2 6" xfId="2870"/>
    <cellStyle name="40% - 强调文字颜色 2 2 6 2" xfId="2871"/>
    <cellStyle name="40% - 强调文字颜色 2 2 7" xfId="2872"/>
    <cellStyle name="40% - 强调文字颜色 2 2 7 2" xfId="2873"/>
    <cellStyle name="40% - 强调文字颜色 2 2 8" xfId="2874"/>
    <cellStyle name="40% - 强调文字颜色 2 2 8 2" xfId="2875"/>
    <cellStyle name="40% - 强调文字颜色 2 2 9" xfId="2876"/>
    <cellStyle name="40% - 强调文字颜色 2 2 9 2" xfId="2877"/>
    <cellStyle name="40% - 强调文字颜色 2 2_郑州新区二期扩建工程-概算总表 20180723" xfId="2878"/>
    <cellStyle name="40% - 强调文字颜色 2 3" xfId="2879"/>
    <cellStyle name="40% - 强调文字颜色 2 3 2" xfId="2880"/>
    <cellStyle name="40% - 强调文字颜色 2 3 2 2" xfId="2881"/>
    <cellStyle name="40% - 强调文字颜色 2 3 3" xfId="2882"/>
    <cellStyle name="40% - 强调文字颜色 3 2" xfId="2883"/>
    <cellStyle name="40% - 强调文字颜色 3 2 10" xfId="2884"/>
    <cellStyle name="40% - 强调文字颜色 3 2 2" xfId="2885"/>
    <cellStyle name="40% - 强调文字颜色 3 2 2 2" xfId="2886"/>
    <cellStyle name="40% - 强调文字颜色 3 2 2 2 2" xfId="2887"/>
    <cellStyle name="40% - 强调文字颜色 3 2 2 2 2 2" xfId="2888"/>
    <cellStyle name="40% - 强调文字颜色 3 2 2 2 2 2 2" xfId="2889"/>
    <cellStyle name="40% - 强调文字颜色 3 2 2 2 2 3" xfId="2890"/>
    <cellStyle name="40% - 强调文字颜色 3 2 2 2 3" xfId="2891"/>
    <cellStyle name="40% - 强调文字颜色 3 2 2 2 3 2" xfId="2892"/>
    <cellStyle name="40% - 强调文字颜色 3 2 2 2 4" xfId="2893"/>
    <cellStyle name="40% - 强调文字颜色 3 2 2 2 4 2" xfId="2894"/>
    <cellStyle name="40% - 强调文字颜色 3 2 2 2 5" xfId="2895"/>
    <cellStyle name="40% - 强调文字颜色 3 2 2 3" xfId="2896"/>
    <cellStyle name="40% - 强调文字颜色 3 2 2 3 2" xfId="2897"/>
    <cellStyle name="40% - 强调文字颜色 3 2 2 3 2 2" xfId="2898"/>
    <cellStyle name="40% - 强调文字颜色 3 2 2 3 3" xfId="2899"/>
    <cellStyle name="40% - 强调文字颜色 3 2 2 3 3 2" xfId="2900"/>
    <cellStyle name="40% - 强调文字颜色 3 2 2 3 4" xfId="2901"/>
    <cellStyle name="40% - 强调文字颜色 3 2 2 3 4 2" xfId="2902"/>
    <cellStyle name="40% - 强调文字颜色 3 2 2 3 5" xfId="2903"/>
    <cellStyle name="40% - 强调文字颜色 3 2 2 4" xfId="2904"/>
    <cellStyle name="40% - 强调文字颜色 3 2 2 4 2" xfId="2905"/>
    <cellStyle name="40% - 强调文字颜色 3 2 2 4 2 2" xfId="2906"/>
    <cellStyle name="40% - 强调文字颜色 3 2 2 4 3" xfId="2907"/>
    <cellStyle name="40% - 强调文字颜色 3 2 2 5" xfId="2908"/>
    <cellStyle name="40% - 强调文字颜色 3 2 2 5 2" xfId="2909"/>
    <cellStyle name="40% - 强调文字颜色 3 2 2 6" xfId="2910"/>
    <cellStyle name="40% - 强调文字颜色 3 2 2 6 2" xfId="2911"/>
    <cellStyle name="40% - 强调文字颜色 3 2 2 7" xfId="2912"/>
    <cellStyle name="40% - 强调文字颜色 3 2 3" xfId="2913"/>
    <cellStyle name="40% - 强调文字颜色 3 2 3 2" xfId="2914"/>
    <cellStyle name="40% - 强调文字颜色 3 2 3 2 2" xfId="2915"/>
    <cellStyle name="40% - 强调文字颜色 3 2 3 2 2 2" xfId="2916"/>
    <cellStyle name="40% - 强调文字颜色 3 2 3 2 3" xfId="2917"/>
    <cellStyle name="40% - 强调文字颜色 3 2 3 3" xfId="2918"/>
    <cellStyle name="40% - 强调文字颜色 3 2 3 3 2" xfId="2919"/>
    <cellStyle name="40% - 强调文字颜色 3 2 3 4" xfId="2920"/>
    <cellStyle name="40% - 强调文字颜色 3 2 3 4 2" xfId="2921"/>
    <cellStyle name="40% - 强调文字颜色 3 2 3 5" xfId="2922"/>
    <cellStyle name="40% - 强调文字颜色 3 2 4" xfId="2923"/>
    <cellStyle name="40% - 强调文字颜色 3 2 4 2" xfId="2924"/>
    <cellStyle name="40% - 强调文字颜色 3 2 4 2 2" xfId="2925"/>
    <cellStyle name="40% - 强调文字颜色 3 2 4 3" xfId="2926"/>
    <cellStyle name="40% - 强调文字颜色 3 2 5" xfId="2927"/>
    <cellStyle name="40% - 强调文字颜色 3 2 5 2" xfId="2928"/>
    <cellStyle name="40% - 强调文字颜色 3 2 5 2 2" xfId="2929"/>
    <cellStyle name="40% - 强调文字颜色 3 2 5 3" xfId="2930"/>
    <cellStyle name="40% - 强调文字颜色 3 2 6" xfId="2931"/>
    <cellStyle name="40% - 强调文字颜色 3 2 6 2" xfId="2932"/>
    <cellStyle name="40% - 强调文字颜色 3 2 7" xfId="2933"/>
    <cellStyle name="40% - 强调文字颜色 3 2 7 2" xfId="2934"/>
    <cellStyle name="40% - 强调文字颜色 3 2 8" xfId="2935"/>
    <cellStyle name="40% - 强调文字颜色 3 2 8 2" xfId="2936"/>
    <cellStyle name="40% - 强调文字颜色 3 2 9" xfId="2937"/>
    <cellStyle name="40% - 强调文字颜色 3 2 9 2" xfId="2938"/>
    <cellStyle name="40% - 强调文字颜色 3 2_郑州新区二期扩建工程-概算总表 20180723" xfId="2939"/>
    <cellStyle name="40% - 强调文字颜色 3 3" xfId="2940"/>
    <cellStyle name="40% - 强调文字颜色 3 3 2" xfId="2941"/>
    <cellStyle name="40% - 强调文字颜色 3 3 2 2" xfId="2942"/>
    <cellStyle name="40% - 强调文字颜色 3 3 3" xfId="2943"/>
    <cellStyle name="40% - 强调文字颜色 4 2" xfId="2944"/>
    <cellStyle name="40% - 强调文字颜色 4 2 10" xfId="2945"/>
    <cellStyle name="40% - 强调文字颜色 4 2 2" xfId="2946"/>
    <cellStyle name="40% - 强调文字颜色 4 2 2 2" xfId="2947"/>
    <cellStyle name="40% - 强调文字颜色 4 2 2 2 2" xfId="2948"/>
    <cellStyle name="40% - 强调文字颜色 4 2 2 2 2 2" xfId="2949"/>
    <cellStyle name="40% - 强调文字颜色 4 2 2 2 2 2 2" xfId="2950"/>
    <cellStyle name="40% - 强调文字颜色 4 2 2 2 2 3" xfId="2951"/>
    <cellStyle name="40% - 强调文字颜色 4 2 2 2 3" xfId="2952"/>
    <cellStyle name="40% - 强调文字颜色 4 2 2 2 3 2" xfId="2953"/>
    <cellStyle name="40% - 强调文字颜色 4 2 2 2 4" xfId="2954"/>
    <cellStyle name="40% - 强调文字颜色 4 2 2 2 4 2" xfId="2955"/>
    <cellStyle name="40% - 强调文字颜色 4 2 2 2 5" xfId="2956"/>
    <cellStyle name="40% - 强调文字颜色 4 2 2 3" xfId="2957"/>
    <cellStyle name="40% - 强调文字颜色 4 2 2 3 2" xfId="2958"/>
    <cellStyle name="40% - 强调文字颜色 4 2 2 3 2 2" xfId="2959"/>
    <cellStyle name="40% - 强调文字颜色 4 2 2 3 3" xfId="2960"/>
    <cellStyle name="40% - 强调文字颜色 4 2 2 3 3 2" xfId="2961"/>
    <cellStyle name="40% - 强调文字颜色 4 2 2 3 4" xfId="2962"/>
    <cellStyle name="40% - 强调文字颜色 4 2 2 3 4 2" xfId="2963"/>
    <cellStyle name="40% - 强调文字颜色 4 2 2 3 5" xfId="2964"/>
    <cellStyle name="40% - 强调文字颜色 4 2 2 4" xfId="2965"/>
    <cellStyle name="40% - 强调文字颜色 4 2 2 4 2" xfId="2966"/>
    <cellStyle name="40% - 强调文字颜色 4 2 2 4 2 2" xfId="2967"/>
    <cellStyle name="40% - 强调文字颜色 4 2 2 4 3" xfId="2968"/>
    <cellStyle name="40% - 强调文字颜色 4 2 2 5" xfId="2969"/>
    <cellStyle name="40% - 强调文字颜色 4 2 2 5 2" xfId="2970"/>
    <cellStyle name="40% - 强调文字颜色 4 2 2 6" xfId="2971"/>
    <cellStyle name="40% - 强调文字颜色 4 2 2 6 2" xfId="2972"/>
    <cellStyle name="40% - 强调文字颜色 4 2 2 7" xfId="2973"/>
    <cellStyle name="40% - 强调文字颜色 4 2 3" xfId="2974"/>
    <cellStyle name="40% - 强调文字颜色 4 2 3 2" xfId="2975"/>
    <cellStyle name="40% - 强调文字颜色 4 2 3 2 2" xfId="2976"/>
    <cellStyle name="40% - 强调文字颜色 4 2 3 2 2 2" xfId="2977"/>
    <cellStyle name="40% - 强调文字颜色 4 2 3 2 3" xfId="2978"/>
    <cellStyle name="40% - 强调文字颜色 4 2 3 3" xfId="2979"/>
    <cellStyle name="40% - 强调文字颜色 4 2 3 3 2" xfId="2980"/>
    <cellStyle name="40% - 强调文字颜色 4 2 3 4" xfId="2981"/>
    <cellStyle name="40% - 强调文字颜色 4 2 3 4 2" xfId="2982"/>
    <cellStyle name="40% - 强调文字颜色 4 2 3 5" xfId="2983"/>
    <cellStyle name="40% - 强调文字颜色 4 2 4" xfId="2984"/>
    <cellStyle name="40% - 强调文字颜色 4 2 4 2" xfId="2985"/>
    <cellStyle name="40% - 强调文字颜色 4 2 4 2 2" xfId="2986"/>
    <cellStyle name="40% - 强调文字颜色 4 2 4 3" xfId="2987"/>
    <cellStyle name="40% - 强调文字颜色 4 2 5" xfId="2988"/>
    <cellStyle name="40% - 强调文字颜色 4 2 5 2" xfId="2989"/>
    <cellStyle name="40% - 强调文字颜色 4 2 5 2 2" xfId="2990"/>
    <cellStyle name="40% - 强调文字颜色 4 2 5 3" xfId="2991"/>
    <cellStyle name="40% - 强调文字颜色 4 2 6" xfId="2992"/>
    <cellStyle name="40% - 强调文字颜色 4 2 6 2" xfId="2993"/>
    <cellStyle name="40% - 强调文字颜色 4 2 7" xfId="2994"/>
    <cellStyle name="40% - 强调文字颜色 4 2 7 2" xfId="2995"/>
    <cellStyle name="40% - 强调文字颜色 4 2 8" xfId="2996"/>
    <cellStyle name="40% - 强调文字颜色 4 2 8 2" xfId="2997"/>
    <cellStyle name="40% - 强调文字颜色 4 2 9" xfId="2998"/>
    <cellStyle name="40% - 强调文字颜色 4 2 9 2" xfId="2999"/>
    <cellStyle name="40% - 强调文字颜色 4 2_郑州新区二期扩建工程-概算总表 20180723" xfId="3000"/>
    <cellStyle name="40% - 强调文字颜色 4 3" xfId="3001"/>
    <cellStyle name="40% - 强调文字颜色 4 3 2" xfId="3002"/>
    <cellStyle name="40% - 强调文字颜色 4 3 2 2" xfId="3003"/>
    <cellStyle name="40% - 强调文字颜色 4 3 3" xfId="3004"/>
    <cellStyle name="40% - 强调文字颜色 5 2" xfId="3005"/>
    <cellStyle name="40% - 强调文字颜色 5 2 10" xfId="3006"/>
    <cellStyle name="40% - 强调文字颜色 5 2 2" xfId="3007"/>
    <cellStyle name="40% - 强调文字颜色 5 2 2 2" xfId="3008"/>
    <cellStyle name="40% - 强调文字颜色 5 2 2 2 2" xfId="3009"/>
    <cellStyle name="40% - 强调文字颜色 5 2 2 2 2 2" xfId="3010"/>
    <cellStyle name="40% - 强调文字颜色 5 2 2 2 2 2 2" xfId="3011"/>
    <cellStyle name="40% - 强调文字颜色 5 2 2 2 2 3" xfId="3012"/>
    <cellStyle name="40% - 强调文字颜色 5 2 2 2 3" xfId="3013"/>
    <cellStyle name="40% - 强调文字颜色 5 2 2 2 3 2" xfId="3014"/>
    <cellStyle name="40% - 强调文字颜色 5 2 2 2 4" xfId="3015"/>
    <cellStyle name="40% - 强调文字颜色 5 2 2 2 4 2" xfId="3016"/>
    <cellStyle name="40% - 强调文字颜色 5 2 2 2 5" xfId="3017"/>
    <cellStyle name="40% - 强调文字颜色 5 2 2 3" xfId="3018"/>
    <cellStyle name="40% - 强调文字颜色 5 2 2 3 2" xfId="3019"/>
    <cellStyle name="40% - 强调文字颜色 5 2 2 3 2 2" xfId="3020"/>
    <cellStyle name="40% - 强调文字颜色 5 2 2 3 3" xfId="3021"/>
    <cellStyle name="40% - 强调文字颜色 5 2 2 3 3 2" xfId="3022"/>
    <cellStyle name="40% - 强调文字颜色 5 2 2 3 4" xfId="3023"/>
    <cellStyle name="40% - 强调文字颜色 5 2 2 3 4 2" xfId="3024"/>
    <cellStyle name="40% - 强调文字颜色 5 2 2 3 5" xfId="3025"/>
    <cellStyle name="40% - 强调文字颜色 5 2 2 4" xfId="3026"/>
    <cellStyle name="40% - 强调文字颜色 5 2 2 4 2" xfId="3027"/>
    <cellStyle name="40% - 强调文字颜色 5 2 2 4 2 2" xfId="3028"/>
    <cellStyle name="40% - 强调文字颜色 5 2 2 4 3" xfId="3029"/>
    <cellStyle name="40% - 强调文字颜色 5 2 2 5" xfId="3030"/>
    <cellStyle name="40% - 强调文字颜色 5 2 2 5 2" xfId="3031"/>
    <cellStyle name="40% - 强调文字颜色 5 2 2 6" xfId="3032"/>
    <cellStyle name="40% - 强调文字颜色 5 2 2 6 2" xfId="3033"/>
    <cellStyle name="40% - 强调文字颜色 5 2 2 7" xfId="3034"/>
    <cellStyle name="40% - 强调文字颜色 5 2 3" xfId="3035"/>
    <cellStyle name="40% - 强调文字颜色 5 2 3 2" xfId="3036"/>
    <cellStyle name="40% - 强调文字颜色 5 2 3 2 2" xfId="3037"/>
    <cellStyle name="40% - 强调文字颜色 5 2 3 2 2 2" xfId="3038"/>
    <cellStyle name="40% - 强调文字颜色 5 2 3 2 3" xfId="3039"/>
    <cellStyle name="40% - 强调文字颜色 5 2 3 3" xfId="3040"/>
    <cellStyle name="40% - 强调文字颜色 5 2 3 3 2" xfId="3041"/>
    <cellStyle name="40% - 强调文字颜色 5 2 3 4" xfId="3042"/>
    <cellStyle name="40% - 强调文字颜色 5 2 3 4 2" xfId="3043"/>
    <cellStyle name="40% - 强调文字颜色 5 2 3 5" xfId="3044"/>
    <cellStyle name="40% - 强调文字颜色 5 2 4" xfId="3045"/>
    <cellStyle name="40% - 强调文字颜色 5 2 4 2" xfId="3046"/>
    <cellStyle name="40% - 强调文字颜色 5 2 4 2 2" xfId="3047"/>
    <cellStyle name="40% - 强调文字颜色 5 2 4 3" xfId="3048"/>
    <cellStyle name="40% - 强调文字颜色 5 2 5" xfId="3049"/>
    <cellStyle name="40% - 强调文字颜色 5 2 5 2" xfId="3050"/>
    <cellStyle name="40% - 强调文字颜色 5 2 5 2 2" xfId="3051"/>
    <cellStyle name="40% - 强调文字颜色 5 2 5 3" xfId="3052"/>
    <cellStyle name="40% - 强调文字颜色 5 2 6" xfId="3053"/>
    <cellStyle name="40% - 强调文字颜色 5 2 6 2" xfId="3054"/>
    <cellStyle name="40% - 强调文字颜色 5 2 7" xfId="3055"/>
    <cellStyle name="40% - 强调文字颜色 5 2 7 2" xfId="3056"/>
    <cellStyle name="40% - 强调文字颜色 5 2 8" xfId="3057"/>
    <cellStyle name="40% - 强调文字颜色 5 2 8 2" xfId="3058"/>
    <cellStyle name="40% - 强调文字颜色 5 2 9" xfId="3059"/>
    <cellStyle name="40% - 强调文字颜色 5 2 9 2" xfId="3060"/>
    <cellStyle name="40% - 强调文字颜色 5 2_郑州新区二期扩建工程-概算总表 20180723" xfId="3061"/>
    <cellStyle name="40% - 强调文字颜色 5 3" xfId="3062"/>
    <cellStyle name="40% - 强调文字颜色 5 3 2" xfId="3063"/>
    <cellStyle name="40% - 强调文字颜色 5 3 2 2" xfId="3064"/>
    <cellStyle name="40% - 强调文字颜色 5 3 3" xfId="3065"/>
    <cellStyle name="40% - 强调文字颜色 6 2" xfId="3066"/>
    <cellStyle name="40% - 强调文字颜色 6 2 10" xfId="3067"/>
    <cellStyle name="40% - 强调文字颜色 6 2 2" xfId="3068"/>
    <cellStyle name="40% - 强调文字颜色 6 2 2 2" xfId="3069"/>
    <cellStyle name="40% - 强调文字颜色 6 2 2 2 2" xfId="3070"/>
    <cellStyle name="40% - 强调文字颜色 6 2 2 2 2 2" xfId="3071"/>
    <cellStyle name="40% - 强调文字颜色 6 2 2 2 2 2 2" xfId="3072"/>
    <cellStyle name="40% - 强调文字颜色 6 2 2 2 2 3" xfId="3073"/>
    <cellStyle name="40% - 强调文字颜色 6 2 2 2 3" xfId="3074"/>
    <cellStyle name="40% - 强调文字颜色 6 2 2 2 3 2" xfId="3075"/>
    <cellStyle name="40% - 强调文字颜色 6 2 2 2 4" xfId="3076"/>
    <cellStyle name="40% - 强调文字颜色 6 2 2 2 4 2" xfId="3077"/>
    <cellStyle name="40% - 强调文字颜色 6 2 2 2 5" xfId="3078"/>
    <cellStyle name="40% - 强调文字颜色 6 2 2 3" xfId="3079"/>
    <cellStyle name="40% - 强调文字颜色 6 2 2 3 2" xfId="3080"/>
    <cellStyle name="40% - 强调文字颜色 6 2 2 3 2 2" xfId="3081"/>
    <cellStyle name="40% - 强调文字颜色 6 2 2 3 3" xfId="3082"/>
    <cellStyle name="40% - 强调文字颜色 6 2 2 3 3 2" xfId="3083"/>
    <cellStyle name="40% - 强调文字颜色 6 2 2 3 4" xfId="3084"/>
    <cellStyle name="40% - 强调文字颜色 6 2 2 3 4 2" xfId="3085"/>
    <cellStyle name="40% - 强调文字颜色 6 2 2 3 5" xfId="3086"/>
    <cellStyle name="40% - 强调文字颜色 6 2 2 4" xfId="3087"/>
    <cellStyle name="40% - 强调文字颜色 6 2 2 4 2" xfId="3088"/>
    <cellStyle name="40% - 强调文字颜色 6 2 2 4 2 2" xfId="3089"/>
    <cellStyle name="40% - 强调文字颜色 6 2 2 4 3" xfId="3090"/>
    <cellStyle name="40% - 强调文字颜色 6 2 2 5" xfId="3091"/>
    <cellStyle name="40% - 强调文字颜色 6 2 2 5 2" xfId="3092"/>
    <cellStyle name="40% - 强调文字颜色 6 2 2 6" xfId="3093"/>
    <cellStyle name="40% - 强调文字颜色 6 2 2 6 2" xfId="3094"/>
    <cellStyle name="40% - 强调文字颜色 6 2 2 7" xfId="3095"/>
    <cellStyle name="40% - 强调文字颜色 6 2 3" xfId="3096"/>
    <cellStyle name="40% - 强调文字颜色 6 2 3 2" xfId="3097"/>
    <cellStyle name="40% - 强调文字颜色 6 2 3 2 2" xfId="3098"/>
    <cellStyle name="40% - 强调文字颜色 6 2 3 2 2 2" xfId="3099"/>
    <cellStyle name="40% - 强调文字颜色 6 2 3 2 3" xfId="3100"/>
    <cellStyle name="40% - 强调文字颜色 6 2 3 3" xfId="3101"/>
    <cellStyle name="40% - 强调文字颜色 6 2 3 3 2" xfId="3102"/>
    <cellStyle name="40% - 强调文字颜色 6 2 3 4" xfId="3103"/>
    <cellStyle name="40% - 强调文字颜色 6 2 3 4 2" xfId="3104"/>
    <cellStyle name="40% - 强调文字颜色 6 2 3 5" xfId="3105"/>
    <cellStyle name="40% - 强调文字颜色 6 2 4" xfId="3106"/>
    <cellStyle name="40% - 强调文字颜色 6 2 4 2" xfId="3107"/>
    <cellStyle name="40% - 强调文字颜色 6 2 4 2 2" xfId="3108"/>
    <cellStyle name="40% - 强调文字颜色 6 2 4 3" xfId="3109"/>
    <cellStyle name="40% - 强调文字颜色 6 2 5" xfId="3110"/>
    <cellStyle name="40% - 强调文字颜色 6 2 5 2" xfId="3111"/>
    <cellStyle name="40% - 强调文字颜色 6 2 5 2 2" xfId="3112"/>
    <cellStyle name="40% - 强调文字颜色 6 2 5 3" xfId="3113"/>
    <cellStyle name="40% - 强调文字颜色 6 2 6" xfId="3114"/>
    <cellStyle name="40% - 强调文字颜色 6 2 6 2" xfId="3115"/>
    <cellStyle name="40% - 强调文字颜色 6 2 7" xfId="3116"/>
    <cellStyle name="40% - 强调文字颜色 6 2 7 2" xfId="3117"/>
    <cellStyle name="40% - 强调文字颜色 6 2 8" xfId="3118"/>
    <cellStyle name="40% - 强调文字颜色 6 2 8 2" xfId="3119"/>
    <cellStyle name="40% - 强调文字颜色 6 2 9" xfId="3120"/>
    <cellStyle name="40% - 强调文字颜色 6 2 9 2" xfId="3121"/>
    <cellStyle name="40% - 强调文字颜色 6 2_郑州新区二期扩建工程-概算总表 20180723" xfId="3122"/>
    <cellStyle name="40% - 强调文字颜色 6 3" xfId="3123"/>
    <cellStyle name="40% - 强调文字颜色 6 3 2" xfId="3124"/>
    <cellStyle name="40% - 强调文字颜色 6 3 2 2" xfId="3125"/>
    <cellStyle name="40% - 强调文字颜色 6 3 3" xfId="3126"/>
    <cellStyle name="40% - 着色 1 2" xfId="3127"/>
    <cellStyle name="40% - 着色 2 2" xfId="3128"/>
    <cellStyle name="40% - 着色 3 2" xfId="3129"/>
    <cellStyle name="40% - 着色 4 2" xfId="3130"/>
    <cellStyle name="40% - 着色 5 2" xfId="3131"/>
    <cellStyle name="40% - 着色 6 2" xfId="3132"/>
    <cellStyle name="60% - Accent1" xfId="3133"/>
    <cellStyle name="60% - Accent2" xfId="3134"/>
    <cellStyle name="60% - Accent3" xfId="3135"/>
    <cellStyle name="60% - Accent4" xfId="3136"/>
    <cellStyle name="60% - Accent5" xfId="3137"/>
    <cellStyle name="60% - Accent6" xfId="3138"/>
    <cellStyle name="60% - 强调文字颜色 1 2" xfId="3139"/>
    <cellStyle name="60% - 强调文字颜色 1 2 2" xfId="3140"/>
    <cellStyle name="60% - 强调文字颜色 1 2 2 2" xfId="3141"/>
    <cellStyle name="60% - 强调文字颜色 1 2 2 2 2" xfId="3142"/>
    <cellStyle name="60% - 强调文字颜色 1 2 2 2 2 2" xfId="3143"/>
    <cellStyle name="60% - 强调文字颜色 1 2 2 2 3" xfId="3144"/>
    <cellStyle name="60% - 强调文字颜色 1 2 2 2 3 2" xfId="3145"/>
    <cellStyle name="60% - 强调文字颜色 1 2 2 2 4" xfId="3146"/>
    <cellStyle name="60% - 强调文字颜色 1 2 2 2 4 2" xfId="3147"/>
    <cellStyle name="60% - 强调文字颜色 1 2 2 2 5" xfId="3148"/>
    <cellStyle name="60% - 强调文字颜色 1 2 2 3" xfId="3149"/>
    <cellStyle name="60% - 强调文字颜色 1 2 2 3 2" xfId="3150"/>
    <cellStyle name="60% - 强调文字颜色 1 2 2 3 2 2" xfId="3151"/>
    <cellStyle name="60% - 强调文字颜色 1 2 2 3 3" xfId="3152"/>
    <cellStyle name="60% - 强调文字颜色 1 2 2 3 3 2" xfId="3153"/>
    <cellStyle name="60% - 强调文字颜色 1 2 2 3 4" xfId="3154"/>
    <cellStyle name="60% - 强调文字颜色 1 2 2 3 4 2" xfId="3155"/>
    <cellStyle name="60% - 强调文字颜色 1 2 2 3 5" xfId="3156"/>
    <cellStyle name="60% - 强调文字颜色 1 2 2 4" xfId="3157"/>
    <cellStyle name="60% - 强调文字颜色 1 2 2 4 2" xfId="3158"/>
    <cellStyle name="60% - 强调文字颜色 1 2 2 5" xfId="3159"/>
    <cellStyle name="60% - 强调文字颜色 1 2 2 5 2" xfId="3160"/>
    <cellStyle name="60% - 强调文字颜色 1 2 2 6" xfId="3161"/>
    <cellStyle name="60% - 强调文字颜色 1 2 3" xfId="3162"/>
    <cellStyle name="60% - 强调文字颜色 1 2 3 2" xfId="3163"/>
    <cellStyle name="60% - 强调文字颜色 1 2 3 2 2" xfId="3164"/>
    <cellStyle name="60% - 强调文字颜色 1 2 3 3" xfId="3165"/>
    <cellStyle name="60% - 强调文字颜色 1 2 3 3 2" xfId="3166"/>
    <cellStyle name="60% - 强调文字颜色 1 2 3 4" xfId="3167"/>
    <cellStyle name="60% - 强调文字颜色 1 2 3 4 2" xfId="3168"/>
    <cellStyle name="60% - 强调文字颜色 1 2 3 5" xfId="3169"/>
    <cellStyle name="60% - 强调文字颜色 1 2 4" xfId="3170"/>
    <cellStyle name="60% - 强调文字颜色 1 2 4 2" xfId="3171"/>
    <cellStyle name="60% - 强调文字颜色 1 2 4 2 2" xfId="3172"/>
    <cellStyle name="60% - 强调文字颜色 1 2 4 3" xfId="3173"/>
    <cellStyle name="60% - 强调文字颜色 1 2 5" xfId="3174"/>
    <cellStyle name="60% - 强调文字颜色 1 2 5 2" xfId="3175"/>
    <cellStyle name="60% - 强调文字颜色 1 2 6" xfId="3176"/>
    <cellStyle name="60% - 强调文字颜色 1 2 6 2" xfId="3177"/>
    <cellStyle name="60% - 强调文字颜色 1 2 7" xfId="3178"/>
    <cellStyle name="60% - 强调文字颜色 1 2 7 2" xfId="3179"/>
    <cellStyle name="60% - 强调文字颜色 1 2 8" xfId="3180"/>
    <cellStyle name="60% - 强调文字颜色 1 2 8 2" xfId="3181"/>
    <cellStyle name="60% - 强调文字颜色 1 2 9" xfId="3182"/>
    <cellStyle name="60% - 强调文字颜色 1 2_横岭厂二期估算表--0921fa" xfId="3183"/>
    <cellStyle name="60% - 强调文字颜色 1 3" xfId="3184"/>
    <cellStyle name="60% - 强调文字颜色 1 3 2" xfId="3185"/>
    <cellStyle name="60% - 强调文字颜色 1 3 2 2" xfId="3186"/>
    <cellStyle name="60% - 强调文字颜色 1 3 3" xfId="3187"/>
    <cellStyle name="60% - 强调文字颜色 2 2" xfId="3188"/>
    <cellStyle name="60% - 强调文字颜色 2 2 2" xfId="3189"/>
    <cellStyle name="60% - 强调文字颜色 2 2 2 2" xfId="3190"/>
    <cellStyle name="60% - 强调文字颜色 2 2 2 2 2" xfId="3191"/>
    <cellStyle name="60% - 强调文字颜色 2 2 2 2 2 2" xfId="3192"/>
    <cellStyle name="60% - 强调文字颜色 2 2 2 2 3" xfId="3193"/>
    <cellStyle name="60% - 强调文字颜色 2 2 2 2 3 2" xfId="3194"/>
    <cellStyle name="60% - 强调文字颜色 2 2 2 2 4" xfId="3195"/>
    <cellStyle name="60% - 强调文字颜色 2 2 2 2 4 2" xfId="3196"/>
    <cellStyle name="60% - 强调文字颜色 2 2 2 2 5" xfId="3197"/>
    <cellStyle name="60% - 强调文字颜色 2 2 2 3" xfId="3198"/>
    <cellStyle name="60% - 强调文字颜色 2 2 2 3 2" xfId="3199"/>
    <cellStyle name="60% - 强调文字颜色 2 2 2 3 2 2" xfId="3200"/>
    <cellStyle name="60% - 强调文字颜色 2 2 2 3 3" xfId="3201"/>
    <cellStyle name="60% - 强调文字颜色 2 2 2 3 3 2" xfId="3202"/>
    <cellStyle name="60% - 强调文字颜色 2 2 2 3 4" xfId="3203"/>
    <cellStyle name="60% - 强调文字颜色 2 2 2 3 4 2" xfId="3204"/>
    <cellStyle name="60% - 强调文字颜色 2 2 2 3 5" xfId="3205"/>
    <cellStyle name="60% - 强调文字颜色 2 2 2 4" xfId="3206"/>
    <cellStyle name="60% - 强调文字颜色 2 2 2 4 2" xfId="3207"/>
    <cellStyle name="60% - 强调文字颜色 2 2 2 5" xfId="3208"/>
    <cellStyle name="60% - 强调文字颜色 2 2 2 5 2" xfId="3209"/>
    <cellStyle name="60% - 强调文字颜色 2 2 2 6" xfId="3210"/>
    <cellStyle name="60% - 强调文字颜色 2 2 3" xfId="3211"/>
    <cellStyle name="60% - 强调文字颜色 2 2 3 2" xfId="3212"/>
    <cellStyle name="60% - 强调文字颜色 2 2 3 2 2" xfId="3213"/>
    <cellStyle name="60% - 强调文字颜色 2 2 3 3" xfId="3214"/>
    <cellStyle name="60% - 强调文字颜色 2 2 3 3 2" xfId="3215"/>
    <cellStyle name="60% - 强调文字颜色 2 2 3 4" xfId="3216"/>
    <cellStyle name="60% - 强调文字颜色 2 2 3 4 2" xfId="3217"/>
    <cellStyle name="60% - 强调文字颜色 2 2 3 5" xfId="3218"/>
    <cellStyle name="60% - 强调文字颜色 2 2 4" xfId="3219"/>
    <cellStyle name="60% - 强调文字颜色 2 2 4 2" xfId="3220"/>
    <cellStyle name="60% - 强调文字颜色 2 2 4 2 2" xfId="3221"/>
    <cellStyle name="60% - 强调文字颜色 2 2 4 3" xfId="3222"/>
    <cellStyle name="60% - 强调文字颜色 2 2 5" xfId="3223"/>
    <cellStyle name="60% - 强调文字颜色 2 2 5 2" xfId="3224"/>
    <cellStyle name="60% - 强调文字颜色 2 2 6" xfId="3225"/>
    <cellStyle name="60% - 强调文字颜色 2 2 6 2" xfId="3226"/>
    <cellStyle name="60% - 强调文字颜色 2 2 7" xfId="3227"/>
    <cellStyle name="60% - 强调文字颜色 2 2 7 2" xfId="3228"/>
    <cellStyle name="60% - 强调文字颜色 2 2 8" xfId="3229"/>
    <cellStyle name="60% - 强调文字颜色 2 2 8 2" xfId="3230"/>
    <cellStyle name="60% - 强调文字颜色 2 2 9" xfId="3231"/>
    <cellStyle name="60% - 强调文字颜色 2 2_横岭厂二期估算表--0921fa" xfId="3232"/>
    <cellStyle name="60% - 强调文字颜色 2 3" xfId="3233"/>
    <cellStyle name="60% - 强调文字颜色 2 3 2" xfId="3234"/>
    <cellStyle name="60% - 强调文字颜色 2 3 2 2" xfId="3235"/>
    <cellStyle name="60% - 强调文字颜色 2 3 3" xfId="3236"/>
    <cellStyle name="60% - 强调文字颜色 3 2" xfId="3237"/>
    <cellStyle name="60% - 强调文字颜色 3 2 2" xfId="3238"/>
    <cellStyle name="60% - 强调文字颜色 3 2 2 2" xfId="3239"/>
    <cellStyle name="60% - 强调文字颜色 3 2 2 2 2" xfId="3240"/>
    <cellStyle name="60% - 强调文字颜色 3 2 2 2 2 2" xfId="3241"/>
    <cellStyle name="60% - 强调文字颜色 3 2 2 2 3" xfId="3242"/>
    <cellStyle name="60% - 强调文字颜色 3 2 2 2 3 2" xfId="3243"/>
    <cellStyle name="60% - 强调文字颜色 3 2 2 2 4" xfId="3244"/>
    <cellStyle name="60% - 强调文字颜色 3 2 2 2 4 2" xfId="3245"/>
    <cellStyle name="60% - 强调文字颜色 3 2 2 2 5" xfId="3246"/>
    <cellStyle name="60% - 强调文字颜色 3 2 2 3" xfId="3247"/>
    <cellStyle name="60% - 强调文字颜色 3 2 2 3 2" xfId="3248"/>
    <cellStyle name="60% - 强调文字颜色 3 2 2 3 2 2" xfId="3249"/>
    <cellStyle name="60% - 强调文字颜色 3 2 2 3 3" xfId="3250"/>
    <cellStyle name="60% - 强调文字颜色 3 2 2 3 3 2" xfId="3251"/>
    <cellStyle name="60% - 强调文字颜色 3 2 2 3 4" xfId="3252"/>
    <cellStyle name="60% - 强调文字颜色 3 2 2 3 4 2" xfId="3253"/>
    <cellStyle name="60% - 强调文字颜色 3 2 2 3 5" xfId="3254"/>
    <cellStyle name="60% - 强调文字颜色 3 2 2 4" xfId="3255"/>
    <cellStyle name="60% - 强调文字颜色 3 2 2 4 2" xfId="3256"/>
    <cellStyle name="60% - 强调文字颜色 3 2 2 5" xfId="3257"/>
    <cellStyle name="60% - 强调文字颜色 3 2 2 5 2" xfId="3258"/>
    <cellStyle name="60% - 强调文字颜色 3 2 2 6" xfId="3259"/>
    <cellStyle name="60% - 强调文字颜色 3 2 3" xfId="3260"/>
    <cellStyle name="60% - 强调文字颜色 3 2 3 2" xfId="3261"/>
    <cellStyle name="60% - 强调文字颜色 3 2 3 2 2" xfId="3262"/>
    <cellStyle name="60% - 强调文字颜色 3 2 3 3" xfId="3263"/>
    <cellStyle name="60% - 强调文字颜色 3 2 3 3 2" xfId="3264"/>
    <cellStyle name="60% - 强调文字颜色 3 2 3 4" xfId="3265"/>
    <cellStyle name="60% - 强调文字颜色 3 2 3 4 2" xfId="3266"/>
    <cellStyle name="60% - 强调文字颜色 3 2 3 5" xfId="3267"/>
    <cellStyle name="60% - 强调文字颜色 3 2 4" xfId="3268"/>
    <cellStyle name="60% - 强调文字颜色 3 2 4 2" xfId="3269"/>
    <cellStyle name="60% - 强调文字颜色 3 2 4 2 2" xfId="3270"/>
    <cellStyle name="60% - 强调文字颜色 3 2 4 3" xfId="3271"/>
    <cellStyle name="60% - 强调文字颜色 3 2 5" xfId="3272"/>
    <cellStyle name="60% - 强调文字颜色 3 2 5 2" xfId="3273"/>
    <cellStyle name="60% - 强调文字颜色 3 2 6" xfId="3274"/>
    <cellStyle name="60% - 强调文字颜色 3 2 6 2" xfId="3275"/>
    <cellStyle name="60% - 强调文字颜色 3 2 7" xfId="3276"/>
    <cellStyle name="60% - 强调文字颜色 3 2 7 2" xfId="3277"/>
    <cellStyle name="60% - 强调文字颜色 3 2 8" xfId="3278"/>
    <cellStyle name="60% - 强调文字颜色 3 2 8 2" xfId="3279"/>
    <cellStyle name="60% - 强调文字颜色 3 2 9" xfId="3280"/>
    <cellStyle name="60% - 强调文字颜色 3 2_横岭厂二期估算表--0921fa" xfId="3281"/>
    <cellStyle name="60% - 强调文字颜色 3 3" xfId="3282"/>
    <cellStyle name="60% - 强调文字颜色 3 3 2" xfId="3283"/>
    <cellStyle name="60% - 强调文字颜色 3 3 2 2" xfId="3284"/>
    <cellStyle name="60% - 强调文字颜色 3 3 3" xfId="3285"/>
    <cellStyle name="60% - 强调文字颜色 4 2" xfId="3286"/>
    <cellStyle name="60% - 强调文字颜色 4 2 2" xfId="3287"/>
    <cellStyle name="60% - 强调文字颜色 4 2 2 2" xfId="3288"/>
    <cellStyle name="60% - 强调文字颜色 4 2 2 2 2" xfId="3289"/>
    <cellStyle name="60% - 强调文字颜色 4 2 2 2 2 2" xfId="3290"/>
    <cellStyle name="60% - 强调文字颜色 4 2 2 2 3" xfId="3291"/>
    <cellStyle name="60% - 强调文字颜色 4 2 2 2 3 2" xfId="3292"/>
    <cellStyle name="60% - 强调文字颜色 4 2 2 2 4" xfId="3293"/>
    <cellStyle name="60% - 强调文字颜色 4 2 2 2 4 2" xfId="3294"/>
    <cellStyle name="60% - 强调文字颜色 4 2 2 2 5" xfId="3295"/>
    <cellStyle name="60% - 强调文字颜色 4 2 2 3" xfId="3296"/>
    <cellStyle name="60% - 强调文字颜色 4 2 2 3 2" xfId="3297"/>
    <cellStyle name="60% - 强调文字颜色 4 2 2 3 2 2" xfId="3298"/>
    <cellStyle name="60% - 强调文字颜色 4 2 2 3 3" xfId="3299"/>
    <cellStyle name="60% - 强调文字颜色 4 2 2 3 3 2" xfId="3300"/>
    <cellStyle name="60% - 强调文字颜色 4 2 2 3 4" xfId="3301"/>
    <cellStyle name="60% - 强调文字颜色 4 2 2 3 4 2" xfId="3302"/>
    <cellStyle name="60% - 强调文字颜色 4 2 2 3 5" xfId="3303"/>
    <cellStyle name="60% - 强调文字颜色 4 2 2 4" xfId="3304"/>
    <cellStyle name="60% - 强调文字颜色 4 2 2 4 2" xfId="3305"/>
    <cellStyle name="60% - 强调文字颜色 4 2 2 5" xfId="3306"/>
    <cellStyle name="60% - 强调文字颜色 4 2 2 5 2" xfId="3307"/>
    <cellStyle name="60% - 强调文字颜色 4 2 2 6" xfId="3308"/>
    <cellStyle name="60% - 强调文字颜色 4 2 3" xfId="3309"/>
    <cellStyle name="60% - 强调文字颜色 4 2 3 2" xfId="3310"/>
    <cellStyle name="60% - 强调文字颜色 4 2 3 2 2" xfId="3311"/>
    <cellStyle name="60% - 强调文字颜色 4 2 3 3" xfId="3312"/>
    <cellStyle name="60% - 强调文字颜色 4 2 3 3 2" xfId="3313"/>
    <cellStyle name="60% - 强调文字颜色 4 2 3 4" xfId="3314"/>
    <cellStyle name="60% - 强调文字颜色 4 2 3 4 2" xfId="3315"/>
    <cellStyle name="60% - 强调文字颜色 4 2 3 5" xfId="3316"/>
    <cellStyle name="60% - 强调文字颜色 4 2 4" xfId="3317"/>
    <cellStyle name="60% - 强调文字颜色 4 2 4 2" xfId="3318"/>
    <cellStyle name="60% - 强调文字颜色 4 2 4 2 2" xfId="3319"/>
    <cellStyle name="60% - 强调文字颜色 4 2 4 3" xfId="3320"/>
    <cellStyle name="60% - 强调文字颜色 4 2 5" xfId="3321"/>
    <cellStyle name="60% - 强调文字颜色 4 2 5 2" xfId="3322"/>
    <cellStyle name="60% - 强调文字颜色 4 2 6" xfId="3323"/>
    <cellStyle name="60% - 强调文字颜色 4 2 6 2" xfId="3324"/>
    <cellStyle name="60% - 强调文字颜色 4 2 7" xfId="3325"/>
    <cellStyle name="60% - 强调文字颜色 4 2 7 2" xfId="3326"/>
    <cellStyle name="60% - 强调文字颜色 4 2 8" xfId="3327"/>
    <cellStyle name="60% - 强调文字颜色 4 2 8 2" xfId="3328"/>
    <cellStyle name="60% - 强调文字颜色 4 2 9" xfId="3329"/>
    <cellStyle name="60% - 强调文字颜色 4 2_横岭厂二期估算表--0921fa" xfId="3330"/>
    <cellStyle name="60% - 强调文字颜色 4 3" xfId="3331"/>
    <cellStyle name="60% - 强调文字颜色 4 3 2" xfId="3332"/>
    <cellStyle name="60% - 强调文字颜色 4 3 2 2" xfId="3333"/>
    <cellStyle name="60% - 强调文字颜色 4 3 3" xfId="3334"/>
    <cellStyle name="60% - 强调文字颜色 5 2" xfId="3335"/>
    <cellStyle name="60% - 强调文字颜色 5 2 2" xfId="3336"/>
    <cellStyle name="60% - 强调文字颜色 5 2 2 2" xfId="3337"/>
    <cellStyle name="60% - 强调文字颜色 5 2 2 2 2" xfId="3338"/>
    <cellStyle name="60% - 强调文字颜色 5 2 2 2 2 2" xfId="3339"/>
    <cellStyle name="60% - 强调文字颜色 5 2 2 2 3" xfId="3340"/>
    <cellStyle name="60% - 强调文字颜色 5 2 2 2 3 2" xfId="3341"/>
    <cellStyle name="60% - 强调文字颜色 5 2 2 2 4" xfId="3342"/>
    <cellStyle name="60% - 强调文字颜色 5 2 2 2 4 2" xfId="3343"/>
    <cellStyle name="60% - 强调文字颜色 5 2 2 2 5" xfId="3344"/>
    <cellStyle name="60% - 强调文字颜色 5 2 2 3" xfId="3345"/>
    <cellStyle name="60% - 强调文字颜色 5 2 2 3 2" xfId="3346"/>
    <cellStyle name="60% - 强调文字颜色 5 2 2 3 2 2" xfId="3347"/>
    <cellStyle name="60% - 强调文字颜色 5 2 2 3 3" xfId="3348"/>
    <cellStyle name="60% - 强调文字颜色 5 2 2 3 3 2" xfId="3349"/>
    <cellStyle name="60% - 强调文字颜色 5 2 2 3 4" xfId="3350"/>
    <cellStyle name="60% - 强调文字颜色 5 2 2 3 4 2" xfId="3351"/>
    <cellStyle name="60% - 强调文字颜色 5 2 2 3 5" xfId="3352"/>
    <cellStyle name="60% - 强调文字颜色 5 2 2 4" xfId="3353"/>
    <cellStyle name="60% - 强调文字颜色 5 2 2 4 2" xfId="3354"/>
    <cellStyle name="60% - 强调文字颜色 5 2 2 5" xfId="3355"/>
    <cellStyle name="60% - 强调文字颜色 5 2 2 5 2" xfId="3356"/>
    <cellStyle name="60% - 强调文字颜色 5 2 2 6" xfId="3357"/>
    <cellStyle name="60% - 强调文字颜色 5 2 3" xfId="3358"/>
    <cellStyle name="60% - 强调文字颜色 5 2 3 2" xfId="3359"/>
    <cellStyle name="60% - 强调文字颜色 5 2 3 2 2" xfId="3360"/>
    <cellStyle name="60% - 强调文字颜色 5 2 3 3" xfId="3361"/>
    <cellStyle name="60% - 强调文字颜色 5 2 3 3 2" xfId="3362"/>
    <cellStyle name="60% - 强调文字颜色 5 2 3 4" xfId="3363"/>
    <cellStyle name="60% - 强调文字颜色 5 2 3 4 2" xfId="3364"/>
    <cellStyle name="60% - 强调文字颜色 5 2 3 5" xfId="3365"/>
    <cellStyle name="60% - 强调文字颜色 5 2 4" xfId="3366"/>
    <cellStyle name="60% - 强调文字颜色 5 2 4 2" xfId="3367"/>
    <cellStyle name="60% - 强调文字颜色 5 2 4 2 2" xfId="3368"/>
    <cellStyle name="60% - 强调文字颜色 5 2 4 3" xfId="3369"/>
    <cellStyle name="60% - 强调文字颜色 5 2 5" xfId="3370"/>
    <cellStyle name="60% - 强调文字颜色 5 2 5 2" xfId="3371"/>
    <cellStyle name="60% - 强调文字颜色 5 2 6" xfId="3372"/>
    <cellStyle name="60% - 强调文字颜色 5 2 6 2" xfId="3373"/>
    <cellStyle name="60% - 强调文字颜色 5 2 7" xfId="3374"/>
    <cellStyle name="60% - 强调文字颜色 5 2 7 2" xfId="3375"/>
    <cellStyle name="60% - 强调文字颜色 5 2 8" xfId="3376"/>
    <cellStyle name="60% - 强调文字颜色 5 2 8 2" xfId="3377"/>
    <cellStyle name="60% - 强调文字颜色 5 2 9" xfId="3378"/>
    <cellStyle name="60% - 强调文字颜色 5 2_横岭厂二期估算表--0921fa" xfId="3379"/>
    <cellStyle name="60% - 强调文字颜色 5 3" xfId="3380"/>
    <cellStyle name="60% - 强调文字颜色 5 3 2" xfId="3381"/>
    <cellStyle name="60% - 强调文字颜色 5 3 2 2" xfId="3382"/>
    <cellStyle name="60% - 强调文字颜色 5 3 3" xfId="3383"/>
    <cellStyle name="60% - 强调文字颜色 6 2" xfId="3384"/>
    <cellStyle name="60% - 强调文字颜色 6 2 2" xfId="3385"/>
    <cellStyle name="60% - 强调文字颜色 6 2 2 2" xfId="3386"/>
    <cellStyle name="60% - 强调文字颜色 6 2 2 2 2" xfId="3387"/>
    <cellStyle name="60% - 强调文字颜色 6 2 2 2 2 2" xfId="3388"/>
    <cellStyle name="60% - 强调文字颜色 6 2 2 2 3" xfId="3389"/>
    <cellStyle name="60% - 强调文字颜色 6 2 2 2 3 2" xfId="3390"/>
    <cellStyle name="60% - 强调文字颜色 6 2 2 2 4" xfId="3391"/>
    <cellStyle name="60% - 强调文字颜色 6 2 2 2 4 2" xfId="3392"/>
    <cellStyle name="60% - 强调文字颜色 6 2 2 2 5" xfId="3393"/>
    <cellStyle name="60% - 强调文字颜色 6 2 2 3" xfId="3394"/>
    <cellStyle name="60% - 强调文字颜色 6 2 2 3 2" xfId="3395"/>
    <cellStyle name="60% - 强调文字颜色 6 2 2 3 2 2" xfId="3396"/>
    <cellStyle name="60% - 强调文字颜色 6 2 2 3 3" xfId="3397"/>
    <cellStyle name="60% - 强调文字颜色 6 2 2 3 3 2" xfId="3398"/>
    <cellStyle name="60% - 强调文字颜色 6 2 2 3 4" xfId="3399"/>
    <cellStyle name="60% - 强调文字颜色 6 2 2 3 4 2" xfId="3400"/>
    <cellStyle name="60% - 强调文字颜色 6 2 2 3 5" xfId="3401"/>
    <cellStyle name="60% - 强调文字颜色 6 2 2 4" xfId="3402"/>
    <cellStyle name="60% - 强调文字颜色 6 2 2 4 2" xfId="3403"/>
    <cellStyle name="60% - 强调文字颜色 6 2 2 5" xfId="3404"/>
    <cellStyle name="60% - 强调文字颜色 6 2 2 5 2" xfId="3405"/>
    <cellStyle name="60% - 强调文字颜色 6 2 2 6" xfId="3406"/>
    <cellStyle name="60% - 强调文字颜色 6 2 3" xfId="3407"/>
    <cellStyle name="60% - 强调文字颜色 6 2 3 2" xfId="3408"/>
    <cellStyle name="60% - 强调文字颜色 6 2 3 2 2" xfId="3409"/>
    <cellStyle name="60% - 强调文字颜色 6 2 3 3" xfId="3410"/>
    <cellStyle name="60% - 强调文字颜色 6 2 3 3 2" xfId="3411"/>
    <cellStyle name="60% - 强调文字颜色 6 2 3 4" xfId="3412"/>
    <cellStyle name="60% - 强调文字颜色 6 2 3 4 2" xfId="3413"/>
    <cellStyle name="60% - 强调文字颜色 6 2 3 5" xfId="3414"/>
    <cellStyle name="60% - 强调文字颜色 6 2 4" xfId="3415"/>
    <cellStyle name="60% - 强调文字颜色 6 2 4 2" xfId="3416"/>
    <cellStyle name="60% - 强调文字颜色 6 2 4 2 2" xfId="3417"/>
    <cellStyle name="60% - 强调文字颜色 6 2 4 3" xfId="3418"/>
    <cellStyle name="60% - 强调文字颜色 6 2 5" xfId="3419"/>
    <cellStyle name="60% - 强调文字颜色 6 2 5 2" xfId="3420"/>
    <cellStyle name="60% - 强调文字颜色 6 2 6" xfId="3421"/>
    <cellStyle name="60% - 强调文字颜色 6 2 6 2" xfId="3422"/>
    <cellStyle name="60% - 强调文字颜色 6 2 7" xfId="3423"/>
    <cellStyle name="60% - 强调文字颜色 6 2 7 2" xfId="3424"/>
    <cellStyle name="60% - 强调文字颜色 6 2 8" xfId="3425"/>
    <cellStyle name="60% - 强调文字颜色 6 2 8 2" xfId="3426"/>
    <cellStyle name="60% - 强调文字颜色 6 2 9" xfId="3427"/>
    <cellStyle name="60% - 强调文字颜色 6 2_横岭厂二期估算表--0921fa" xfId="3428"/>
    <cellStyle name="60% - 强调文字颜色 6 3" xfId="3429"/>
    <cellStyle name="60% - 强调文字颜色 6 3 2" xfId="3430"/>
    <cellStyle name="60% - 强调文字颜色 6 3 2 2" xfId="3431"/>
    <cellStyle name="60% - 强调文字颜色 6 3 3" xfId="3432"/>
    <cellStyle name="60% - 着色 1 2" xfId="3433"/>
    <cellStyle name="60% - 着色 2 2" xfId="3434"/>
    <cellStyle name="60% - 着色 3 2" xfId="3435"/>
    <cellStyle name="60% - 着色 4 2" xfId="3436"/>
    <cellStyle name="60% - 着色 5 2" xfId="3437"/>
    <cellStyle name="60% - 着色 6 2" xfId="3438"/>
    <cellStyle name="Accent1" xfId="3439"/>
    <cellStyle name="Accent2" xfId="3440"/>
    <cellStyle name="Accent3" xfId="3441"/>
    <cellStyle name="Accent4" xfId="3442"/>
    <cellStyle name="Accent5" xfId="3443"/>
    <cellStyle name="Accent6" xfId="3444"/>
    <cellStyle name="Bad" xfId="3445"/>
    <cellStyle name="bstitutes]_x000d__x000a_; The following mappings take Word for MS-DOS names, PostScript names, and TrueType_x000d__x000a_; names into account" xfId="3446"/>
    <cellStyle name="Calculation" xfId="3447"/>
    <cellStyle name="Check Cell" xfId="3448"/>
    <cellStyle name="ColLevel_0" xfId="3449"/>
    <cellStyle name="Comma [0]_8万吨调整" xfId="3450"/>
    <cellStyle name="Comma 2" xfId="3451"/>
    <cellStyle name="Comma 2 2" xfId="3452"/>
    <cellStyle name="Comma 3" xfId="3453"/>
    <cellStyle name="Comma_8万吨调整" xfId="3454"/>
    <cellStyle name="Currency [0]_8万吨调整" xfId="3455"/>
    <cellStyle name="Currency 2" xfId="3456"/>
    <cellStyle name="Currency 2 2" xfId="3457"/>
    <cellStyle name="Currency_8万吨调整" xfId="3458"/>
    <cellStyle name="Explanatory Text" xfId="3459"/>
    <cellStyle name="F2" xfId="3460"/>
    <cellStyle name="F3" xfId="3461"/>
    <cellStyle name="F4" xfId="3462"/>
    <cellStyle name="F5" xfId="3463"/>
    <cellStyle name="F6" xfId="3464"/>
    <cellStyle name="F7" xfId="3465"/>
    <cellStyle name="F8" xfId="3466"/>
    <cellStyle name="Good" xfId="3467"/>
    <cellStyle name="Heading 1" xfId="3468"/>
    <cellStyle name="Heading 2" xfId="3469"/>
    <cellStyle name="Heading 3" xfId="3470"/>
    <cellStyle name="Heading 4" xfId="3471"/>
    <cellStyle name="Input" xfId="3472"/>
    <cellStyle name="Linked Cell" xfId="3473"/>
    <cellStyle name="Neutral" xfId="3474"/>
    <cellStyle name="no dec" xfId="3475"/>
    <cellStyle name="Normal" xfId="3476"/>
    <cellStyle name="Normal 2" xfId="3477"/>
    <cellStyle name="Normal 2 2" xfId="3478"/>
    <cellStyle name="Normal 2_大连海淡项目新" xfId="3479"/>
    <cellStyle name="Normal 3" xfId="3480"/>
    <cellStyle name="Normal 4" xfId="3481"/>
    <cellStyle name="Normal_ 平面布置(土建)" xfId="3482"/>
    <cellStyle name="Note" xfId="3483"/>
    <cellStyle name="oft Excel]_x000d__x000a_Comment=The open=/f lines load custom functions into the Paste Function list._x000d__x000a_Maximized=3_x000d__x000a_AutoFormat=" xfId="3484"/>
    <cellStyle name="Output" xfId="3485"/>
    <cellStyle name="Percent 2" xfId="3486"/>
    <cellStyle name="Percent 2 2" xfId="3487"/>
    <cellStyle name="S0" xfId="3488"/>
    <cellStyle name="S1" xfId="3489"/>
    <cellStyle name="S10" xfId="3490"/>
    <cellStyle name="S11" xfId="3491"/>
    <cellStyle name="S12" xfId="3492"/>
    <cellStyle name="S13" xfId="3493"/>
    <cellStyle name="S14" xfId="3494"/>
    <cellStyle name="S2" xfId="3495"/>
    <cellStyle name="S3" xfId="3496"/>
    <cellStyle name="S4" xfId="3497"/>
    <cellStyle name="S5" xfId="3498"/>
    <cellStyle name="S6" xfId="3499"/>
    <cellStyle name="S7" xfId="3500"/>
    <cellStyle name="S8" xfId="3501"/>
    <cellStyle name="S9" xfId="3502"/>
    <cellStyle name="Style 1" xfId="3503"/>
    <cellStyle name="Title" xfId="3504"/>
    <cellStyle name="Total" xfId="3505"/>
    <cellStyle name="Warning Text" xfId="3506"/>
    <cellStyle name="百分比 10" xfId="6"/>
    <cellStyle name="百分比 2" xfId="3507"/>
    <cellStyle name="百分比 2 10" xfId="3508"/>
    <cellStyle name="百分比 2 10 2" xfId="3509"/>
    <cellStyle name="百分比 2 11" xfId="3510"/>
    <cellStyle name="百分比 2 11 2" xfId="3511"/>
    <cellStyle name="百分比 2 12" xfId="3512"/>
    <cellStyle name="百分比 2 12 2" xfId="3513"/>
    <cellStyle name="百分比 2 13" xfId="3514"/>
    <cellStyle name="百分比 2 13 2" xfId="3515"/>
    <cellStyle name="百分比 2 14" xfId="3516"/>
    <cellStyle name="百分比 2 2" xfId="16"/>
    <cellStyle name="百分比 2 2 10" xfId="3517"/>
    <cellStyle name="百分比 2 2 11" xfId="14"/>
    <cellStyle name="百分比 2 2 2" xfId="3518"/>
    <cellStyle name="百分比 2 2 2 2" xfId="3519"/>
    <cellStyle name="百分比 2 2 2 2 2" xfId="3520"/>
    <cellStyle name="百分比 2 2 2 2 2 2" xfId="3521"/>
    <cellStyle name="百分比 2 2 2 2 2 2 2" xfId="3522"/>
    <cellStyle name="百分比 2 2 2 2 2 3" xfId="3523"/>
    <cellStyle name="百分比 2 2 2 2 3" xfId="3524"/>
    <cellStyle name="百分比 2 2 2 2 3 2" xfId="3525"/>
    <cellStyle name="百分比 2 2 2 2 4" xfId="3526"/>
    <cellStyle name="百分比 2 2 2 3" xfId="3527"/>
    <cellStyle name="百分比 2 2 2 3 2" xfId="3528"/>
    <cellStyle name="百分比 2 2 2 3 2 2" xfId="3529"/>
    <cellStyle name="百分比 2 2 2 3 3" xfId="3530"/>
    <cellStyle name="百分比 2 2 2 4" xfId="3531"/>
    <cellStyle name="百分比 2 2 2 4 2" xfId="3532"/>
    <cellStyle name="百分比 2 2 2 5" xfId="3533"/>
    <cellStyle name="百分比 2 2 2 5 2" xfId="3534"/>
    <cellStyle name="百分比 2 2 2 6" xfId="3535"/>
    <cellStyle name="百分比 2 2 2 6 2" xfId="3536"/>
    <cellStyle name="百分比 2 2 2 7" xfId="3537"/>
    <cellStyle name="百分比 2 2 3" xfId="3538"/>
    <cellStyle name="百分比 2 2 3 2" xfId="3539"/>
    <cellStyle name="百分比 2 2 3 2 2" xfId="3540"/>
    <cellStyle name="百分比 2 2 3 2 2 2" xfId="3541"/>
    <cellStyle name="百分比 2 2 3 2 3" xfId="3542"/>
    <cellStyle name="百分比 2 2 3 2 3 2" xfId="3543"/>
    <cellStyle name="百分比 2 2 3 2 4" xfId="3544"/>
    <cellStyle name="百分比 2 2 3 3" xfId="3545"/>
    <cellStyle name="百分比 2 2 3 3 2" xfId="3546"/>
    <cellStyle name="百分比 2 2 3 4" xfId="3547"/>
    <cellStyle name="百分比 2 2 3 4 2" xfId="3548"/>
    <cellStyle name="百分比 2 2 3 5" xfId="3549"/>
    <cellStyle name="百分比 2 2 3 5 2" xfId="3550"/>
    <cellStyle name="百分比 2 2 3 6" xfId="3551"/>
    <cellStyle name="百分比 2 2 3 6 2" xfId="3552"/>
    <cellStyle name="百分比 2 2 3 7" xfId="3553"/>
    <cellStyle name="百分比 2 2 4" xfId="3554"/>
    <cellStyle name="百分比 2 2 4 2" xfId="3555"/>
    <cellStyle name="百分比 2 2 4 2 2" xfId="3556"/>
    <cellStyle name="百分比 2 2 4 2 2 2" xfId="3557"/>
    <cellStyle name="百分比 2 2 4 2 3" xfId="3558"/>
    <cellStyle name="百分比 2 2 4 3" xfId="3559"/>
    <cellStyle name="百分比 2 2 4 3 2" xfId="3560"/>
    <cellStyle name="百分比 2 2 4 4" xfId="3561"/>
    <cellStyle name="百分比 2 2 5" xfId="3562"/>
    <cellStyle name="百分比 2 2 5 2" xfId="3563"/>
    <cellStyle name="百分比 2 2 5 2 2" xfId="3564"/>
    <cellStyle name="百分比 2 2 5 3" xfId="3565"/>
    <cellStyle name="百分比 2 2 6" xfId="3566"/>
    <cellStyle name="百分比 2 2 6 2" xfId="3567"/>
    <cellStyle name="百分比 2 2 6 2 2" xfId="3568"/>
    <cellStyle name="百分比 2 2 6 3" xfId="3569"/>
    <cellStyle name="百分比 2 2 7" xfId="3570"/>
    <cellStyle name="百分比 2 2 7 2" xfId="3571"/>
    <cellStyle name="百分比 2 2 8" xfId="3572"/>
    <cellStyle name="百分比 2 2 8 2" xfId="3573"/>
    <cellStyle name="百分比 2 2 9" xfId="3574"/>
    <cellStyle name="百分比 2 2 9 2" xfId="3575"/>
    <cellStyle name="百分比 2 3" xfId="3576"/>
    <cellStyle name="百分比 2 3 2" xfId="3577"/>
    <cellStyle name="百分比 2 3 2 2" xfId="3578"/>
    <cellStyle name="百分比 2 3 2 2 2" xfId="3579"/>
    <cellStyle name="百分比 2 3 2 2 2 2" xfId="3580"/>
    <cellStyle name="百分比 2 3 2 2 3" xfId="3581"/>
    <cellStyle name="百分比 2 3 2 3" xfId="3582"/>
    <cellStyle name="百分比 2 3 2 3 2" xfId="3583"/>
    <cellStyle name="百分比 2 3 2 4" xfId="3584"/>
    <cellStyle name="百分比 2 3 3" xfId="3585"/>
    <cellStyle name="百分比 2 3 3 2" xfId="3586"/>
    <cellStyle name="百分比 2 3 3 2 2" xfId="3587"/>
    <cellStyle name="百分比 2 3 3 3" xfId="3588"/>
    <cellStyle name="百分比 2 3 4" xfId="3589"/>
    <cellStyle name="百分比 2 3 4 2" xfId="3590"/>
    <cellStyle name="百分比 2 3 5" xfId="3591"/>
    <cellStyle name="百分比 2 3 5 2" xfId="3592"/>
    <cellStyle name="百分比 2 3 6" xfId="3593"/>
    <cellStyle name="百分比 2 3 6 2" xfId="3594"/>
    <cellStyle name="百分比 2 3 7" xfId="3595"/>
    <cellStyle name="百分比 2 4" xfId="3596"/>
    <cellStyle name="百分比 2 4 2" xfId="3597"/>
    <cellStyle name="百分比 2 4 2 2" xfId="3598"/>
    <cellStyle name="百分比 2 4 2 2 2" xfId="3599"/>
    <cellStyle name="百分比 2 4 2 3" xfId="3600"/>
    <cellStyle name="百分比 2 4 2 3 2" xfId="3601"/>
    <cellStyle name="百分比 2 4 2 4" xfId="3602"/>
    <cellStyle name="百分比 2 4 3" xfId="3603"/>
    <cellStyle name="百分比 2 4 3 2" xfId="3604"/>
    <cellStyle name="百分比 2 4 4" xfId="3605"/>
    <cellStyle name="百分比 2 4 4 2" xfId="3606"/>
    <cellStyle name="百分比 2 4 5" xfId="3607"/>
    <cellStyle name="百分比 2 5" xfId="3608"/>
    <cellStyle name="百分比 2 5 2" xfId="3609"/>
    <cellStyle name="百分比 2 5 2 2" xfId="3610"/>
    <cellStyle name="百分比 2 5 2 2 2" xfId="3611"/>
    <cellStyle name="百分比 2 5 2 3" xfId="3612"/>
    <cellStyle name="百分比 2 5 3" xfId="3613"/>
    <cellStyle name="百分比 2 5 3 2" xfId="3614"/>
    <cellStyle name="百分比 2 5 4" xfId="3615"/>
    <cellStyle name="百分比 2 6" xfId="3616"/>
    <cellStyle name="百分比 2 6 2" xfId="3617"/>
    <cellStyle name="百分比 2 6 2 2" xfId="3618"/>
    <cellStyle name="百分比 2 6 3" xfId="3619"/>
    <cellStyle name="百分比 2 7" xfId="3620"/>
    <cellStyle name="百分比 2 7 2" xfId="3621"/>
    <cellStyle name="百分比 2 7 2 2" xfId="3622"/>
    <cellStyle name="百分比 2 7 3" xfId="3623"/>
    <cellStyle name="百分比 2 8" xfId="3624"/>
    <cellStyle name="百分比 2 8 2" xfId="3625"/>
    <cellStyle name="百分比 2 9" xfId="3626"/>
    <cellStyle name="百分比 2 9 2" xfId="3627"/>
    <cellStyle name="百分比 3" xfId="3628"/>
    <cellStyle name="百分比 3 10" xfId="3629"/>
    <cellStyle name="百分比 3 10 2" xfId="3630"/>
    <cellStyle name="百分比 3 11" xfId="3631"/>
    <cellStyle name="百分比 3 2" xfId="3632"/>
    <cellStyle name="百分比 3 2 2" xfId="3633"/>
    <cellStyle name="百分比 3 2 2 2" xfId="3634"/>
    <cellStyle name="百分比 3 2 2 2 2" xfId="3635"/>
    <cellStyle name="百分比 3 2 2 2 2 2" xfId="3636"/>
    <cellStyle name="百分比 3 2 2 2 3" xfId="3637"/>
    <cellStyle name="百分比 3 2 2 2 3 2" xfId="3638"/>
    <cellStyle name="百分比 3 2 2 2 4" xfId="3639"/>
    <cellStyle name="百分比 3 2 2 3" xfId="3640"/>
    <cellStyle name="百分比 3 2 2 3 2" xfId="3641"/>
    <cellStyle name="百分比 3 2 2 4" xfId="3642"/>
    <cellStyle name="百分比 3 2 2 4 2" xfId="3643"/>
    <cellStyle name="百分比 3 2 2 5" xfId="3644"/>
    <cellStyle name="百分比 3 2 2 5 2" xfId="3645"/>
    <cellStyle name="百分比 3 2 2 6" xfId="3646"/>
    <cellStyle name="百分比 3 2 3" xfId="3647"/>
    <cellStyle name="百分比 3 2 3 2" xfId="3648"/>
    <cellStyle name="百分比 3 2 3 2 2" xfId="3649"/>
    <cellStyle name="百分比 3 2 3 3" xfId="3650"/>
    <cellStyle name="百分比 3 2 3 3 2" xfId="3651"/>
    <cellStyle name="百分比 3 2 3 4" xfId="3652"/>
    <cellStyle name="百分比 3 2 3 4 2" xfId="3653"/>
    <cellStyle name="百分比 3 2 3 5" xfId="3654"/>
    <cellStyle name="百分比 3 2 3 5 2" xfId="3655"/>
    <cellStyle name="百分比 3 2 3 6" xfId="3656"/>
    <cellStyle name="百分比 3 2 4" xfId="3657"/>
    <cellStyle name="百分比 3 2 4 2" xfId="3658"/>
    <cellStyle name="百分比 3 2 4 2 2" xfId="3659"/>
    <cellStyle name="百分比 3 2 4 3" xfId="3660"/>
    <cellStyle name="百分比 3 2 5" xfId="3661"/>
    <cellStyle name="百分比 3 2 5 2" xfId="3662"/>
    <cellStyle name="百分比 3 2 6" xfId="3663"/>
    <cellStyle name="百分比 3 2 6 2" xfId="3664"/>
    <cellStyle name="百分比 3 2 7" xfId="3665"/>
    <cellStyle name="百分比 3 2 7 2" xfId="3666"/>
    <cellStyle name="百分比 3 2 8" xfId="3667"/>
    <cellStyle name="百分比 3 3" xfId="3668"/>
    <cellStyle name="百分比 3 3 2" xfId="3669"/>
    <cellStyle name="百分比 3 3 2 2" xfId="3670"/>
    <cellStyle name="百分比 3 3 2 2 2" xfId="3671"/>
    <cellStyle name="百分比 3 3 2 3" xfId="3672"/>
    <cellStyle name="百分比 3 3 2 3 2" xfId="3673"/>
    <cellStyle name="百分比 3 3 2 4" xfId="3674"/>
    <cellStyle name="百分比 3 3 3" xfId="3675"/>
    <cellStyle name="百分比 3 3 3 2" xfId="3676"/>
    <cellStyle name="百分比 3 3 4" xfId="3677"/>
    <cellStyle name="百分比 3 3 4 2" xfId="3678"/>
    <cellStyle name="百分比 3 3 5" xfId="3679"/>
    <cellStyle name="百分比 3 3 5 2" xfId="3680"/>
    <cellStyle name="百分比 3 3 6" xfId="3681"/>
    <cellStyle name="百分比 3 4" xfId="3682"/>
    <cellStyle name="百分比 3 4 2" xfId="3683"/>
    <cellStyle name="百分比 3 4 2 2" xfId="3684"/>
    <cellStyle name="百分比 3 4 3" xfId="3685"/>
    <cellStyle name="百分比 3 4 3 2" xfId="3686"/>
    <cellStyle name="百分比 3 4 4" xfId="3687"/>
    <cellStyle name="百分比 3 4 4 2" xfId="3688"/>
    <cellStyle name="百分比 3 4 5" xfId="3689"/>
    <cellStyle name="百分比 3 4 5 2" xfId="3690"/>
    <cellStyle name="百分比 3 4 6" xfId="3691"/>
    <cellStyle name="百分比 3 5" xfId="3692"/>
    <cellStyle name="百分比 3 5 2" xfId="3693"/>
    <cellStyle name="百分比 3 5 2 2" xfId="3694"/>
    <cellStyle name="百分比 3 5 3" xfId="3695"/>
    <cellStyle name="百分比 3 6" xfId="3696"/>
    <cellStyle name="百分比 3 6 2" xfId="3697"/>
    <cellStyle name="百分比 3 7" xfId="3698"/>
    <cellStyle name="百分比 3 7 2" xfId="3699"/>
    <cellStyle name="百分比 3 8" xfId="3700"/>
    <cellStyle name="百分比 3 8 2" xfId="3701"/>
    <cellStyle name="百分比 3 9" xfId="3702"/>
    <cellStyle name="百分比 3 9 2" xfId="3703"/>
    <cellStyle name="百分比 4" xfId="3704"/>
    <cellStyle name="百分比 4 10" xfId="3705"/>
    <cellStyle name="百分比 4 10 2" xfId="3706"/>
    <cellStyle name="百分比 4 11" xfId="3707"/>
    <cellStyle name="百分比 4 2" xfId="3708"/>
    <cellStyle name="百分比 4 2 2" xfId="3709"/>
    <cellStyle name="百分比 4 2 2 2" xfId="3710"/>
    <cellStyle name="百分比 4 2 2 2 2" xfId="3711"/>
    <cellStyle name="百分比 4 2 2 2 2 2" xfId="3712"/>
    <cellStyle name="百分比 4 2 2 2 3" xfId="3713"/>
    <cellStyle name="百分比 4 2 2 2 3 2" xfId="3714"/>
    <cellStyle name="百分比 4 2 2 2 4" xfId="3715"/>
    <cellStyle name="百分比 4 2 2 3" xfId="3716"/>
    <cellStyle name="百分比 4 2 2 3 2" xfId="3717"/>
    <cellStyle name="百分比 4 2 2 4" xfId="3718"/>
    <cellStyle name="百分比 4 2 2 4 2" xfId="3719"/>
    <cellStyle name="百分比 4 2 2 5" xfId="3720"/>
    <cellStyle name="百分比 4 2 2 5 2" xfId="3721"/>
    <cellStyle name="百分比 4 2 2 6" xfId="3722"/>
    <cellStyle name="百分比 4 2 3" xfId="3723"/>
    <cellStyle name="百分比 4 2 3 2" xfId="3724"/>
    <cellStyle name="百分比 4 2 3 2 2" xfId="3725"/>
    <cellStyle name="百分比 4 2 3 3" xfId="3726"/>
    <cellStyle name="百分比 4 2 3 3 2" xfId="3727"/>
    <cellStyle name="百分比 4 2 3 4" xfId="3728"/>
    <cellStyle name="百分比 4 2 3 4 2" xfId="3729"/>
    <cellStyle name="百分比 4 2 3 5" xfId="3730"/>
    <cellStyle name="百分比 4 2 3 5 2" xfId="3731"/>
    <cellStyle name="百分比 4 2 3 6" xfId="3732"/>
    <cellStyle name="百分比 4 2 4" xfId="3733"/>
    <cellStyle name="百分比 4 2 4 2" xfId="3734"/>
    <cellStyle name="百分比 4 2 4 2 2" xfId="3735"/>
    <cellStyle name="百分比 4 2 4 3" xfId="3736"/>
    <cellStyle name="百分比 4 2 5" xfId="3737"/>
    <cellStyle name="百分比 4 2 5 2" xfId="3738"/>
    <cellStyle name="百分比 4 2 6" xfId="3739"/>
    <cellStyle name="百分比 4 2 6 2" xfId="3740"/>
    <cellStyle name="百分比 4 2 7" xfId="3741"/>
    <cellStyle name="百分比 4 2 7 2" xfId="3742"/>
    <cellStyle name="百分比 4 2 8" xfId="3743"/>
    <cellStyle name="百分比 4 3" xfId="3744"/>
    <cellStyle name="百分比 4 3 2" xfId="3745"/>
    <cellStyle name="百分比 4 3 2 2" xfId="3746"/>
    <cellStyle name="百分比 4 3 2 2 2" xfId="3747"/>
    <cellStyle name="百分比 4 3 2 3" xfId="3748"/>
    <cellStyle name="百分比 4 3 2 3 2" xfId="3749"/>
    <cellStyle name="百分比 4 3 2 4" xfId="3750"/>
    <cellStyle name="百分比 4 3 3" xfId="3751"/>
    <cellStyle name="百分比 4 3 3 2" xfId="3752"/>
    <cellStyle name="百分比 4 3 4" xfId="3753"/>
    <cellStyle name="百分比 4 3 4 2" xfId="3754"/>
    <cellStyle name="百分比 4 3 5" xfId="3755"/>
    <cellStyle name="百分比 4 3 5 2" xfId="3756"/>
    <cellStyle name="百分比 4 3 6" xfId="3757"/>
    <cellStyle name="百分比 4 4" xfId="3758"/>
    <cellStyle name="百分比 4 4 2" xfId="3759"/>
    <cellStyle name="百分比 4 4 2 2" xfId="3760"/>
    <cellStyle name="百分比 4 4 3" xfId="3761"/>
    <cellStyle name="百分比 4 4 3 2" xfId="3762"/>
    <cellStyle name="百分比 4 4 4" xfId="3763"/>
    <cellStyle name="百分比 4 4 4 2" xfId="3764"/>
    <cellStyle name="百分比 4 4 5" xfId="3765"/>
    <cellStyle name="百分比 4 4 5 2" xfId="3766"/>
    <cellStyle name="百分比 4 4 6" xfId="3767"/>
    <cellStyle name="百分比 4 5" xfId="3768"/>
    <cellStyle name="百分比 4 5 2" xfId="3769"/>
    <cellStyle name="百分比 4 5 2 2" xfId="3770"/>
    <cellStyle name="百分比 4 5 3" xfId="3771"/>
    <cellStyle name="百分比 4 6" xfId="3772"/>
    <cellStyle name="百分比 4 6 2" xfId="3773"/>
    <cellStyle name="百分比 4 7" xfId="3774"/>
    <cellStyle name="百分比 4 7 2" xfId="3775"/>
    <cellStyle name="百分比 4 8" xfId="3776"/>
    <cellStyle name="百分比 4 8 2" xfId="3777"/>
    <cellStyle name="百分比 4 9" xfId="3778"/>
    <cellStyle name="百分比 4 9 2" xfId="3779"/>
    <cellStyle name="百分比 5" xfId="3780"/>
    <cellStyle name="百分比 5 2" xfId="3781"/>
    <cellStyle name="百分比 5 2 2" xfId="3782"/>
    <cellStyle name="百分比 5 2 2 2" xfId="3783"/>
    <cellStyle name="百分比 5 2 2 2 2" xfId="3784"/>
    <cellStyle name="百分比 5 2 2 3" xfId="3785"/>
    <cellStyle name="百分比 5 2 3" xfId="3786"/>
    <cellStyle name="百分比 5 2 3 2" xfId="3787"/>
    <cellStyle name="百分比 5 2 4" xfId="3788"/>
    <cellStyle name="百分比 5 3" xfId="3789"/>
    <cellStyle name="百分比 5 3 2" xfId="3790"/>
    <cellStyle name="百分比 5 3 2 2" xfId="3791"/>
    <cellStyle name="百分比 5 4" xfId="3792"/>
    <cellStyle name="百分比 5 4 2" xfId="3793"/>
    <cellStyle name="百分比 5 5" xfId="3794"/>
    <cellStyle name="百分比 5 5 2" xfId="3795"/>
    <cellStyle name="百分比 5 6" xfId="3796"/>
    <cellStyle name="百分比 6" xfId="3797"/>
    <cellStyle name="百分比 6 2" xfId="3798"/>
    <cellStyle name="百分比 6 2 2" xfId="3799"/>
    <cellStyle name="百分比 6 2 2 2" xfId="3800"/>
    <cellStyle name="百分比 6 2 3" xfId="3801"/>
    <cellStyle name="百分比 6 3" xfId="3802"/>
    <cellStyle name="百分比 6 3 2" xfId="3803"/>
    <cellStyle name="百分比 6 4" xfId="3804"/>
    <cellStyle name="百分比 7" xfId="3805"/>
    <cellStyle name="百分比 7 2" xfId="3806"/>
    <cellStyle name="百分比 8" xfId="3807"/>
    <cellStyle name="百分比 8 2" xfId="3808"/>
    <cellStyle name="百分比 9" xfId="3809"/>
    <cellStyle name="百分比 9 2" xfId="3810"/>
    <cellStyle name="标题 1 2" xfId="3811"/>
    <cellStyle name="标题 1 2 2" xfId="3812"/>
    <cellStyle name="标题 1 2 2 2" xfId="3813"/>
    <cellStyle name="标题 1 2 2 2 2" xfId="3814"/>
    <cellStyle name="标题 1 2 2 2 2 2" xfId="3815"/>
    <cellStyle name="标题 1 2 2 2 3" xfId="3816"/>
    <cellStyle name="标题 1 2 2 2 3 2" xfId="3817"/>
    <cellStyle name="标题 1 2 2 2 4" xfId="3818"/>
    <cellStyle name="标题 1 2 2 2 4 2" xfId="3819"/>
    <cellStyle name="标题 1 2 2 2 5" xfId="3820"/>
    <cellStyle name="标题 1 2 2 3" xfId="3821"/>
    <cellStyle name="标题 1 2 2 3 2" xfId="3822"/>
    <cellStyle name="标题 1 2 2 3 2 2" xfId="3823"/>
    <cellStyle name="标题 1 2 2 3 3" xfId="3824"/>
    <cellStyle name="标题 1 2 2 3 3 2" xfId="3825"/>
    <cellStyle name="标题 1 2 2 3 4" xfId="3826"/>
    <cellStyle name="标题 1 2 2 3 4 2" xfId="3827"/>
    <cellStyle name="标题 1 2 2 3 5" xfId="3828"/>
    <cellStyle name="标题 1 2 2 4" xfId="3829"/>
    <cellStyle name="标题 1 2 2 4 2" xfId="3830"/>
    <cellStyle name="标题 1 2 2 5" xfId="3831"/>
    <cellStyle name="标题 1 2 2 5 2" xfId="3832"/>
    <cellStyle name="标题 1 2 2 6" xfId="3833"/>
    <cellStyle name="标题 1 2 2_郑州新区二期扩建工程-概算总表 20180723" xfId="3834"/>
    <cellStyle name="标题 1 2 3" xfId="3835"/>
    <cellStyle name="标题 1 2 3 2" xfId="3836"/>
    <cellStyle name="标题 1 2 3 2 2" xfId="3837"/>
    <cellStyle name="标题 1 2 3 3" xfId="3838"/>
    <cellStyle name="标题 1 2 3 3 2" xfId="3839"/>
    <cellStyle name="标题 1 2 3 4" xfId="3840"/>
    <cellStyle name="标题 1 2 3 4 2" xfId="3841"/>
    <cellStyle name="标题 1 2 3 5" xfId="3842"/>
    <cellStyle name="标题 1 2 4" xfId="3843"/>
    <cellStyle name="标题 1 2 4 2" xfId="3844"/>
    <cellStyle name="标题 1 2 4 2 2" xfId="3845"/>
    <cellStyle name="标题 1 2 4 3" xfId="3846"/>
    <cellStyle name="标题 1 2 5" xfId="3847"/>
    <cellStyle name="标题 1 2 5 2" xfId="3848"/>
    <cellStyle name="标题 1 2 6" xfId="3849"/>
    <cellStyle name="标题 1 2 6 2" xfId="3850"/>
    <cellStyle name="标题 1 2 7" xfId="3851"/>
    <cellStyle name="标题 1 2 7 2" xfId="3852"/>
    <cellStyle name="标题 1 2 8" xfId="3853"/>
    <cellStyle name="标题 1 2 8 2" xfId="3854"/>
    <cellStyle name="标题 1 2 9" xfId="3855"/>
    <cellStyle name="标题 1 2_郑州新区二期扩建工程-概算总表 20180723" xfId="3856"/>
    <cellStyle name="标题 1 3" xfId="3857"/>
    <cellStyle name="标题 1 3 2" xfId="3858"/>
    <cellStyle name="标题 1 3 2 2" xfId="3859"/>
    <cellStyle name="标题 1 3 3" xfId="3860"/>
    <cellStyle name="标题 1 3_郑州新区二期扩建工程-概算总表 20180723" xfId="3861"/>
    <cellStyle name="标题 1 4" xfId="3862"/>
    <cellStyle name="标题 1 4 2" xfId="3863"/>
    <cellStyle name="标题 1 4 2 2" xfId="3864"/>
    <cellStyle name="标题 1 4 3" xfId="3865"/>
    <cellStyle name="标题 1 5" xfId="3866"/>
    <cellStyle name="标题 1 5 2" xfId="3867"/>
    <cellStyle name="标题 2 2" xfId="3868"/>
    <cellStyle name="标题 2 2 2" xfId="3869"/>
    <cellStyle name="标题 2 2 2 2" xfId="3870"/>
    <cellStyle name="标题 2 2 2 2 2" xfId="3871"/>
    <cellStyle name="标题 2 2 2 2 2 2" xfId="3872"/>
    <cellStyle name="标题 2 2 2 2 3" xfId="3873"/>
    <cellStyle name="标题 2 2 2 2 3 2" xfId="3874"/>
    <cellStyle name="标题 2 2 2 2 4" xfId="3875"/>
    <cellStyle name="标题 2 2 2 2 4 2" xfId="3876"/>
    <cellStyle name="标题 2 2 2 2 5" xfId="3877"/>
    <cellStyle name="标题 2 2 2 3" xfId="3878"/>
    <cellStyle name="标题 2 2 2 3 2" xfId="3879"/>
    <cellStyle name="标题 2 2 2 3 2 2" xfId="3880"/>
    <cellStyle name="标题 2 2 2 3 3" xfId="3881"/>
    <cellStyle name="标题 2 2 2 3 3 2" xfId="3882"/>
    <cellStyle name="标题 2 2 2 3 4" xfId="3883"/>
    <cellStyle name="标题 2 2 2 3 4 2" xfId="3884"/>
    <cellStyle name="标题 2 2 2 3 5" xfId="3885"/>
    <cellStyle name="标题 2 2 2 4" xfId="3886"/>
    <cellStyle name="标题 2 2 2 4 2" xfId="3887"/>
    <cellStyle name="标题 2 2 2 5" xfId="3888"/>
    <cellStyle name="标题 2 2 2 5 2" xfId="3889"/>
    <cellStyle name="标题 2 2 2 6" xfId="3890"/>
    <cellStyle name="标题 2 2 2_郑州新区二期扩建工程-概算总表 20180723" xfId="3891"/>
    <cellStyle name="标题 2 2 3" xfId="3892"/>
    <cellStyle name="标题 2 2 3 2" xfId="3893"/>
    <cellStyle name="标题 2 2 3 2 2" xfId="3894"/>
    <cellStyle name="标题 2 2 3 3" xfId="3895"/>
    <cellStyle name="标题 2 2 3 3 2" xfId="3896"/>
    <cellStyle name="标题 2 2 3 4" xfId="3897"/>
    <cellStyle name="标题 2 2 3 4 2" xfId="3898"/>
    <cellStyle name="标题 2 2 3 5" xfId="3899"/>
    <cellStyle name="标题 2 2 4" xfId="3900"/>
    <cellStyle name="标题 2 2 4 2" xfId="3901"/>
    <cellStyle name="标题 2 2 4 2 2" xfId="3902"/>
    <cellStyle name="标题 2 2 4 3" xfId="3903"/>
    <cellStyle name="标题 2 2 5" xfId="3904"/>
    <cellStyle name="标题 2 2 5 2" xfId="3905"/>
    <cellStyle name="标题 2 2 6" xfId="3906"/>
    <cellStyle name="标题 2 2 6 2" xfId="3907"/>
    <cellStyle name="标题 2 2 7" xfId="3908"/>
    <cellStyle name="标题 2 2 7 2" xfId="3909"/>
    <cellStyle name="标题 2 2 8" xfId="3910"/>
    <cellStyle name="标题 2 2 8 2" xfId="3911"/>
    <cellStyle name="标题 2 2 9" xfId="3912"/>
    <cellStyle name="标题 2 2_郑州新区二期扩建工程-概算总表 20180723" xfId="3913"/>
    <cellStyle name="标题 2 3" xfId="3914"/>
    <cellStyle name="标题 2 3 2" xfId="3915"/>
    <cellStyle name="标题 2 3 2 2" xfId="3916"/>
    <cellStyle name="标题 2 3 3" xfId="3917"/>
    <cellStyle name="标题 2 3_郑州新区二期扩建工程-概算总表 20180723" xfId="3918"/>
    <cellStyle name="标题 2 4" xfId="3919"/>
    <cellStyle name="标题 2 4 2" xfId="3920"/>
    <cellStyle name="标题 2 4 2 2" xfId="3921"/>
    <cellStyle name="标题 2 4 3" xfId="3922"/>
    <cellStyle name="标题 2 5" xfId="3923"/>
    <cellStyle name="标题 2 5 2" xfId="3924"/>
    <cellStyle name="标题 3 2" xfId="3925"/>
    <cellStyle name="标题 3 2 2" xfId="3926"/>
    <cellStyle name="标题 3 2 2 2" xfId="3927"/>
    <cellStyle name="标题 3 2 2 2 2" xfId="3928"/>
    <cellStyle name="标题 3 2 2 2 2 2" xfId="3929"/>
    <cellStyle name="标题 3 2 2 2 3" xfId="3930"/>
    <cellStyle name="标题 3 2 2 2 3 2" xfId="3931"/>
    <cellStyle name="标题 3 2 2 2 4" xfId="3932"/>
    <cellStyle name="标题 3 2 2 2 4 2" xfId="3933"/>
    <cellStyle name="标题 3 2 2 2 5" xfId="3934"/>
    <cellStyle name="标题 3 2 2 3" xfId="3935"/>
    <cellStyle name="标题 3 2 2 3 2" xfId="3936"/>
    <cellStyle name="标题 3 2 2 3 2 2" xfId="3937"/>
    <cellStyle name="标题 3 2 2 3 3" xfId="3938"/>
    <cellStyle name="标题 3 2 2 3 3 2" xfId="3939"/>
    <cellStyle name="标题 3 2 2 3 4" xfId="3940"/>
    <cellStyle name="标题 3 2 2 3 4 2" xfId="3941"/>
    <cellStyle name="标题 3 2 2 3 5" xfId="3942"/>
    <cellStyle name="标题 3 2 2 4" xfId="3943"/>
    <cellStyle name="标题 3 2 2 4 2" xfId="3944"/>
    <cellStyle name="标题 3 2 2 5" xfId="3945"/>
    <cellStyle name="标题 3 2 2 5 2" xfId="3946"/>
    <cellStyle name="标题 3 2 2 6" xfId="3947"/>
    <cellStyle name="标题 3 2 2_郑州新区二期扩建工程-概算总表 20180723" xfId="3948"/>
    <cellStyle name="标题 3 2 3" xfId="3949"/>
    <cellStyle name="标题 3 2 3 2" xfId="3950"/>
    <cellStyle name="标题 3 2 3 2 2" xfId="3951"/>
    <cellStyle name="标题 3 2 3 3" xfId="3952"/>
    <cellStyle name="标题 3 2 3 3 2" xfId="3953"/>
    <cellStyle name="标题 3 2 3 4" xfId="3954"/>
    <cellStyle name="标题 3 2 3 4 2" xfId="3955"/>
    <cellStyle name="标题 3 2 3 5" xfId="3956"/>
    <cellStyle name="标题 3 2 4" xfId="3957"/>
    <cellStyle name="标题 3 2 4 2" xfId="3958"/>
    <cellStyle name="标题 3 2 4 2 2" xfId="3959"/>
    <cellStyle name="标题 3 2 4 3" xfId="3960"/>
    <cellStyle name="标题 3 2 4 3 2" xfId="3961"/>
    <cellStyle name="标题 3 2 4 4" xfId="3962"/>
    <cellStyle name="标题 3 2 4 4 2" xfId="3963"/>
    <cellStyle name="标题 3 2 4 5" xfId="3964"/>
    <cellStyle name="标题 3 2 5" xfId="3965"/>
    <cellStyle name="标题 3 2 5 2" xfId="3966"/>
    <cellStyle name="标题 3 2 6" xfId="3967"/>
    <cellStyle name="标题 3 2 6 2" xfId="3968"/>
    <cellStyle name="标题 3 2 7" xfId="3969"/>
    <cellStyle name="标题 3 2 7 2" xfId="3970"/>
    <cellStyle name="标题 3 2 8" xfId="3971"/>
    <cellStyle name="标题 3 2 8 2" xfId="3972"/>
    <cellStyle name="标题 3 2 9" xfId="3973"/>
    <cellStyle name="标题 3 2_郑州新区二期扩建工程-概算总表 20180723" xfId="3974"/>
    <cellStyle name="标题 3 3" xfId="3975"/>
    <cellStyle name="标题 3 3 2" xfId="3976"/>
    <cellStyle name="标题 3 3 2 2" xfId="3977"/>
    <cellStyle name="标题 3 3 3" xfId="3978"/>
    <cellStyle name="标题 3 3_郑州新区二期扩建工程-概算总表 20180723" xfId="3979"/>
    <cellStyle name="标题 3 4" xfId="3980"/>
    <cellStyle name="标题 3 4 2" xfId="3981"/>
    <cellStyle name="标题 3 4 2 2" xfId="3982"/>
    <cellStyle name="标题 3 4 3" xfId="3983"/>
    <cellStyle name="标题 3 5" xfId="3984"/>
    <cellStyle name="标题 3 5 2" xfId="3985"/>
    <cellStyle name="标题 4 2" xfId="3986"/>
    <cellStyle name="标题 4 2 2" xfId="3987"/>
    <cellStyle name="标题 4 2 2 2" xfId="3988"/>
    <cellStyle name="标题 4 2 2 2 2" xfId="3989"/>
    <cellStyle name="标题 4 2 2 2 2 2" xfId="3990"/>
    <cellStyle name="标题 4 2 2 2 3" xfId="3991"/>
    <cellStyle name="标题 4 2 2 2 3 2" xfId="3992"/>
    <cellStyle name="标题 4 2 2 2 4" xfId="3993"/>
    <cellStyle name="标题 4 2 2 2 4 2" xfId="3994"/>
    <cellStyle name="标题 4 2 2 2 5" xfId="3995"/>
    <cellStyle name="标题 4 2 2 3" xfId="3996"/>
    <cellStyle name="标题 4 2 2 3 2" xfId="3997"/>
    <cellStyle name="标题 4 2 2 3 2 2" xfId="3998"/>
    <cellStyle name="标题 4 2 2 3 3" xfId="3999"/>
    <cellStyle name="标题 4 2 2 3 3 2" xfId="4000"/>
    <cellStyle name="标题 4 2 2 3 4" xfId="4001"/>
    <cellStyle name="标题 4 2 2 3 4 2" xfId="4002"/>
    <cellStyle name="标题 4 2 2 3 5" xfId="4003"/>
    <cellStyle name="标题 4 2 2 4" xfId="4004"/>
    <cellStyle name="标题 4 2 2 4 2" xfId="4005"/>
    <cellStyle name="标题 4 2 2 5" xfId="4006"/>
    <cellStyle name="标题 4 2 2 5 2" xfId="4007"/>
    <cellStyle name="标题 4 2 2 6" xfId="4008"/>
    <cellStyle name="标题 4 2 2_郑州新区二期扩建工程-概算总表 20180723" xfId="4009"/>
    <cellStyle name="标题 4 2 3" xfId="4010"/>
    <cellStyle name="标题 4 2 3 2" xfId="4011"/>
    <cellStyle name="标题 4 2 3 2 2" xfId="4012"/>
    <cellStyle name="标题 4 2 3 3" xfId="4013"/>
    <cellStyle name="标题 4 2 3 3 2" xfId="4014"/>
    <cellStyle name="标题 4 2 3 4" xfId="4015"/>
    <cellStyle name="标题 4 2 3 4 2" xfId="4016"/>
    <cellStyle name="标题 4 2 3 5" xfId="4017"/>
    <cellStyle name="标题 4 2 4" xfId="4018"/>
    <cellStyle name="标题 4 2 4 2" xfId="4019"/>
    <cellStyle name="标题 4 2 4 2 2" xfId="4020"/>
    <cellStyle name="标题 4 2 4 3" xfId="4021"/>
    <cellStyle name="标题 4 2 4 3 2" xfId="4022"/>
    <cellStyle name="标题 4 2 4 4" xfId="4023"/>
    <cellStyle name="标题 4 2 4 4 2" xfId="4024"/>
    <cellStyle name="标题 4 2 4 5" xfId="4025"/>
    <cellStyle name="标题 4 2 5" xfId="4026"/>
    <cellStyle name="标题 4 2 5 2" xfId="4027"/>
    <cellStyle name="标题 4 2 6" xfId="4028"/>
    <cellStyle name="标题 4 2 6 2" xfId="4029"/>
    <cellStyle name="标题 4 2 7" xfId="4030"/>
    <cellStyle name="标题 4 2 7 2" xfId="4031"/>
    <cellStyle name="标题 4 2 8" xfId="4032"/>
    <cellStyle name="标题 4 2 8 2" xfId="4033"/>
    <cellStyle name="标题 4 2 9" xfId="4034"/>
    <cellStyle name="标题 4 2_郑州新区二期扩建工程-概算总表 20180723" xfId="4035"/>
    <cellStyle name="标题 4 3" xfId="4036"/>
    <cellStyle name="标题 4 3 2" xfId="4037"/>
    <cellStyle name="标题 4 3 2 2" xfId="4038"/>
    <cellStyle name="标题 4 3 3" xfId="4039"/>
    <cellStyle name="标题 4 3_郑州新区二期扩建工程-概算总表 20180723" xfId="4040"/>
    <cellStyle name="标题 4 4" xfId="4041"/>
    <cellStyle name="标题 4 4 2" xfId="4042"/>
    <cellStyle name="标题 4 4 2 2" xfId="4043"/>
    <cellStyle name="标题 4 4 3" xfId="4044"/>
    <cellStyle name="标题 4 5" xfId="4045"/>
    <cellStyle name="标题 4 5 2" xfId="4046"/>
    <cellStyle name="标题 5" xfId="4047"/>
    <cellStyle name="标题 5 2" xfId="4048"/>
    <cellStyle name="标题 5 2 2" xfId="4049"/>
    <cellStyle name="标题 5 2 2 2" xfId="4050"/>
    <cellStyle name="标题 5 2 2 2 2" xfId="4051"/>
    <cellStyle name="标题 5 2 2 3" xfId="4052"/>
    <cellStyle name="标题 5 2 2 3 2" xfId="4053"/>
    <cellStyle name="标题 5 2 2 4" xfId="4054"/>
    <cellStyle name="标题 5 2 2 4 2" xfId="4055"/>
    <cellStyle name="标题 5 2 2 5" xfId="4056"/>
    <cellStyle name="标题 5 2 3" xfId="4057"/>
    <cellStyle name="标题 5 2 3 2" xfId="4058"/>
    <cellStyle name="标题 5 2 3 2 2" xfId="4059"/>
    <cellStyle name="标题 5 2 3 3" xfId="4060"/>
    <cellStyle name="标题 5 2 3 3 2" xfId="4061"/>
    <cellStyle name="标题 5 2 3 4" xfId="4062"/>
    <cellStyle name="标题 5 2 3 4 2" xfId="4063"/>
    <cellStyle name="标题 5 2 3 5" xfId="4064"/>
    <cellStyle name="标题 5 2 4" xfId="4065"/>
    <cellStyle name="标题 5 2 4 2" xfId="4066"/>
    <cellStyle name="标题 5 2 5" xfId="4067"/>
    <cellStyle name="标题 5 2 5 2" xfId="4068"/>
    <cellStyle name="标题 5 2 6" xfId="4069"/>
    <cellStyle name="标题 5 2_郑州新区二期扩建工程-概算总表 20180723" xfId="4070"/>
    <cellStyle name="标题 5 3" xfId="4071"/>
    <cellStyle name="标题 5 3 2" xfId="4072"/>
    <cellStyle name="标题 5 3 2 2" xfId="4073"/>
    <cellStyle name="标题 5 3 3" xfId="4074"/>
    <cellStyle name="标题 5 3 3 2" xfId="4075"/>
    <cellStyle name="标题 5 3 4" xfId="4076"/>
    <cellStyle name="标题 5 3 4 2" xfId="4077"/>
    <cellStyle name="标题 5 3 5" xfId="4078"/>
    <cellStyle name="标题 5 4" xfId="4079"/>
    <cellStyle name="标题 5 4 2" xfId="4080"/>
    <cellStyle name="标题 5 4 2 2" xfId="4081"/>
    <cellStyle name="标题 5 4 3" xfId="4082"/>
    <cellStyle name="标题 5 5" xfId="4083"/>
    <cellStyle name="标题 5 5 2" xfId="4084"/>
    <cellStyle name="标题 5 6" xfId="4085"/>
    <cellStyle name="标题 5 6 2" xfId="4086"/>
    <cellStyle name="标题 5 7" xfId="4087"/>
    <cellStyle name="标题 5 7 2" xfId="4088"/>
    <cellStyle name="标题 5 8" xfId="4089"/>
    <cellStyle name="标题 5 8 2" xfId="4090"/>
    <cellStyle name="标题 5 9" xfId="4091"/>
    <cellStyle name="标题 5_郑州新区二期扩建工程-概算总表 20180723" xfId="4092"/>
    <cellStyle name="标题 6" xfId="4093"/>
    <cellStyle name="标题 6 2" xfId="4094"/>
    <cellStyle name="标题 6 2 2" xfId="4095"/>
    <cellStyle name="标题 6 3" xfId="4096"/>
    <cellStyle name="标题 6_郑州新区二期扩建工程-概算总表 20180723" xfId="4097"/>
    <cellStyle name="标题 7" xfId="4098"/>
    <cellStyle name="标题 7 2" xfId="4099"/>
    <cellStyle name="标题 7 2 2" xfId="4100"/>
    <cellStyle name="标题 7 3" xfId="4101"/>
    <cellStyle name="标题 8" xfId="4102"/>
    <cellStyle name="标题 8 2" xfId="4103"/>
    <cellStyle name="標準_明細 (3)" xfId="4104"/>
    <cellStyle name="差 2" xfId="4105"/>
    <cellStyle name="差 2 2" xfId="4106"/>
    <cellStyle name="差 2 2 2" xfId="4107"/>
    <cellStyle name="差 2 2 2 2" xfId="4108"/>
    <cellStyle name="差 2 2 2 2 2" xfId="4109"/>
    <cellStyle name="差 2 2 2 3" xfId="4110"/>
    <cellStyle name="差 2 2 2 3 2" xfId="4111"/>
    <cellStyle name="差 2 2 2 4" xfId="4112"/>
    <cellStyle name="差 2 2 2 4 2" xfId="4113"/>
    <cellStyle name="差 2 2 2 5" xfId="4114"/>
    <cellStyle name="差 2 2 3" xfId="4115"/>
    <cellStyle name="差 2 2 3 2" xfId="4116"/>
    <cellStyle name="差 2 2 3 2 2" xfId="4117"/>
    <cellStyle name="差 2 2 3 3" xfId="4118"/>
    <cellStyle name="差 2 2 3 3 2" xfId="4119"/>
    <cellStyle name="差 2 2 3 4" xfId="4120"/>
    <cellStyle name="差 2 2 3 4 2" xfId="4121"/>
    <cellStyle name="差 2 2 3 5" xfId="4122"/>
    <cellStyle name="差 2 2 4" xfId="4123"/>
    <cellStyle name="差 2 2 4 2" xfId="4124"/>
    <cellStyle name="差 2 2 5" xfId="4125"/>
    <cellStyle name="差 2 2 5 2" xfId="4126"/>
    <cellStyle name="差 2 2 6" xfId="4127"/>
    <cellStyle name="差 2 2_郑州新区二期扩建工程-概算总表 20180723" xfId="4128"/>
    <cellStyle name="差 2 3" xfId="4129"/>
    <cellStyle name="差 2 3 2" xfId="4130"/>
    <cellStyle name="差 2 3 2 2" xfId="4131"/>
    <cellStyle name="差 2 3 3" xfId="4132"/>
    <cellStyle name="差 2 3 3 2" xfId="4133"/>
    <cellStyle name="差 2 3 4" xfId="4134"/>
    <cellStyle name="差 2 3 4 2" xfId="4135"/>
    <cellStyle name="差 2 3 5" xfId="4136"/>
    <cellStyle name="差 2 4" xfId="4137"/>
    <cellStyle name="差 2 4 2" xfId="4138"/>
    <cellStyle name="差 2 4 2 2" xfId="4139"/>
    <cellStyle name="差 2 4 3" xfId="4140"/>
    <cellStyle name="差 2 5" xfId="4141"/>
    <cellStyle name="差 2 5 2" xfId="4142"/>
    <cellStyle name="差 2 6" xfId="4143"/>
    <cellStyle name="差 2 6 2" xfId="4144"/>
    <cellStyle name="差 2 7" xfId="4145"/>
    <cellStyle name="差 2 7 2" xfId="4146"/>
    <cellStyle name="差 2 8" xfId="4147"/>
    <cellStyle name="差 2 8 2" xfId="4148"/>
    <cellStyle name="差 2 9" xfId="4149"/>
    <cellStyle name="差 2_郑州新区二期扩建工程-概算总表 20180723" xfId="4150"/>
    <cellStyle name="差 3" xfId="4151"/>
    <cellStyle name="差 3 2" xfId="4152"/>
    <cellStyle name="差 3 2 2" xfId="4153"/>
    <cellStyle name="差 3 3" xfId="4154"/>
    <cellStyle name="差 3_郑州新区二期扩建工程-概算总表 20180723" xfId="4155"/>
    <cellStyle name="差 4" xfId="4156"/>
    <cellStyle name="差 4 2" xfId="4157"/>
    <cellStyle name="差_(比选）财务评价" xfId="4158"/>
    <cellStyle name="差_(比选）财务评价 2" xfId="4159"/>
    <cellStyle name="差_(比选）财务评价 2 2" xfId="4160"/>
    <cellStyle name="差_(比选）财务评价 2 2 2" xfId="4161"/>
    <cellStyle name="差_(比选）财务评价 2 2 2 2" xfId="4162"/>
    <cellStyle name="差_(比选）财务评价 2 2 3" xfId="4163"/>
    <cellStyle name="差_(比选）财务评价 2 2 3 2" xfId="4164"/>
    <cellStyle name="差_(比选）财务评价 2 2 4" xfId="4165"/>
    <cellStyle name="差_(比选）财务评价 2 3" xfId="4166"/>
    <cellStyle name="差_(比选）财务评价 2 3 2" xfId="4167"/>
    <cellStyle name="差_(比选）财务评价 2 4" xfId="4168"/>
    <cellStyle name="差_(比选）财务评价 2 4 2" xfId="4169"/>
    <cellStyle name="差_(比选）财务评价 2 5" xfId="4170"/>
    <cellStyle name="差_(比选）财务评价 3" xfId="4171"/>
    <cellStyle name="差_(比选）财务评价 3 2" xfId="4172"/>
    <cellStyle name="差_(比选）财务评价 3 2 2" xfId="4173"/>
    <cellStyle name="差_(比选）财务评价 3 3" xfId="4174"/>
    <cellStyle name="差_(比选）财务评价 3 3 2" xfId="4175"/>
    <cellStyle name="差_(比选）财务评价 3 4" xfId="4176"/>
    <cellStyle name="差_(比选）财务评价 4" xfId="4177"/>
    <cellStyle name="差_(比选）财务评价 4 2" xfId="4178"/>
    <cellStyle name="差_(比选）财务评价 5" xfId="4179"/>
    <cellStyle name="差_(比选）财务评价 5 2" xfId="4180"/>
    <cellStyle name="差_(比选）财务评价 6" xfId="4181"/>
    <cellStyle name="差_(比选）财务评价 6 2" xfId="4182"/>
    <cellStyle name="差_(比选）财务评价 7" xfId="4183"/>
    <cellStyle name="差_A标材料表" xfId="4184"/>
    <cellStyle name="差_B标科佳材料表1" xfId="4185"/>
    <cellStyle name="差_dy20110919" xfId="4186"/>
    <cellStyle name="差_dy20110919 2" xfId="4187"/>
    <cellStyle name="差_gpj" xfId="4188"/>
    <cellStyle name="差_gpj 2" xfId="4189"/>
    <cellStyle name="差_gs20090327调整" xfId="4190"/>
    <cellStyle name="差_gs20090327调整 2" xfId="4191"/>
    <cellStyle name="差_gs20090327调整 2 2" xfId="4192"/>
    <cellStyle name="差_gs20090327调整 2 2 2" xfId="4193"/>
    <cellStyle name="差_gs20090327调整 2 2 2 2" xfId="4194"/>
    <cellStyle name="差_gs20090327调整 2 2 3" xfId="4195"/>
    <cellStyle name="差_gs20090327调整 2 2 3 2" xfId="4196"/>
    <cellStyle name="差_gs20090327调整 2 2 4" xfId="4197"/>
    <cellStyle name="差_gs20090327调整 2 2 4 2" xfId="4198"/>
    <cellStyle name="差_gs20090327调整 2 2 5" xfId="4199"/>
    <cellStyle name="差_gs20090327调整 2 3" xfId="4200"/>
    <cellStyle name="差_gs20090327调整 2 3 2" xfId="4201"/>
    <cellStyle name="差_gs20090327调整 2 3 2 2" xfId="4202"/>
    <cellStyle name="差_gs20090327调整 2 3 3" xfId="4203"/>
    <cellStyle name="差_gs20090327调整 2 3 3 2" xfId="4204"/>
    <cellStyle name="差_gs20090327调整 2 3 4" xfId="4205"/>
    <cellStyle name="差_gs20090327调整 2 3 4 2" xfId="4206"/>
    <cellStyle name="差_gs20090327调整 2 3 5" xfId="4207"/>
    <cellStyle name="差_gs20090327调整 2 4" xfId="4208"/>
    <cellStyle name="差_gs20090327调整 2 4 2" xfId="4209"/>
    <cellStyle name="差_gs20090327调整 2 5" xfId="4210"/>
    <cellStyle name="差_gs20090327调整 2 5 2" xfId="4211"/>
    <cellStyle name="差_gs20090327调整 2 6" xfId="4212"/>
    <cellStyle name="差_gs20090327调整 3" xfId="4213"/>
    <cellStyle name="差_gs20090327调整 3 2" xfId="4214"/>
    <cellStyle name="差_gs20090327调整 3 2 2" xfId="4215"/>
    <cellStyle name="差_gs20090327调整 3 3" xfId="4216"/>
    <cellStyle name="差_gs20090327调整 3 3 2" xfId="4217"/>
    <cellStyle name="差_gs20090327调整 3 4" xfId="4218"/>
    <cellStyle name="差_gs20090327调整 3 4 2" xfId="4219"/>
    <cellStyle name="差_gs20090327调整 3 5" xfId="4220"/>
    <cellStyle name="差_gs20090327调整 4" xfId="4221"/>
    <cellStyle name="差_gs20090327调整 4 2" xfId="4222"/>
    <cellStyle name="差_gs20090327调整 4 2 2" xfId="4223"/>
    <cellStyle name="差_gs20090327调整 4 3" xfId="4224"/>
    <cellStyle name="差_gs20090327调整 5" xfId="4225"/>
    <cellStyle name="差_gs20090327调整 5 2" xfId="4226"/>
    <cellStyle name="差_gs20090327调整 6" xfId="4227"/>
    <cellStyle name="差_gs20090327调整 6 2" xfId="4228"/>
    <cellStyle name="差_gs20090327调整 7" xfId="4229"/>
    <cellStyle name="差_gs20090327调整 7 2" xfId="4230"/>
    <cellStyle name="差_gs20090327调整 8" xfId="4231"/>
    <cellStyle name="差_gs20090327调整 8 2" xfId="4232"/>
    <cellStyle name="差_gs20090327调整 9" xfId="4233"/>
    <cellStyle name="差_gs20090327调整_交接" xfId="4234"/>
    <cellStyle name="差_gs20090327调整_设备交接" xfId="4235"/>
    <cellStyle name="差_gs20101106" xfId="4236"/>
    <cellStyle name="差_gs20101106 2" xfId="4237"/>
    <cellStyle name="差_gs20101106 2 2" xfId="4238"/>
    <cellStyle name="差_gs20101106 2 2 2" xfId="4239"/>
    <cellStyle name="差_gs20101106 2 2 2 2" xfId="4240"/>
    <cellStyle name="差_gs20101106 2 2 3" xfId="4241"/>
    <cellStyle name="差_gs20101106 2 2 3 2" xfId="4242"/>
    <cellStyle name="差_gs20101106 2 2 4" xfId="4243"/>
    <cellStyle name="差_gs20101106 2 2 4 2" xfId="4244"/>
    <cellStyle name="差_gs20101106 2 2 5" xfId="4245"/>
    <cellStyle name="差_gs20101106 2 3" xfId="4246"/>
    <cellStyle name="差_gs20101106 2 3 2" xfId="4247"/>
    <cellStyle name="差_gs20101106 2 3 2 2" xfId="4248"/>
    <cellStyle name="差_gs20101106 2 3 3" xfId="4249"/>
    <cellStyle name="差_gs20101106 2 3 3 2" xfId="4250"/>
    <cellStyle name="差_gs20101106 2 3 4" xfId="4251"/>
    <cellStyle name="差_gs20101106 2 3 4 2" xfId="4252"/>
    <cellStyle name="差_gs20101106 2 3 5" xfId="4253"/>
    <cellStyle name="差_gs20101106 2 4" xfId="4254"/>
    <cellStyle name="差_gs20101106 2 4 2" xfId="4255"/>
    <cellStyle name="差_gs20101106 2 5" xfId="4256"/>
    <cellStyle name="差_gs20101106 2 5 2" xfId="4257"/>
    <cellStyle name="差_gs20101106 2 6" xfId="4258"/>
    <cellStyle name="差_gs20101106 3" xfId="4259"/>
    <cellStyle name="差_gs20101106 3 2" xfId="4260"/>
    <cellStyle name="差_gs20101106 3 2 2" xfId="4261"/>
    <cellStyle name="差_gs20101106 3 3" xfId="4262"/>
    <cellStyle name="差_gs20101106 3 3 2" xfId="4263"/>
    <cellStyle name="差_gs20101106 3 4" xfId="4264"/>
    <cellStyle name="差_gs20101106 3 4 2" xfId="4265"/>
    <cellStyle name="差_gs20101106 3 5" xfId="4266"/>
    <cellStyle name="差_gs20101106 4" xfId="4267"/>
    <cellStyle name="差_gs20101106 4 2" xfId="4268"/>
    <cellStyle name="差_gs20101106 4 2 2" xfId="4269"/>
    <cellStyle name="差_gs20101106 4 3" xfId="4270"/>
    <cellStyle name="差_gs20101106 5" xfId="4271"/>
    <cellStyle name="差_gs20101106 5 2" xfId="4272"/>
    <cellStyle name="差_gs20101106 6" xfId="4273"/>
    <cellStyle name="差_gs20101106 6 2" xfId="4274"/>
    <cellStyle name="差_gs20101106 7" xfId="4275"/>
    <cellStyle name="差_gs20101106 7 2" xfId="4276"/>
    <cellStyle name="差_gs20101106 8" xfId="4277"/>
    <cellStyle name="差_gs20101106_交接" xfId="4278"/>
    <cellStyle name="差_gs20101106_设备交接" xfId="4279"/>
    <cellStyle name="差_LIST0（徐鑫）" xfId="4280"/>
    <cellStyle name="差_sb" xfId="4281"/>
    <cellStyle name="差_sb 10" xfId="4282"/>
    <cellStyle name="差_sb 2" xfId="4283"/>
    <cellStyle name="差_sb 2 2" xfId="4284"/>
    <cellStyle name="差_sb 2 2 2" xfId="4285"/>
    <cellStyle name="差_sb 2 2 2 2" xfId="4286"/>
    <cellStyle name="差_sb 2 2 2 2 2" xfId="4287"/>
    <cellStyle name="差_sb 2 2 2 3" xfId="4288"/>
    <cellStyle name="差_sb 2 2 3" xfId="4289"/>
    <cellStyle name="差_sb 2 2 3 2" xfId="4290"/>
    <cellStyle name="差_sb 2 2 4" xfId="4291"/>
    <cellStyle name="差_sb 2 2 4 2" xfId="4292"/>
    <cellStyle name="差_sb 2 2 5" xfId="4293"/>
    <cellStyle name="差_sb 2 2 5 2" xfId="4294"/>
    <cellStyle name="差_sb 2 2 6" xfId="4295"/>
    <cellStyle name="差_sb 2 3" xfId="4296"/>
    <cellStyle name="差_sb 2 3 2" xfId="4297"/>
    <cellStyle name="差_sb 2 3 2 2" xfId="4298"/>
    <cellStyle name="差_sb 2 3 3" xfId="4299"/>
    <cellStyle name="差_sb 2 3 3 2" xfId="4300"/>
    <cellStyle name="差_sb 2 3 4" xfId="4301"/>
    <cellStyle name="差_sb 2 3 4 2" xfId="4302"/>
    <cellStyle name="差_sb 2 3 5" xfId="4303"/>
    <cellStyle name="差_sb 2 3 5 2" xfId="4304"/>
    <cellStyle name="差_sb 2 3 6" xfId="4305"/>
    <cellStyle name="差_sb 2 4" xfId="4306"/>
    <cellStyle name="差_sb 2 4 2" xfId="4307"/>
    <cellStyle name="差_sb 2 5" xfId="4308"/>
    <cellStyle name="差_sb 2 5 2" xfId="4309"/>
    <cellStyle name="差_sb 2 6" xfId="4310"/>
    <cellStyle name="差_sb 2 6 2" xfId="4311"/>
    <cellStyle name="差_sb 2 7" xfId="4312"/>
    <cellStyle name="差_sb 3" xfId="4313"/>
    <cellStyle name="差_sb 3 2" xfId="4314"/>
    <cellStyle name="差_sb 3 2 2" xfId="4315"/>
    <cellStyle name="差_sb 3 2 2 2" xfId="4316"/>
    <cellStyle name="差_sb 3 2 3" xfId="4317"/>
    <cellStyle name="差_sb 3 3" xfId="4318"/>
    <cellStyle name="差_sb 3 3 2" xfId="4319"/>
    <cellStyle name="差_sb 3 4" xfId="4320"/>
    <cellStyle name="差_sb 3 4 2" xfId="4321"/>
    <cellStyle name="差_sb 3 5" xfId="4322"/>
    <cellStyle name="差_sb 3 5 2" xfId="4323"/>
    <cellStyle name="差_sb 3 6" xfId="4324"/>
    <cellStyle name="差_sb 4" xfId="4325"/>
    <cellStyle name="差_sb 4 2" xfId="4326"/>
    <cellStyle name="差_sb 4 2 2" xfId="4327"/>
    <cellStyle name="差_sb 4 3" xfId="4328"/>
    <cellStyle name="差_sb 5" xfId="4329"/>
    <cellStyle name="差_sb 5 2" xfId="4330"/>
    <cellStyle name="差_sb 6" xfId="4331"/>
    <cellStyle name="差_sb 6 2" xfId="4332"/>
    <cellStyle name="差_sb 7" xfId="4333"/>
    <cellStyle name="差_sb 7 2" xfId="4334"/>
    <cellStyle name="差_sb 8" xfId="4335"/>
    <cellStyle name="差_sb 8 2" xfId="4336"/>
    <cellStyle name="差_sb 9" xfId="4337"/>
    <cellStyle name="差_sb 9 2" xfId="4338"/>
    <cellStyle name="差_sb_dy20110919" xfId="4339"/>
    <cellStyle name="差_sb_dy20110919 2" xfId="4340"/>
    <cellStyle name="差_sb_交接" xfId="4341"/>
    <cellStyle name="差_sb_南三环管配件20110914" xfId="4342"/>
    <cellStyle name="差_sb_南三环管配件20110914 2" xfId="4343"/>
    <cellStyle name="差_sb_南三环暖通" xfId="4344"/>
    <cellStyle name="差_sb_南三环暖通 2" xfId="4345"/>
    <cellStyle name="差_sb_设备单项" xfId="4346"/>
    <cellStyle name="差_sb_设备单项 2" xfId="4347"/>
    <cellStyle name="差_sb_设备交接" xfId="4348"/>
    <cellStyle name="差_Xl0000010" xfId="4349"/>
    <cellStyle name="差_Xl0000010 2" xfId="4350"/>
    <cellStyle name="差_Xl0000011" xfId="4351"/>
    <cellStyle name="差_Xl0000011 2" xfId="4352"/>
    <cellStyle name="差_Xl0000076" xfId="4353"/>
    <cellStyle name="差_Xl0000111" xfId="4354"/>
    <cellStyle name="差_Xl0000247" xfId="4355"/>
    <cellStyle name="差_zj-intake-pf-clb" xfId="4356"/>
    <cellStyle name="差_zj-intake-pf-clb20120807" xfId="4357"/>
    <cellStyle name="差_zjzrz-f-clb20121220" xfId="4358"/>
    <cellStyle name="差_zjzrz-f-clb20130226" xfId="4359"/>
    <cellStyle name="差_安亭国际汽车城污水处理厂升级改造工程 暖通" xfId="4360"/>
    <cellStyle name="差_安亭污水厂总表-项建书1029" xfId="4361"/>
    <cellStyle name="差_安亭总表工可2015.5（校对）-最终稿" xfId="4362"/>
    <cellStyle name="差_包头管廊工可（2016.4.12）" xfId="4363"/>
    <cellStyle name="差_包头管廊工可（2016.4.12） 4" xfId="4364"/>
    <cellStyle name="差_包头管廊工可（方案比较2016.3.30）" xfId="4365"/>
    <cellStyle name="差_包头管廊工可（方案比较2016.4.7）" xfId="4366"/>
    <cellStyle name="差_北区发电机房" xfId="4367"/>
    <cellStyle name="差_北区发电机房 2" xfId="4368"/>
    <cellStyle name="差_北区发电机房 2 2" xfId="4369"/>
    <cellStyle name="差_北区发电机房 2 2 2" xfId="4370"/>
    <cellStyle name="差_北区发电机房 2 2 2 2" xfId="4371"/>
    <cellStyle name="差_北区发电机房 2 2 3" xfId="4372"/>
    <cellStyle name="差_北区发电机房 2 2 3 2" xfId="4373"/>
    <cellStyle name="差_北区发电机房 2 2 4" xfId="4374"/>
    <cellStyle name="差_北区发电机房 2 3" xfId="4375"/>
    <cellStyle name="差_北区发电机房 2 3 2" xfId="4376"/>
    <cellStyle name="差_北区发电机房 2 4" xfId="4377"/>
    <cellStyle name="差_北区发电机房 2 4 2" xfId="4378"/>
    <cellStyle name="差_北区发电机房 2 5" xfId="4379"/>
    <cellStyle name="差_北区发电机房 3" xfId="4380"/>
    <cellStyle name="差_北区发电机房 3 2" xfId="4381"/>
    <cellStyle name="差_北区发电机房 3 2 2" xfId="4382"/>
    <cellStyle name="差_北区发电机房 3 3" xfId="4383"/>
    <cellStyle name="差_北区发电机房 3 3 2" xfId="4384"/>
    <cellStyle name="差_北区发电机房 3 4" xfId="4385"/>
    <cellStyle name="差_北区发电机房 4" xfId="4386"/>
    <cellStyle name="差_北区发电机房 4 2" xfId="4387"/>
    <cellStyle name="差_北区发电机房 5" xfId="4388"/>
    <cellStyle name="差_北区发电机房 5 2" xfId="4389"/>
    <cellStyle name="差_北区发电机房 6" xfId="4390"/>
    <cellStyle name="差_北区发电机房 6 2" xfId="4391"/>
    <cellStyle name="差_北区发电机房 7" xfId="4392"/>
    <cellStyle name="差_北区管配件单项" xfId="4393"/>
    <cellStyle name="差_北区管配件单项 2" xfId="4394"/>
    <cellStyle name="差_北区管配件单项 2 2" xfId="4395"/>
    <cellStyle name="差_北区管配件单项 2 2 2" xfId="4396"/>
    <cellStyle name="差_北区管配件单项 2 2 2 2" xfId="4397"/>
    <cellStyle name="差_北区管配件单项 2 2 3" xfId="4398"/>
    <cellStyle name="差_北区管配件单项 2 2 3 2" xfId="4399"/>
    <cellStyle name="差_北区管配件单项 2 2 4" xfId="4400"/>
    <cellStyle name="差_北区管配件单项 2 3" xfId="4401"/>
    <cellStyle name="差_北区管配件单项 2 3 2" xfId="4402"/>
    <cellStyle name="差_北区管配件单项 2 4" xfId="4403"/>
    <cellStyle name="差_北区管配件单项 2 4 2" xfId="4404"/>
    <cellStyle name="差_北区管配件单项 2 5" xfId="4405"/>
    <cellStyle name="差_北区管配件单项 3" xfId="4406"/>
    <cellStyle name="差_北区管配件单项 3 2" xfId="4407"/>
    <cellStyle name="差_北区管配件单项 3 2 2" xfId="4408"/>
    <cellStyle name="差_北区管配件单项 3 3" xfId="4409"/>
    <cellStyle name="差_北区管配件单项 3 3 2" xfId="4410"/>
    <cellStyle name="差_北区管配件单项 3 4" xfId="4411"/>
    <cellStyle name="差_北区管配件单项 4" xfId="4412"/>
    <cellStyle name="差_北区管配件单项 4 2" xfId="4413"/>
    <cellStyle name="差_北区管配件单项 5" xfId="4414"/>
    <cellStyle name="差_北区管配件单项 5 2" xfId="4415"/>
    <cellStyle name="差_北区管配件单项 6" xfId="4416"/>
    <cellStyle name="差_北区管配件单项 6 2" xfId="4417"/>
    <cellStyle name="差_北区管配件单项 7" xfId="4418"/>
    <cellStyle name="差_泵站材料" xfId="4419"/>
    <cellStyle name="差_财务评价" xfId="4420"/>
    <cellStyle name="差_财务评价 2" xfId="4421"/>
    <cellStyle name="差_财务评价 2 2" xfId="4422"/>
    <cellStyle name="差_财务评价 2 2 2" xfId="4423"/>
    <cellStyle name="差_财务评价 2 2 2 2" xfId="4424"/>
    <cellStyle name="差_财务评价 2 2 3" xfId="4425"/>
    <cellStyle name="差_财务评价 2 2 3 2" xfId="4426"/>
    <cellStyle name="差_财务评价 2 2 4" xfId="4427"/>
    <cellStyle name="差_财务评价 2 3" xfId="4428"/>
    <cellStyle name="差_财务评价 2 3 2" xfId="4429"/>
    <cellStyle name="差_财务评价 2 4" xfId="4430"/>
    <cellStyle name="差_财务评价 2 4 2" xfId="4431"/>
    <cellStyle name="差_财务评价 2 5" xfId="4432"/>
    <cellStyle name="差_财务评价 3" xfId="4433"/>
    <cellStyle name="差_财务评价 3 2" xfId="4434"/>
    <cellStyle name="差_财务评价 3 2 2" xfId="4435"/>
    <cellStyle name="差_财务评价 3 3" xfId="4436"/>
    <cellStyle name="差_财务评价 3 3 2" xfId="4437"/>
    <cellStyle name="差_财务评价 3 4" xfId="4438"/>
    <cellStyle name="差_财务评价 4" xfId="4439"/>
    <cellStyle name="差_财务评价 4 2" xfId="4440"/>
    <cellStyle name="差_财务评价 5" xfId="4441"/>
    <cellStyle name="差_财务评价 5 2" xfId="4442"/>
    <cellStyle name="差_财务评价 6" xfId="4443"/>
    <cellStyle name="差_财务评价 6 2" xfId="4444"/>
    <cellStyle name="差_财务评价 7" xfId="4445"/>
    <cellStyle name="差_财务评价_郑州新区二期20170517" xfId="4446"/>
    <cellStyle name="差_财务评价2011.08.02" xfId="4447"/>
    <cellStyle name="差_财务评价2011.08.02 2" xfId="4448"/>
    <cellStyle name="差_财务评价报表(建设期2年、运营期25年）" xfId="4449"/>
    <cellStyle name="差_财务评价报表(建设期2年、运营期25年） 2" xfId="4450"/>
    <cellStyle name="差_草海段工程" xfId="4451"/>
    <cellStyle name="差_草海段工程 10" xfId="4452"/>
    <cellStyle name="差_草海段工程 2" xfId="4453"/>
    <cellStyle name="差_草海段工程 2 2" xfId="4454"/>
    <cellStyle name="差_草海段工程 2 2 2" xfId="4455"/>
    <cellStyle name="差_草海段工程 2 2 2 2" xfId="4456"/>
    <cellStyle name="差_草海段工程 2 2 2 2 2" xfId="4457"/>
    <cellStyle name="差_草海段工程 2 2 2 3" xfId="4458"/>
    <cellStyle name="差_草海段工程 2 2 3" xfId="4459"/>
    <cellStyle name="差_草海段工程 2 2 3 2" xfId="4460"/>
    <cellStyle name="差_草海段工程 2 2 4" xfId="4461"/>
    <cellStyle name="差_草海段工程 2 2 4 2" xfId="4462"/>
    <cellStyle name="差_草海段工程 2 2 5" xfId="4463"/>
    <cellStyle name="差_草海段工程 2 2 5 2" xfId="4464"/>
    <cellStyle name="差_草海段工程 2 2 6" xfId="4465"/>
    <cellStyle name="差_草海段工程 2 3" xfId="4466"/>
    <cellStyle name="差_草海段工程 2 3 2" xfId="4467"/>
    <cellStyle name="差_草海段工程 2 3 2 2" xfId="4468"/>
    <cellStyle name="差_草海段工程 2 3 3" xfId="4469"/>
    <cellStyle name="差_草海段工程 2 3 3 2" xfId="4470"/>
    <cellStyle name="差_草海段工程 2 3 4" xfId="4471"/>
    <cellStyle name="差_草海段工程 2 3 4 2" xfId="4472"/>
    <cellStyle name="差_草海段工程 2 3 5" xfId="4473"/>
    <cellStyle name="差_草海段工程 2 3 5 2" xfId="4474"/>
    <cellStyle name="差_草海段工程 2 3 6" xfId="4475"/>
    <cellStyle name="差_草海段工程 2 4" xfId="4476"/>
    <cellStyle name="差_草海段工程 2 4 2" xfId="4477"/>
    <cellStyle name="差_草海段工程 2 5" xfId="4478"/>
    <cellStyle name="差_草海段工程 2 5 2" xfId="4479"/>
    <cellStyle name="差_草海段工程 2 6" xfId="4480"/>
    <cellStyle name="差_草海段工程 2 6 2" xfId="4481"/>
    <cellStyle name="差_草海段工程 2 7" xfId="4482"/>
    <cellStyle name="差_草海段工程 3" xfId="4483"/>
    <cellStyle name="差_草海段工程 3 2" xfId="4484"/>
    <cellStyle name="差_草海段工程 3 2 2" xfId="4485"/>
    <cellStyle name="差_草海段工程 3 2 2 2" xfId="4486"/>
    <cellStyle name="差_草海段工程 3 2 3" xfId="4487"/>
    <cellStyle name="差_草海段工程 3 3" xfId="4488"/>
    <cellStyle name="差_草海段工程 3 3 2" xfId="4489"/>
    <cellStyle name="差_草海段工程 3 4" xfId="4490"/>
    <cellStyle name="差_草海段工程 3 4 2" xfId="4491"/>
    <cellStyle name="差_草海段工程 3 5" xfId="4492"/>
    <cellStyle name="差_草海段工程 3 5 2" xfId="4493"/>
    <cellStyle name="差_草海段工程 3 6" xfId="4494"/>
    <cellStyle name="差_草海段工程 4" xfId="4495"/>
    <cellStyle name="差_草海段工程 4 2" xfId="4496"/>
    <cellStyle name="差_草海段工程 4 2 2" xfId="4497"/>
    <cellStyle name="差_草海段工程 4 3" xfId="4498"/>
    <cellStyle name="差_草海段工程 5" xfId="4499"/>
    <cellStyle name="差_草海段工程 5 2" xfId="4500"/>
    <cellStyle name="差_草海段工程 6" xfId="4501"/>
    <cellStyle name="差_草海段工程 6 2" xfId="4502"/>
    <cellStyle name="差_草海段工程 7" xfId="4503"/>
    <cellStyle name="差_草海段工程 7 2" xfId="4504"/>
    <cellStyle name="差_草海段工程 8" xfId="4505"/>
    <cellStyle name="差_草海段工程 8 2" xfId="4506"/>
    <cellStyle name="差_草海段工程 9" xfId="4507"/>
    <cellStyle name="差_草海段工程 9 2" xfId="4508"/>
    <cellStyle name="差_草海段工程_交接" xfId="4509"/>
    <cellStyle name="差_草海段工程_设备交接" xfId="4510"/>
    <cellStyle name="差_昌吉污水厂电气、仪表及自控统计汇总表" xfId="4511"/>
    <cellStyle name="差_昌吉污水厂电气、仪表及自控统计汇总表 2" xfId="4512"/>
    <cellStyle name="差_车墩自仪投标材料150128" xfId="4513"/>
    <cellStyle name="差_初设概算" xfId="4514"/>
    <cellStyle name="差_初设概算2" xfId="4515"/>
    <cellStyle name="差_大连海淡项目新" xfId="4516"/>
    <cellStyle name="差_滇西岸概算（一）文本2010.6.28" xfId="4517"/>
    <cellStyle name="差_滇西岸概算（一）文本2010.6.28 2" xfId="4518"/>
    <cellStyle name="差_滇西岸概算（一）文本2010.6.28 2 2" xfId="4519"/>
    <cellStyle name="差_滇西岸概算（一）文本2010.6.28 3" xfId="4520"/>
    <cellStyle name="差_滇西岸概算（一）文本2010.6.28 3 2" xfId="4521"/>
    <cellStyle name="差_滇西岸概算（一）文本2010.6.28 4" xfId="4522"/>
    <cellStyle name="差_电气材料表" xfId="4523"/>
    <cellStyle name="差_电气材料表 2" xfId="4524"/>
    <cellStyle name="差_电气材料表 2 2" xfId="4525"/>
    <cellStyle name="差_电气材料表 2 2 2" xfId="4526"/>
    <cellStyle name="差_电气材料表 2 2 2 2" xfId="4527"/>
    <cellStyle name="差_电气材料表 2 2 3" xfId="4528"/>
    <cellStyle name="差_电气材料表 2 2 3 2" xfId="4529"/>
    <cellStyle name="差_电气材料表 2 2 4" xfId="4530"/>
    <cellStyle name="差_电气材料表 2 3" xfId="4531"/>
    <cellStyle name="差_电气材料表 2 3 2" xfId="4532"/>
    <cellStyle name="差_电气材料表 2 4" xfId="4533"/>
    <cellStyle name="差_电气材料表 2 4 2" xfId="4534"/>
    <cellStyle name="差_电气材料表 2 5" xfId="4535"/>
    <cellStyle name="差_电气材料表 3" xfId="4536"/>
    <cellStyle name="差_电气材料表 3 2" xfId="4537"/>
    <cellStyle name="差_电气材料表 3 2 2" xfId="4538"/>
    <cellStyle name="差_电气材料表 3 3" xfId="4539"/>
    <cellStyle name="差_电气材料表 3 3 2" xfId="4540"/>
    <cellStyle name="差_电气材料表 3 4" xfId="4541"/>
    <cellStyle name="差_电气材料表 4" xfId="4542"/>
    <cellStyle name="差_电气材料表 4 2" xfId="4543"/>
    <cellStyle name="差_电气材料表 5" xfId="4544"/>
    <cellStyle name="差_电气材料表 5 2" xfId="4545"/>
    <cellStyle name="差_电气材料表 6" xfId="4546"/>
    <cellStyle name="差_电气材料表 6 2" xfId="4547"/>
    <cellStyle name="差_电气材料表 7" xfId="4548"/>
    <cellStyle name="差_电气材料表_郑州新区二期20170517" xfId="4549"/>
    <cellStyle name="差_电气材料表-方案一" xfId="4550"/>
    <cellStyle name="差_电气材料表-方案一 2" xfId="4551"/>
    <cellStyle name="差_电气材料表-方案一 2 2" xfId="4552"/>
    <cellStyle name="差_电气材料表-方案一 2 2 2" xfId="4553"/>
    <cellStyle name="差_电气材料表-方案一 2 2 2 2" xfId="4554"/>
    <cellStyle name="差_电气材料表-方案一 2 2 3" xfId="4555"/>
    <cellStyle name="差_电气材料表-方案一 2 2 3 2" xfId="4556"/>
    <cellStyle name="差_电气材料表-方案一 2 2 4" xfId="4557"/>
    <cellStyle name="差_电气材料表-方案一 2 2 4 2" xfId="4558"/>
    <cellStyle name="差_电气材料表-方案一 2 2 5" xfId="4559"/>
    <cellStyle name="差_电气材料表-方案一 2 3" xfId="4560"/>
    <cellStyle name="差_电气材料表-方案一 2 3 2" xfId="4561"/>
    <cellStyle name="差_电气材料表-方案一 2 3 2 2" xfId="4562"/>
    <cellStyle name="差_电气材料表-方案一 2 3 3" xfId="4563"/>
    <cellStyle name="差_电气材料表-方案一 2 3 3 2" xfId="4564"/>
    <cellStyle name="差_电气材料表-方案一 2 3 4" xfId="4565"/>
    <cellStyle name="差_电气材料表-方案一 2 3 4 2" xfId="4566"/>
    <cellStyle name="差_电气材料表-方案一 2 3 5" xfId="4567"/>
    <cellStyle name="差_电气材料表-方案一 2 4" xfId="4568"/>
    <cellStyle name="差_电气材料表-方案一 2 4 2" xfId="4569"/>
    <cellStyle name="差_电气材料表-方案一 2 5" xfId="4570"/>
    <cellStyle name="差_电气材料表-方案一 2 5 2" xfId="4571"/>
    <cellStyle name="差_电气材料表-方案一 2 6" xfId="4572"/>
    <cellStyle name="差_电气材料表-方案一 3" xfId="4573"/>
    <cellStyle name="差_电气材料表-方案一 3 2" xfId="4574"/>
    <cellStyle name="差_电气材料表-方案一 3 2 2" xfId="4575"/>
    <cellStyle name="差_电气材料表-方案一 3 3" xfId="4576"/>
    <cellStyle name="差_电气材料表-方案一 3 3 2" xfId="4577"/>
    <cellStyle name="差_电气材料表-方案一 3 4" xfId="4578"/>
    <cellStyle name="差_电气材料表-方案一 3 4 2" xfId="4579"/>
    <cellStyle name="差_电气材料表-方案一 3 5" xfId="4580"/>
    <cellStyle name="差_电气材料表-方案一 4" xfId="4581"/>
    <cellStyle name="差_电气材料表-方案一 4 2" xfId="4582"/>
    <cellStyle name="差_电气材料表-方案一 4 2 2" xfId="4583"/>
    <cellStyle name="差_电气材料表-方案一 4 3" xfId="4584"/>
    <cellStyle name="差_电气材料表-方案一 5" xfId="4585"/>
    <cellStyle name="差_电气材料表-方案一 5 2" xfId="4586"/>
    <cellStyle name="差_电气材料表-方案一 6" xfId="4587"/>
    <cellStyle name="差_电气材料表-方案一 6 2" xfId="4588"/>
    <cellStyle name="差_电气材料表-方案一 7" xfId="4589"/>
    <cellStyle name="差_电气材料表-方案一 7 2" xfId="4590"/>
    <cellStyle name="差_电气材料表-方案一 8" xfId="4591"/>
    <cellStyle name="差_电气材料表-方案一_交接" xfId="4592"/>
    <cellStyle name="差_电气材料表-方案一_设备交接" xfId="4593"/>
    <cellStyle name="差_电气材料表-推荐" xfId="4594"/>
    <cellStyle name="差_电气材料表-推荐 2" xfId="4595"/>
    <cellStyle name="差_电气材料表-推荐 2 2" xfId="4596"/>
    <cellStyle name="差_电气材料表-推荐 2 2 2" xfId="4597"/>
    <cellStyle name="差_电气材料表-推荐 2 2 2 2" xfId="4598"/>
    <cellStyle name="差_电气材料表-推荐 2 2 3" xfId="4599"/>
    <cellStyle name="差_电气材料表-推荐 2 2 3 2" xfId="4600"/>
    <cellStyle name="差_电气材料表-推荐 2 2 4" xfId="4601"/>
    <cellStyle name="差_电气材料表-推荐 2 3" xfId="4602"/>
    <cellStyle name="差_电气材料表-推荐 2 3 2" xfId="4603"/>
    <cellStyle name="差_电气材料表-推荐 2 4" xfId="4604"/>
    <cellStyle name="差_电气材料表-推荐 2 4 2" xfId="4605"/>
    <cellStyle name="差_电气材料表-推荐 2 5" xfId="4606"/>
    <cellStyle name="差_电气材料表-推荐 3" xfId="4607"/>
    <cellStyle name="差_电气材料表-推荐 3 2" xfId="4608"/>
    <cellStyle name="差_电气材料表-推荐 3 2 2" xfId="4609"/>
    <cellStyle name="差_电气材料表-推荐 3 3" xfId="4610"/>
    <cellStyle name="差_电气材料表-推荐 3 3 2" xfId="4611"/>
    <cellStyle name="差_电气材料表-推荐 3 4" xfId="4612"/>
    <cellStyle name="差_电气材料表-推荐 4" xfId="4613"/>
    <cellStyle name="差_电气材料表-推荐 4 2" xfId="4614"/>
    <cellStyle name="差_电气材料表-推荐 5" xfId="4615"/>
    <cellStyle name="差_电气材料表-推荐 5 2" xfId="4616"/>
    <cellStyle name="差_电气材料表-推荐 6" xfId="4617"/>
    <cellStyle name="差_电气材料表-推荐 6 2" xfId="4618"/>
    <cellStyle name="差_电气材料表-推荐 7" xfId="4619"/>
    <cellStyle name="差_电气初设交接材料表" xfId="4620"/>
    <cellStyle name="差_电气设备表-初设2010.12.17" xfId="4621"/>
    <cellStyle name="差_电气设备表-初设2010.12.17 2" xfId="4622"/>
    <cellStyle name="差_电气设备表-初设2010.12.17 2 2" xfId="4623"/>
    <cellStyle name="差_电气设备表-初设2010.12.17 2 2 2" xfId="4624"/>
    <cellStyle name="差_电气设备表-初设2010.12.17 2 2 2 2" xfId="4625"/>
    <cellStyle name="差_电气设备表-初设2010.12.17 2 2 3" xfId="4626"/>
    <cellStyle name="差_电气设备表-初设2010.12.17 2 2 3 2" xfId="4627"/>
    <cellStyle name="差_电气设备表-初设2010.12.17 2 2 4" xfId="4628"/>
    <cellStyle name="差_电气设备表-初设2010.12.17 2 3" xfId="4629"/>
    <cellStyle name="差_电气设备表-初设2010.12.17 2 3 2" xfId="4630"/>
    <cellStyle name="差_电气设备表-初设2010.12.17 2 4" xfId="4631"/>
    <cellStyle name="差_电气设备表-初设2010.12.17 2 4 2" xfId="4632"/>
    <cellStyle name="差_电气设备表-初设2010.12.17 2 5" xfId="4633"/>
    <cellStyle name="差_电气设备表-初设2010.12.17 3" xfId="4634"/>
    <cellStyle name="差_电气设备表-初设2010.12.17 3 2" xfId="4635"/>
    <cellStyle name="差_电气设备表-初设2010.12.17 3 2 2" xfId="4636"/>
    <cellStyle name="差_电气设备表-初设2010.12.17 3 3" xfId="4637"/>
    <cellStyle name="差_电气设备表-初设2010.12.17 3 3 2" xfId="4638"/>
    <cellStyle name="差_电气设备表-初设2010.12.17 3 4" xfId="4639"/>
    <cellStyle name="差_电气设备表-初设2010.12.17 4" xfId="4640"/>
    <cellStyle name="差_电气设备表-初设2010.12.17 4 2" xfId="4641"/>
    <cellStyle name="差_电气设备表-初设2010.12.17 5" xfId="4642"/>
    <cellStyle name="差_电气设备表-初设2010.12.17 5 2" xfId="4643"/>
    <cellStyle name="差_电气设备表-初设2010.12.17 6" xfId="4644"/>
    <cellStyle name="差_电气设备表-初设2010.12.17 6 2" xfId="4645"/>
    <cellStyle name="差_电气设备表-初设2010.12.17 7" xfId="4646"/>
    <cellStyle name="差_电气设备表-方案2012.09.23" xfId="4647"/>
    <cellStyle name="差_电气设备材料表" xfId="4648"/>
    <cellStyle name="差_电气设备材料表_1" xfId="4649"/>
    <cellStyle name="差_电气设备材料表_兰溪市城南污水转输金华市临江污水厂工程总表" xfId="4650"/>
    <cellStyle name="差_电仪1" xfId="4651"/>
    <cellStyle name="差_电仪1 2" xfId="4652"/>
    <cellStyle name="差_电仪1 2 2" xfId="4653"/>
    <cellStyle name="差_电仪1 3" xfId="4654"/>
    <cellStyle name="差_电仪1 3 2" xfId="4655"/>
    <cellStyle name="差_电仪1 4" xfId="4656"/>
    <cellStyle name="差_定安县重点镇（黄竹白塘）供水工程（取水、净水部分）概算总表" xfId="4657"/>
    <cellStyle name="差_富阳灵桥污水处理厂-方案" xfId="4658"/>
    <cellStyle name="差_富阳灵桥污水处理厂-方案 2" xfId="4659"/>
    <cellStyle name="差_富阳市新登污水处理厂二期工程管配件及设备（李霞）" xfId="4660"/>
    <cellStyle name="差_富阳市新登污水处理厂二期工程管配件及设备（李霞） 2" xfId="4661"/>
    <cellStyle name="差_富阳市新登污水处理厂二期工程管配件及设备（李霞） 2 2" xfId="4662"/>
    <cellStyle name="差_富阳市新登污水处理厂二期工程管配件及设备（李霞） 3" xfId="4663"/>
    <cellStyle name="差_富阳市新登污水处理厂二期工程管配件及设备（李霞） 3 2" xfId="4664"/>
    <cellStyle name="差_富阳市新登污水处理厂二期工程管配件及设备（李霞） 4" xfId="4665"/>
    <cellStyle name="差_工可2016.1.6" xfId="4666"/>
    <cellStyle name="差_工可材料表20090212" xfId="4667"/>
    <cellStyle name="差_工可材料表20090212 10" xfId="4668"/>
    <cellStyle name="差_工可材料表20090212 2" xfId="4669"/>
    <cellStyle name="差_工可材料表20090212 2 2" xfId="4670"/>
    <cellStyle name="差_工可材料表20090212 2 2 2" xfId="4671"/>
    <cellStyle name="差_工可材料表20090212 2 2 2 2" xfId="4672"/>
    <cellStyle name="差_工可材料表20090212 2 2 2 2 2" xfId="4673"/>
    <cellStyle name="差_工可材料表20090212 2 2 2 3" xfId="4674"/>
    <cellStyle name="差_工可材料表20090212 2 2 3" xfId="4675"/>
    <cellStyle name="差_工可材料表20090212 2 2 3 2" xfId="4676"/>
    <cellStyle name="差_工可材料表20090212 2 2 4" xfId="4677"/>
    <cellStyle name="差_工可材料表20090212 2 2 4 2" xfId="4678"/>
    <cellStyle name="差_工可材料表20090212 2 2 5" xfId="4679"/>
    <cellStyle name="差_工可材料表20090212 2 2 5 2" xfId="4680"/>
    <cellStyle name="差_工可材料表20090212 2 2 6" xfId="4681"/>
    <cellStyle name="差_工可材料表20090212 2 3" xfId="4682"/>
    <cellStyle name="差_工可材料表20090212 2 3 2" xfId="4683"/>
    <cellStyle name="差_工可材料表20090212 2 3 2 2" xfId="4684"/>
    <cellStyle name="差_工可材料表20090212 2 3 3" xfId="4685"/>
    <cellStyle name="差_工可材料表20090212 2 3 3 2" xfId="4686"/>
    <cellStyle name="差_工可材料表20090212 2 3 4" xfId="4687"/>
    <cellStyle name="差_工可材料表20090212 2 3 4 2" xfId="4688"/>
    <cellStyle name="差_工可材料表20090212 2 3 5" xfId="4689"/>
    <cellStyle name="差_工可材料表20090212 2 3 5 2" xfId="4690"/>
    <cellStyle name="差_工可材料表20090212 2 3 6" xfId="4691"/>
    <cellStyle name="差_工可材料表20090212 2 4" xfId="4692"/>
    <cellStyle name="差_工可材料表20090212 2 4 2" xfId="4693"/>
    <cellStyle name="差_工可材料表20090212 2 5" xfId="4694"/>
    <cellStyle name="差_工可材料表20090212 2 5 2" xfId="4695"/>
    <cellStyle name="差_工可材料表20090212 2 6" xfId="4696"/>
    <cellStyle name="差_工可材料表20090212 2 6 2" xfId="4697"/>
    <cellStyle name="差_工可材料表20090212 2 7" xfId="4698"/>
    <cellStyle name="差_工可材料表20090212 3" xfId="4699"/>
    <cellStyle name="差_工可材料表20090212 3 2" xfId="4700"/>
    <cellStyle name="差_工可材料表20090212 3 2 2" xfId="4701"/>
    <cellStyle name="差_工可材料表20090212 3 2 2 2" xfId="4702"/>
    <cellStyle name="差_工可材料表20090212 3 2 3" xfId="4703"/>
    <cellStyle name="差_工可材料表20090212 3 3" xfId="4704"/>
    <cellStyle name="差_工可材料表20090212 3 3 2" xfId="4705"/>
    <cellStyle name="差_工可材料表20090212 3 4" xfId="4706"/>
    <cellStyle name="差_工可材料表20090212 3 4 2" xfId="4707"/>
    <cellStyle name="差_工可材料表20090212 3 5" xfId="4708"/>
    <cellStyle name="差_工可材料表20090212 3 5 2" xfId="4709"/>
    <cellStyle name="差_工可材料表20090212 3 6" xfId="4710"/>
    <cellStyle name="差_工可材料表20090212 4" xfId="4711"/>
    <cellStyle name="差_工可材料表20090212 4 2" xfId="4712"/>
    <cellStyle name="差_工可材料表20090212 4 2 2" xfId="4713"/>
    <cellStyle name="差_工可材料表20090212 4 3" xfId="4714"/>
    <cellStyle name="差_工可材料表20090212 5" xfId="4715"/>
    <cellStyle name="差_工可材料表20090212 5 2" xfId="4716"/>
    <cellStyle name="差_工可材料表20090212 6" xfId="4717"/>
    <cellStyle name="差_工可材料表20090212 6 2" xfId="4718"/>
    <cellStyle name="差_工可材料表20090212 7" xfId="4719"/>
    <cellStyle name="差_工可材料表20090212 7 2" xfId="4720"/>
    <cellStyle name="差_工可材料表20090212 8" xfId="4721"/>
    <cellStyle name="差_工可材料表20090212 8 2" xfId="4722"/>
    <cellStyle name="差_工可材料表20090212 9" xfId="4723"/>
    <cellStyle name="差_工可材料表20090212 9 2" xfId="4724"/>
    <cellStyle name="差_工可材料表20090212_交接" xfId="4725"/>
    <cellStyle name="差_工可材料表20090212_设备交接" xfId="4726"/>
    <cellStyle name="差_工可材料表20100504" xfId="4727"/>
    <cellStyle name="差_工可材料表20100504 2" xfId="4728"/>
    <cellStyle name="差_工可材料表20100504 2 2" xfId="4729"/>
    <cellStyle name="差_工可材料表20100504 2 2 2" xfId="4730"/>
    <cellStyle name="差_工可材料表20100504 2 2 2 2" xfId="4731"/>
    <cellStyle name="差_工可材料表20100504 2 2 3" xfId="4732"/>
    <cellStyle name="差_工可材料表20100504 2 2 3 2" xfId="4733"/>
    <cellStyle name="差_工可材料表20100504 2 2 4" xfId="4734"/>
    <cellStyle name="差_工可材料表20100504 2 2 4 2" xfId="4735"/>
    <cellStyle name="差_工可材料表20100504 2 2 5" xfId="4736"/>
    <cellStyle name="差_工可材料表20100504 2 3" xfId="4737"/>
    <cellStyle name="差_工可材料表20100504 2 3 2" xfId="4738"/>
    <cellStyle name="差_工可材料表20100504 2 3 2 2" xfId="4739"/>
    <cellStyle name="差_工可材料表20100504 2 3 3" xfId="4740"/>
    <cellStyle name="差_工可材料表20100504 2 3 3 2" xfId="4741"/>
    <cellStyle name="差_工可材料表20100504 2 3 4" xfId="4742"/>
    <cellStyle name="差_工可材料表20100504 2 3 4 2" xfId="4743"/>
    <cellStyle name="差_工可材料表20100504 2 3 5" xfId="4744"/>
    <cellStyle name="差_工可材料表20100504 2 4" xfId="4745"/>
    <cellStyle name="差_工可材料表20100504 2 4 2" xfId="4746"/>
    <cellStyle name="差_工可材料表20100504 2 5" xfId="4747"/>
    <cellStyle name="差_工可材料表20100504 2 5 2" xfId="4748"/>
    <cellStyle name="差_工可材料表20100504 2 6" xfId="4749"/>
    <cellStyle name="差_工可材料表20100504 3" xfId="4750"/>
    <cellStyle name="差_工可材料表20100504 3 2" xfId="4751"/>
    <cellStyle name="差_工可材料表20100504 3 2 2" xfId="4752"/>
    <cellStyle name="差_工可材料表20100504 3 3" xfId="4753"/>
    <cellStyle name="差_工可材料表20100504 3 3 2" xfId="4754"/>
    <cellStyle name="差_工可材料表20100504 3 4" xfId="4755"/>
    <cellStyle name="差_工可材料表20100504 3 4 2" xfId="4756"/>
    <cellStyle name="差_工可材料表20100504 3 5" xfId="4757"/>
    <cellStyle name="差_工可材料表20100504 4" xfId="4758"/>
    <cellStyle name="差_工可材料表20100504 4 2" xfId="4759"/>
    <cellStyle name="差_工可材料表20100504 4 2 2" xfId="4760"/>
    <cellStyle name="差_工可材料表20100504 4 3" xfId="4761"/>
    <cellStyle name="差_工可材料表20100504 5" xfId="4762"/>
    <cellStyle name="差_工可材料表20100504 5 2" xfId="4763"/>
    <cellStyle name="差_工可材料表20100504 6" xfId="4764"/>
    <cellStyle name="差_工可材料表20100504 6 2" xfId="4765"/>
    <cellStyle name="差_工可材料表20100504 7" xfId="4766"/>
    <cellStyle name="差_工可材料表20100504 7 2" xfId="4767"/>
    <cellStyle name="差_工可材料表20100504 8" xfId="4768"/>
    <cellStyle name="差_工可材料表20100504_交接" xfId="4769"/>
    <cellStyle name="差_工可材料表20100504_设备交接" xfId="4770"/>
    <cellStyle name="差_工可材料表20100824" xfId="4771"/>
    <cellStyle name="差_工可材料表20100824 2" xfId="4772"/>
    <cellStyle name="差_工可材料表20100824 2 2" xfId="4773"/>
    <cellStyle name="差_工可材料表20100824 2 2 2" xfId="4774"/>
    <cellStyle name="差_工可材料表20100824 2 2 2 2" xfId="4775"/>
    <cellStyle name="差_工可材料表20100824 2 2 3" xfId="4776"/>
    <cellStyle name="差_工可材料表20100824 2 2 3 2" xfId="4777"/>
    <cellStyle name="差_工可材料表20100824 2 2 4" xfId="4778"/>
    <cellStyle name="差_工可材料表20100824 2 2 4 2" xfId="4779"/>
    <cellStyle name="差_工可材料表20100824 2 2 5" xfId="4780"/>
    <cellStyle name="差_工可材料表20100824 2 3" xfId="4781"/>
    <cellStyle name="差_工可材料表20100824 2 3 2" xfId="4782"/>
    <cellStyle name="差_工可材料表20100824 2 3 2 2" xfId="4783"/>
    <cellStyle name="差_工可材料表20100824 2 3 3" xfId="4784"/>
    <cellStyle name="差_工可材料表20100824 2 3 3 2" xfId="4785"/>
    <cellStyle name="差_工可材料表20100824 2 3 4" xfId="4786"/>
    <cellStyle name="差_工可材料表20100824 2 3 4 2" xfId="4787"/>
    <cellStyle name="差_工可材料表20100824 2 3 5" xfId="4788"/>
    <cellStyle name="差_工可材料表20100824 2 4" xfId="4789"/>
    <cellStyle name="差_工可材料表20100824 2 4 2" xfId="4790"/>
    <cellStyle name="差_工可材料表20100824 2 5" xfId="4791"/>
    <cellStyle name="差_工可材料表20100824 2 5 2" xfId="4792"/>
    <cellStyle name="差_工可材料表20100824 2 6" xfId="4793"/>
    <cellStyle name="差_工可材料表20100824 3" xfId="4794"/>
    <cellStyle name="差_工可材料表20100824 3 2" xfId="4795"/>
    <cellStyle name="差_工可材料表20100824 3 2 2" xfId="4796"/>
    <cellStyle name="差_工可材料表20100824 3 3" xfId="4797"/>
    <cellStyle name="差_工可材料表20100824 3 3 2" xfId="4798"/>
    <cellStyle name="差_工可材料表20100824 3 4" xfId="4799"/>
    <cellStyle name="差_工可材料表20100824 3 4 2" xfId="4800"/>
    <cellStyle name="差_工可材料表20100824 3 5" xfId="4801"/>
    <cellStyle name="差_工可材料表20100824 4" xfId="4802"/>
    <cellStyle name="差_工可材料表20100824 4 2" xfId="4803"/>
    <cellStyle name="差_工可材料表20100824 4 2 2" xfId="4804"/>
    <cellStyle name="差_工可材料表20100824 4 3" xfId="4805"/>
    <cellStyle name="差_工可材料表20100824 5" xfId="4806"/>
    <cellStyle name="差_工可材料表20100824 5 2" xfId="4807"/>
    <cellStyle name="差_工可材料表20100824 6" xfId="4808"/>
    <cellStyle name="差_工可材料表20100824 6 2" xfId="4809"/>
    <cellStyle name="差_工可材料表20100824 7" xfId="4810"/>
    <cellStyle name="差_工可材料表20100824 7 2" xfId="4811"/>
    <cellStyle name="差_工可材料表20100824 8" xfId="4812"/>
    <cellStyle name="差_工可材料表20100824 8 2" xfId="4813"/>
    <cellStyle name="差_工可材料表20100824 9" xfId="4814"/>
    <cellStyle name="差_工可材料表20100824_交接" xfId="4815"/>
    <cellStyle name="差_工可材料表20100824_设备交接" xfId="4816"/>
    <cellStyle name="差_工可电气材料表（近期实施5万吨+消化+再生水）2011.09.24" xfId="4817"/>
    <cellStyle name="差_工可电气材料表（近期实施5万吨+消化+再生水）2011.09.24 2" xfId="4818"/>
    <cellStyle name="差_工可电气材料表（近期实施5万吨+消化+再生水）2011.09.24 2 2" xfId="4819"/>
    <cellStyle name="差_工可电气材料表（近期实施5万吨+消化+再生水）2011.09.24 2 2 2" xfId="4820"/>
    <cellStyle name="差_工可电气材料表（近期实施5万吨+消化+再生水）2011.09.24 2 2 2 2" xfId="4821"/>
    <cellStyle name="差_工可电气材料表（近期实施5万吨+消化+再生水）2011.09.24 2 2 3" xfId="4822"/>
    <cellStyle name="差_工可电气材料表（近期实施5万吨+消化+再生水）2011.09.24 2 2 3 2" xfId="4823"/>
    <cellStyle name="差_工可电气材料表（近期实施5万吨+消化+再生水）2011.09.24 2 2 4" xfId="4824"/>
    <cellStyle name="差_工可电气材料表（近期实施5万吨+消化+再生水）2011.09.24 2 2 4 2" xfId="4825"/>
    <cellStyle name="差_工可电气材料表（近期实施5万吨+消化+再生水）2011.09.24 2 2 5" xfId="4826"/>
    <cellStyle name="差_工可电气材料表（近期实施5万吨+消化+再生水）2011.09.24 2 3" xfId="4827"/>
    <cellStyle name="差_工可电气材料表（近期实施5万吨+消化+再生水）2011.09.24 2 3 2" xfId="4828"/>
    <cellStyle name="差_工可电气材料表（近期实施5万吨+消化+再生水）2011.09.24 2 3 2 2" xfId="4829"/>
    <cellStyle name="差_工可电气材料表（近期实施5万吨+消化+再生水）2011.09.24 2 3 3" xfId="4830"/>
    <cellStyle name="差_工可电气材料表（近期实施5万吨+消化+再生水）2011.09.24 2 3 3 2" xfId="4831"/>
    <cellStyle name="差_工可电气材料表（近期实施5万吨+消化+再生水）2011.09.24 2 3 4" xfId="4832"/>
    <cellStyle name="差_工可电气材料表（近期实施5万吨+消化+再生水）2011.09.24 2 3 4 2" xfId="4833"/>
    <cellStyle name="差_工可电气材料表（近期实施5万吨+消化+再生水）2011.09.24 2 3 5" xfId="4834"/>
    <cellStyle name="差_工可电气材料表（近期实施5万吨+消化+再生水）2011.09.24 2 4" xfId="4835"/>
    <cellStyle name="差_工可电气材料表（近期实施5万吨+消化+再生水）2011.09.24 2 4 2" xfId="4836"/>
    <cellStyle name="差_工可电气材料表（近期实施5万吨+消化+再生水）2011.09.24 2 5" xfId="4837"/>
    <cellStyle name="差_工可电气材料表（近期实施5万吨+消化+再生水）2011.09.24 2 5 2" xfId="4838"/>
    <cellStyle name="差_工可电气材料表（近期实施5万吨+消化+再生水）2011.09.24 2 6" xfId="4839"/>
    <cellStyle name="差_工可电气材料表（近期实施5万吨+消化+再生水）2011.09.24 3" xfId="4840"/>
    <cellStyle name="差_工可电气材料表（近期实施5万吨+消化+再生水）2011.09.24 3 2" xfId="4841"/>
    <cellStyle name="差_工可电气材料表（近期实施5万吨+消化+再生水）2011.09.24 3 2 2" xfId="4842"/>
    <cellStyle name="差_工可电气材料表（近期实施5万吨+消化+再生水）2011.09.24 3 3" xfId="4843"/>
    <cellStyle name="差_工可电气材料表（近期实施5万吨+消化+再生水）2011.09.24 3 3 2" xfId="4844"/>
    <cellStyle name="差_工可电气材料表（近期实施5万吨+消化+再生水）2011.09.24 3 4" xfId="4845"/>
    <cellStyle name="差_工可电气材料表（近期实施5万吨+消化+再生水）2011.09.24 3 4 2" xfId="4846"/>
    <cellStyle name="差_工可电气材料表（近期实施5万吨+消化+再生水）2011.09.24 3 5" xfId="4847"/>
    <cellStyle name="差_工可电气材料表（近期实施5万吨+消化+再生水）2011.09.24 4" xfId="4848"/>
    <cellStyle name="差_工可电气材料表（近期实施5万吨+消化+再生水）2011.09.24 4 2" xfId="4849"/>
    <cellStyle name="差_工可电气材料表（近期实施5万吨+消化+再生水）2011.09.24 4 2 2" xfId="4850"/>
    <cellStyle name="差_工可电气材料表（近期实施5万吨+消化+再生水）2011.09.24 4 3" xfId="4851"/>
    <cellStyle name="差_工可电气材料表（近期实施5万吨+消化+再生水）2011.09.24 5" xfId="4852"/>
    <cellStyle name="差_工可电气材料表（近期实施5万吨+消化+再生水）2011.09.24 5 2" xfId="4853"/>
    <cellStyle name="差_工可电气材料表（近期实施5万吨+消化+再生水）2011.09.24 6" xfId="4854"/>
    <cellStyle name="差_工可电气材料表（近期实施5万吨+消化+再生水）2011.09.24 6 2" xfId="4855"/>
    <cellStyle name="差_工可电气材料表（近期实施5万吨+消化+再生水）2011.09.24 7" xfId="4856"/>
    <cellStyle name="差_工可电气材料表（近期实施5万吨+消化+再生水）2011.09.24 7 2" xfId="4857"/>
    <cellStyle name="差_工可电气材料表（近期实施5万吨+消化+再生水）2011.09.24 8" xfId="4858"/>
    <cellStyle name="差_工可电气材料表（近期实施5万吨+消化+再生水）2011.09.24_交接" xfId="4859"/>
    <cellStyle name="差_工可电气材料表（近期实施5万吨+消化+再生水）2011.09.24_设备交接" xfId="4860"/>
    <cellStyle name="差_工可估算" xfId="4861"/>
    <cellStyle name="差_工艺交接" xfId="4862"/>
    <cellStyle name="差_工艺交接 2" xfId="4863"/>
    <cellStyle name="差_估算投资20101020" xfId="4864"/>
    <cellStyle name="差_估算投资20101020 2" xfId="4865"/>
    <cellStyle name="差_估算投资20101020 2 2" xfId="4866"/>
    <cellStyle name="差_估算投资20101020 2 2 2" xfId="4867"/>
    <cellStyle name="差_估算投资20101020 2 2 2 2" xfId="4868"/>
    <cellStyle name="差_估算投资20101020 2 2 3" xfId="4869"/>
    <cellStyle name="差_估算投资20101020 2 2 3 2" xfId="4870"/>
    <cellStyle name="差_估算投资20101020 2 2 4" xfId="4871"/>
    <cellStyle name="差_估算投资20101020 2 2 4 2" xfId="4872"/>
    <cellStyle name="差_估算投资20101020 2 2 5" xfId="4873"/>
    <cellStyle name="差_估算投资20101020 2 3" xfId="4874"/>
    <cellStyle name="差_估算投资20101020 2 3 2" xfId="4875"/>
    <cellStyle name="差_估算投资20101020 2 3 2 2" xfId="4876"/>
    <cellStyle name="差_估算投资20101020 2 3 3" xfId="4877"/>
    <cellStyle name="差_估算投资20101020 2 3 3 2" xfId="4878"/>
    <cellStyle name="差_估算投资20101020 2 3 4" xfId="4879"/>
    <cellStyle name="差_估算投资20101020 2 3 4 2" xfId="4880"/>
    <cellStyle name="差_估算投资20101020 2 3 5" xfId="4881"/>
    <cellStyle name="差_估算投资20101020 2 4" xfId="4882"/>
    <cellStyle name="差_估算投资20101020 2 4 2" xfId="4883"/>
    <cellStyle name="差_估算投资20101020 2 5" xfId="4884"/>
    <cellStyle name="差_估算投资20101020 2 5 2" xfId="4885"/>
    <cellStyle name="差_估算投资20101020 2 6" xfId="4886"/>
    <cellStyle name="差_估算投资20101020 3" xfId="4887"/>
    <cellStyle name="差_估算投资20101020 3 2" xfId="4888"/>
    <cellStyle name="差_估算投资20101020 3 2 2" xfId="4889"/>
    <cellStyle name="差_估算投资20101020 3 3" xfId="4890"/>
    <cellStyle name="差_估算投资20101020 3 3 2" xfId="4891"/>
    <cellStyle name="差_估算投资20101020 3 4" xfId="4892"/>
    <cellStyle name="差_估算投资20101020 3 4 2" xfId="4893"/>
    <cellStyle name="差_估算投资20101020 3 5" xfId="4894"/>
    <cellStyle name="差_估算投资20101020 4" xfId="4895"/>
    <cellStyle name="差_估算投资20101020 4 2" xfId="4896"/>
    <cellStyle name="差_估算投资20101020 4 2 2" xfId="4897"/>
    <cellStyle name="差_估算投资20101020 4 3" xfId="4898"/>
    <cellStyle name="差_估算投资20101020 5" xfId="4899"/>
    <cellStyle name="差_估算投资20101020 5 2" xfId="4900"/>
    <cellStyle name="差_估算投资20101020 6" xfId="4901"/>
    <cellStyle name="差_估算投资20101020 6 2" xfId="4902"/>
    <cellStyle name="差_估算投资20101020 7" xfId="4903"/>
    <cellStyle name="差_估算投资20101020 7 2" xfId="4904"/>
    <cellStyle name="差_估算投资20101020 8" xfId="4905"/>
    <cellStyle name="差_估算投资20101020 8 2" xfId="4906"/>
    <cellStyle name="差_估算投资20101020 9" xfId="4907"/>
    <cellStyle name="差_估算投资20101020_交接" xfId="4908"/>
    <cellStyle name="差_估算投资20101020_设备交接" xfId="4909"/>
    <cellStyle name="差_估算投资20110130" xfId="4910"/>
    <cellStyle name="差_估算投资20110130 2" xfId="4911"/>
    <cellStyle name="差_观音山管配件及设备20100423-调整稿" xfId="4912"/>
    <cellStyle name="差_观音山管配件及设备20100423-调整稿 2" xfId="4913"/>
    <cellStyle name="差_观音山管配件及设备20100423-调整稿 2 2" xfId="4914"/>
    <cellStyle name="差_观音山管配件及设备20100423-调整稿 3" xfId="4915"/>
    <cellStyle name="差_观音山管配件及设备20100423-调整稿 3 2" xfId="4916"/>
    <cellStyle name="差_观音山管配件及设备20100423-调整稿 4" xfId="4917"/>
    <cellStyle name="差_管配件设备总图（李霞）20111125" xfId="4918"/>
    <cellStyle name="差_管配件设备总图（李霞）20111125 2" xfId="4919"/>
    <cellStyle name="差_管配件设备总图（李霞）20111125 2 2" xfId="4920"/>
    <cellStyle name="差_管配件设备总图（李霞）20111125 3" xfId="4921"/>
    <cellStyle name="差_管配件设备总图（李霞）20111125 3 2" xfId="4922"/>
    <cellStyle name="差_管配件设备总图（李霞）20111125 4" xfId="4923"/>
    <cellStyle name="差_贵阳二桥污水处理厂二期-管配件设备5.20" xfId="4924"/>
    <cellStyle name="差_贵阳二桥污水处理厂二期-管配件设备5.20 2" xfId="4925"/>
    <cellStyle name="差_贵阳二桥污水处理厂二期-管配件设备电气仪控" xfId="4926"/>
    <cellStyle name="差_贵阳二桥污水处理厂二期-管配件设备电气仪控 2" xfId="4927"/>
    <cellStyle name="差_海泊河北区管配件表" xfId="4928"/>
    <cellStyle name="差_海泊河北区管配件表 2" xfId="4929"/>
    <cellStyle name="差_海泊河北区管配件表 2 2" xfId="4930"/>
    <cellStyle name="差_海泊河北区管配件表 2 2 2" xfId="4931"/>
    <cellStyle name="差_海泊河北区管配件表 2 2 2 2" xfId="4932"/>
    <cellStyle name="差_海泊河北区管配件表 2 2 3" xfId="4933"/>
    <cellStyle name="差_海泊河北区管配件表 2 2 3 2" xfId="4934"/>
    <cellStyle name="差_海泊河北区管配件表 2 2 4" xfId="4935"/>
    <cellStyle name="差_海泊河北区管配件表 2 3" xfId="4936"/>
    <cellStyle name="差_海泊河北区管配件表 2 3 2" xfId="4937"/>
    <cellStyle name="差_海泊河北区管配件表 2 4" xfId="4938"/>
    <cellStyle name="差_海泊河北区管配件表 2 4 2" xfId="4939"/>
    <cellStyle name="差_海泊河北区管配件表 2 5" xfId="4940"/>
    <cellStyle name="差_海泊河北区管配件表 3" xfId="4941"/>
    <cellStyle name="差_海泊河北区管配件表 3 2" xfId="4942"/>
    <cellStyle name="差_海泊河北区管配件表 3 2 2" xfId="4943"/>
    <cellStyle name="差_海泊河北区管配件表 3 3" xfId="4944"/>
    <cellStyle name="差_海泊河北区管配件表 3 3 2" xfId="4945"/>
    <cellStyle name="差_海泊河北区管配件表 3 4" xfId="4946"/>
    <cellStyle name="差_海泊河北区管配件表 4" xfId="4947"/>
    <cellStyle name="差_海泊河北区管配件表 4 2" xfId="4948"/>
    <cellStyle name="差_海泊河北区管配件表 5" xfId="4949"/>
    <cellStyle name="差_海泊河北区管配件表 5 2" xfId="4950"/>
    <cellStyle name="差_海泊河北区管配件表 6" xfId="4951"/>
    <cellStyle name="差_海泊河北区管配件表 6 2" xfId="4952"/>
    <cellStyle name="差_海泊河北区管配件表 7" xfId="4953"/>
    <cellStyle name="差_海泊河北区管配件表-zong" xfId="4954"/>
    <cellStyle name="差_海泊河北区管配件表-zong 2" xfId="4955"/>
    <cellStyle name="差_海泊河北区管配件表-zong 2 2" xfId="4956"/>
    <cellStyle name="差_海泊河北区管配件表-zong 2 2 2" xfId="4957"/>
    <cellStyle name="差_海泊河北区管配件表-zong 2 2 2 2" xfId="4958"/>
    <cellStyle name="差_海泊河北区管配件表-zong 2 2 3" xfId="4959"/>
    <cellStyle name="差_海泊河北区管配件表-zong 2 2 3 2" xfId="4960"/>
    <cellStyle name="差_海泊河北区管配件表-zong 2 2 4" xfId="4961"/>
    <cellStyle name="差_海泊河北区管配件表-zong 2 3" xfId="4962"/>
    <cellStyle name="差_海泊河北区管配件表-zong 2 3 2" xfId="4963"/>
    <cellStyle name="差_海泊河北区管配件表-zong 2 4" xfId="4964"/>
    <cellStyle name="差_海泊河北区管配件表-zong 2 4 2" xfId="4965"/>
    <cellStyle name="差_海泊河北区管配件表-zong 2 5" xfId="4966"/>
    <cellStyle name="差_海泊河北区管配件表-zong 3" xfId="4967"/>
    <cellStyle name="差_海泊河北区管配件表-zong 3 2" xfId="4968"/>
    <cellStyle name="差_海泊河北区管配件表-zong 3 2 2" xfId="4969"/>
    <cellStyle name="差_海泊河北区管配件表-zong 3 3" xfId="4970"/>
    <cellStyle name="差_海泊河北区管配件表-zong 3 3 2" xfId="4971"/>
    <cellStyle name="差_海泊河北区管配件表-zong 3 4" xfId="4972"/>
    <cellStyle name="差_海泊河北区管配件表-zong 4" xfId="4973"/>
    <cellStyle name="差_海泊河北区管配件表-zong 4 2" xfId="4974"/>
    <cellStyle name="差_海泊河北区管配件表-zong 5" xfId="4975"/>
    <cellStyle name="差_海泊河北区管配件表-zong 5 2" xfId="4976"/>
    <cellStyle name="差_海泊河北区管配件表-zong 6" xfId="4977"/>
    <cellStyle name="差_海泊河北区管配件表-zong 6 2" xfId="4978"/>
    <cellStyle name="差_海泊河北区管配件表-zong 7" xfId="4979"/>
    <cellStyle name="差_海泊河北区管配件表-zong-计算底稿" xfId="4980"/>
    <cellStyle name="差_海泊河北区管配件表-zong-计算底稿 2" xfId="4981"/>
    <cellStyle name="差_海泊河北区管配件表-zong-计算底稿 2 2" xfId="4982"/>
    <cellStyle name="差_海泊河北区管配件表-zong-计算底稿 2 2 2" xfId="4983"/>
    <cellStyle name="差_海泊河北区管配件表-zong-计算底稿 2 2 2 2" xfId="4984"/>
    <cellStyle name="差_海泊河北区管配件表-zong-计算底稿 2 2 3" xfId="4985"/>
    <cellStyle name="差_海泊河北区管配件表-zong-计算底稿 2 2 3 2" xfId="4986"/>
    <cellStyle name="差_海泊河北区管配件表-zong-计算底稿 2 2 4" xfId="4987"/>
    <cellStyle name="差_海泊河北区管配件表-zong-计算底稿 2 3" xfId="4988"/>
    <cellStyle name="差_海泊河北区管配件表-zong-计算底稿 2 3 2" xfId="4989"/>
    <cellStyle name="差_海泊河北区管配件表-zong-计算底稿 2 4" xfId="4990"/>
    <cellStyle name="差_海泊河北区管配件表-zong-计算底稿 2 4 2" xfId="4991"/>
    <cellStyle name="差_海泊河北区管配件表-zong-计算底稿 2 5" xfId="4992"/>
    <cellStyle name="差_海泊河北区管配件表-zong-计算底稿 3" xfId="4993"/>
    <cellStyle name="差_海泊河北区管配件表-zong-计算底稿 3 2" xfId="4994"/>
    <cellStyle name="差_海泊河北区管配件表-zong-计算底稿 3 2 2" xfId="4995"/>
    <cellStyle name="差_海泊河北区管配件表-zong-计算底稿 3 3" xfId="4996"/>
    <cellStyle name="差_海泊河北区管配件表-zong-计算底稿 3 3 2" xfId="4997"/>
    <cellStyle name="差_海泊河北区管配件表-zong-计算底稿 3 4" xfId="4998"/>
    <cellStyle name="差_海泊河北区管配件表-zong-计算底稿 4" xfId="4999"/>
    <cellStyle name="差_海泊河北区管配件表-zong-计算底稿 4 2" xfId="5000"/>
    <cellStyle name="差_海泊河北区管配件表-zong-计算底稿 5" xfId="5001"/>
    <cellStyle name="差_海泊河北区管配件表-zong-计算底稿 5 2" xfId="5002"/>
    <cellStyle name="差_海泊河北区管配件表-zong-计算底稿 6" xfId="5003"/>
    <cellStyle name="差_海泊河北区管配件表-zong-计算底稿 6 2" xfId="5004"/>
    <cellStyle name="差_海泊河北区管配件表-zong-计算底稿 7" xfId="5005"/>
    <cellStyle name="差_海泊河北去 管配件" xfId="5006"/>
    <cellStyle name="差_海泊河北去 管配件 2" xfId="5007"/>
    <cellStyle name="差_海泊河北去 管配件 2 2" xfId="5008"/>
    <cellStyle name="差_海泊河北去 管配件 2 2 2" xfId="5009"/>
    <cellStyle name="差_海泊河北去 管配件 2 2 2 2" xfId="5010"/>
    <cellStyle name="差_海泊河北去 管配件 2 2 3" xfId="5011"/>
    <cellStyle name="差_海泊河北去 管配件 2 2 3 2" xfId="5012"/>
    <cellStyle name="差_海泊河北去 管配件 2 2 4" xfId="5013"/>
    <cellStyle name="差_海泊河北去 管配件 2 3" xfId="5014"/>
    <cellStyle name="差_海泊河北去 管配件 2 3 2" xfId="5015"/>
    <cellStyle name="差_海泊河北去 管配件 2 4" xfId="5016"/>
    <cellStyle name="差_海泊河北去 管配件 2 4 2" xfId="5017"/>
    <cellStyle name="差_海泊河北去 管配件 2 5" xfId="5018"/>
    <cellStyle name="差_海泊河北去 管配件 3" xfId="5019"/>
    <cellStyle name="差_海泊河北去 管配件 3 2" xfId="5020"/>
    <cellStyle name="差_海泊河北去 管配件 3 2 2" xfId="5021"/>
    <cellStyle name="差_海泊河北去 管配件 3 3" xfId="5022"/>
    <cellStyle name="差_海泊河北去 管配件 3 3 2" xfId="5023"/>
    <cellStyle name="差_海泊河北去 管配件 3 4" xfId="5024"/>
    <cellStyle name="差_海泊河北去 管配件 4" xfId="5025"/>
    <cellStyle name="差_海泊河北去 管配件 4 2" xfId="5026"/>
    <cellStyle name="差_海泊河北去 管配件 5" xfId="5027"/>
    <cellStyle name="差_海泊河北去 管配件 5 2" xfId="5028"/>
    <cellStyle name="差_海泊河北去 管配件 6" xfId="5029"/>
    <cellStyle name="差_海泊河北去 管配件 6 2" xfId="5030"/>
    <cellStyle name="差_海泊河北去 管配件 7" xfId="5031"/>
    <cellStyle name="差_海泊河南区管配件表-计算底稿" xfId="5032"/>
    <cellStyle name="差_海泊河南区管配件表-计算底稿 2" xfId="5033"/>
    <cellStyle name="差_海泊河南区管配件表-计算底稿 2 2" xfId="5034"/>
    <cellStyle name="差_海泊河南区管配件表-计算底稿 2 2 2" xfId="5035"/>
    <cellStyle name="差_海泊河南区管配件表-计算底稿 2 2 2 2" xfId="5036"/>
    <cellStyle name="差_海泊河南区管配件表-计算底稿 2 2 3" xfId="5037"/>
    <cellStyle name="差_海泊河南区管配件表-计算底稿 2 2 3 2" xfId="5038"/>
    <cellStyle name="差_海泊河南区管配件表-计算底稿 2 2 4" xfId="5039"/>
    <cellStyle name="差_海泊河南区管配件表-计算底稿 2 3" xfId="5040"/>
    <cellStyle name="差_海泊河南区管配件表-计算底稿 2 3 2" xfId="5041"/>
    <cellStyle name="差_海泊河南区管配件表-计算底稿 2 4" xfId="5042"/>
    <cellStyle name="差_海泊河南区管配件表-计算底稿 2 4 2" xfId="5043"/>
    <cellStyle name="差_海泊河南区管配件表-计算底稿 2 5" xfId="5044"/>
    <cellStyle name="差_海泊河南区管配件表-计算底稿 3" xfId="5045"/>
    <cellStyle name="差_海泊河南区管配件表-计算底稿 3 2" xfId="5046"/>
    <cellStyle name="差_海泊河南区管配件表-计算底稿 3 2 2" xfId="5047"/>
    <cellStyle name="差_海泊河南区管配件表-计算底稿 3 3" xfId="5048"/>
    <cellStyle name="差_海泊河南区管配件表-计算底稿 3 3 2" xfId="5049"/>
    <cellStyle name="差_海泊河南区管配件表-计算底稿 3 4" xfId="5050"/>
    <cellStyle name="差_海泊河南区管配件表-计算底稿 4" xfId="5051"/>
    <cellStyle name="差_海泊河南区管配件表-计算底稿 4 2" xfId="5052"/>
    <cellStyle name="差_海泊河南区管配件表-计算底稿 5" xfId="5053"/>
    <cellStyle name="差_海泊河南区管配件表-计算底稿 5 2" xfId="5054"/>
    <cellStyle name="差_海泊河南区管配件表-计算底稿 6" xfId="5055"/>
    <cellStyle name="差_海泊河南区管配件表-计算底稿 6 2" xfId="5056"/>
    <cellStyle name="差_海泊河南区管配件表-计算底稿 7" xfId="5057"/>
    <cellStyle name="差_杭州科技城工可(校对)" xfId="5058"/>
    <cellStyle name="差_航空港二水厂初设（评审调整）2015.9.22" xfId="5059"/>
    <cellStyle name="差_航空港二水厂工可(校对2015.3.26)" xfId="5060"/>
    <cellStyle name="差_横岭厂二期估算表及成本" xfId="5061"/>
    <cellStyle name="差_横岭二期工程前期方案工程量工艺交接20170718" xfId="5062"/>
    <cellStyle name="差_鸡冠石污泥报表20091102" xfId="5063"/>
    <cellStyle name="差_鸡冠石污泥报表20091102 2" xfId="5064"/>
    <cellStyle name="差_嘉定南翔污水厂总表-项建书正" xfId="5065"/>
    <cellStyle name="差_嘉定升级改造" xfId="5066"/>
    <cellStyle name="差_嘉定升级改造_兰溪市城南污水转输金华市临江污水厂工程-总表(方案二)1" xfId="5067"/>
    <cellStyle name="差_嘉定升级改造_温岭市东部新区2#提升泵站工程总表-项建书总表" xfId="5068"/>
    <cellStyle name="差_嘉定升级改造_温岭市区城区污水管网改造三期工程-总表" xfId="5069"/>
    <cellStyle name="差_嘉善幽澜水厂一期、二期改造工程-总表 (方案二)-校对" xfId="5070"/>
    <cellStyle name="差_江海道路照明材料表" xfId="5071"/>
    <cellStyle name="差_江海道路照明材料表(城建院）" xfId="5072"/>
    <cellStyle name="差_江海道路照明材料表(科佳院）" xfId="5073"/>
    <cellStyle name="差_交接" xfId="5074"/>
    <cellStyle name="差_津南辛庄镇泵站工可电仪" xfId="5075"/>
    <cellStyle name="差_津南辛庄镇泵站工可电仪 2" xfId="5076"/>
    <cellStyle name="差_津南辛庄镇泵站工可电仪 2 2" xfId="5077"/>
    <cellStyle name="差_津南辛庄镇泵站工可电仪 3" xfId="5078"/>
    <cellStyle name="差_津南辛庄镇泵站工可电仪 3 2" xfId="5079"/>
    <cellStyle name="差_津南辛庄镇泵站工可电仪 4" xfId="5080"/>
    <cellStyle name="差_昆明滇池-沉砂池20090414" xfId="5081"/>
    <cellStyle name="差_昆明滇池-沉砂池20090414 2" xfId="5082"/>
    <cellStyle name="差_昆明滇池-沉砂池20090414 2 2" xfId="5083"/>
    <cellStyle name="差_昆明滇池-沉砂池20090414 3" xfId="5084"/>
    <cellStyle name="差_昆明滇池-沉砂池20090414 3 2" xfId="5085"/>
    <cellStyle name="差_昆明滇池-沉砂池20090414 4" xfId="5086"/>
    <cellStyle name="差_昆明滇池-工艺设备20090408" xfId="5087"/>
    <cellStyle name="差_昆明滇池-工艺设备20090408 2" xfId="5088"/>
    <cellStyle name="差_昆明滇池-工艺设备20090408 2 2" xfId="5089"/>
    <cellStyle name="差_昆明滇池-工艺设备20090408 3" xfId="5090"/>
    <cellStyle name="差_昆明滇池-工艺设备20090408 3 2" xfId="5091"/>
    <cellStyle name="差_昆明滇池-工艺设备20090408 4" xfId="5092"/>
    <cellStyle name="差_昆明滇池-平面布置20090414" xfId="5093"/>
    <cellStyle name="差_昆明滇池-平面布置20090414 2" xfId="5094"/>
    <cellStyle name="差_昆明滇池-平面布置20090414 2 2" xfId="5095"/>
    <cellStyle name="差_昆明滇池-平面布置20090414 3" xfId="5096"/>
    <cellStyle name="差_昆明滇池-平面布置20090414 3 2" xfId="5097"/>
    <cellStyle name="差_昆明滇池-平面布置20090414 4" xfId="5098"/>
    <cellStyle name="差_昆明十一厂 暖通" xfId="5099"/>
    <cellStyle name="差_昆明十一厂 暖通 2" xfId="5100"/>
    <cellStyle name="差_昆明市滇池-管配件20090408" xfId="5101"/>
    <cellStyle name="差_昆明市滇池-管配件20090408 2" xfId="5102"/>
    <cellStyle name="差_昆明市滇池-管配件20090408 2 2" xfId="5103"/>
    <cellStyle name="差_昆明市滇池-管配件20090408 3" xfId="5104"/>
    <cellStyle name="差_昆明市滇池-管配件20090408 3 2" xfId="5105"/>
    <cellStyle name="差_昆明市滇池-管配件20090408 4" xfId="5106"/>
    <cellStyle name="差_兰溪市城南污水转输金华市临江污水厂工程总表" xfId="5107"/>
    <cellStyle name="差_兰溪市城南污水转输金华市临江污水厂工程-总表(方案二)1" xfId="5108"/>
    <cellStyle name="差_兰州管廊规划2016.4.28" xfId="5109"/>
    <cellStyle name="差_乐清市污水估算-2011.6.7" xfId="5110"/>
    <cellStyle name="差_乐清市污水估算-2011.6.7 2" xfId="5111"/>
    <cellStyle name="差_乐清市污水估算-2011.6.7 2 2" xfId="5112"/>
    <cellStyle name="差_乐清市污水估算-2011.6.7 3" xfId="5113"/>
    <cellStyle name="差_乐清市污水估算-2011.6.7 3 2" xfId="5114"/>
    <cellStyle name="差_乐清市污水估算-2011.6.7 4" xfId="5115"/>
    <cellStyle name="差_乐清污水厂一期提标改造工程概算2011.11.29" xfId="5116"/>
    <cellStyle name="差_乐清污水厂一期提标改造工程概算2011.11.29 2" xfId="5117"/>
    <cellStyle name="差_乐清污水厂一期提标改造工程概算2011.11.29 2 2" xfId="5118"/>
    <cellStyle name="差_乐清污水厂一期提标改造工程概算2011.11.29 3" xfId="5119"/>
    <cellStyle name="差_乐清污水厂一期提标改造工程概算2011.11.29 3 2" xfId="5120"/>
    <cellStyle name="差_乐清污水厂一期提标改造工程概算2011.11.29 4" xfId="5121"/>
    <cellStyle name="差_南昌沉北水厂电气设备20081114" xfId="5122"/>
    <cellStyle name="差_南昌沉北水厂电气设备20081114 2" xfId="5123"/>
    <cellStyle name="差_南昌沉北水厂电气设备20081114 2 2" xfId="5124"/>
    <cellStyle name="差_南昌沉北水厂电气设备20081114 3" xfId="5125"/>
    <cellStyle name="差_南昌沉北水厂电气设备20081114 3 2" xfId="5126"/>
    <cellStyle name="差_南昌沉北水厂电气设备20081114 4" xfId="5127"/>
    <cellStyle name="差_南昌沉北水厂电气设备20081114_包头管廊工可（校对）" xfId="5128"/>
    <cellStyle name="差_南昌沉北水厂电气设备20081114_宝山区联谊路污水管道工程-总表-最终版2013.08.01" xfId="5129"/>
    <cellStyle name="差_南昌沉北水厂电气设备20081114_杭州科技城工可(校对)" xfId="5130"/>
    <cellStyle name="差_南昌沉北水厂电气设备20081114_兰溪市城南污水转输金华市临江污水厂工程总表" xfId="5131"/>
    <cellStyle name="差_南昌沉北水厂电气设备20081114_兰州管廊规划2016.2.22" xfId="5132"/>
    <cellStyle name="差_南汇污水厂提标工程交接工程量0920" xfId="5133"/>
    <cellStyle name="差_南区管配件单项" xfId="5134"/>
    <cellStyle name="差_南区管配件单项 2" xfId="5135"/>
    <cellStyle name="差_南区管配件单项 2 2" xfId="5136"/>
    <cellStyle name="差_南区管配件单项 2 2 2" xfId="5137"/>
    <cellStyle name="差_南区管配件单项 2 2 2 2" xfId="5138"/>
    <cellStyle name="差_南区管配件单项 2 2 3" xfId="5139"/>
    <cellStyle name="差_南区管配件单项 2 2 3 2" xfId="5140"/>
    <cellStyle name="差_南区管配件单项 2 2 4" xfId="5141"/>
    <cellStyle name="差_南区管配件单项 2 3" xfId="5142"/>
    <cellStyle name="差_南区管配件单项 2 3 2" xfId="5143"/>
    <cellStyle name="差_南区管配件单项 2 4" xfId="5144"/>
    <cellStyle name="差_南区管配件单项 2 4 2" xfId="5145"/>
    <cellStyle name="差_南区管配件单项 2 5" xfId="5146"/>
    <cellStyle name="差_南区管配件单项 3" xfId="5147"/>
    <cellStyle name="差_南区管配件单项 3 2" xfId="5148"/>
    <cellStyle name="差_南区管配件单项 3 2 2" xfId="5149"/>
    <cellStyle name="差_南区管配件单项 3 3" xfId="5150"/>
    <cellStyle name="差_南区管配件单项 3 3 2" xfId="5151"/>
    <cellStyle name="差_南区管配件单项 3 4" xfId="5152"/>
    <cellStyle name="差_南区管配件单项 4" xfId="5153"/>
    <cellStyle name="差_南区管配件单项 4 2" xfId="5154"/>
    <cellStyle name="差_南区管配件单项 5" xfId="5155"/>
    <cellStyle name="差_南区管配件单项 5 2" xfId="5156"/>
    <cellStyle name="差_南区管配件单项 6" xfId="5157"/>
    <cellStyle name="差_南区管配件单项 6 2" xfId="5158"/>
    <cellStyle name="差_南区管配件单项 7" xfId="5159"/>
    <cellStyle name="差_南三环" xfId="5160"/>
    <cellStyle name="差_南三环 2" xfId="5161"/>
    <cellStyle name="差_南三环管配件单项" xfId="5162"/>
    <cellStyle name="差_南三环管配件单项 2" xfId="5163"/>
    <cellStyle name="差_南三环暖通" xfId="5164"/>
    <cellStyle name="差_南三环暖通 2" xfId="5165"/>
    <cellStyle name="差_宁波碧海初设" xfId="5166"/>
    <cellStyle name="差_潘泾路三期总表" xfId="5167"/>
    <cellStyle name="差_潘泾路三期总表 2" xfId="5168"/>
    <cellStyle name="差_潘泾路三期总表 2 2" xfId="5169"/>
    <cellStyle name="差_潘泾路三期总表 3" xfId="5170"/>
    <cellStyle name="差_潘泾路三期总表 3 2" xfId="5171"/>
    <cellStyle name="差_潘泾路三期总表 4" xfId="5172"/>
    <cellStyle name="差_钱江萧山四期污水处理厂扩建工程2017.6.11" xfId="5173"/>
    <cellStyle name="差_钱江萧山四期污水处理厂扩建工程2017.6.11 2" xfId="5174"/>
    <cellStyle name="差_取水口" xfId="5175"/>
    <cellStyle name="差_厦门电气材料" xfId="5176"/>
    <cellStyle name="差_厦门电气材料 2" xfId="5177"/>
    <cellStyle name="差_厦门电气材料 2 2" xfId="5178"/>
    <cellStyle name="差_厦门电气材料 3" xfId="5179"/>
    <cellStyle name="差_厦门电气材料方案二" xfId="5180"/>
    <cellStyle name="差_厦门电气材料方案二 2" xfId="5181"/>
    <cellStyle name="差_厦门电气材料方案二 2 2" xfId="5182"/>
    <cellStyle name="差_厦门电气材料方案二 3" xfId="5183"/>
    <cellStyle name="差_厦门工可估算" xfId="5184"/>
    <cellStyle name="差_厦门杏林水厂改造自控仪表技经交接NEW（徐鑫）" xfId="5185"/>
    <cellStyle name="差_上海嘉定南翔污水处理厂工程建筑2012.5.17" xfId="5186"/>
    <cellStyle name="差_上海嘉定南翔污水处理厂工程建筑2012.5.17_兰溪市城南污水转输金华市临江污水厂工程-总表(方案二)1" xfId="5187"/>
    <cellStyle name="差_上海嘉定南翔污水处理厂工程建筑2012.5.17_温岭市东部新区2#提升泵站工程总表-项建书总表" xfId="5188"/>
    <cellStyle name="差_上海嘉定南翔污水处理厂工程建筑2012.5.17_温岭市区城区污水管网改造三期工程-总表" xfId="5189"/>
    <cellStyle name="差_上海老港生活垃圾卫生填埋场四期渗滤液厂扩建工程总表2008.07.28" xfId="5190"/>
    <cellStyle name="差_上海老港生活垃圾卫生填埋场四期渗滤液厂扩建工程总表2008.07.28 2" xfId="5191"/>
    <cellStyle name="差_绍兴电气设备清单_new" xfId="5192"/>
    <cellStyle name="差_绍兴电气设备清单_new 2" xfId="5193"/>
    <cellStyle name="差_绍兴电气设备清单_new 2 2" xfId="5194"/>
    <cellStyle name="差_绍兴电气设备清单_new 3" xfId="5195"/>
    <cellStyle name="差_绍兴电气设备清单_new 3 2" xfId="5196"/>
    <cellStyle name="差_绍兴电气设备清单_new 4" xfId="5197"/>
    <cellStyle name="差_绍兴电气设备清单_new_安亭总表2014.11.7-直埋管管径DN1400和更改借地费" xfId="5198"/>
    <cellStyle name="差_绍兴电气设备清单_new_安亭总表工可2015.5（校对）-最终稿" xfId="5199"/>
    <cellStyle name="差_绍兴电气设备清单_new_包头管廊工可（校对）" xfId="5200"/>
    <cellStyle name="差_绍兴电气设备清单_new_宝山区联谊路污水管道工程-总表-最终版2013.08.01" xfId="5201"/>
    <cellStyle name="差_绍兴电气设备清单_new_初设概算" xfId="5202"/>
    <cellStyle name="差_绍兴电气设备清单_new_初设概算2011.12.29" xfId="5203"/>
    <cellStyle name="差_绍兴电气设备清单_new_初设概算2011.7.29" xfId="5204"/>
    <cellStyle name="差_绍兴电气设备清单_new_电气2" xfId="5205"/>
    <cellStyle name="差_绍兴电气设备清单_new_杭州科技城工可(校对)" xfId="5206"/>
    <cellStyle name="差_绍兴电气设备清单_new_嘉善幽澜水厂一期、二期改造工程-总表 (方案二)-校对" xfId="5207"/>
    <cellStyle name="差_绍兴电气设备清单_new_兰溪市城南污水转输金华市临江污水厂工程总表" xfId="5208"/>
    <cellStyle name="差_绍兴电气设备清单_new_兰州管廊规划2016.2.22" xfId="5209"/>
    <cellStyle name="差_绍兴电气设备清单_new_西外环初设概算" xfId="5210"/>
    <cellStyle name="差_绍兴电气设备清单_new_总表最终版" xfId="5211"/>
    <cellStyle name="差_设备表" xfId="5212"/>
    <cellStyle name="差_设备表 2" xfId="5213"/>
    <cellStyle name="差_设备及管配件V1.01" xfId="5214"/>
    <cellStyle name="差_设备交接" xfId="5215"/>
    <cellStyle name="差_十五里河2012030421" xfId="5216"/>
    <cellStyle name="差_十五里河2012030421 2" xfId="5217"/>
    <cellStyle name="差_室内采暖主材概算" xfId="5218"/>
    <cellStyle name="差_双桥概算20140525" xfId="5219"/>
    <cellStyle name="差_双桥概算20140525 2" xfId="5220"/>
    <cellStyle name="差_双桥概算20140531" xfId="5221"/>
    <cellStyle name="差_双桥概算20140531 2" xfId="5222"/>
    <cellStyle name="差_双桥市政院总表（03版本）-0331" xfId="5223"/>
    <cellStyle name="差_双桥市政院总表（03版本）-0331 2" xfId="5224"/>
    <cellStyle name="差_泗水管廊" xfId="5225"/>
    <cellStyle name="差_泗水管廊10.19" xfId="5226"/>
    <cellStyle name="差_苏州七子山垃圾渗沥液升级改造工程" xfId="5227"/>
    <cellStyle name="差_苏州七子山垃圾渗沥液升级改造工程 2" xfId="5228"/>
    <cellStyle name="差_苏州七子山垃圾渗沥液升级改造配件电气" xfId="5229"/>
    <cellStyle name="差_苏州七子山垃圾渗沥液升级改造配件电气 2" xfId="5230"/>
    <cellStyle name="差_泰安市三合水厂改造 建筑2012.7.25" xfId="5231"/>
    <cellStyle name="差_土建指标估算" xfId="5232"/>
    <cellStyle name="差_温岭市东部新区2#提升泵站工程总表-项建书总表" xfId="5233"/>
    <cellStyle name="差_温岭市区城区污水管网改造三期工程-总表" xfId="5234"/>
    <cellStyle name="差_污水处理厂财务评价" xfId="5235"/>
    <cellStyle name="差_污水处理厂财务评价 2" xfId="5236"/>
    <cellStyle name="差_污水处理厂财务评价(压力)" xfId="5237"/>
    <cellStyle name="差_污水处理厂财务评价(压力) 2" xfId="5238"/>
    <cellStyle name="差_污水设备表整理-0811" xfId="5239"/>
    <cellStyle name="差_污水设备表整理-0811 2" xfId="5240"/>
    <cellStyle name="差_西干线WT1.7标工程量清单2011.06.09" xfId="5241"/>
    <cellStyle name="差_西干线WT1.7标工程量清单2011.06.09 2" xfId="5242"/>
    <cellStyle name="差_西干线WT1.7标工程量清单2011.06.09 3" xfId="5243"/>
    <cellStyle name="差_项建书材料表20090202" xfId="5244"/>
    <cellStyle name="差_项建书材料表20090202 10" xfId="5245"/>
    <cellStyle name="差_项建书材料表20090202 2" xfId="5246"/>
    <cellStyle name="差_项建书材料表20090202 2 2" xfId="5247"/>
    <cellStyle name="差_项建书材料表20090202 2 2 2" xfId="5248"/>
    <cellStyle name="差_项建书材料表20090202 2 2 2 2" xfId="5249"/>
    <cellStyle name="差_项建书材料表20090202 2 2 2 2 2" xfId="5250"/>
    <cellStyle name="差_项建书材料表20090202 2 2 2 3" xfId="5251"/>
    <cellStyle name="差_项建书材料表20090202 2 2 3" xfId="5252"/>
    <cellStyle name="差_项建书材料表20090202 2 2 3 2" xfId="5253"/>
    <cellStyle name="差_项建书材料表20090202 2 2 4" xfId="5254"/>
    <cellStyle name="差_项建书材料表20090202 2 2 4 2" xfId="5255"/>
    <cellStyle name="差_项建书材料表20090202 2 2 5" xfId="5256"/>
    <cellStyle name="差_项建书材料表20090202 2 2 5 2" xfId="5257"/>
    <cellStyle name="差_项建书材料表20090202 2 2 6" xfId="5258"/>
    <cellStyle name="差_项建书材料表20090202 2 3" xfId="5259"/>
    <cellStyle name="差_项建书材料表20090202 2 3 2" xfId="5260"/>
    <cellStyle name="差_项建书材料表20090202 2 3 2 2" xfId="5261"/>
    <cellStyle name="差_项建书材料表20090202 2 3 3" xfId="5262"/>
    <cellStyle name="差_项建书材料表20090202 2 3 3 2" xfId="5263"/>
    <cellStyle name="差_项建书材料表20090202 2 3 4" xfId="5264"/>
    <cellStyle name="差_项建书材料表20090202 2 3 4 2" xfId="5265"/>
    <cellStyle name="差_项建书材料表20090202 2 3 5" xfId="5266"/>
    <cellStyle name="差_项建书材料表20090202 2 3 5 2" xfId="5267"/>
    <cellStyle name="差_项建书材料表20090202 2 3 6" xfId="5268"/>
    <cellStyle name="差_项建书材料表20090202 2 4" xfId="5269"/>
    <cellStyle name="差_项建书材料表20090202 2 4 2" xfId="5270"/>
    <cellStyle name="差_项建书材料表20090202 2 5" xfId="5271"/>
    <cellStyle name="差_项建书材料表20090202 2 5 2" xfId="5272"/>
    <cellStyle name="差_项建书材料表20090202 2 6" xfId="5273"/>
    <cellStyle name="差_项建书材料表20090202 2 6 2" xfId="5274"/>
    <cellStyle name="差_项建书材料表20090202 2 7" xfId="5275"/>
    <cellStyle name="差_项建书材料表20090202 3" xfId="5276"/>
    <cellStyle name="差_项建书材料表20090202 3 2" xfId="5277"/>
    <cellStyle name="差_项建书材料表20090202 3 2 2" xfId="5278"/>
    <cellStyle name="差_项建书材料表20090202 3 2 2 2" xfId="5279"/>
    <cellStyle name="差_项建书材料表20090202 3 2 3" xfId="5280"/>
    <cellStyle name="差_项建书材料表20090202 3 3" xfId="5281"/>
    <cellStyle name="差_项建书材料表20090202 3 3 2" xfId="5282"/>
    <cellStyle name="差_项建书材料表20090202 3 4" xfId="5283"/>
    <cellStyle name="差_项建书材料表20090202 3 4 2" xfId="5284"/>
    <cellStyle name="差_项建书材料表20090202 3 5" xfId="5285"/>
    <cellStyle name="差_项建书材料表20090202 3 5 2" xfId="5286"/>
    <cellStyle name="差_项建书材料表20090202 3 6" xfId="5287"/>
    <cellStyle name="差_项建书材料表20090202 4" xfId="5288"/>
    <cellStyle name="差_项建书材料表20090202 4 2" xfId="5289"/>
    <cellStyle name="差_项建书材料表20090202 4 2 2" xfId="5290"/>
    <cellStyle name="差_项建书材料表20090202 4 3" xfId="5291"/>
    <cellStyle name="差_项建书材料表20090202 5" xfId="5292"/>
    <cellStyle name="差_项建书材料表20090202 5 2" xfId="5293"/>
    <cellStyle name="差_项建书材料表20090202 6" xfId="5294"/>
    <cellStyle name="差_项建书材料表20090202 6 2" xfId="5295"/>
    <cellStyle name="差_项建书材料表20090202 7" xfId="5296"/>
    <cellStyle name="差_项建书材料表20090202 7 2" xfId="5297"/>
    <cellStyle name="差_项建书材料表20090202 8" xfId="5298"/>
    <cellStyle name="差_项建书材料表20090202 8 2" xfId="5299"/>
    <cellStyle name="差_项建书材料表20090202 9" xfId="5300"/>
    <cellStyle name="差_项建书材料表20090202 9 2" xfId="5301"/>
    <cellStyle name="差_项建书材料表20090202_交接" xfId="5302"/>
    <cellStyle name="差_项建书材料表20090202_设备交接" xfId="5303"/>
    <cellStyle name="差_新车墩初设电气材料表20150512" xfId="5304"/>
    <cellStyle name="差_新车墩工可电气材料表" xfId="5305"/>
    <cellStyle name="差_新车墩工可电气材料表0320" xfId="5306"/>
    <cellStyle name="差_新车墩工可电气材料表审核后" xfId="5307"/>
    <cellStyle name="差_新车墩投标电气材料表20150129" xfId="5308"/>
    <cellStyle name="差_新乡污泥项目设备估算" xfId="5309"/>
    <cellStyle name="差_新乡污泥项目设备估算 2" xfId="5310"/>
    <cellStyle name="差_盐城开放区污水处理厂概算2014.3.8" xfId="5311"/>
    <cellStyle name="差_仪表材料表" xfId="5312"/>
    <cellStyle name="差_义乌水厂二期(苏溪)" xfId="5313"/>
    <cellStyle name="差_增加安亭水厂泵房电气材料表2014.11.10" xfId="5314"/>
    <cellStyle name="差_郑州新区二期20170517" xfId="5315"/>
    <cellStyle name="差_郑州新区二期扩建工程-概算总表 20180723" xfId="5316"/>
    <cellStyle name="差_郑州新区二期扩建工程总表及财评--0704发" xfId="5317"/>
    <cellStyle name="差_中国江海产业园一期官网工程暖通" xfId="5318"/>
    <cellStyle name="差_重做初设" xfId="5319"/>
    <cellStyle name="差_重做初设(评审调整)" xfId="5320"/>
    <cellStyle name="差_重做工可（评审调整）" xfId="5321"/>
    <cellStyle name="差_主要设备表（项建书第二稿20万地上）" xfId="5322"/>
    <cellStyle name="差_主要设备表（项建书第二稿20万地上） 2" xfId="5323"/>
    <cellStyle name="差_主要设备表（项建书第二稿20万地上） 2 2" xfId="5324"/>
    <cellStyle name="差_主要设备表（项建书第二稿20万地上） 2 2 2" xfId="5325"/>
    <cellStyle name="差_主要设备表（项建书第二稿20万地上） 2 2 2 2" xfId="5326"/>
    <cellStyle name="差_主要设备表（项建书第二稿20万地上） 2 2 3" xfId="5327"/>
    <cellStyle name="差_主要设备表（项建书第二稿20万地上） 2 2 3 2" xfId="5328"/>
    <cellStyle name="差_主要设备表（项建书第二稿20万地上） 2 2 4" xfId="5329"/>
    <cellStyle name="差_主要设备表（项建书第二稿20万地上） 2 2 4 2" xfId="5330"/>
    <cellStyle name="差_主要设备表（项建书第二稿20万地上） 2 2 5" xfId="5331"/>
    <cellStyle name="差_主要设备表（项建书第二稿20万地上） 2 3" xfId="5332"/>
    <cellStyle name="差_主要设备表（项建书第二稿20万地上） 2 3 2" xfId="5333"/>
    <cellStyle name="差_主要设备表（项建书第二稿20万地上） 2 3 2 2" xfId="5334"/>
    <cellStyle name="差_主要设备表（项建书第二稿20万地上） 2 3 3" xfId="5335"/>
    <cellStyle name="差_主要设备表（项建书第二稿20万地上） 2 3 3 2" xfId="5336"/>
    <cellStyle name="差_主要设备表（项建书第二稿20万地上） 2 3 4" xfId="5337"/>
    <cellStyle name="差_主要设备表（项建书第二稿20万地上） 2 3 4 2" xfId="5338"/>
    <cellStyle name="差_主要设备表（项建书第二稿20万地上） 2 3 5" xfId="5339"/>
    <cellStyle name="差_主要设备表（项建书第二稿20万地上） 2 4" xfId="5340"/>
    <cellStyle name="差_主要设备表（项建书第二稿20万地上） 2 4 2" xfId="5341"/>
    <cellStyle name="差_主要设备表（项建书第二稿20万地上） 2 5" xfId="5342"/>
    <cellStyle name="差_主要设备表（项建书第二稿20万地上） 2 5 2" xfId="5343"/>
    <cellStyle name="差_主要设备表（项建书第二稿20万地上） 2 6" xfId="5344"/>
    <cellStyle name="差_主要设备表（项建书第二稿20万地上） 3" xfId="5345"/>
    <cellStyle name="差_主要设备表（项建书第二稿20万地上） 3 2" xfId="5346"/>
    <cellStyle name="差_主要设备表（项建书第二稿20万地上） 3 2 2" xfId="5347"/>
    <cellStyle name="差_主要设备表（项建书第二稿20万地上） 3 3" xfId="5348"/>
    <cellStyle name="差_主要设备表（项建书第二稿20万地上） 3 3 2" xfId="5349"/>
    <cellStyle name="差_主要设备表（项建书第二稿20万地上） 3 4" xfId="5350"/>
    <cellStyle name="差_主要设备表（项建书第二稿20万地上） 3 4 2" xfId="5351"/>
    <cellStyle name="差_主要设备表（项建书第二稿20万地上） 3 5" xfId="5352"/>
    <cellStyle name="差_主要设备表（项建书第二稿20万地上） 4" xfId="5353"/>
    <cellStyle name="差_主要设备表（项建书第二稿20万地上） 4 2" xfId="5354"/>
    <cellStyle name="差_主要设备表（项建书第二稿20万地上） 4 2 2" xfId="5355"/>
    <cellStyle name="差_主要设备表（项建书第二稿20万地上） 4 3" xfId="5356"/>
    <cellStyle name="差_主要设备表（项建书第二稿20万地上） 5" xfId="5357"/>
    <cellStyle name="差_主要设备表（项建书第二稿20万地上） 5 2" xfId="5358"/>
    <cellStyle name="差_主要设备表（项建书第二稿20万地上） 6" xfId="5359"/>
    <cellStyle name="差_主要设备表（项建书第二稿20万地上） 6 2" xfId="5360"/>
    <cellStyle name="差_主要设备表（项建书第二稿20万地上） 7" xfId="5361"/>
    <cellStyle name="差_主要设备表（项建书第二稿20万地上） 7 2" xfId="5362"/>
    <cellStyle name="差_主要设备表（项建书第二稿20万地上） 8" xfId="5363"/>
    <cellStyle name="差_主要设备表（项建书第二稿20万地上） 8 2" xfId="5364"/>
    <cellStyle name="差_主要设备表（项建书第二稿20万地上） 9" xfId="5365"/>
    <cellStyle name="差_主要设备表（项建书第二稿20万地上）_交接" xfId="5366"/>
    <cellStyle name="差_主要设备表（项建书第二稿20万地上）_设备交接" xfId="5367"/>
    <cellStyle name="差_自控仪表" xfId="5368"/>
    <cellStyle name="差_总表最终版" xfId="5369"/>
    <cellStyle name="常规" xfId="0" builtinId="0"/>
    <cellStyle name="常规 10" xfId="5370"/>
    <cellStyle name="常规 10 10" xfId="5371"/>
    <cellStyle name="常规 10 10 2" xfId="5372"/>
    <cellStyle name="常规 10 11" xfId="5373"/>
    <cellStyle name="常规 10 2" xfId="5374"/>
    <cellStyle name="常规 10 2 2" xfId="5375"/>
    <cellStyle name="常规 10 2 2 2" xfId="5376"/>
    <cellStyle name="常规 10 2 2 2 2" xfId="5377"/>
    <cellStyle name="常规 10 2 2 2 2 2" xfId="5378"/>
    <cellStyle name="常规 10 2 2 2 3" xfId="5379"/>
    <cellStyle name="常规 10 2 2 2 3 2" xfId="5380"/>
    <cellStyle name="常规 10 2 2 2 4" xfId="5381"/>
    <cellStyle name="常规 10 2 2 3" xfId="5382"/>
    <cellStyle name="常规 10 2 2 3 2" xfId="5383"/>
    <cellStyle name="常规 10 2 2 4" xfId="5384"/>
    <cellStyle name="常规 10 2 2 4 2" xfId="5385"/>
    <cellStyle name="常规 10 2 2 5" xfId="5386"/>
    <cellStyle name="常规 10 2 2 5 2" xfId="5387"/>
    <cellStyle name="常规 10 2 2 6" xfId="5388"/>
    <cellStyle name="常规 10 2 3" xfId="5389"/>
    <cellStyle name="常规 10 2 3 2" xfId="5390"/>
    <cellStyle name="常规 10 2 3 2 2" xfId="5391"/>
    <cellStyle name="常规 10 2 3 3" xfId="5392"/>
    <cellStyle name="常规 10 2 3 3 2" xfId="5393"/>
    <cellStyle name="常规 10 2 3 4" xfId="5394"/>
    <cellStyle name="常规 10 2 3 4 2" xfId="5395"/>
    <cellStyle name="常规 10 2 3 5" xfId="5396"/>
    <cellStyle name="常规 10 2 3 5 2" xfId="5397"/>
    <cellStyle name="常规 10 2 3 6" xfId="5398"/>
    <cellStyle name="常规 10 2 4" xfId="5399"/>
    <cellStyle name="常规 10 2 4 2" xfId="5400"/>
    <cellStyle name="常规 10 2 4 2 2" xfId="5401"/>
    <cellStyle name="常规 10 2 4 3" xfId="5402"/>
    <cellStyle name="常规 10 2 5" xfId="5403"/>
    <cellStyle name="常规 10 2 5 2" xfId="5404"/>
    <cellStyle name="常规 10 2 6" xfId="5405"/>
    <cellStyle name="常规 10 2 6 2" xfId="5406"/>
    <cellStyle name="常规 10 2 7" xfId="5407"/>
    <cellStyle name="常规 10 2 7 2" xfId="5408"/>
    <cellStyle name="常规 10 2 8" xfId="5409"/>
    <cellStyle name="常规 10 3" xfId="9"/>
    <cellStyle name="常规 10 3 2" xfId="5410"/>
    <cellStyle name="常规 10 3 2 2" xfId="5411"/>
    <cellStyle name="常规 10 3 2 2 2" xfId="5412"/>
    <cellStyle name="常规 10 3 2 3" xfId="5413"/>
    <cellStyle name="常规 10 3 3" xfId="5414"/>
    <cellStyle name="常规 10 3 3 2" xfId="5415"/>
    <cellStyle name="常规 10 3 4" xfId="5416"/>
    <cellStyle name="常规 10 3 4 2" xfId="5417"/>
    <cellStyle name="常规 10 3 5" xfId="5418"/>
    <cellStyle name="常规 10 3 5 2" xfId="5419"/>
    <cellStyle name="常规 10 3 6" xfId="5420"/>
    <cellStyle name="常规 10 4" xfId="5421"/>
    <cellStyle name="常规 10 4 2" xfId="5422"/>
    <cellStyle name="常规 10 4 2 2" xfId="5423"/>
    <cellStyle name="常规 10 4 3" xfId="5424"/>
    <cellStyle name="常规 10 4 3 2" xfId="5425"/>
    <cellStyle name="常规 10 4 4" xfId="5426"/>
    <cellStyle name="常规 10 4 4 2" xfId="5427"/>
    <cellStyle name="常规 10 4 5" xfId="5428"/>
    <cellStyle name="常规 10 5" xfId="5429"/>
    <cellStyle name="常规 10 5 2" xfId="5430"/>
    <cellStyle name="常规 10 5 2 2" xfId="5431"/>
    <cellStyle name="常规 10 5 3" xfId="5432"/>
    <cellStyle name="常规 10 6" xfId="5433"/>
    <cellStyle name="常规 10 6 2" xfId="5434"/>
    <cellStyle name="常规 10 7" xfId="5435"/>
    <cellStyle name="常规 10 7 2" xfId="5436"/>
    <cellStyle name="常规 10 8" xfId="5437"/>
    <cellStyle name="常规 10 8 2" xfId="5438"/>
    <cellStyle name="常规 10 9" xfId="5439"/>
    <cellStyle name="常规 10 9 2" xfId="5440"/>
    <cellStyle name="常规 10_横岭厂二期估算表及成本" xfId="5441"/>
    <cellStyle name="常规 11" xfId="5442"/>
    <cellStyle name="常规 11 2" xfId="5443"/>
    <cellStyle name="常规 11 2 2" xfId="5444"/>
    <cellStyle name="常规 11 2 2 2" xfId="5445"/>
    <cellStyle name="常规 11 2 2 2 2" xfId="5446"/>
    <cellStyle name="常规 11 2 2 3" xfId="5447"/>
    <cellStyle name="常规 11 2 2 3 2" xfId="5448"/>
    <cellStyle name="常规 11 2 2 4" xfId="5449"/>
    <cellStyle name="常规 11 2 3" xfId="5450"/>
    <cellStyle name="常规 11 2 3 2" xfId="5451"/>
    <cellStyle name="常规 11 2 4" xfId="5452"/>
    <cellStyle name="常规 11 2 4 2" xfId="5453"/>
    <cellStyle name="常规 11 2 5" xfId="5454"/>
    <cellStyle name="常规 11 2 5 2" xfId="5455"/>
    <cellStyle name="常规 11 2 6" xfId="5456"/>
    <cellStyle name="常规 11 2_郑州新区二期-设备汇总表2018.8.30" xfId="5457"/>
    <cellStyle name="常规 11 3" xfId="5458"/>
    <cellStyle name="常规 11 3 2" xfId="5459"/>
    <cellStyle name="常规 11 3 2 2" xfId="5460"/>
    <cellStyle name="常规 11 3 2 2 2" xfId="5461"/>
    <cellStyle name="常规 11 3 2 3" xfId="5462"/>
    <cellStyle name="常规 11 3 3" xfId="5463"/>
    <cellStyle name="常规 11 3 3 2" xfId="5464"/>
    <cellStyle name="常规 11 3 4" xfId="5465"/>
    <cellStyle name="常规 11 3 4 2" xfId="5466"/>
    <cellStyle name="常规 11 3 5" xfId="5467"/>
    <cellStyle name="常规 11 3 5 2" xfId="5468"/>
    <cellStyle name="常规 11 3 6" xfId="5469"/>
    <cellStyle name="常规 11 4" xfId="5470"/>
    <cellStyle name="常规 11 4 2" xfId="5471"/>
    <cellStyle name="常规 11 4 2 2" xfId="5472"/>
    <cellStyle name="常规 11 4 3" xfId="5473"/>
    <cellStyle name="常规 11 5" xfId="5474"/>
    <cellStyle name="常规 11 5 2" xfId="5475"/>
    <cellStyle name="常规 11 6" xfId="5476"/>
    <cellStyle name="常规 11 7" xfId="5477"/>
    <cellStyle name="常规 11 7 2" xfId="5478"/>
    <cellStyle name="常规 11 8" xfId="5479"/>
    <cellStyle name="常规 11 8 2" xfId="5480"/>
    <cellStyle name="常规 11 9" xfId="5481"/>
    <cellStyle name="常规 11_横岭厂二期估算表--0921fa" xfId="5482"/>
    <cellStyle name="常规 12" xfId="5483"/>
    <cellStyle name="常规 12 2" xfId="5484"/>
    <cellStyle name="常规 12 2 2" xfId="5485"/>
    <cellStyle name="常规 12 2 2 2" xfId="5486"/>
    <cellStyle name="常规 12 2 2 2 2" xfId="5487"/>
    <cellStyle name="常规 12 2 2 3" xfId="5488"/>
    <cellStyle name="常规 12 2 3" xfId="5489"/>
    <cellStyle name="常规 12 2 3 2" xfId="5490"/>
    <cellStyle name="常规 12 2 4" xfId="5491"/>
    <cellStyle name="常规 12 2_郑州新区二期扩建工程-概算总表 20180723" xfId="5492"/>
    <cellStyle name="常规 12 3" xfId="5493"/>
    <cellStyle name="常规 12 3 2" xfId="5494"/>
    <cellStyle name="常规 12 3 2 2" xfId="5495"/>
    <cellStyle name="常规 12 3 3" xfId="5496"/>
    <cellStyle name="常规 12 4" xfId="5497"/>
    <cellStyle name="常规 12 4 2" xfId="5498"/>
    <cellStyle name="常规 12 5" xfId="5499"/>
    <cellStyle name="常规 12 5 2" xfId="5500"/>
    <cellStyle name="常规 12 6" xfId="5501"/>
    <cellStyle name="常规 12 6 2" xfId="5502"/>
    <cellStyle name="常规 12 7" xfId="5503"/>
    <cellStyle name="常规 12 7 2" xfId="5504"/>
    <cellStyle name="常规 12 8" xfId="5505"/>
    <cellStyle name="常规 12_横岭厂二期估算表及成本" xfId="5506"/>
    <cellStyle name="常规 13" xfId="5507"/>
    <cellStyle name="常规 13 10" xfId="5508"/>
    <cellStyle name="常规 13 10 2" xfId="5509"/>
    <cellStyle name="常规 13 11" xfId="5510"/>
    <cellStyle name="常规 13 2" xfId="5511"/>
    <cellStyle name="常规 13 2 2" xfId="5512"/>
    <cellStyle name="常规 13 2 2 2" xfId="5513"/>
    <cellStyle name="常规 13 2 2 2 2" xfId="5514"/>
    <cellStyle name="常规 13 2 2 2 2 2" xfId="5515"/>
    <cellStyle name="常规 13 2 2 2 2 2 2" xfId="5516"/>
    <cellStyle name="常规 13 2 2 2 2 3" xfId="5517"/>
    <cellStyle name="常规 13 2 2 2 3" xfId="5518"/>
    <cellStyle name="常规 13 2 2 2 3 2" xfId="5519"/>
    <cellStyle name="常规 13 2 2 2 4" xfId="5520"/>
    <cellStyle name="常规 13 2 2 2 4 2" xfId="5521"/>
    <cellStyle name="常规 13 2 2 2 5" xfId="5522"/>
    <cellStyle name="常规 13 2 2 2 5 2" xfId="5523"/>
    <cellStyle name="常规 13 2 2 2 6" xfId="5524"/>
    <cellStyle name="常规 13 2 2 3" xfId="5525"/>
    <cellStyle name="常规 13 2 2 3 2" xfId="5526"/>
    <cellStyle name="常规 13 2 2 3 2 2" xfId="5527"/>
    <cellStyle name="常规 13 2 2 3 3" xfId="5528"/>
    <cellStyle name="常规 13 2 2 3 3 2" xfId="5529"/>
    <cellStyle name="常规 13 2 2 3 4" xfId="5530"/>
    <cellStyle name="常规 13 2 2 3 4 2" xfId="5531"/>
    <cellStyle name="常规 13 2 2 3 5" xfId="5532"/>
    <cellStyle name="常规 13 2 2 4" xfId="5533"/>
    <cellStyle name="常规 13 2 2 4 2" xfId="5534"/>
    <cellStyle name="常规 13 2 2 4 2 2" xfId="5535"/>
    <cellStyle name="常规 13 2 2 4 3" xfId="5536"/>
    <cellStyle name="常规 13 2 2 5" xfId="5537"/>
    <cellStyle name="常规 13 2 2 5 2" xfId="5538"/>
    <cellStyle name="常规 13 2 2 6" xfId="5539"/>
    <cellStyle name="常规 13 2 2 6 2" xfId="5540"/>
    <cellStyle name="常规 13 2 2 7" xfId="5541"/>
    <cellStyle name="常规 13 2 2 7 2" xfId="5542"/>
    <cellStyle name="常规 13 2 2 8" xfId="5543"/>
    <cellStyle name="常规 13 2 3" xfId="5544"/>
    <cellStyle name="常规 13 2 3 2" xfId="5545"/>
    <cellStyle name="常规 13 2 3 2 2" xfId="5546"/>
    <cellStyle name="常规 13 2 3 2 2 2" xfId="5547"/>
    <cellStyle name="常规 13 2 3 2 3" xfId="5548"/>
    <cellStyle name="常规 13 2 3 3" xfId="5549"/>
    <cellStyle name="常规 13 2 3 3 2" xfId="5550"/>
    <cellStyle name="常规 13 2 3 4" xfId="5551"/>
    <cellStyle name="常规 13 2 3 4 2" xfId="5552"/>
    <cellStyle name="常规 13 2 3 5" xfId="5553"/>
    <cellStyle name="常规 13 2 3 5 2" xfId="5554"/>
    <cellStyle name="常规 13 2 3 6" xfId="5555"/>
    <cellStyle name="常规 13 2 4" xfId="5556"/>
    <cellStyle name="常规 13 2 4 2" xfId="5557"/>
    <cellStyle name="常规 13 2 4 2 2" xfId="5558"/>
    <cellStyle name="常规 13 2 4 3" xfId="5559"/>
    <cellStyle name="常规 13 2 4 3 2" xfId="5560"/>
    <cellStyle name="常规 13 2 4 4" xfId="5561"/>
    <cellStyle name="常规 13 2 4 4 2" xfId="5562"/>
    <cellStyle name="常规 13 2 4 5" xfId="5563"/>
    <cellStyle name="常规 13 2 5" xfId="5564"/>
    <cellStyle name="常规 13 2 5 2" xfId="5565"/>
    <cellStyle name="常规 13 2 5 2 2" xfId="5566"/>
    <cellStyle name="常规 13 2 5 3" xfId="5567"/>
    <cellStyle name="常规 13 2 6" xfId="5568"/>
    <cellStyle name="常规 13 2 6 2" xfId="5569"/>
    <cellStyle name="常规 13 2 7" xfId="5570"/>
    <cellStyle name="常规 13 2 7 2" xfId="5571"/>
    <cellStyle name="常规 13 2 8" xfId="5572"/>
    <cellStyle name="常规 13 2 8 2" xfId="5573"/>
    <cellStyle name="常规 13 2 9" xfId="5574"/>
    <cellStyle name="常规 13 2_郑州新区二期扩建工程-概算总表 20180723" xfId="5575"/>
    <cellStyle name="常规 13 3" xfId="5576"/>
    <cellStyle name="常规 13 3 2" xfId="5577"/>
    <cellStyle name="常规 13 3 2 2" xfId="5578"/>
    <cellStyle name="常规 13 3 2 2 2" xfId="5579"/>
    <cellStyle name="常规 13 3 2 2 2 2" xfId="5580"/>
    <cellStyle name="常规 13 3 2 2 3" xfId="5581"/>
    <cellStyle name="常规 13 3 2 2 3 2" xfId="5582"/>
    <cellStyle name="常规 13 3 2 2 4" xfId="5583"/>
    <cellStyle name="常规 13 3 2 3" xfId="5584"/>
    <cellStyle name="常规 13 3 2 3 2" xfId="5585"/>
    <cellStyle name="常规 13 3 2 4" xfId="5586"/>
    <cellStyle name="常规 13 3 2 4 2" xfId="5587"/>
    <cellStyle name="常规 13 3 2 5" xfId="5588"/>
    <cellStyle name="常规 13 3 2 5 2" xfId="5589"/>
    <cellStyle name="常规 13 3 2 6" xfId="5590"/>
    <cellStyle name="常规 13 3 3" xfId="5591"/>
    <cellStyle name="常规 13 3 3 2" xfId="5592"/>
    <cellStyle name="常规 13 3 3 2 2" xfId="5593"/>
    <cellStyle name="常规 13 3 3 3" xfId="5594"/>
    <cellStyle name="常规 13 3 3 3 2" xfId="5595"/>
    <cellStyle name="常规 13 3 3 4" xfId="5596"/>
    <cellStyle name="常规 13 3 3 4 2" xfId="5597"/>
    <cellStyle name="常规 13 3 3 5" xfId="5598"/>
    <cellStyle name="常规 13 3 3 5 2" xfId="5599"/>
    <cellStyle name="常规 13 3 3 6" xfId="5600"/>
    <cellStyle name="常规 13 3 4" xfId="5601"/>
    <cellStyle name="常规 13 3 4 2" xfId="5602"/>
    <cellStyle name="常规 13 3 4 2 2" xfId="5603"/>
    <cellStyle name="常规 13 3 4 3" xfId="5604"/>
    <cellStyle name="常规 13 3 5" xfId="5605"/>
    <cellStyle name="常规 13 3 5 2" xfId="5606"/>
    <cellStyle name="常规 13 3 6" xfId="5607"/>
    <cellStyle name="常规 13 3 6 2" xfId="5608"/>
    <cellStyle name="常规 13 3 7" xfId="5609"/>
    <cellStyle name="常规 13 3 7 2" xfId="5610"/>
    <cellStyle name="常规 13 3 8" xfId="5611"/>
    <cellStyle name="常规 13 4" xfId="5612"/>
    <cellStyle name="常规 13 4 2" xfId="5613"/>
    <cellStyle name="常规 13 4 2 2" xfId="5614"/>
    <cellStyle name="常规 13 4 2 2 2" xfId="5615"/>
    <cellStyle name="常规 13 4 2 3" xfId="5616"/>
    <cellStyle name="常规 13 4 2 3 2" xfId="5617"/>
    <cellStyle name="常规 13 4 2 4" xfId="5618"/>
    <cellStyle name="常规 13 4 3" xfId="5619"/>
    <cellStyle name="常规 13 4 3 2" xfId="5620"/>
    <cellStyle name="常规 13 4 4" xfId="5621"/>
    <cellStyle name="常规 13 4 4 2" xfId="5622"/>
    <cellStyle name="常规 13 4 5" xfId="5623"/>
    <cellStyle name="常规 13 4 5 2" xfId="5624"/>
    <cellStyle name="常规 13 4 6" xfId="5625"/>
    <cellStyle name="常规 13 5" xfId="5626"/>
    <cellStyle name="常规 13 5 2" xfId="5627"/>
    <cellStyle name="常规 13 5 2 2" xfId="5628"/>
    <cellStyle name="常规 13 5 3" xfId="5629"/>
    <cellStyle name="常规 13 5 3 2" xfId="5630"/>
    <cellStyle name="常规 13 5 4" xfId="5631"/>
    <cellStyle name="常规 13 6" xfId="5632"/>
    <cellStyle name="常规 13 6 2" xfId="5633"/>
    <cellStyle name="常规 13 6 2 2" xfId="5634"/>
    <cellStyle name="常规 13 6 3" xfId="5635"/>
    <cellStyle name="常规 13 7" xfId="5636"/>
    <cellStyle name="常规 13 7 2" xfId="5637"/>
    <cellStyle name="常规 13 8" xfId="5638"/>
    <cellStyle name="常规 13 8 2" xfId="5639"/>
    <cellStyle name="常规 13 9" xfId="5640"/>
    <cellStyle name="常规 13 9 2" xfId="5641"/>
    <cellStyle name="常规 13_郑州新区二期扩建工程-概算总表 20180723" xfId="5642"/>
    <cellStyle name="常规 14" xfId="5643"/>
    <cellStyle name="常规 14 2" xfId="5644"/>
    <cellStyle name="常规 14 2 2" xfId="5645"/>
    <cellStyle name="常规 14 2 2 2" xfId="5646"/>
    <cellStyle name="常规 14 2 3" xfId="5647"/>
    <cellStyle name="常规 14 2 3 2" xfId="5648"/>
    <cellStyle name="常规 14 2 4" xfId="5649"/>
    <cellStyle name="常规 14 3" xfId="5650"/>
    <cellStyle name="常规 14 3 2" xfId="5651"/>
    <cellStyle name="常规 14 4" xfId="5652"/>
    <cellStyle name="常规 14 4 2" xfId="5653"/>
    <cellStyle name="常规 14 5" xfId="5654"/>
    <cellStyle name="常规 14 6" xfId="5655"/>
    <cellStyle name="常规 15" xfId="5656"/>
    <cellStyle name="常规 15 2" xfId="5657"/>
    <cellStyle name="常规 15 2 2" xfId="5658"/>
    <cellStyle name="常规 15 2 2 2" xfId="5659"/>
    <cellStyle name="常规 15 2 3" xfId="5660"/>
    <cellStyle name="常规 15 2 3 2" xfId="5661"/>
    <cellStyle name="常规 15 2 4" xfId="5662"/>
    <cellStyle name="常规 15 3" xfId="5663"/>
    <cellStyle name="常规 15 3 2" xfId="5664"/>
    <cellStyle name="常规 15 4" xfId="5665"/>
    <cellStyle name="常规 15 4 2" xfId="5666"/>
    <cellStyle name="常规 15 5" xfId="5667"/>
    <cellStyle name="常规 16" xfId="5668"/>
    <cellStyle name="常规 16 2" xfId="5669"/>
    <cellStyle name="常规 16 2 2" xfId="5670"/>
    <cellStyle name="常规 16 2 2 2" xfId="5671"/>
    <cellStyle name="常规 16 2 3" xfId="5672"/>
    <cellStyle name="常规 16 3" xfId="5673"/>
    <cellStyle name="常规 16 3 2" xfId="5674"/>
    <cellStyle name="常规 16 4" xfId="5675"/>
    <cellStyle name="常规 17" xfId="5676"/>
    <cellStyle name="常规 17 2" xfId="5677"/>
    <cellStyle name="常规 17 2 2" xfId="5678"/>
    <cellStyle name="常规 17 3" xfId="5679"/>
    <cellStyle name="常规 17 3 2" xfId="5680"/>
    <cellStyle name="常规 17 4" xfId="5681"/>
    <cellStyle name="常规 17 5" xfId="5682"/>
    <cellStyle name="常规 18" xfId="5683"/>
    <cellStyle name="常规 18 2" xfId="5684"/>
    <cellStyle name="常规 18 2 2" xfId="5685"/>
    <cellStyle name="常规 18 2 2 2" xfId="5686"/>
    <cellStyle name="常规 18 2 3" xfId="5687"/>
    <cellStyle name="常规 18 3" xfId="5688"/>
    <cellStyle name="常规 18 3 2" xfId="5689"/>
    <cellStyle name="常规 18 4" xfId="5690"/>
    <cellStyle name="常规 19" xfId="5691"/>
    <cellStyle name="常规 19 2" xfId="5692"/>
    <cellStyle name="常规 19 2 2" xfId="5693"/>
    <cellStyle name="常规 19 3" xfId="5694"/>
    <cellStyle name="常规 19 3 2" xfId="5695"/>
    <cellStyle name="常规 19 4" xfId="5696"/>
    <cellStyle name="常规 2" xfId="12"/>
    <cellStyle name="常规 2 10" xfId="5697"/>
    <cellStyle name="常规 2 10 2" xfId="5698"/>
    <cellStyle name="常规 2 10 3" xfId="5699"/>
    <cellStyle name="常规 2 11" xfId="5700"/>
    <cellStyle name="常规 2 11 2" xfId="5701"/>
    <cellStyle name="常规 2 12" xfId="5702"/>
    <cellStyle name="常规 2 12 2" xfId="5703"/>
    <cellStyle name="常规 2 13" xfId="5704"/>
    <cellStyle name="常规 2 13 2" xfId="5705"/>
    <cellStyle name="常规 2 14" xfId="5706"/>
    <cellStyle name="常规 2 14 2" xfId="5707"/>
    <cellStyle name="常规 2 15" xfId="5708"/>
    <cellStyle name="常规 2 15 2" xfId="5709"/>
    <cellStyle name="常规 2 16" xfId="5710"/>
    <cellStyle name="常规 2 16 2" xfId="5711"/>
    <cellStyle name="常规 2 17" xfId="5712"/>
    <cellStyle name="常规 2 17 2" xfId="5713"/>
    <cellStyle name="常规 2 18" xfId="5714"/>
    <cellStyle name="常规 2 2" xfId="5715"/>
    <cellStyle name="常规 2 2 10" xfId="5716"/>
    <cellStyle name="常规 2 2 10 2" xfId="5717"/>
    <cellStyle name="常规 2 2 11" xfId="5718"/>
    <cellStyle name="常规 2 2 11 2" xfId="5719"/>
    <cellStyle name="常规 2 2 12" xfId="5720"/>
    <cellStyle name="常规 2 2 2" xfId="5721"/>
    <cellStyle name="常规 2 2 2 2" xfId="5722"/>
    <cellStyle name="常规 2 2 2 2 2" xfId="5723"/>
    <cellStyle name="常规 2 2 2 2 2 2" xfId="5724"/>
    <cellStyle name="常规 2 2 2 2 2 2 2" xfId="5725"/>
    <cellStyle name="常规 2 2 2 2 2 3" xfId="5726"/>
    <cellStyle name="常规 2 2 2 2 2 3 2" xfId="5727"/>
    <cellStyle name="常规 2 2 2 2 2 4" xfId="5728"/>
    <cellStyle name="常规 2 2 2 2 2 5" xfId="5729"/>
    <cellStyle name="常规 2 2 2 2 3" xfId="5730"/>
    <cellStyle name="常规 2 2 2 2 3 2" xfId="5731"/>
    <cellStyle name="常规 2 2 2 2 3 2 2" xfId="5732"/>
    <cellStyle name="常规 2 2 2 2 3 3" xfId="5733"/>
    <cellStyle name="常规 2 2 2 2 3 4" xfId="5734"/>
    <cellStyle name="常规 2 2 2 2 4" xfId="5735"/>
    <cellStyle name="常规 2 2 2 2 4 2" xfId="5736"/>
    <cellStyle name="常规 2 2 2 2 5" xfId="5737"/>
    <cellStyle name="常规 2 2 2 2 5 2" xfId="5738"/>
    <cellStyle name="常规 2 2 2 2 6" xfId="5739"/>
    <cellStyle name="常规 2 2 2 2 6 2" xfId="5740"/>
    <cellStyle name="常规 2 2 2 2 7" xfId="5741"/>
    <cellStyle name="常规 2 2 2 2 8" xfId="5742"/>
    <cellStyle name="常规 2 2 2 3" xfId="5743"/>
    <cellStyle name="常规 2 2 2 3 2" xfId="5744"/>
    <cellStyle name="常规 2 2 2 3 2 2" xfId="5745"/>
    <cellStyle name="常规 2 2 2 3 3" xfId="5746"/>
    <cellStyle name="常规 2 2 2 3 3 2" xfId="5747"/>
    <cellStyle name="常规 2 2 2 3 4" xfId="5748"/>
    <cellStyle name="常规 2 2 2 3 5" xfId="5749"/>
    <cellStyle name="常规 2 2 2 4" xfId="5750"/>
    <cellStyle name="常规 2 2 2 4 2" xfId="5751"/>
    <cellStyle name="常规 2 2 2 4 2 2" xfId="5752"/>
    <cellStyle name="常规 2 2 2 4 3" xfId="5753"/>
    <cellStyle name="常规 2 2 2 4 4" xfId="5754"/>
    <cellStyle name="常规 2 2 2 5" xfId="5755"/>
    <cellStyle name="常规 2 2 2 5 2" xfId="5756"/>
    <cellStyle name="常规 2 2 2 5 3" xfId="5757"/>
    <cellStyle name="常规 2 2 2 6" xfId="5758"/>
    <cellStyle name="常规 2 2 2 6 2" xfId="5759"/>
    <cellStyle name="常规 2 2 2 7" xfId="5760"/>
    <cellStyle name="常规 2 2 2 7 2" xfId="5761"/>
    <cellStyle name="常规 2 2 2 8" xfId="5762"/>
    <cellStyle name="常规 2 2 2 9" xfId="5763"/>
    <cellStyle name="常规 2 2 2_郑州新区二期扩建工程-概算总表 20180723" xfId="5764"/>
    <cellStyle name="常规 2 2 3" xfId="5765"/>
    <cellStyle name="常规 2 2 3 10" xfId="5766"/>
    <cellStyle name="常规 2 2 3 2" xfId="5767"/>
    <cellStyle name="常规 2 2 3 2 2" xfId="5768"/>
    <cellStyle name="常规 2 2 3 2 2 2" xfId="5769"/>
    <cellStyle name="常规 2 2 3 2 2 2 2" xfId="5770"/>
    <cellStyle name="常规 2 2 3 2 2 2 2 2" xfId="5771"/>
    <cellStyle name="常规 2 2 3 2 2 2 3" xfId="5772"/>
    <cellStyle name="常规 2 2 3 2 2 3" xfId="5773"/>
    <cellStyle name="常规 2 2 3 2 2 3 2" xfId="5774"/>
    <cellStyle name="常规 2 2 3 2 2 4" xfId="5775"/>
    <cellStyle name="常规 2 2 3 2 2 4 2" xfId="5776"/>
    <cellStyle name="常规 2 2 3 2 2 5" xfId="5777"/>
    <cellStyle name="常规 2 2 3 2 3" xfId="5778"/>
    <cellStyle name="常规 2 2 3 2 3 2" xfId="5779"/>
    <cellStyle name="常规 2 2 3 2 3 2 2" xfId="5780"/>
    <cellStyle name="常规 2 2 3 2 3 3" xfId="5781"/>
    <cellStyle name="常规 2 2 3 2 3 3 2" xfId="5782"/>
    <cellStyle name="常规 2 2 3 2 3 4" xfId="5783"/>
    <cellStyle name="常规 2 2 3 2 3 4 2" xfId="5784"/>
    <cellStyle name="常规 2 2 3 2 3 5" xfId="5785"/>
    <cellStyle name="常规 2 2 3 2 4" xfId="5786"/>
    <cellStyle name="常规 2 2 3 2 4 2" xfId="5787"/>
    <cellStyle name="常规 2 2 3 2 4 2 2" xfId="5788"/>
    <cellStyle name="常规 2 2 3 2 4 3" xfId="5789"/>
    <cellStyle name="常规 2 2 3 2 5" xfId="5790"/>
    <cellStyle name="常规 2 2 3 2 5 2" xfId="5791"/>
    <cellStyle name="常规 2 2 3 2 6" xfId="5792"/>
    <cellStyle name="常规 2 2 3 2 6 2" xfId="5793"/>
    <cellStyle name="常规 2 2 3 2 7" xfId="5794"/>
    <cellStyle name="常规 2 2 3 2 7 2" xfId="5795"/>
    <cellStyle name="常规 2 2 3 2 8" xfId="5796"/>
    <cellStyle name="常规 2 2 3 3" xfId="5797"/>
    <cellStyle name="常规 2 2 3 3 2" xfId="5798"/>
    <cellStyle name="常规 2 2 3 3 2 2" xfId="5799"/>
    <cellStyle name="常规 2 2 3 3 2 2 2" xfId="5800"/>
    <cellStyle name="常规 2 2 3 3 2 3" xfId="5801"/>
    <cellStyle name="常规 2 2 3 3 2 4" xfId="5802"/>
    <cellStyle name="常规 2 2 3 3 3" xfId="5803"/>
    <cellStyle name="常规 2 2 3 3 3 2" xfId="5804"/>
    <cellStyle name="常规 2 2 3 3 4" xfId="5805"/>
    <cellStyle name="常规 2 2 3 3 4 2" xfId="5806"/>
    <cellStyle name="常规 2 2 3 3 5" xfId="5807"/>
    <cellStyle name="常规 2 2 3 3 5 2" xfId="5808"/>
    <cellStyle name="常规 2 2 3 3 6" xfId="5809"/>
    <cellStyle name="常规 2 2 3 3 7" xfId="5810"/>
    <cellStyle name="常规 2 2 3 4" xfId="5811"/>
    <cellStyle name="常规 2 2 3 4 2" xfId="5812"/>
    <cellStyle name="常规 2 2 3 4 2 2" xfId="5813"/>
    <cellStyle name="常规 2 2 3 4 2 2 2" xfId="5814"/>
    <cellStyle name="常规 2 2 3 4 2 3" xfId="5815"/>
    <cellStyle name="常规 2 2 3 4 3" xfId="5816"/>
    <cellStyle name="常规 2 2 3 4 3 2" xfId="5817"/>
    <cellStyle name="常规 2 2 3 4 4" xfId="5818"/>
    <cellStyle name="常规 2 2 3 4 4 2" xfId="5819"/>
    <cellStyle name="常规 2 2 3 4 5" xfId="5820"/>
    <cellStyle name="常规 2 2 3 5" xfId="5821"/>
    <cellStyle name="常规 2 2 3 5 2" xfId="5822"/>
    <cellStyle name="常规 2 2 3 5 2 2" xfId="5823"/>
    <cellStyle name="常规 2 2 3 5 3" xfId="5824"/>
    <cellStyle name="常规 2 2 3 6" xfId="5825"/>
    <cellStyle name="常规 2 2 3 6 2" xfId="5826"/>
    <cellStyle name="常规 2 2 3 6 2 2" xfId="5827"/>
    <cellStyle name="常规 2 2 3 6 3" xfId="5828"/>
    <cellStyle name="常规 2 2 3 7" xfId="5829"/>
    <cellStyle name="常规 2 2 3 7 2" xfId="5830"/>
    <cellStyle name="常规 2 2 3 8" xfId="5831"/>
    <cellStyle name="常规 2 2 3 8 2" xfId="5832"/>
    <cellStyle name="常规 2 2 3 9" xfId="5833"/>
    <cellStyle name="常规 2 2 3 9 2" xfId="5834"/>
    <cellStyle name="常规 2 2 4" xfId="5835"/>
    <cellStyle name="常规 2 2 4 2" xfId="5836"/>
    <cellStyle name="常规 2 2 4 2 2" xfId="5837"/>
    <cellStyle name="常规 2 2 4 2 2 2" xfId="5838"/>
    <cellStyle name="常规 2 2 4 2 2 2 2" xfId="5839"/>
    <cellStyle name="常规 2 2 4 2 2 3" xfId="5840"/>
    <cellStyle name="常规 2 2 4 2 3" xfId="5841"/>
    <cellStyle name="常规 2 2 4 2 3 2" xfId="5842"/>
    <cellStyle name="常规 2 2 4 2 4" xfId="5843"/>
    <cellStyle name="常规 2 2 4 2 4 2" xfId="5844"/>
    <cellStyle name="常规 2 2 4 2 5" xfId="5845"/>
    <cellStyle name="常规 2 2 4 2 6" xfId="5846"/>
    <cellStyle name="常规 2 2 4 3" xfId="5847"/>
    <cellStyle name="常规 2 2 4 3 2" xfId="5848"/>
    <cellStyle name="常规 2 2 4 3 2 2" xfId="5849"/>
    <cellStyle name="常规 2 2 4 3 3" xfId="5850"/>
    <cellStyle name="常规 2 2 4 3 3 2" xfId="5851"/>
    <cellStyle name="常规 2 2 4 3 4" xfId="5852"/>
    <cellStyle name="常规 2 2 4 3 5" xfId="5853"/>
    <cellStyle name="常规 2 2 4 4" xfId="5854"/>
    <cellStyle name="常规 2 2 4 4 2" xfId="5855"/>
    <cellStyle name="常规 2 2 4 5" xfId="5856"/>
    <cellStyle name="常规 2 2 4 5 2" xfId="5857"/>
    <cellStyle name="常规 2 2 4 6" xfId="5858"/>
    <cellStyle name="常规 2 2 4 6 2" xfId="5859"/>
    <cellStyle name="常规 2 2 4 7" xfId="5860"/>
    <cellStyle name="常规 2 2 4 8" xfId="5861"/>
    <cellStyle name="常规 2 2 5" xfId="5862"/>
    <cellStyle name="常规 2 2 5 2" xfId="5863"/>
    <cellStyle name="常规 2 2 5 2 2" xfId="5864"/>
    <cellStyle name="常规 2 2 5 2 2 2" xfId="5865"/>
    <cellStyle name="常规 2 2 5 2 3" xfId="5866"/>
    <cellStyle name="常规 2 2 5 2 3 2" xfId="5867"/>
    <cellStyle name="常规 2 2 5 2 4" xfId="5868"/>
    <cellStyle name="常规 2 2 5 3" xfId="5869"/>
    <cellStyle name="常规 2 2 5 3 2" xfId="5870"/>
    <cellStyle name="常规 2 2 5 3 2 2" xfId="5871"/>
    <cellStyle name="常规 2 2 5 3 3" xfId="5872"/>
    <cellStyle name="常规 2 2 5 4" xfId="5873"/>
    <cellStyle name="常规 2 2 5 4 2" xfId="5874"/>
    <cellStyle name="常规 2 2 5 5" xfId="5875"/>
    <cellStyle name="常规 2 2 6" xfId="5876"/>
    <cellStyle name="常规 2 2 6 2" xfId="5877"/>
    <cellStyle name="常规 2 2 6 2 2" xfId="5878"/>
    <cellStyle name="常规 2 2 6 2 2 2" xfId="5879"/>
    <cellStyle name="常规 2 2 6 2 3" xfId="5880"/>
    <cellStyle name="常规 2 2 6 2 3 2" xfId="5881"/>
    <cellStyle name="常规 2 2 6 2 4" xfId="5882"/>
    <cellStyle name="常规 2 2 6 3" xfId="5883"/>
    <cellStyle name="常规 2 2 6 3 2" xfId="5884"/>
    <cellStyle name="常规 2 2 6 4" xfId="5885"/>
    <cellStyle name="常规 2 2 6 5" xfId="5886"/>
    <cellStyle name="常规 2 2 7" xfId="5887"/>
    <cellStyle name="常规 2 2 7 2" xfId="5888"/>
    <cellStyle name="常规 2 2 7 2 2" xfId="5889"/>
    <cellStyle name="常规 2 2 7 2 2 2" xfId="5890"/>
    <cellStyle name="常规 2 2 7 2 3" xfId="5891"/>
    <cellStyle name="常规 2 2 7 3" xfId="5892"/>
    <cellStyle name="常规 2 2 7 3 2" xfId="5893"/>
    <cellStyle name="常规 2 2 7 4" xfId="5894"/>
    <cellStyle name="常规 2 2 7 5" xfId="5895"/>
    <cellStyle name="常规 2 2 8" xfId="5896"/>
    <cellStyle name="常规 2 2 8 2" xfId="5897"/>
    <cellStyle name="常规 2 2 8 2 2" xfId="5898"/>
    <cellStyle name="常规 2 2 8 3" xfId="5899"/>
    <cellStyle name="常规 2 2 8 3 2" xfId="5900"/>
    <cellStyle name="常规 2 2 8 4" xfId="5901"/>
    <cellStyle name="常规 2 2 9" xfId="5902"/>
    <cellStyle name="常规 2 2 9 2" xfId="5903"/>
    <cellStyle name="常规 2 2 9 2 2" xfId="5904"/>
    <cellStyle name="常规 2 2 9 3" xfId="5905"/>
    <cellStyle name="常规 2 2 9 3 2" xfId="5906"/>
    <cellStyle name="常规 2 2 9 4" xfId="5907"/>
    <cellStyle name="常规 2 2_郑州新区二期扩建工程-概算总表 20180723" xfId="5908"/>
    <cellStyle name="常规 2 23" xfId="5909"/>
    <cellStyle name="常规 2 23 2" xfId="5910"/>
    <cellStyle name="常规 2 3" xfId="5911"/>
    <cellStyle name="常规 2 3 10" xfId="5912"/>
    <cellStyle name="常规 2 3 10 2" xfId="5913"/>
    <cellStyle name="常规 2 3 11" xfId="5914"/>
    <cellStyle name="常规 2 3 11 2" xfId="5915"/>
    <cellStyle name="常规 2 3 12" xfId="5916"/>
    <cellStyle name="常规 2 3 13" xfId="5917"/>
    <cellStyle name="常规 2 3 2" xfId="5918"/>
    <cellStyle name="常规 2 3 2 10" xfId="5919"/>
    <cellStyle name="常规 2 3 2 2" xfId="5920"/>
    <cellStyle name="常规 2 3 2 2 2" xfId="5921"/>
    <cellStyle name="常规 2 3 2 2 2 2" xfId="5922"/>
    <cellStyle name="常规 2 3 2 2 2 2 2" xfId="5923"/>
    <cellStyle name="常规 2 3 2 2 2 2 2 2" xfId="5924"/>
    <cellStyle name="常规 2 3 2 2 2 2 3" xfId="5925"/>
    <cellStyle name="常规 2 3 2 2 2 3" xfId="5926"/>
    <cellStyle name="常规 2 3 2 2 2 3 2" xfId="5927"/>
    <cellStyle name="常规 2 3 2 2 2 4" xfId="5928"/>
    <cellStyle name="常规 2 3 2 2 2 4 2" xfId="5929"/>
    <cellStyle name="常规 2 3 2 2 2 5" xfId="5930"/>
    <cellStyle name="常规 2 3 2 2 3" xfId="5931"/>
    <cellStyle name="常规 2 3 2 2 3 2" xfId="5932"/>
    <cellStyle name="常规 2 3 2 2 3 2 2" xfId="5933"/>
    <cellStyle name="常规 2 3 2 2 3 3" xfId="5934"/>
    <cellStyle name="常规 2 3 2 2 3 3 2" xfId="5935"/>
    <cellStyle name="常规 2 3 2 2 3 4" xfId="5936"/>
    <cellStyle name="常规 2 3 2 2 3 4 2" xfId="5937"/>
    <cellStyle name="常规 2 3 2 2 3 5" xfId="5938"/>
    <cellStyle name="常规 2 3 2 2 4" xfId="5939"/>
    <cellStyle name="常规 2 3 2 2 4 2" xfId="5940"/>
    <cellStyle name="常规 2 3 2 2 4 2 2" xfId="5941"/>
    <cellStyle name="常规 2 3 2 2 4 3" xfId="5942"/>
    <cellStyle name="常规 2 3 2 2 5" xfId="5943"/>
    <cellStyle name="常规 2 3 2 2 5 2" xfId="5944"/>
    <cellStyle name="常规 2 3 2 2 6" xfId="5945"/>
    <cellStyle name="常规 2 3 2 2 6 2" xfId="5946"/>
    <cellStyle name="常规 2 3 2 2 7" xfId="5947"/>
    <cellStyle name="常规 2 3 2 2 7 2" xfId="5948"/>
    <cellStyle name="常规 2 3 2 2 8" xfId="5949"/>
    <cellStyle name="常规 2 3 2 3" xfId="5950"/>
    <cellStyle name="常规 2 3 2 3 2" xfId="5951"/>
    <cellStyle name="常规 2 3 2 3 2 2" xfId="5952"/>
    <cellStyle name="常规 2 3 2 3 2 2 2" xfId="5953"/>
    <cellStyle name="常规 2 3 2 3 2 3" xfId="5954"/>
    <cellStyle name="常规 2 3 2 3 2 4" xfId="5955"/>
    <cellStyle name="常规 2 3 2 3 3" xfId="5956"/>
    <cellStyle name="常规 2 3 2 3 3 2" xfId="5957"/>
    <cellStyle name="常规 2 3 2 3 4" xfId="5958"/>
    <cellStyle name="常规 2 3 2 3 4 2" xfId="5959"/>
    <cellStyle name="常规 2 3 2 3 5" xfId="5960"/>
    <cellStyle name="常规 2 3 2 3 5 2" xfId="5961"/>
    <cellStyle name="常规 2 3 2 3 6" xfId="5962"/>
    <cellStyle name="常规 2 3 2 3 7" xfId="5963"/>
    <cellStyle name="常规 2 3 2 4" xfId="5964"/>
    <cellStyle name="常规 2 3 2 4 2" xfId="5965"/>
    <cellStyle name="常规 2 3 2 4 2 2" xfId="5966"/>
    <cellStyle name="常规 2 3 2 4 2 2 2" xfId="5967"/>
    <cellStyle name="常规 2 3 2 4 2 3" xfId="5968"/>
    <cellStyle name="常规 2 3 2 4 3" xfId="5969"/>
    <cellStyle name="常规 2 3 2 4 3 2" xfId="5970"/>
    <cellStyle name="常规 2 3 2 4 4" xfId="5971"/>
    <cellStyle name="常规 2 3 2 4 4 2" xfId="5972"/>
    <cellStyle name="常规 2 3 2 4 5" xfId="5973"/>
    <cellStyle name="常规 2 3 2 5" xfId="5974"/>
    <cellStyle name="常规 2 3 2 5 2" xfId="5975"/>
    <cellStyle name="常规 2 3 2 5 2 2" xfId="5976"/>
    <cellStyle name="常规 2 3 2 5 3" xfId="5977"/>
    <cellStyle name="常规 2 3 2 6" xfId="5978"/>
    <cellStyle name="常规 2 3 2 6 2" xfId="5979"/>
    <cellStyle name="常规 2 3 2 6 2 2" xfId="5980"/>
    <cellStyle name="常规 2 3 2 6 3" xfId="5981"/>
    <cellStyle name="常规 2 3 2 7" xfId="5982"/>
    <cellStyle name="常规 2 3 2 7 2" xfId="5983"/>
    <cellStyle name="常规 2 3 2 8" xfId="5984"/>
    <cellStyle name="常规 2 3 2 8 2" xfId="5985"/>
    <cellStyle name="常规 2 3 2 9" xfId="5986"/>
    <cellStyle name="常规 2 3 2 9 2" xfId="5987"/>
    <cellStyle name="常规 2 3 2_郑州新区二期扩建工程-概算总表 20180723" xfId="5988"/>
    <cellStyle name="常规 2 3 3" xfId="5989"/>
    <cellStyle name="常规 2 3 3 2" xfId="5990"/>
    <cellStyle name="常规 2 3 3 2 2" xfId="5991"/>
    <cellStyle name="常规 2 3 3 2 2 2" xfId="5992"/>
    <cellStyle name="常规 2 3 3 2 2 2 2" xfId="5993"/>
    <cellStyle name="常规 2 3 3 2 2 3" xfId="5994"/>
    <cellStyle name="常规 2 3 3 2 3" xfId="5995"/>
    <cellStyle name="常规 2 3 3 2 3 2" xfId="5996"/>
    <cellStyle name="常规 2 3 3 2 4" xfId="5997"/>
    <cellStyle name="常规 2 3 3 2 4 2" xfId="5998"/>
    <cellStyle name="常规 2 3 3 2 5" xfId="5999"/>
    <cellStyle name="常规 2 3 3 2 6" xfId="6000"/>
    <cellStyle name="常规 2 3 3 3" xfId="6001"/>
    <cellStyle name="常规 2 3 3 3 2" xfId="6002"/>
    <cellStyle name="常规 2 3 3 3 2 2" xfId="6003"/>
    <cellStyle name="常规 2 3 3 3 3" xfId="6004"/>
    <cellStyle name="常规 2 3 3 3 3 2" xfId="6005"/>
    <cellStyle name="常规 2 3 3 3 4" xfId="6006"/>
    <cellStyle name="常规 2 3 3 3 5" xfId="6007"/>
    <cellStyle name="常规 2 3 3 4" xfId="6008"/>
    <cellStyle name="常规 2 3 3 4 2" xfId="6009"/>
    <cellStyle name="常规 2 3 3 5" xfId="6010"/>
    <cellStyle name="常规 2 3 3 5 2" xfId="6011"/>
    <cellStyle name="常规 2 3 3 6" xfId="6012"/>
    <cellStyle name="常规 2 3 3 6 2" xfId="6013"/>
    <cellStyle name="常规 2 3 3 7" xfId="6014"/>
    <cellStyle name="常规 2 3 3 8" xfId="6015"/>
    <cellStyle name="常规 2 3 4" xfId="6016"/>
    <cellStyle name="常规 2 3 4 2" xfId="6017"/>
    <cellStyle name="常规 2 3 4 2 2" xfId="6018"/>
    <cellStyle name="常规 2 3 4 2 2 2" xfId="6019"/>
    <cellStyle name="常规 2 3 4 2 3" xfId="6020"/>
    <cellStyle name="常规 2 3 4 3" xfId="6021"/>
    <cellStyle name="常规 2 3 4 3 2" xfId="6022"/>
    <cellStyle name="常规 2 3 4 4" xfId="6023"/>
    <cellStyle name="常规 2 3 4 4 2" xfId="6024"/>
    <cellStyle name="常规 2 3 4 5" xfId="6025"/>
    <cellStyle name="常规 2 3 4 6" xfId="6026"/>
    <cellStyle name="常规 2 3 5" xfId="6027"/>
    <cellStyle name="常规 2 3 5 2" xfId="6028"/>
    <cellStyle name="常规 2 3 5 2 2" xfId="6029"/>
    <cellStyle name="常规 2 3 5 3" xfId="6030"/>
    <cellStyle name="常规 2 3 5 3 2" xfId="6031"/>
    <cellStyle name="常规 2 3 5 4" xfId="6032"/>
    <cellStyle name="常规 2 3 5 5" xfId="6033"/>
    <cellStyle name="常规 2 3 6" xfId="6034"/>
    <cellStyle name="常规 2 3 6 2" xfId="6035"/>
    <cellStyle name="常规 2 3 6 3" xfId="6036"/>
    <cellStyle name="常规 2 3 7" xfId="6037"/>
    <cellStyle name="常规 2 3 7 2" xfId="6038"/>
    <cellStyle name="常规 2 3 8" xfId="6039"/>
    <cellStyle name="常规 2 3 8 2" xfId="6040"/>
    <cellStyle name="常规 2 3 9" xfId="6041"/>
    <cellStyle name="常规 2 3 9 2" xfId="6042"/>
    <cellStyle name="常规 2 3_郑州新区二期扩建工程-概算总表 20180723" xfId="6043"/>
    <cellStyle name="常规 2 4" xfId="6044"/>
    <cellStyle name="常规 2 4 10" xfId="6045"/>
    <cellStyle name="常规 2 4 11" xfId="6046"/>
    <cellStyle name="常规 2 4 2" xfId="6047"/>
    <cellStyle name="常规 2 4 2 2" xfId="6048"/>
    <cellStyle name="常规 2 4 2 2 2" xfId="6049"/>
    <cellStyle name="常规 2 4 2 2 2 2" xfId="6050"/>
    <cellStyle name="常规 2 4 2 2 3" xfId="6051"/>
    <cellStyle name="常规 2 4 2 2 3 2" xfId="6052"/>
    <cellStyle name="常规 2 4 2 2 4" xfId="6053"/>
    <cellStyle name="常规 2 4 2 2 4 2" xfId="6054"/>
    <cellStyle name="常规 2 4 2 2 5" xfId="6055"/>
    <cellStyle name="常规 2 4 2 2 6" xfId="6056"/>
    <cellStyle name="常规 2 4 2 3" xfId="6057"/>
    <cellStyle name="常规 2 4 2 3 2" xfId="6058"/>
    <cellStyle name="常规 2 4 2 3 2 2" xfId="6059"/>
    <cellStyle name="常规 2 4 2 3 3" xfId="6060"/>
    <cellStyle name="常规 2 4 2 3 4" xfId="6061"/>
    <cellStyle name="常规 2 4 2 4" xfId="6062"/>
    <cellStyle name="常规 2 4 2 4 2" xfId="6063"/>
    <cellStyle name="常规 2 4 2 5" xfId="6064"/>
    <cellStyle name="常规 2 4 2 5 2" xfId="6065"/>
    <cellStyle name="常规 2 4 2 6" xfId="6066"/>
    <cellStyle name="常规 2 4 2 6 2" xfId="6067"/>
    <cellStyle name="常规 2 4 2 7" xfId="6068"/>
    <cellStyle name="常规 2 4 2 8" xfId="6069"/>
    <cellStyle name="常规 2 4 2_郑州新区二期扩建工程-概算总表 20180723" xfId="6070"/>
    <cellStyle name="常规 2 4 3" xfId="6071"/>
    <cellStyle name="常规 2 4 3 2" xfId="6072"/>
    <cellStyle name="常规 2 4 3 2 2" xfId="6073"/>
    <cellStyle name="常规 2 4 3 3" xfId="6074"/>
    <cellStyle name="常规 2 4 3 3 2" xfId="6075"/>
    <cellStyle name="常规 2 4 3 4" xfId="6076"/>
    <cellStyle name="常规 2 4 3 4 2" xfId="6077"/>
    <cellStyle name="常规 2 4 3 5" xfId="6078"/>
    <cellStyle name="常规 2 4 3 6" xfId="6079"/>
    <cellStyle name="常规 2 4 4" xfId="6080"/>
    <cellStyle name="常规 2 4 4 2" xfId="6081"/>
    <cellStyle name="常规 2 4 4 2 2" xfId="6082"/>
    <cellStyle name="常规 2 4 4 3" xfId="6083"/>
    <cellStyle name="常规 2 4 4 4" xfId="6084"/>
    <cellStyle name="常规 2 4 5" xfId="6085"/>
    <cellStyle name="常规 2 4 5 2" xfId="6086"/>
    <cellStyle name="常规 2 4 5 3" xfId="6087"/>
    <cellStyle name="常规 2 4 6" xfId="6088"/>
    <cellStyle name="常规 2 4 6 2" xfId="6089"/>
    <cellStyle name="常规 2 4 7" xfId="6090"/>
    <cellStyle name="常规 2 4 7 2" xfId="6091"/>
    <cellStyle name="常规 2 4 8" xfId="6092"/>
    <cellStyle name="常规 2 4 8 2" xfId="6093"/>
    <cellStyle name="常规 2 4 9" xfId="6094"/>
    <cellStyle name="常规 2 4 9 2" xfId="6095"/>
    <cellStyle name="常规 2 4_郑州新区二期扩建工程-概算总表 20180723" xfId="6096"/>
    <cellStyle name="常规 2 5" xfId="6097"/>
    <cellStyle name="常规 2 5 10" xfId="6098"/>
    <cellStyle name="常规 2 5 10 2" xfId="6099"/>
    <cellStyle name="常规 2 5 11" xfId="6100"/>
    <cellStyle name="常规 2 5 2" xfId="6101"/>
    <cellStyle name="常规 2 5 2 2" xfId="6102"/>
    <cellStyle name="常规 2 5 2 2 2" xfId="6103"/>
    <cellStyle name="常规 2 5 2 2 2 2" xfId="6104"/>
    <cellStyle name="常规 2 5 2 2 2 2 2" xfId="6105"/>
    <cellStyle name="常规 2 5 2 2 2 3" xfId="6106"/>
    <cellStyle name="常规 2 5 2 2 3" xfId="6107"/>
    <cellStyle name="常规 2 5 2 2 3 2" xfId="6108"/>
    <cellStyle name="常规 2 5 2 2 4" xfId="6109"/>
    <cellStyle name="常规 2 5 2 2 4 2" xfId="6110"/>
    <cellStyle name="常规 2 5 2 2 5" xfId="6111"/>
    <cellStyle name="常规 2 5 2 3" xfId="6112"/>
    <cellStyle name="常规 2 5 2 3 2" xfId="6113"/>
    <cellStyle name="常规 2 5 2 3 2 2" xfId="6114"/>
    <cellStyle name="常规 2 5 2 3 3" xfId="6115"/>
    <cellStyle name="常规 2 5 2 3 3 2" xfId="6116"/>
    <cellStyle name="常规 2 5 2 3 4" xfId="6117"/>
    <cellStyle name="常规 2 5 2 3 4 2" xfId="6118"/>
    <cellStyle name="常规 2 5 2 3 5" xfId="6119"/>
    <cellStyle name="常规 2 5 2 4" xfId="6120"/>
    <cellStyle name="常规 2 5 2 4 2" xfId="6121"/>
    <cellStyle name="常规 2 5 2 4 2 2" xfId="6122"/>
    <cellStyle name="常规 2 5 2 4 3" xfId="6123"/>
    <cellStyle name="常规 2 5 2 5" xfId="6124"/>
    <cellStyle name="常规 2 5 2 5 2" xfId="6125"/>
    <cellStyle name="常规 2 5 2 6" xfId="6126"/>
    <cellStyle name="常规 2 5 2 6 2" xfId="6127"/>
    <cellStyle name="常规 2 5 2 7" xfId="6128"/>
    <cellStyle name="常规 2 5 2 7 2" xfId="6129"/>
    <cellStyle name="常规 2 5 2 8" xfId="6130"/>
    <cellStyle name="常规 2 5 3" xfId="6131"/>
    <cellStyle name="常规 2 5 3 2" xfId="6132"/>
    <cellStyle name="常规 2 5 3 2 2" xfId="6133"/>
    <cellStyle name="常规 2 5 3 2 2 2" xfId="6134"/>
    <cellStyle name="常规 2 5 3 2 3" xfId="6135"/>
    <cellStyle name="常规 2 5 3 2 4" xfId="6136"/>
    <cellStyle name="常规 2 5 3 3" xfId="6137"/>
    <cellStyle name="常规 2 5 3 3 2" xfId="6138"/>
    <cellStyle name="常规 2 5 3 4" xfId="6139"/>
    <cellStyle name="常规 2 5 3 4 2" xfId="6140"/>
    <cellStyle name="常规 2 5 3 5" xfId="6141"/>
    <cellStyle name="常规 2 5 3 5 2" xfId="6142"/>
    <cellStyle name="常规 2 5 3 6" xfId="6143"/>
    <cellStyle name="常规 2 5 3 7" xfId="6144"/>
    <cellStyle name="常规 2 5 4" xfId="6145"/>
    <cellStyle name="常规 2 5 4 2" xfId="6146"/>
    <cellStyle name="常规 2 5 4 2 2" xfId="6147"/>
    <cellStyle name="常规 2 5 4 2 2 2" xfId="6148"/>
    <cellStyle name="常规 2 5 4 2 3" xfId="6149"/>
    <cellStyle name="常规 2 5 4 3" xfId="6150"/>
    <cellStyle name="常规 2 5 4 3 2" xfId="6151"/>
    <cellStyle name="常规 2 5 4 4" xfId="6152"/>
    <cellStyle name="常规 2 5 4 4 2" xfId="6153"/>
    <cellStyle name="常规 2 5 4 5" xfId="6154"/>
    <cellStyle name="常规 2 5 5" xfId="6155"/>
    <cellStyle name="常规 2 5 5 2" xfId="6156"/>
    <cellStyle name="常规 2 5 5 2 2" xfId="6157"/>
    <cellStyle name="常规 2 5 5 3" xfId="6158"/>
    <cellStyle name="常规 2 5 6" xfId="6159"/>
    <cellStyle name="常规 2 5 6 2" xfId="6160"/>
    <cellStyle name="常规 2 5 6 2 2" xfId="6161"/>
    <cellStyle name="常规 2 5 6 3" xfId="6162"/>
    <cellStyle name="常规 2 5 7" xfId="6163"/>
    <cellStyle name="常规 2 5 7 2" xfId="6164"/>
    <cellStyle name="常规 2 5 8" xfId="6165"/>
    <cellStyle name="常规 2 5 8 2" xfId="6166"/>
    <cellStyle name="常规 2 5 9" xfId="6167"/>
    <cellStyle name="常规 2 5 9 2" xfId="6168"/>
    <cellStyle name="常规 2 6" xfId="6169"/>
    <cellStyle name="常规 2 6 2" xfId="6170"/>
    <cellStyle name="常规 2 6 2 2" xfId="6171"/>
    <cellStyle name="常规 2 6 2 2 2" xfId="6172"/>
    <cellStyle name="常规 2 6 2 2 2 2" xfId="6173"/>
    <cellStyle name="常规 2 6 2 2 3" xfId="6174"/>
    <cellStyle name="常规 2 6 2 3" xfId="6175"/>
    <cellStyle name="常规 2 6 2 3 2" xfId="6176"/>
    <cellStyle name="常规 2 6 2 4" xfId="6177"/>
    <cellStyle name="常规 2 6 2 4 2" xfId="6178"/>
    <cellStyle name="常规 2 6 2 5" xfId="6179"/>
    <cellStyle name="常规 2 6 2 6" xfId="6180"/>
    <cellStyle name="常规 2 6 3" xfId="6181"/>
    <cellStyle name="常规 2 6 3 2" xfId="6182"/>
    <cellStyle name="常规 2 6 3 2 2" xfId="6183"/>
    <cellStyle name="常规 2 6 3 3" xfId="6184"/>
    <cellStyle name="常规 2 6 3 3 2" xfId="6185"/>
    <cellStyle name="常规 2 6 3 4" xfId="6186"/>
    <cellStyle name="常规 2 6 3 5" xfId="6187"/>
    <cellStyle name="常规 2 6 4" xfId="6188"/>
    <cellStyle name="常规 2 6 4 2" xfId="6189"/>
    <cellStyle name="常规 2 6 5" xfId="6190"/>
    <cellStyle name="常规 2 6 5 2" xfId="6191"/>
    <cellStyle name="常规 2 6 6" xfId="6192"/>
    <cellStyle name="常规 2 6 6 2" xfId="6193"/>
    <cellStyle name="常规 2 6 7" xfId="6194"/>
    <cellStyle name="常规 2 6 8" xfId="6195"/>
    <cellStyle name="常规 2 7" xfId="6196"/>
    <cellStyle name="常规 2 7 2" xfId="6197"/>
    <cellStyle name="常规 2 7 2 2" xfId="6198"/>
    <cellStyle name="常规 2 7 2 2 2" xfId="6199"/>
    <cellStyle name="常规 2 7 2 3" xfId="6200"/>
    <cellStyle name="常规 2 7 3" xfId="6201"/>
    <cellStyle name="常规 2 7 3 2" xfId="6202"/>
    <cellStyle name="常规 2 7 4" xfId="6203"/>
    <cellStyle name="常规 2 7 4 2" xfId="6204"/>
    <cellStyle name="常规 2 7 5" xfId="6205"/>
    <cellStyle name="常规 2 7 6" xfId="6206"/>
    <cellStyle name="常规 2 8" xfId="6207"/>
    <cellStyle name="常规 2 8 2" xfId="6208"/>
    <cellStyle name="常规 2 8 2 2" xfId="6209"/>
    <cellStyle name="常规 2 8 2 2 2" xfId="6210"/>
    <cellStyle name="常规 2 8 2 3" xfId="6211"/>
    <cellStyle name="常规 2 8 3" xfId="6212"/>
    <cellStyle name="常规 2 8 3 2" xfId="6213"/>
    <cellStyle name="常规 2 8 4" xfId="6214"/>
    <cellStyle name="常规 2 9" xfId="6215"/>
    <cellStyle name="常规 2 9 2" xfId="6216"/>
    <cellStyle name="常规 2 9 2 2" xfId="6217"/>
    <cellStyle name="常规 2 9 2 2 2" xfId="6218"/>
    <cellStyle name="常规 2 9 2 3" xfId="6219"/>
    <cellStyle name="常规 2 9 3" xfId="6220"/>
    <cellStyle name="常规 2 9 3 2" xfId="6221"/>
    <cellStyle name="常规 2 9 4" xfId="6222"/>
    <cellStyle name="常规 2 9 5" xfId="6223"/>
    <cellStyle name="常规 2_2" xfId="6224"/>
    <cellStyle name="常规 20" xfId="6225"/>
    <cellStyle name="常规 20 2" xfId="6226"/>
    <cellStyle name="常规 20 2 2" xfId="6227"/>
    <cellStyle name="常规 20 3" xfId="6228"/>
    <cellStyle name="常规 20 3 2" xfId="6229"/>
    <cellStyle name="常规 20 4" xfId="6230"/>
    <cellStyle name="常规 21" xfId="6231"/>
    <cellStyle name="常规 21 2" xfId="6232"/>
    <cellStyle name="常规 21 2 2" xfId="6233"/>
    <cellStyle name="常规 21 3" xfId="6234"/>
    <cellStyle name="常规 21 3 2" xfId="6235"/>
    <cellStyle name="常规 21 4" xfId="6236"/>
    <cellStyle name="常规 22" xfId="6237"/>
    <cellStyle name="常规 22 2" xfId="6238"/>
    <cellStyle name="常规 22 2 2" xfId="6239"/>
    <cellStyle name="常规 22 3" xfId="6240"/>
    <cellStyle name="常规 23" xfId="6241"/>
    <cellStyle name="常规 23 2" xfId="6242"/>
    <cellStyle name="常规 23 2 2" xfId="6243"/>
    <cellStyle name="常规 23 3" xfId="6244"/>
    <cellStyle name="常规 24" xfId="6245"/>
    <cellStyle name="常规 24 2" xfId="6246"/>
    <cellStyle name="常规 24 2 2" xfId="6247"/>
    <cellStyle name="常规 24 3" xfId="6248"/>
    <cellStyle name="常规 25" xfId="6249"/>
    <cellStyle name="常规 25 2" xfId="6250"/>
    <cellStyle name="常规 25 2 2" xfId="6251"/>
    <cellStyle name="常规 25 3" xfId="6252"/>
    <cellStyle name="常规 26" xfId="6253"/>
    <cellStyle name="常规 26 2" xfId="6254"/>
    <cellStyle name="常规 26 2 2" xfId="6255"/>
    <cellStyle name="常规 26 3" xfId="6256"/>
    <cellStyle name="常规 27" xfId="6257"/>
    <cellStyle name="常规 27 2" xfId="6258"/>
    <cellStyle name="常规 27 2 2" xfId="6259"/>
    <cellStyle name="常规 27 3" xfId="6260"/>
    <cellStyle name="常规 28" xfId="6261"/>
    <cellStyle name="常规 28 2" xfId="6262"/>
    <cellStyle name="常规 28 2 2" xfId="6263"/>
    <cellStyle name="常规 28 3" xfId="6264"/>
    <cellStyle name="常规 29" xfId="6265"/>
    <cellStyle name="常规 29 2" xfId="6266"/>
    <cellStyle name="常规 29 2 2" xfId="6267"/>
    <cellStyle name="常规 29 3" xfId="6268"/>
    <cellStyle name="常规 3" xfId="6269"/>
    <cellStyle name="常规 3 10" xfId="6270"/>
    <cellStyle name="常规 3 10 2" xfId="6271"/>
    <cellStyle name="常规 3 11" xfId="6272"/>
    <cellStyle name="常规 3 11 2" xfId="6273"/>
    <cellStyle name="常规 3 12" xfId="6274"/>
    <cellStyle name="常规 3 12 2" xfId="6275"/>
    <cellStyle name="常规 3 13" xfId="6276"/>
    <cellStyle name="常规 3 14" xfId="6277"/>
    <cellStyle name="常规 3 2" xfId="6278"/>
    <cellStyle name="常规 3 2 10" xfId="6279"/>
    <cellStyle name="常规 3 2 2" xfId="6280"/>
    <cellStyle name="常规 3 2 2 2" xfId="6281"/>
    <cellStyle name="常规 3 2 2 2 2" xfId="6282"/>
    <cellStyle name="常规 3 2 2 2 2 2" xfId="6283"/>
    <cellStyle name="常规 3 2 2 2 3" xfId="6284"/>
    <cellStyle name="常规 3 2 2 2 3 2" xfId="6285"/>
    <cellStyle name="常规 3 2 2 2 4" xfId="6286"/>
    <cellStyle name="常规 3 2 2 2 5" xfId="6287"/>
    <cellStyle name="常规 3 2 2 3" xfId="6288"/>
    <cellStyle name="常规 3 2 2 3 2" xfId="6289"/>
    <cellStyle name="常规 3 2 2 3 2 2" xfId="6290"/>
    <cellStyle name="常规 3 2 2 3 3" xfId="6291"/>
    <cellStyle name="常规 3 2 2 3 4" xfId="6292"/>
    <cellStyle name="常规 3 2 2 4" xfId="6293"/>
    <cellStyle name="常规 3 2 2 4 2" xfId="6294"/>
    <cellStyle name="常规 3 2 2 5" xfId="6295"/>
    <cellStyle name="常规 3 2 2 5 2" xfId="6296"/>
    <cellStyle name="常规 3 2 2 6" xfId="6297"/>
    <cellStyle name="常规 3 2 2 6 2" xfId="6298"/>
    <cellStyle name="常规 3 2 2 7" xfId="6299"/>
    <cellStyle name="常规 3 2 2 8" xfId="6300"/>
    <cellStyle name="常规 3 2 2_郑州新区二期扩建工程-概算总表 20180723" xfId="6301"/>
    <cellStyle name="常规 3 2 3" xfId="6302"/>
    <cellStyle name="常规 3 2 3 2" xfId="6303"/>
    <cellStyle name="常规 3 2 3 2 2" xfId="6304"/>
    <cellStyle name="常规 3 2 3 3" xfId="6305"/>
    <cellStyle name="常规 3 2 3 3 2" xfId="6306"/>
    <cellStyle name="常规 3 2 3 4" xfId="6307"/>
    <cellStyle name="常规 3 2 4" xfId="6308"/>
    <cellStyle name="常规 3 2 4 2" xfId="6309"/>
    <cellStyle name="常规 3 2 4 2 2" xfId="6310"/>
    <cellStyle name="常规 3 2 4 3" xfId="6311"/>
    <cellStyle name="常规 3 2 4 4" xfId="6312"/>
    <cellStyle name="常规 3 2 5" xfId="6313"/>
    <cellStyle name="常规 3 2 5 2" xfId="6314"/>
    <cellStyle name="常规 3 2 5 3" xfId="6315"/>
    <cellStyle name="常规 3 2 6" xfId="6316"/>
    <cellStyle name="常规 3 2 6 2" xfId="6317"/>
    <cellStyle name="常规 3 2 7" xfId="6318"/>
    <cellStyle name="常规 3 2 7 2" xfId="6319"/>
    <cellStyle name="常规 3 2 8" xfId="6320"/>
    <cellStyle name="常规 3 2 8 2" xfId="6321"/>
    <cellStyle name="常规 3 2 9" xfId="6322"/>
    <cellStyle name="常规 3 2 9 2" xfId="6323"/>
    <cellStyle name="常规 3 2_横岭厂二期估算表及成本" xfId="6324"/>
    <cellStyle name="常规 3 3" xfId="6325"/>
    <cellStyle name="常规 3 3 2" xfId="6326"/>
    <cellStyle name="常规 3 3 2 2" xfId="6327"/>
    <cellStyle name="常规 3 3 2 2 2" xfId="6328"/>
    <cellStyle name="常规 3 3 3" xfId="6329"/>
    <cellStyle name="常规 3 3 3 2" xfId="6330"/>
    <cellStyle name="常规 3 3 3 2 2" xfId="6331"/>
    <cellStyle name="常规 3 3 3 3" xfId="6332"/>
    <cellStyle name="常规 3 3 3 4" xfId="6333"/>
    <cellStyle name="常规 3 3 4" xfId="6334"/>
    <cellStyle name="常规 3 3 4 2" xfId="6335"/>
    <cellStyle name="常规 3 3 5" xfId="6336"/>
    <cellStyle name="常规 3 3 5 2" xfId="6337"/>
    <cellStyle name="常规 3 3 6" xfId="6338"/>
    <cellStyle name="常规 3 3 6 2" xfId="6339"/>
    <cellStyle name="常规 3 3 7" xfId="6340"/>
    <cellStyle name="常规 3 3 7 2" xfId="6341"/>
    <cellStyle name="常规 3 3 8" xfId="6342"/>
    <cellStyle name="常规 3 3 9" xfId="6343"/>
    <cellStyle name="常规 3 4" xfId="6344"/>
    <cellStyle name="常规 3 4 2" xfId="6345"/>
    <cellStyle name="常规 3 4 2 2" xfId="6346"/>
    <cellStyle name="常规 3 4 2 2 2" xfId="6347"/>
    <cellStyle name="常规 3 4 2 2 2 2" xfId="6348"/>
    <cellStyle name="常规 3 4 2 2 3" xfId="6349"/>
    <cellStyle name="常规 3 4 2 3" xfId="6350"/>
    <cellStyle name="常规 3 4 2 3 2" xfId="6351"/>
    <cellStyle name="常规 3 4 2 4" xfId="6352"/>
    <cellStyle name="常规 3 4 2 4 2" xfId="6353"/>
    <cellStyle name="常规 3 4 2 5" xfId="6354"/>
    <cellStyle name="常规 3 4 2 6" xfId="6355"/>
    <cellStyle name="常规 3 4 3" xfId="6356"/>
    <cellStyle name="常规 3 4 3 2" xfId="6357"/>
    <cellStyle name="常规 3 4 3 2 2" xfId="6358"/>
    <cellStyle name="常规 3 4 3 3" xfId="6359"/>
    <cellStyle name="常规 3 4 3 3 2" xfId="6360"/>
    <cellStyle name="常规 3 4 3 4" xfId="6361"/>
    <cellStyle name="常规 3 4 3 5" xfId="6362"/>
    <cellStyle name="常规 3 4 4" xfId="6363"/>
    <cellStyle name="常规 3 4 4 2" xfId="6364"/>
    <cellStyle name="常规 3 4 5" xfId="6365"/>
    <cellStyle name="常规 3 4 6" xfId="6366"/>
    <cellStyle name="常规 3 4 6 2" xfId="6367"/>
    <cellStyle name="常规 3 4 7" xfId="6368"/>
    <cellStyle name="常规 3 4 7 2" xfId="6369"/>
    <cellStyle name="常规 3 4 8" xfId="6370"/>
    <cellStyle name="常规 3 4 9" xfId="6371"/>
    <cellStyle name="常规 3 5" xfId="6372"/>
    <cellStyle name="常规 3 5 2" xfId="6373"/>
    <cellStyle name="常规 3 5 2 2" xfId="6374"/>
    <cellStyle name="常规 3 5 2 2 2" xfId="6375"/>
    <cellStyle name="常规 3 5 2 3" xfId="6376"/>
    <cellStyle name="常规 3 5 2 3 2" xfId="6377"/>
    <cellStyle name="常规 3 5 2 4" xfId="6378"/>
    <cellStyle name="常规 3 5 3" xfId="6379"/>
    <cellStyle name="常规 3 5 3 2" xfId="6380"/>
    <cellStyle name="常规 3 5 4" xfId="6381"/>
    <cellStyle name="常规 3 5 4 2" xfId="6382"/>
    <cellStyle name="常规 3 5 5" xfId="6383"/>
    <cellStyle name="常规 3 5 5 2" xfId="6384"/>
    <cellStyle name="常规 3 5 6" xfId="6385"/>
    <cellStyle name="常规 3 6" xfId="6386"/>
    <cellStyle name="常规 3 6 2" xfId="6387"/>
    <cellStyle name="常规 3 6 2 2" xfId="6388"/>
    <cellStyle name="常规 3 6 3" xfId="6389"/>
    <cellStyle name="常规 3 6 3 2" xfId="6390"/>
    <cellStyle name="常规 3 6 4" xfId="6391"/>
    <cellStyle name="常规 3 6 5" xfId="6392"/>
    <cellStyle name="常规 3 7" xfId="6393"/>
    <cellStyle name="常规 3 7 2" xfId="6394"/>
    <cellStyle name="常规 3 7 2 2" xfId="6395"/>
    <cellStyle name="常规 3 7 3" xfId="6396"/>
    <cellStyle name="常规 3 7 4" xfId="6397"/>
    <cellStyle name="常规 3 8" xfId="6398"/>
    <cellStyle name="常规 3 8 2" xfId="6399"/>
    <cellStyle name="常规 3 8 3" xfId="6400"/>
    <cellStyle name="常规 3 9" xfId="6401"/>
    <cellStyle name="常规 3 9 2" xfId="6402"/>
    <cellStyle name="常规 3_报表" xfId="6403"/>
    <cellStyle name="常规 30" xfId="6404"/>
    <cellStyle name="常规 30 2" xfId="6405"/>
    <cellStyle name="常规 30 2 2" xfId="6406"/>
    <cellStyle name="常规 30 3" xfId="6407"/>
    <cellStyle name="常规 31" xfId="6408"/>
    <cellStyle name="常规 31 2" xfId="6409"/>
    <cellStyle name="常规 31 2 2" xfId="6410"/>
    <cellStyle name="常规 31 3" xfId="6411"/>
    <cellStyle name="常规 32" xfId="6412"/>
    <cellStyle name="常规 32 2" xfId="6413"/>
    <cellStyle name="常规 32 2 2" xfId="6414"/>
    <cellStyle name="常规 32 3" xfId="6415"/>
    <cellStyle name="常规 33" xfId="6416"/>
    <cellStyle name="常规 33 2" xfId="6417"/>
    <cellStyle name="常规 34" xfId="6418"/>
    <cellStyle name="常规 34 2" xfId="6419"/>
    <cellStyle name="常规 35" xfId="6420"/>
    <cellStyle name="常规 35 2" xfId="6421"/>
    <cellStyle name="常规 36" xfId="6422"/>
    <cellStyle name="常规 36 2" xfId="6423"/>
    <cellStyle name="常规 37" xfId="6424"/>
    <cellStyle name="常规 37 2" xfId="6425"/>
    <cellStyle name="常规 38" xfId="6426"/>
    <cellStyle name="常规 38 2" xfId="6427"/>
    <cellStyle name="常规 39" xfId="6428"/>
    <cellStyle name="常规 4" xfId="6429"/>
    <cellStyle name="常规 4 10" xfId="6430"/>
    <cellStyle name="常规 4 10 2" xfId="6431"/>
    <cellStyle name="常规 4 11" xfId="6432"/>
    <cellStyle name="常规 4 11 2" xfId="6433"/>
    <cellStyle name="常规 4 12" xfId="6434"/>
    <cellStyle name="常规 4 12 2" xfId="6435"/>
    <cellStyle name="常规 4 13" xfId="6436"/>
    <cellStyle name="常规 4 2" xfId="6437"/>
    <cellStyle name="常规 4 2 10" xfId="6438"/>
    <cellStyle name="常规 4 2 10 2" xfId="6439"/>
    <cellStyle name="常规 4 2 11" xfId="6440"/>
    <cellStyle name="常规 4 2 11 2" xfId="6441"/>
    <cellStyle name="常规 4 2 12" xfId="6442"/>
    <cellStyle name="常规 4 2 12 2" xfId="6443"/>
    <cellStyle name="常规 4 2 13" xfId="6444"/>
    <cellStyle name="常规 4 2 13 2" xfId="6445"/>
    <cellStyle name="常规 4 2 14" xfId="6446"/>
    <cellStyle name="常规 4 2 2" xfId="6447"/>
    <cellStyle name="常规 4 2 2 10" xfId="6448"/>
    <cellStyle name="常规 4 2 2 2" xfId="6449"/>
    <cellStyle name="常规 4 2 2 2 2" xfId="6450"/>
    <cellStyle name="常规 4 2 2 2 2 2" xfId="6451"/>
    <cellStyle name="常规 4 2 2 2 2 2 2" xfId="6452"/>
    <cellStyle name="常规 4 2 2 2 2 3" xfId="6453"/>
    <cellStyle name="常规 4 2 2 2 2 3 2" xfId="6454"/>
    <cellStyle name="常规 4 2 2 2 2 4" xfId="6455"/>
    <cellStyle name="常规 4 2 2 2 3" xfId="6456"/>
    <cellStyle name="常规 4 2 2 2 3 2" xfId="6457"/>
    <cellStyle name="常规 4 2 2 2 4" xfId="6458"/>
    <cellStyle name="常规 4 2 2 2 4 2" xfId="6459"/>
    <cellStyle name="常规 4 2 2 2 5" xfId="6460"/>
    <cellStyle name="常规 4 2 2 2 5 2" xfId="6461"/>
    <cellStyle name="常规 4 2 2 2 6" xfId="6462"/>
    <cellStyle name="常规 4 2 2 2_郑州新区二期扩建工程-概算总表 20180723" xfId="6463"/>
    <cellStyle name="常规 4 2 2 3" xfId="6464"/>
    <cellStyle name="常规 4 2 2 3 2" xfId="6465"/>
    <cellStyle name="常规 4 2 2 3 2 2" xfId="6466"/>
    <cellStyle name="常规 4 2 2 3 3" xfId="6467"/>
    <cellStyle name="常规 4 2 2 3 3 2" xfId="6468"/>
    <cellStyle name="常规 4 2 2 3 4" xfId="6469"/>
    <cellStyle name="常规 4 2 2 3 4 2" xfId="6470"/>
    <cellStyle name="常规 4 2 2 3 5" xfId="6471"/>
    <cellStyle name="常规 4 2 2 3 5 2" xfId="6472"/>
    <cellStyle name="常规 4 2 2 3 6" xfId="6473"/>
    <cellStyle name="常规 4 2 2 4" xfId="6474"/>
    <cellStyle name="常规 4 2 2 4 2" xfId="6475"/>
    <cellStyle name="常规 4 2 2 4 2 2" xfId="6476"/>
    <cellStyle name="常规 4 2 2 4 3" xfId="6477"/>
    <cellStyle name="常规 4 2 2 5" xfId="6478"/>
    <cellStyle name="常规 4 2 2 5 2" xfId="6479"/>
    <cellStyle name="常规 4 2 2 6" xfId="6480"/>
    <cellStyle name="常规 4 2 2 6 2" xfId="6481"/>
    <cellStyle name="常规 4 2 2 7" xfId="6482"/>
    <cellStyle name="常规 4 2 2 7 2" xfId="6483"/>
    <cellStyle name="常规 4 2 2 8" xfId="6484"/>
    <cellStyle name="常规 4 2 2 8 2" xfId="6485"/>
    <cellStyle name="常规 4 2 2 9" xfId="6486"/>
    <cellStyle name="常规 4 2 2 9 2" xfId="6487"/>
    <cellStyle name="常规 4 2 2_郑州新区二期扩建工程-概算总表 20180723" xfId="6488"/>
    <cellStyle name="常规 4 2 3" xfId="6489"/>
    <cellStyle name="常规 4 2 3 2" xfId="6490"/>
    <cellStyle name="常规 4 2 3 2 2" xfId="6491"/>
    <cellStyle name="常规 4 2 3 2 2 2" xfId="6492"/>
    <cellStyle name="常规 4 2 3 2 2 2 2" xfId="6493"/>
    <cellStyle name="常规 4 2 3 2 2 3" xfId="6494"/>
    <cellStyle name="常规 4 2 3 2 3" xfId="6495"/>
    <cellStyle name="常规 4 2 3 2 3 2" xfId="6496"/>
    <cellStyle name="常规 4 2 3 2 4" xfId="6497"/>
    <cellStyle name="常规 4 2 3 3" xfId="6498"/>
    <cellStyle name="常规 4 2 3 3 2" xfId="6499"/>
    <cellStyle name="常规 4 2 3 3 2 2" xfId="6500"/>
    <cellStyle name="常规 4 2 3 3 3" xfId="6501"/>
    <cellStyle name="常规 4 2 3 4" xfId="6502"/>
    <cellStyle name="常规 4 2 3 4 2" xfId="6503"/>
    <cellStyle name="常规 4 2 3 5" xfId="6504"/>
    <cellStyle name="常规 4 2 3 5 2" xfId="6505"/>
    <cellStyle name="常规 4 2 3 6" xfId="6506"/>
    <cellStyle name="常规 4 2 3 6 2" xfId="6507"/>
    <cellStyle name="常规 4 2 3 7" xfId="6508"/>
    <cellStyle name="常规 4 2 3 7 2" xfId="6509"/>
    <cellStyle name="常规 4 2 3 8" xfId="6510"/>
    <cellStyle name="常规 4 2 3 8 2" xfId="6511"/>
    <cellStyle name="常规 4 2 3 9" xfId="6512"/>
    <cellStyle name="常规 4 2 4" xfId="6513"/>
    <cellStyle name="常规 4 2 4 2" xfId="6514"/>
    <cellStyle name="常规 4 2 4 2 2" xfId="6515"/>
    <cellStyle name="常规 4 2 4 2 2 2" xfId="6516"/>
    <cellStyle name="常规 4 2 4 2 3" xfId="6517"/>
    <cellStyle name="常规 4 2 4 2 3 2" xfId="6518"/>
    <cellStyle name="常规 4 2 4 2 4" xfId="6519"/>
    <cellStyle name="常规 4 2 4 3" xfId="6520"/>
    <cellStyle name="常规 4 2 4 3 2" xfId="6521"/>
    <cellStyle name="常规 4 2 4 4" xfId="6522"/>
    <cellStyle name="常规 4 2 4 4 2" xfId="6523"/>
    <cellStyle name="常规 4 2 4 5" xfId="6524"/>
    <cellStyle name="常规 4 2 4 5 2" xfId="6525"/>
    <cellStyle name="常规 4 2 4 6" xfId="6526"/>
    <cellStyle name="常规 4 2 4 6 2" xfId="6527"/>
    <cellStyle name="常规 4 2 4 7" xfId="6528"/>
    <cellStyle name="常规 4 2 5" xfId="6529"/>
    <cellStyle name="常规 4 2 5 2" xfId="6530"/>
    <cellStyle name="常规 4 2 5 2 2" xfId="6531"/>
    <cellStyle name="常规 4 2 5 2 2 2" xfId="6532"/>
    <cellStyle name="常规 4 2 5 2 3" xfId="6533"/>
    <cellStyle name="常规 4 2 5 3" xfId="6534"/>
    <cellStyle name="常规 4 2 5 3 2" xfId="6535"/>
    <cellStyle name="常规 4 2 5 4" xfId="6536"/>
    <cellStyle name="常规 4 2 5 4 2" xfId="6537"/>
    <cellStyle name="常规 4 2 5 5" xfId="6538"/>
    <cellStyle name="常规 4 2 6" xfId="6539"/>
    <cellStyle name="常规 4 2 6 2" xfId="6540"/>
    <cellStyle name="常规 4 2 6 2 2" xfId="6541"/>
    <cellStyle name="常规 4 2 6 3" xfId="6542"/>
    <cellStyle name="常规 4 2 7" xfId="6543"/>
    <cellStyle name="常规 4 2 7 2" xfId="6544"/>
    <cellStyle name="常规 4 2 7 2 2" xfId="6545"/>
    <cellStyle name="常规 4 2 7 3" xfId="6546"/>
    <cellStyle name="常规 4 2 8" xfId="6547"/>
    <cellStyle name="常规 4 2 8 2" xfId="6548"/>
    <cellStyle name="常规 4 2 9" xfId="6549"/>
    <cellStyle name="常规 4 2 9 2" xfId="6550"/>
    <cellStyle name="常规 4 2_郑州新区二期扩建工程-概算总表 20180723" xfId="6551"/>
    <cellStyle name="常规 4 3" xfId="6552"/>
    <cellStyle name="常规 4 3 10" xfId="6553"/>
    <cellStyle name="常规 4 3 10 2" xfId="6554"/>
    <cellStyle name="常规 4 3 11" xfId="6555"/>
    <cellStyle name="常规 4 3 11 2" xfId="6556"/>
    <cellStyle name="常规 4 3 12" xfId="6557"/>
    <cellStyle name="常规 4 3 2" xfId="6558"/>
    <cellStyle name="常规 4 3 2 2" xfId="6559"/>
    <cellStyle name="常规 4 3 2 2 2" xfId="6560"/>
    <cellStyle name="常规 4 3 2 2 2 2" xfId="6561"/>
    <cellStyle name="常规 4 3 2 2 2 2 2" xfId="6562"/>
    <cellStyle name="常规 4 3 2 2 2 3" xfId="6563"/>
    <cellStyle name="常规 4 3 2 2 3" xfId="6564"/>
    <cellStyle name="常规 4 3 2 2 3 2" xfId="6565"/>
    <cellStyle name="常规 4 3 2 2 4" xfId="6566"/>
    <cellStyle name="常规 4 3 2 2 4 2" xfId="6567"/>
    <cellStyle name="常规 4 3 2 2 5" xfId="6568"/>
    <cellStyle name="常规 4 3 2 2 5 2" xfId="6569"/>
    <cellStyle name="常规 4 3 2 2 6" xfId="6570"/>
    <cellStyle name="常规 4 3 2 3" xfId="6571"/>
    <cellStyle name="常规 4 3 2 3 2" xfId="6572"/>
    <cellStyle name="常规 4 3 2 3 2 2" xfId="6573"/>
    <cellStyle name="常规 4 3 2 3 3" xfId="6574"/>
    <cellStyle name="常规 4 3 2 3 3 2" xfId="6575"/>
    <cellStyle name="常规 4 3 2 3 4" xfId="6576"/>
    <cellStyle name="常规 4 3 2 3 4 2" xfId="6577"/>
    <cellStyle name="常规 4 3 2 3 5" xfId="6578"/>
    <cellStyle name="常规 4 3 2 4" xfId="6579"/>
    <cellStyle name="常规 4 3 2 4 2" xfId="6580"/>
    <cellStyle name="常规 4 3 2 4 2 2" xfId="6581"/>
    <cellStyle name="常规 4 3 2 4 3" xfId="6582"/>
    <cellStyle name="常规 4 3 2 5" xfId="6583"/>
    <cellStyle name="常规 4 3 2 5 2" xfId="6584"/>
    <cellStyle name="常规 4 3 2 6" xfId="6585"/>
    <cellStyle name="常规 4 3 2 6 2" xfId="6586"/>
    <cellStyle name="常规 4 3 2 7" xfId="6587"/>
    <cellStyle name="常规 4 3 2 7 2" xfId="6588"/>
    <cellStyle name="常规 4 3 2 8" xfId="6589"/>
    <cellStyle name="常规 4 3 3" xfId="6590"/>
    <cellStyle name="常规 4 3 3 2" xfId="6591"/>
    <cellStyle name="常规 4 3 3 2 2" xfId="6592"/>
    <cellStyle name="常规 4 3 3 2 2 2" xfId="6593"/>
    <cellStyle name="常规 4 3 3 2 3" xfId="6594"/>
    <cellStyle name="常规 4 3 3 3" xfId="6595"/>
    <cellStyle name="常规 4 3 3 3 2" xfId="6596"/>
    <cellStyle name="常规 4 3 3 4" xfId="6597"/>
    <cellStyle name="常规 4 3 3 4 2" xfId="6598"/>
    <cellStyle name="常规 4 3 3 5" xfId="6599"/>
    <cellStyle name="常规 4 3 3 5 2" xfId="6600"/>
    <cellStyle name="常规 4 3 3 6" xfId="6601"/>
    <cellStyle name="常规 4 3 3 6 2" xfId="6602"/>
    <cellStyle name="常规 4 3 3 7" xfId="6603"/>
    <cellStyle name="常规 4 3 4" xfId="6604"/>
    <cellStyle name="常规 4 3 4 2" xfId="6605"/>
    <cellStyle name="常规 4 3 4 2 2" xfId="6606"/>
    <cellStyle name="常规 4 3 4 2 2 2" xfId="6607"/>
    <cellStyle name="常规 4 3 4 2 3" xfId="6608"/>
    <cellStyle name="常规 4 3 4 3" xfId="6609"/>
    <cellStyle name="常规 4 3 4 3 2" xfId="6610"/>
    <cellStyle name="常规 4 3 4 4" xfId="6611"/>
    <cellStyle name="常规 4 3 4 4 2" xfId="6612"/>
    <cellStyle name="常规 4 3 4 5" xfId="6613"/>
    <cellStyle name="常规 4 3 5" xfId="6614"/>
    <cellStyle name="常规 4 3 5 2" xfId="6615"/>
    <cellStyle name="常规 4 3 5 2 2" xfId="6616"/>
    <cellStyle name="常规 4 3 5 3" xfId="6617"/>
    <cellStyle name="常规 4 3 6" xfId="6618"/>
    <cellStyle name="常规 4 3 6 2" xfId="6619"/>
    <cellStyle name="常规 4 3 6 2 2" xfId="6620"/>
    <cellStyle name="常规 4 3 6 3" xfId="6621"/>
    <cellStyle name="常规 4 3 7" xfId="6622"/>
    <cellStyle name="常规 4 3 7 2" xfId="6623"/>
    <cellStyle name="常规 4 3 8" xfId="6624"/>
    <cellStyle name="常规 4 3 8 2" xfId="6625"/>
    <cellStyle name="常规 4 3 9" xfId="6626"/>
    <cellStyle name="常规 4 3 9 2" xfId="6627"/>
    <cellStyle name="常规 4 4" xfId="6628"/>
    <cellStyle name="常规 4 4 10" xfId="6629"/>
    <cellStyle name="常规 4 4 2" xfId="6630"/>
    <cellStyle name="常规 4 4 2 2" xfId="6631"/>
    <cellStyle name="常规 4 4 2 2 2" xfId="6632"/>
    <cellStyle name="常规 4 4 2 2 2 2" xfId="6633"/>
    <cellStyle name="常规 4 4 2 2 3" xfId="6634"/>
    <cellStyle name="常规 4 4 2 2 3 2" xfId="6635"/>
    <cellStyle name="常规 4 4 2 2 4" xfId="6636"/>
    <cellStyle name="常规 4 4 2 3" xfId="6637"/>
    <cellStyle name="常规 4 4 2 3 2" xfId="6638"/>
    <cellStyle name="常规 4 4 2 4" xfId="6639"/>
    <cellStyle name="常规 4 4 2 4 2" xfId="6640"/>
    <cellStyle name="常规 4 4 2 5" xfId="6641"/>
    <cellStyle name="常规 4 4 2 5 2" xfId="6642"/>
    <cellStyle name="常规 4 4 2 6" xfId="6643"/>
    <cellStyle name="常规 4 4 3" xfId="6644"/>
    <cellStyle name="常规 4 4 3 2" xfId="6645"/>
    <cellStyle name="常规 4 4 3 2 2" xfId="6646"/>
    <cellStyle name="常规 4 4 3 3" xfId="6647"/>
    <cellStyle name="常规 4 4 3 3 2" xfId="6648"/>
    <cellStyle name="常规 4 4 3 4" xfId="6649"/>
    <cellStyle name="常规 4 4 3 4 2" xfId="6650"/>
    <cellStyle name="常规 4 4 3 5" xfId="6651"/>
    <cellStyle name="常规 4 4 3 5 2" xfId="6652"/>
    <cellStyle name="常规 4 4 3 6" xfId="6653"/>
    <cellStyle name="常规 4 4 4" xfId="6654"/>
    <cellStyle name="常规 4 4 4 2" xfId="6655"/>
    <cellStyle name="常规 4 4 4 2 2" xfId="6656"/>
    <cellStyle name="常规 4 4 4 3" xfId="6657"/>
    <cellStyle name="常规 4 4 5" xfId="6658"/>
    <cellStyle name="常规 4 4 5 2" xfId="6659"/>
    <cellStyle name="常规 4 4 6" xfId="6660"/>
    <cellStyle name="常规 4 4 6 2" xfId="6661"/>
    <cellStyle name="常规 4 4 7" xfId="6662"/>
    <cellStyle name="常规 4 4 7 2" xfId="6663"/>
    <cellStyle name="常规 4 4 8" xfId="6664"/>
    <cellStyle name="常规 4 4 8 2" xfId="6665"/>
    <cellStyle name="常规 4 4 9" xfId="6666"/>
    <cellStyle name="常规 4 4 9 2" xfId="6667"/>
    <cellStyle name="常规 4 5" xfId="6668"/>
    <cellStyle name="常规 4 5 2" xfId="6669"/>
    <cellStyle name="常规 4 5 2 2" xfId="6670"/>
    <cellStyle name="常规 4 5 2 2 2" xfId="6671"/>
    <cellStyle name="常规 4 5 2 3" xfId="6672"/>
    <cellStyle name="常规 4 5 2 3 2" xfId="6673"/>
    <cellStyle name="常规 4 5 2 4" xfId="6674"/>
    <cellStyle name="常规 4 5 3" xfId="6675"/>
    <cellStyle name="常规 4 5 3 2" xfId="6676"/>
    <cellStyle name="常规 4 5 4" xfId="6677"/>
    <cellStyle name="常规 4 5 4 2" xfId="6678"/>
    <cellStyle name="常规 4 5 5" xfId="6679"/>
    <cellStyle name="常规 4 5 5 2" xfId="6680"/>
    <cellStyle name="常规 4 5 6" xfId="6681"/>
    <cellStyle name="常规 4 6" xfId="6682"/>
    <cellStyle name="常规 4 6 2" xfId="6683"/>
    <cellStyle name="常规 4 6 2 2" xfId="6684"/>
    <cellStyle name="常规 4 6 3" xfId="6685"/>
    <cellStyle name="常规 4 6 3 2" xfId="6686"/>
    <cellStyle name="常规 4 6 4" xfId="6687"/>
    <cellStyle name="常规 4 6 4 2" xfId="6688"/>
    <cellStyle name="常规 4 6 5" xfId="6689"/>
    <cellStyle name="常规 4 6 5 2" xfId="6690"/>
    <cellStyle name="常规 4 6 6" xfId="6691"/>
    <cellStyle name="常规 4 7" xfId="6692"/>
    <cellStyle name="常规 4 7 2" xfId="6693"/>
    <cellStyle name="常规 4 7 2 2" xfId="6694"/>
    <cellStyle name="常规 4 7 3" xfId="6695"/>
    <cellStyle name="常规 4 8" xfId="6696"/>
    <cellStyle name="常规 4 8 2" xfId="6697"/>
    <cellStyle name="常规 4 9" xfId="6698"/>
    <cellStyle name="常规 4 9 2" xfId="6699"/>
    <cellStyle name="常规 4_0315估算总表" xfId="6700"/>
    <cellStyle name="常规 40" xfId="15"/>
    <cellStyle name="常规 41" xfId="6701"/>
    <cellStyle name="常规 5" xfId="6702"/>
    <cellStyle name="常规 5 10" xfId="6703"/>
    <cellStyle name="常规 5 10 2" xfId="6704"/>
    <cellStyle name="常规 5 11" xfId="6705"/>
    <cellStyle name="常规 5 11 2" xfId="6706"/>
    <cellStyle name="常规 5 12" xfId="6707"/>
    <cellStyle name="常规 5 2" xfId="6708"/>
    <cellStyle name="常规 5 2 2" xfId="6709"/>
    <cellStyle name="常规 5 2 2 2" xfId="6710"/>
    <cellStyle name="常规 5 2 2 2 2" xfId="6711"/>
    <cellStyle name="常规 5 2 2 2 2 2" xfId="6712"/>
    <cellStyle name="常规 5 2 2 2 3" xfId="6713"/>
    <cellStyle name="常规 5 2 2 2 3 2" xfId="6714"/>
    <cellStyle name="常规 5 2 2 2 4" xfId="6715"/>
    <cellStyle name="常规 5 2 2 2 5" xfId="6716"/>
    <cellStyle name="常规 5 2 2 3" xfId="6717"/>
    <cellStyle name="常规 5 2 2 3 2" xfId="6718"/>
    <cellStyle name="常规 5 2 2 3 2 2" xfId="6719"/>
    <cellStyle name="常规 5 2 2 3 3" xfId="6720"/>
    <cellStyle name="常规 5 2 2 3 4" xfId="6721"/>
    <cellStyle name="常规 5 2 2 4" xfId="6722"/>
    <cellStyle name="常规 5 2 2 4 2" xfId="6723"/>
    <cellStyle name="常规 5 2 2 5" xfId="6724"/>
    <cellStyle name="常规 5 2 2 5 2" xfId="6725"/>
    <cellStyle name="常规 5 2 2 6" xfId="6726"/>
    <cellStyle name="常规 5 2 2 6 2" xfId="6727"/>
    <cellStyle name="常规 5 2 2 7" xfId="6728"/>
    <cellStyle name="常规 5 2 2 8" xfId="6729"/>
    <cellStyle name="常规 5 2 3" xfId="6730"/>
    <cellStyle name="常规 5 2 3 2" xfId="6731"/>
    <cellStyle name="常规 5 2 3 2 2" xfId="6732"/>
    <cellStyle name="常规 5 2 3 3" xfId="6733"/>
    <cellStyle name="常规 5 2 3 3 2" xfId="6734"/>
    <cellStyle name="常规 5 2 3 4" xfId="6735"/>
    <cellStyle name="常规 5 2 3 5" xfId="6736"/>
    <cellStyle name="常规 5 2 4" xfId="6737"/>
    <cellStyle name="常规 5 2 4 2" xfId="6738"/>
    <cellStyle name="常规 5 2 4 2 2" xfId="6739"/>
    <cellStyle name="常规 5 2 4 3" xfId="6740"/>
    <cellStyle name="常规 5 2 4 4" xfId="6741"/>
    <cellStyle name="常规 5 2 5" xfId="6742"/>
    <cellStyle name="常规 5 2 5 2" xfId="6743"/>
    <cellStyle name="常规 5 2 5 3" xfId="6744"/>
    <cellStyle name="常规 5 2 6" xfId="6745"/>
    <cellStyle name="常规 5 2 6 2" xfId="6746"/>
    <cellStyle name="常规 5 2 7" xfId="6747"/>
    <cellStyle name="常规 5 2 7 2" xfId="6748"/>
    <cellStyle name="常规 5 2 8" xfId="6749"/>
    <cellStyle name="常规 5 2 9" xfId="6750"/>
    <cellStyle name="常规 5 2_郑州新区二期扩建工程-概算总表 20180723" xfId="6751"/>
    <cellStyle name="常规 5 3" xfId="6752"/>
    <cellStyle name="常规 5 3 10" xfId="6753"/>
    <cellStyle name="常规 5 3 2" xfId="6754"/>
    <cellStyle name="常规 5 3 2 2" xfId="6755"/>
    <cellStyle name="常规 5 3 2 2 2" xfId="6756"/>
    <cellStyle name="常规 5 3 2 2 2 2" xfId="6757"/>
    <cellStyle name="常规 5 3 2 2 2 2 2" xfId="6758"/>
    <cellStyle name="常规 5 3 2 2 2 3" xfId="6759"/>
    <cellStyle name="常规 5 3 2 2 3" xfId="6760"/>
    <cellStyle name="常规 5 3 2 2 3 2" xfId="6761"/>
    <cellStyle name="常规 5 3 2 2 4" xfId="6762"/>
    <cellStyle name="常规 5 3 2 2 4 2" xfId="6763"/>
    <cellStyle name="常规 5 3 2 2 5" xfId="6764"/>
    <cellStyle name="常规 5 3 2 3" xfId="6765"/>
    <cellStyle name="常规 5 3 2 3 2" xfId="6766"/>
    <cellStyle name="常规 5 3 2 3 2 2" xfId="6767"/>
    <cellStyle name="常规 5 3 2 3 3" xfId="6768"/>
    <cellStyle name="常规 5 3 2 3 3 2" xfId="6769"/>
    <cellStyle name="常规 5 3 2 3 4" xfId="6770"/>
    <cellStyle name="常规 5 3 2 3 4 2" xfId="6771"/>
    <cellStyle name="常规 5 3 2 3 5" xfId="6772"/>
    <cellStyle name="常规 5 3 2 4" xfId="6773"/>
    <cellStyle name="常规 5 3 2 4 2" xfId="6774"/>
    <cellStyle name="常规 5 3 2 4 2 2" xfId="6775"/>
    <cellStyle name="常规 5 3 2 4 3" xfId="6776"/>
    <cellStyle name="常规 5 3 2 5" xfId="6777"/>
    <cellStyle name="常规 5 3 2 5 2" xfId="6778"/>
    <cellStyle name="常规 5 3 2 6" xfId="6779"/>
    <cellStyle name="常规 5 3 2 6 2" xfId="6780"/>
    <cellStyle name="常规 5 3 2 7" xfId="6781"/>
    <cellStyle name="常规 5 3 2 7 2" xfId="6782"/>
    <cellStyle name="常规 5 3 2 8" xfId="6783"/>
    <cellStyle name="常规 5 3 3" xfId="6784"/>
    <cellStyle name="常规 5 3 3 2" xfId="6785"/>
    <cellStyle name="常规 5 3 3 2 2" xfId="6786"/>
    <cellStyle name="常规 5 3 3 2 2 2" xfId="6787"/>
    <cellStyle name="常规 5 3 3 2 3" xfId="6788"/>
    <cellStyle name="常规 5 3 3 2 4" xfId="6789"/>
    <cellStyle name="常规 5 3 3 3" xfId="6790"/>
    <cellStyle name="常规 5 3 3 3 2" xfId="6791"/>
    <cellStyle name="常规 5 3 3 4" xfId="6792"/>
    <cellStyle name="常规 5 3 3 4 2" xfId="6793"/>
    <cellStyle name="常规 5 3 3 5" xfId="6794"/>
    <cellStyle name="常规 5 3 3 5 2" xfId="6795"/>
    <cellStyle name="常规 5 3 3 6" xfId="6796"/>
    <cellStyle name="常规 5 3 3 7" xfId="6797"/>
    <cellStyle name="常规 5 3 4" xfId="6798"/>
    <cellStyle name="常规 5 3 4 2" xfId="6799"/>
    <cellStyle name="常规 5 3 4 2 2" xfId="6800"/>
    <cellStyle name="常规 5 3 4 2 2 2" xfId="6801"/>
    <cellStyle name="常规 5 3 4 2 3" xfId="6802"/>
    <cellStyle name="常规 5 3 4 3" xfId="6803"/>
    <cellStyle name="常规 5 3 4 3 2" xfId="6804"/>
    <cellStyle name="常规 5 3 4 4" xfId="6805"/>
    <cellStyle name="常规 5 3 4 4 2" xfId="6806"/>
    <cellStyle name="常规 5 3 4 5" xfId="6807"/>
    <cellStyle name="常规 5 3 5" xfId="6808"/>
    <cellStyle name="常规 5 3 5 2" xfId="6809"/>
    <cellStyle name="常规 5 3 5 2 2" xfId="6810"/>
    <cellStyle name="常规 5 3 5 3" xfId="6811"/>
    <cellStyle name="常规 5 3 6" xfId="6812"/>
    <cellStyle name="常规 5 3 6 2" xfId="6813"/>
    <cellStyle name="常规 5 3 6 2 2" xfId="6814"/>
    <cellStyle name="常规 5 3 6 3" xfId="6815"/>
    <cellStyle name="常规 5 3 7" xfId="6816"/>
    <cellStyle name="常规 5 3 7 2" xfId="6817"/>
    <cellStyle name="常规 5 3 8" xfId="6818"/>
    <cellStyle name="常规 5 3 8 2" xfId="6819"/>
    <cellStyle name="常规 5 3 9" xfId="6820"/>
    <cellStyle name="常规 5 3 9 2" xfId="6821"/>
    <cellStyle name="常规 5 4" xfId="6822"/>
    <cellStyle name="常规 5 4 2" xfId="6823"/>
    <cellStyle name="常规 5 4 2 2" xfId="6824"/>
    <cellStyle name="常规 5 4 2 2 2" xfId="6825"/>
    <cellStyle name="常规 5 4 2 2 2 2" xfId="6826"/>
    <cellStyle name="常规 5 4 2 2 3" xfId="6827"/>
    <cellStyle name="常规 5 4 2 3" xfId="6828"/>
    <cellStyle name="常规 5 4 2 3 2" xfId="6829"/>
    <cellStyle name="常规 5 4 2 4" xfId="6830"/>
    <cellStyle name="常规 5 4 2 4 2" xfId="6831"/>
    <cellStyle name="常规 5 4 2 5" xfId="6832"/>
    <cellStyle name="常规 5 4 2 6" xfId="6833"/>
    <cellStyle name="常规 5 4 3" xfId="6834"/>
    <cellStyle name="常规 5 4 3 2" xfId="6835"/>
    <cellStyle name="常规 5 4 3 2 2" xfId="6836"/>
    <cellStyle name="常规 5 4 3 3" xfId="6837"/>
    <cellStyle name="常规 5 4 3 3 2" xfId="6838"/>
    <cellStyle name="常规 5 4 3 4" xfId="6839"/>
    <cellStyle name="常规 5 4 3 5" xfId="6840"/>
    <cellStyle name="常规 5 4 4" xfId="6841"/>
    <cellStyle name="常规 5 4 4 2" xfId="6842"/>
    <cellStyle name="常规 5 4 5" xfId="6843"/>
    <cellStyle name="常规 5 4 5 2" xfId="6844"/>
    <cellStyle name="常规 5 4 6" xfId="6845"/>
    <cellStyle name="常规 5 4 6 2" xfId="6846"/>
    <cellStyle name="常规 5 4 7" xfId="6847"/>
    <cellStyle name="常规 5 4 8" xfId="6848"/>
    <cellStyle name="常规 5 5" xfId="6849"/>
    <cellStyle name="常规 5 5 2" xfId="6850"/>
    <cellStyle name="常规 5 5 2 2" xfId="6851"/>
    <cellStyle name="常规 5 5 2 2 2" xfId="6852"/>
    <cellStyle name="常规 5 5 2 3" xfId="6853"/>
    <cellStyle name="常规 5 5 3" xfId="6854"/>
    <cellStyle name="常规 5 5 3 2" xfId="6855"/>
    <cellStyle name="常规 5 5 4" xfId="6856"/>
    <cellStyle name="常规 5 5 4 2" xfId="6857"/>
    <cellStyle name="常规 5 5 5" xfId="6858"/>
    <cellStyle name="常规 5 6" xfId="6859"/>
    <cellStyle name="常规 5 6 2" xfId="6860"/>
    <cellStyle name="常规 5 6 2 2" xfId="6861"/>
    <cellStyle name="常规 5 6 3" xfId="6862"/>
    <cellStyle name="常规 5 6 3 2" xfId="6863"/>
    <cellStyle name="常规 5 6 4" xfId="6864"/>
    <cellStyle name="常规 5 6 5" xfId="6865"/>
    <cellStyle name="常规 5 7" xfId="6866"/>
    <cellStyle name="常规 5 7 2" xfId="6867"/>
    <cellStyle name="常规 5 7 3" xfId="6868"/>
    <cellStyle name="常规 5 8" xfId="6869"/>
    <cellStyle name="常规 5 8 2" xfId="6870"/>
    <cellStyle name="常规 5 9" xfId="6871"/>
    <cellStyle name="常规 5 9 2" xfId="6872"/>
    <cellStyle name="常规 5_各种桩" xfId="6873"/>
    <cellStyle name="常规 6" xfId="6874"/>
    <cellStyle name="常规 6 10" xfId="11"/>
    <cellStyle name="常规 6 10 2" xfId="6875"/>
    <cellStyle name="常规 6 11" xfId="6876"/>
    <cellStyle name="常规 6 11 2" xfId="6877"/>
    <cellStyle name="常规 6 12" xfId="6878"/>
    <cellStyle name="常规 6 12 2" xfId="6879"/>
    <cellStyle name="常规 6 13" xfId="6880"/>
    <cellStyle name="常规 6 2" xfId="6881"/>
    <cellStyle name="常规 6 2 2" xfId="6882"/>
    <cellStyle name="常规 6 2 2 2" xfId="6883"/>
    <cellStyle name="常规 6 2 2 2 2" xfId="6884"/>
    <cellStyle name="常规 6 2 2 2 2 2" xfId="6885"/>
    <cellStyle name="常规 6 2 2 2 3" xfId="6886"/>
    <cellStyle name="常规 6 2 2 2 3 2" xfId="6887"/>
    <cellStyle name="常规 6 2 2 2 4" xfId="6888"/>
    <cellStyle name="常规 6 2 2 2 5" xfId="6889"/>
    <cellStyle name="常规 6 2 2 3" xfId="6890"/>
    <cellStyle name="常规 6 2 2 3 2" xfId="6891"/>
    <cellStyle name="常规 6 2 2 3 2 2" xfId="6892"/>
    <cellStyle name="常规 6 2 2 3 3" xfId="6893"/>
    <cellStyle name="常规 6 2 2 3 4" xfId="6894"/>
    <cellStyle name="常规 6 2 2 4" xfId="6895"/>
    <cellStyle name="常规 6 2 2 4 2" xfId="6896"/>
    <cellStyle name="常规 6 2 2 5" xfId="6897"/>
    <cellStyle name="常规 6 2 2 5 2" xfId="6898"/>
    <cellStyle name="常规 6 2 2 6" xfId="6899"/>
    <cellStyle name="常规 6 2 2 6 2" xfId="6900"/>
    <cellStyle name="常规 6 2 2 7" xfId="6901"/>
    <cellStyle name="常规 6 2 2 8" xfId="6902"/>
    <cellStyle name="常规 6 2 3" xfId="6903"/>
    <cellStyle name="常规 6 2 3 2" xfId="6904"/>
    <cellStyle name="常规 6 2 3 2 2" xfId="6905"/>
    <cellStyle name="常规 6 2 3 3" xfId="6906"/>
    <cellStyle name="常规 6 2 3 3 2" xfId="6907"/>
    <cellStyle name="常规 6 2 3 4" xfId="6908"/>
    <cellStyle name="常规 6 2 3 5" xfId="6909"/>
    <cellStyle name="常规 6 2 4" xfId="6910"/>
    <cellStyle name="常规 6 2 4 2" xfId="6911"/>
    <cellStyle name="常规 6 2 4 2 2" xfId="6912"/>
    <cellStyle name="常规 6 2 4 3" xfId="6913"/>
    <cellStyle name="常规 6 2 4 4" xfId="6914"/>
    <cellStyle name="常规 6 2 5" xfId="6915"/>
    <cellStyle name="常规 6 2 5 2" xfId="6916"/>
    <cellStyle name="常规 6 2 5 3" xfId="6917"/>
    <cellStyle name="常规 6 2 6" xfId="6918"/>
    <cellStyle name="常规 6 2 6 2" xfId="6919"/>
    <cellStyle name="常规 6 2 7" xfId="6920"/>
    <cellStyle name="常规 6 2 7 2" xfId="6921"/>
    <cellStyle name="常规 6 2 8" xfId="6922"/>
    <cellStyle name="常规 6 2 9" xfId="6923"/>
    <cellStyle name="常规 6 3" xfId="6924"/>
    <cellStyle name="常规 6 3 10" xfId="6925"/>
    <cellStyle name="常规 6 3 2" xfId="6926"/>
    <cellStyle name="常规 6 3 2 2" xfId="6927"/>
    <cellStyle name="常规 6 3 2 2 2" xfId="6928"/>
    <cellStyle name="常规 6 3 2 2 2 2" xfId="6929"/>
    <cellStyle name="常规 6 3 2 2 2 2 2" xfId="6930"/>
    <cellStyle name="常规 6 3 2 2 2 3" xfId="6931"/>
    <cellStyle name="常规 6 3 2 2 3" xfId="6932"/>
    <cellStyle name="常规 6 3 2 2 3 2" xfId="6933"/>
    <cellStyle name="常规 6 3 2 2 4" xfId="6934"/>
    <cellStyle name="常规 6 3 2 2 4 2" xfId="6935"/>
    <cellStyle name="常规 6 3 2 2 5" xfId="6936"/>
    <cellStyle name="常规 6 3 2 3" xfId="6937"/>
    <cellStyle name="常规 6 3 2 3 2" xfId="6938"/>
    <cellStyle name="常规 6 3 2 3 2 2" xfId="6939"/>
    <cellStyle name="常规 6 3 2 3 3" xfId="6940"/>
    <cellStyle name="常规 6 3 2 3 3 2" xfId="6941"/>
    <cellStyle name="常规 6 3 2 3 4" xfId="6942"/>
    <cellStyle name="常规 6 3 2 3 4 2" xfId="6943"/>
    <cellStyle name="常规 6 3 2 3 5" xfId="6944"/>
    <cellStyle name="常规 6 3 2 4" xfId="6945"/>
    <cellStyle name="常规 6 3 2 4 2" xfId="6946"/>
    <cellStyle name="常规 6 3 2 4 2 2" xfId="6947"/>
    <cellStyle name="常规 6 3 2 4 3" xfId="6948"/>
    <cellStyle name="常规 6 3 2 5" xfId="6949"/>
    <cellStyle name="常规 6 3 2 5 2" xfId="6950"/>
    <cellStyle name="常规 6 3 2 6" xfId="6951"/>
    <cellStyle name="常规 6 3 2 6 2" xfId="6952"/>
    <cellStyle name="常规 6 3 2 7" xfId="6953"/>
    <cellStyle name="常规 6 3 2 7 2" xfId="6954"/>
    <cellStyle name="常规 6 3 2 8" xfId="6955"/>
    <cellStyle name="常规 6 3 3" xfId="6956"/>
    <cellStyle name="常规 6 3 3 2" xfId="6957"/>
    <cellStyle name="常规 6 3 3 2 2" xfId="6958"/>
    <cellStyle name="常规 6 3 3 2 2 2" xfId="6959"/>
    <cellStyle name="常规 6 3 3 2 3" xfId="6960"/>
    <cellStyle name="常规 6 3 3 2 4" xfId="6961"/>
    <cellStyle name="常规 6 3 3 3" xfId="6962"/>
    <cellStyle name="常规 6 3 3 3 2" xfId="6963"/>
    <cellStyle name="常规 6 3 3 4" xfId="6964"/>
    <cellStyle name="常规 6 3 3 4 2" xfId="6965"/>
    <cellStyle name="常规 6 3 3 5" xfId="6966"/>
    <cellStyle name="常规 6 3 3 5 2" xfId="6967"/>
    <cellStyle name="常规 6 3 3 6" xfId="6968"/>
    <cellStyle name="常规 6 3 3 7" xfId="6969"/>
    <cellStyle name="常规 6 3 4" xfId="6970"/>
    <cellStyle name="常规 6 3 4 2" xfId="6971"/>
    <cellStyle name="常规 6 3 4 2 2" xfId="6972"/>
    <cellStyle name="常规 6 3 4 2 2 2" xfId="6973"/>
    <cellStyle name="常规 6 3 4 2 3" xfId="6974"/>
    <cellStyle name="常规 6 3 4 3" xfId="6975"/>
    <cellStyle name="常规 6 3 4 3 2" xfId="6976"/>
    <cellStyle name="常规 6 3 4 4" xfId="6977"/>
    <cellStyle name="常规 6 3 4 4 2" xfId="6978"/>
    <cellStyle name="常规 6 3 4 5" xfId="6979"/>
    <cellStyle name="常规 6 3 5" xfId="6980"/>
    <cellStyle name="常规 6 3 5 2" xfId="6981"/>
    <cellStyle name="常规 6 3 5 2 2" xfId="6982"/>
    <cellStyle name="常规 6 3 5 3" xfId="6983"/>
    <cellStyle name="常规 6 3 6" xfId="6984"/>
    <cellStyle name="常规 6 3 6 2" xfId="6985"/>
    <cellStyle name="常规 6 3 6 2 2" xfId="6986"/>
    <cellStyle name="常规 6 3 6 3" xfId="6987"/>
    <cellStyle name="常规 6 3 7" xfId="6988"/>
    <cellStyle name="常规 6 3 7 2" xfId="6989"/>
    <cellStyle name="常规 6 3 8" xfId="6990"/>
    <cellStyle name="常规 6 3 8 2" xfId="6991"/>
    <cellStyle name="常规 6 3 9" xfId="6992"/>
    <cellStyle name="常规 6 3 9 2" xfId="6993"/>
    <cellStyle name="常规 6 4" xfId="6994"/>
    <cellStyle name="常规 6 4 2" xfId="6995"/>
    <cellStyle name="常规 6 4 2 2" xfId="6996"/>
    <cellStyle name="常规 6 4 2 2 2" xfId="6997"/>
    <cellStyle name="常规 6 4 2 2 2 2" xfId="6998"/>
    <cellStyle name="常规 6 4 2 2 3" xfId="6999"/>
    <cellStyle name="常规 6 4 2 3" xfId="7000"/>
    <cellStyle name="常规 6 4 2 3 2" xfId="7001"/>
    <cellStyle name="常规 6 4 2 4" xfId="7002"/>
    <cellStyle name="常规 6 4 2 4 2" xfId="7003"/>
    <cellStyle name="常规 6 4 2 5" xfId="7004"/>
    <cellStyle name="常规 6 4 2 6" xfId="7005"/>
    <cellStyle name="常规 6 4 3" xfId="7006"/>
    <cellStyle name="常规 6 4 3 2" xfId="7007"/>
    <cellStyle name="常规 6 4 3 2 2" xfId="7008"/>
    <cellStyle name="常规 6 4 3 3" xfId="7009"/>
    <cellStyle name="常规 6 4 3 3 2" xfId="7010"/>
    <cellStyle name="常规 6 4 3 4" xfId="7011"/>
    <cellStyle name="常规 6 4 3 5" xfId="7012"/>
    <cellStyle name="常规 6 4 4" xfId="7013"/>
    <cellStyle name="常规 6 4 4 2" xfId="7014"/>
    <cellStyle name="常规 6 4 5" xfId="7015"/>
    <cellStyle name="常规 6 4 5 2" xfId="7016"/>
    <cellStyle name="常规 6 4 6" xfId="7017"/>
    <cellStyle name="常规 6 4 6 2" xfId="7018"/>
    <cellStyle name="常规 6 4 7" xfId="7019"/>
    <cellStyle name="常规 6 4 8" xfId="7020"/>
    <cellStyle name="常规 6 5" xfId="7021"/>
    <cellStyle name="常规 6 5 2" xfId="7022"/>
    <cellStyle name="常规 6 5 2 2" xfId="7023"/>
    <cellStyle name="常规 6 5 2 2 2" xfId="7024"/>
    <cellStyle name="常规 6 5 2 3" xfId="7025"/>
    <cellStyle name="常规 6 5 3" xfId="7026"/>
    <cellStyle name="常规 6 5 3 2" xfId="7027"/>
    <cellStyle name="常规 6 5 4" xfId="7028"/>
    <cellStyle name="常规 6 5 4 2" xfId="7029"/>
    <cellStyle name="常规 6 5 5" xfId="7030"/>
    <cellStyle name="常规 6 6" xfId="7031"/>
    <cellStyle name="常规 6 6 2" xfId="7032"/>
    <cellStyle name="常规 6 6 2 2" xfId="7033"/>
    <cellStyle name="常规 6 6 3" xfId="7034"/>
    <cellStyle name="常规 6 6 3 2" xfId="7035"/>
    <cellStyle name="常规 6 6 4" xfId="7036"/>
    <cellStyle name="常规 6 6 5" xfId="7037"/>
    <cellStyle name="常规 6 7" xfId="7038"/>
    <cellStyle name="常规 6 7 2" xfId="7039"/>
    <cellStyle name="常规 6 7 3" xfId="7040"/>
    <cellStyle name="常规 6 8" xfId="7041"/>
    <cellStyle name="常规 6 8 2" xfId="7042"/>
    <cellStyle name="常规 6 9" xfId="7043"/>
    <cellStyle name="常规 6 9 2" xfId="7044"/>
    <cellStyle name="常规 7" xfId="7045"/>
    <cellStyle name="常规 7 10" xfId="7046"/>
    <cellStyle name="常规 7 10 2" xfId="7047"/>
    <cellStyle name="常规 7 11" xfId="7048"/>
    <cellStyle name="常规 7 11 2" xfId="7049"/>
    <cellStyle name="常规 7 12" xfId="7050"/>
    <cellStyle name="常规 7 12 2" xfId="7051"/>
    <cellStyle name="常规 7 13" xfId="7052"/>
    <cellStyle name="常规 7 2" xfId="7053"/>
    <cellStyle name="常规 7 2 10" xfId="7054"/>
    <cellStyle name="常规 7 2 11" xfId="7055"/>
    <cellStyle name="常规 7 2 2" xfId="7056"/>
    <cellStyle name="常规 7 2 2 2" xfId="7057"/>
    <cellStyle name="常规 7 2 2 2 2" xfId="7058"/>
    <cellStyle name="常规 7 2 2 2 2 2" xfId="7059"/>
    <cellStyle name="常规 7 2 2 2 3" xfId="7060"/>
    <cellStyle name="常规 7 2 2 2 3 2" xfId="7061"/>
    <cellStyle name="常规 7 2 2 2 4" xfId="7062"/>
    <cellStyle name="常规 7 2 2 2 5" xfId="7063"/>
    <cellStyle name="常规 7 2 2 3" xfId="7064"/>
    <cellStyle name="常规 7 2 2 3 2" xfId="7065"/>
    <cellStyle name="常规 7 2 2 3 2 2" xfId="7066"/>
    <cellStyle name="常规 7 2 2 3 3" xfId="7067"/>
    <cellStyle name="常规 7 2 2 3 4" xfId="7068"/>
    <cellStyle name="常规 7 2 2 4" xfId="7069"/>
    <cellStyle name="常规 7 2 2 4 2" xfId="7070"/>
    <cellStyle name="常规 7 2 2 5" xfId="7071"/>
    <cellStyle name="常规 7 2 2 5 2" xfId="7072"/>
    <cellStyle name="常规 7 2 2 6" xfId="7073"/>
    <cellStyle name="常规 7 2 2 6 2" xfId="7074"/>
    <cellStyle name="常规 7 2 2 7" xfId="7075"/>
    <cellStyle name="常规 7 2 2 8" xfId="7076"/>
    <cellStyle name="常规 7 2 2_郑州新区二期扩建工程-概算总表 20180723" xfId="7077"/>
    <cellStyle name="常规 7 2 3" xfId="7078"/>
    <cellStyle name="常规 7 2 3 2" xfId="7079"/>
    <cellStyle name="常规 7 2 3 2 2" xfId="7080"/>
    <cellStyle name="常规 7 2 3 3" xfId="7081"/>
    <cellStyle name="常规 7 2 3 3 2" xfId="7082"/>
    <cellStyle name="常规 7 2 3 4" xfId="7083"/>
    <cellStyle name="常规 7 2 3 5" xfId="7084"/>
    <cellStyle name="常规 7 2 4" xfId="7085"/>
    <cellStyle name="常规 7 2 4 2" xfId="7086"/>
    <cellStyle name="常规 7 2 4 2 2" xfId="7087"/>
    <cellStyle name="常规 7 2 4 3" xfId="7088"/>
    <cellStyle name="常规 7 2 4 4" xfId="7089"/>
    <cellStyle name="常规 7 2 5" xfId="7090"/>
    <cellStyle name="常规 7 2 5 2" xfId="7091"/>
    <cellStyle name="常规 7 2 5 3" xfId="7092"/>
    <cellStyle name="常规 7 2 6" xfId="7093"/>
    <cellStyle name="常规 7 2 6 2" xfId="7094"/>
    <cellStyle name="常规 7 2 7" xfId="7095"/>
    <cellStyle name="常规 7 2 7 2" xfId="7096"/>
    <cellStyle name="常规 7 2 8" xfId="7097"/>
    <cellStyle name="常规 7 2 8 2" xfId="7098"/>
    <cellStyle name="常规 7 2 9" xfId="7099"/>
    <cellStyle name="常规 7 2 9 2" xfId="7100"/>
    <cellStyle name="常规 7 2_郑州新区二期扩建工程-概算总表 20180723" xfId="7101"/>
    <cellStyle name="常规 7 3" xfId="7102"/>
    <cellStyle name="常规 7 3 10" xfId="7103"/>
    <cellStyle name="常规 7 3 2" xfId="7104"/>
    <cellStyle name="常规 7 3 2 2" xfId="7105"/>
    <cellStyle name="常规 7 3 2 2 2" xfId="7106"/>
    <cellStyle name="常规 7 3 2 3" xfId="7107"/>
    <cellStyle name="常规 7 3 2 3 2" xfId="7108"/>
    <cellStyle name="常规 7 3 2 4" xfId="7109"/>
    <cellStyle name="常规 7 3 2 4 2" xfId="7110"/>
    <cellStyle name="常规 7 3 2 5" xfId="7111"/>
    <cellStyle name="常规 7 3 2 6" xfId="7112"/>
    <cellStyle name="常规 7 3 3" xfId="7113"/>
    <cellStyle name="常规 7 3 3 2" xfId="7114"/>
    <cellStyle name="常规 7 3 3 2 2" xfId="7115"/>
    <cellStyle name="常规 7 3 3 3" xfId="7116"/>
    <cellStyle name="常规 7 3 3 4" xfId="7117"/>
    <cellStyle name="常规 7 3 4" xfId="7118"/>
    <cellStyle name="常规 7 3 4 2" xfId="7119"/>
    <cellStyle name="常规 7 3 5" xfId="7120"/>
    <cellStyle name="常规 7 3 5 2" xfId="7121"/>
    <cellStyle name="常规 7 3 6" xfId="7122"/>
    <cellStyle name="常规 7 3 6 2" xfId="7123"/>
    <cellStyle name="常规 7 3 7" xfId="7124"/>
    <cellStyle name="常规 7 3 7 2" xfId="7125"/>
    <cellStyle name="常规 7 3 8" xfId="7126"/>
    <cellStyle name="常规 7 3 8 2" xfId="7127"/>
    <cellStyle name="常规 7 3 9" xfId="7128"/>
    <cellStyle name="常规 7 3_郑州新区二期扩建工程-概算总表 20180723" xfId="7129"/>
    <cellStyle name="常规 7 4" xfId="7130"/>
    <cellStyle name="常规 7 4 2" xfId="7131"/>
    <cellStyle name="常规 7 4 2 2" xfId="7132"/>
    <cellStyle name="常规 7 4 2 2 2" xfId="7133"/>
    <cellStyle name="常规 7 4 2 2 2 2" xfId="7134"/>
    <cellStyle name="常规 7 4 2 2 3" xfId="7135"/>
    <cellStyle name="常规 7 4 2 3" xfId="7136"/>
    <cellStyle name="常规 7 4 2 3 2" xfId="7137"/>
    <cellStyle name="常规 7 4 2 4" xfId="7138"/>
    <cellStyle name="常规 7 4 3" xfId="7139"/>
    <cellStyle name="常规 7 4 3 2" xfId="7140"/>
    <cellStyle name="常规 7 4 3 2 2" xfId="7141"/>
    <cellStyle name="常规 7 4 3 3" xfId="7142"/>
    <cellStyle name="常规 7 4 4" xfId="7143"/>
    <cellStyle name="常规 7 4 4 2" xfId="7144"/>
    <cellStyle name="常规 7 4 5" xfId="7145"/>
    <cellStyle name="常规 7 4 5 2" xfId="7146"/>
    <cellStyle name="常规 7 4 6" xfId="7147"/>
    <cellStyle name="常规 7 5" xfId="7148"/>
    <cellStyle name="常规 7 5 2" xfId="7149"/>
    <cellStyle name="常规 7 5 2 2" xfId="7150"/>
    <cellStyle name="常规 7 5 2 2 2" xfId="7151"/>
    <cellStyle name="常规 7 5 2 3" xfId="7152"/>
    <cellStyle name="常规 7 5 3" xfId="7153"/>
    <cellStyle name="常规 7 5 3 2" xfId="7154"/>
    <cellStyle name="常规 7 5 4" xfId="7155"/>
    <cellStyle name="常规 7 6" xfId="7156"/>
    <cellStyle name="常规 7 6 2" xfId="7157"/>
    <cellStyle name="常规 7 6 2 2" xfId="7158"/>
    <cellStyle name="常规 7 6 3" xfId="7159"/>
    <cellStyle name="常规 7 6 3 2" xfId="7160"/>
    <cellStyle name="常规 7 6 4" xfId="7161"/>
    <cellStyle name="常规 7 6 5" xfId="7162"/>
    <cellStyle name="常规 7 7" xfId="7163"/>
    <cellStyle name="常规 7 7 2" xfId="7164"/>
    <cellStyle name="常规 7 7 3" xfId="7165"/>
    <cellStyle name="常规 7 8" xfId="7166"/>
    <cellStyle name="常规 7 8 2" xfId="7167"/>
    <cellStyle name="常规 7 9" xfId="7168"/>
    <cellStyle name="常规 7 9 2" xfId="7169"/>
    <cellStyle name="常规 7_横岭厂二期估算表及成本" xfId="7170"/>
    <cellStyle name="常规 8" xfId="7171"/>
    <cellStyle name="常规 8 10" xfId="7172"/>
    <cellStyle name="常规 8 10 2" xfId="7173"/>
    <cellStyle name="常规 8 11" xfId="7174"/>
    <cellStyle name="常规 8 11 2" xfId="7175"/>
    <cellStyle name="常规 8 12" xfId="7176"/>
    <cellStyle name="常规 8 2" xfId="7177"/>
    <cellStyle name="常规 8 2 2" xfId="7178"/>
    <cellStyle name="常规 8 2 2 2" xfId="7179"/>
    <cellStyle name="常规 8 2 2 2 2" xfId="7180"/>
    <cellStyle name="常规 8 2 2 2 2 2" xfId="7181"/>
    <cellStyle name="常规 8 2 2 2 3" xfId="7182"/>
    <cellStyle name="常规 8 2 2 2 3 2" xfId="7183"/>
    <cellStyle name="常规 8 2 2 2 4" xfId="7184"/>
    <cellStyle name="常规 8 2 2 3" xfId="7185"/>
    <cellStyle name="常规 8 2 2 3 2" xfId="7186"/>
    <cellStyle name="常规 8 2 2 4" xfId="7187"/>
    <cellStyle name="常规 8 2 2 4 2" xfId="7188"/>
    <cellStyle name="常规 8 2 2 5" xfId="7189"/>
    <cellStyle name="常规 8 2 2 5 2" xfId="7190"/>
    <cellStyle name="常规 8 2 2 6" xfId="7191"/>
    <cellStyle name="常规 8 2 3" xfId="7192"/>
    <cellStyle name="常规 8 2 3 2" xfId="7193"/>
    <cellStyle name="常规 8 2 3 2 2" xfId="7194"/>
    <cellStyle name="常规 8 2 3 3" xfId="7195"/>
    <cellStyle name="常规 8 2 3 3 2" xfId="7196"/>
    <cellStyle name="常规 8 2 3 4" xfId="7197"/>
    <cellStyle name="常规 8 2 3 4 2" xfId="7198"/>
    <cellStyle name="常规 8 2 3 5" xfId="7199"/>
    <cellStyle name="常规 8 2 3 5 2" xfId="7200"/>
    <cellStyle name="常规 8 2 3 6" xfId="7201"/>
    <cellStyle name="常规 8 2 4" xfId="7202"/>
    <cellStyle name="常规 8 2 4 2" xfId="7203"/>
    <cellStyle name="常规 8 2 4 2 2" xfId="7204"/>
    <cellStyle name="常规 8 2 4 3" xfId="7205"/>
    <cellStyle name="常规 8 2 5" xfId="7206"/>
    <cellStyle name="常规 8 2 5 2" xfId="7207"/>
    <cellStyle name="常规 8 2 6" xfId="7208"/>
    <cellStyle name="常规 8 2 7" xfId="7209"/>
    <cellStyle name="常规 8 2 7 2" xfId="7210"/>
    <cellStyle name="常规 8 2 8" xfId="7211"/>
    <cellStyle name="常规 8 2 8 2" xfId="7212"/>
    <cellStyle name="常规 8 2 9" xfId="7213"/>
    <cellStyle name="常规 8 2_郑州新区二期-设备汇总表2018.8.30" xfId="7214"/>
    <cellStyle name="常规 8 3" xfId="7215"/>
    <cellStyle name="常规 8 3 2" xfId="7216"/>
    <cellStyle name="常规 8 3 2 2" xfId="7217"/>
    <cellStyle name="常规 8 3 2 2 2" xfId="7218"/>
    <cellStyle name="常规 8 3 2 2 2 2" xfId="7219"/>
    <cellStyle name="常规 8 3 2 2 3" xfId="7220"/>
    <cellStyle name="常规 8 3 2 3" xfId="7221"/>
    <cellStyle name="常规 8 3 2 3 2" xfId="7222"/>
    <cellStyle name="常规 8 3 2 4" xfId="7223"/>
    <cellStyle name="常规 8 3 3" xfId="7224"/>
    <cellStyle name="常规 8 3 3 2" xfId="7225"/>
    <cellStyle name="常规 8 3 3 2 2" xfId="7226"/>
    <cellStyle name="常规 8 3 3 3" xfId="7227"/>
    <cellStyle name="常规 8 3 4" xfId="7228"/>
    <cellStyle name="常规 8 3 4 2" xfId="7229"/>
    <cellStyle name="常规 8 3 5" xfId="7230"/>
    <cellStyle name="常规 8 3 5 2" xfId="7231"/>
    <cellStyle name="常规 8 3 6" xfId="7232"/>
    <cellStyle name="常规 8 3 6 2" xfId="7233"/>
    <cellStyle name="常规 8 3 7" xfId="7234"/>
    <cellStyle name="常规 8 4" xfId="7235"/>
    <cellStyle name="常规 8 4 2" xfId="7236"/>
    <cellStyle name="常规 8 4 2 2" xfId="7237"/>
    <cellStyle name="常规 8 4 2 2 2" xfId="7238"/>
    <cellStyle name="常规 8 4 2 3" xfId="7239"/>
    <cellStyle name="常规 8 4 3" xfId="7240"/>
    <cellStyle name="常规 8 4 3 2" xfId="7241"/>
    <cellStyle name="常规 8 4 4" xfId="7242"/>
    <cellStyle name="常规 8 4 4 2" xfId="7243"/>
    <cellStyle name="常规 8 4 5" xfId="7244"/>
    <cellStyle name="常规 8 4 5 2" xfId="7245"/>
    <cellStyle name="常规 8 4 6" xfId="7246"/>
    <cellStyle name="常规 8 5" xfId="7247"/>
    <cellStyle name="常规 8 5 2" xfId="7248"/>
    <cellStyle name="常规 8 5 2 2" xfId="7249"/>
    <cellStyle name="常规 8 5 2 2 2" xfId="7250"/>
    <cellStyle name="常规 8 5 2 3" xfId="7251"/>
    <cellStyle name="常规 8 5 3" xfId="7252"/>
    <cellStyle name="常规 8 5 3 2" xfId="7253"/>
    <cellStyle name="常规 8 5 4" xfId="7254"/>
    <cellStyle name="常规 8 6" xfId="7255"/>
    <cellStyle name="常规 8 6 2" xfId="7256"/>
    <cellStyle name="常规 8 6 2 2" xfId="7257"/>
    <cellStyle name="常规 8 6 3" xfId="7258"/>
    <cellStyle name="常规 8 7" xfId="7259"/>
    <cellStyle name="常规 8 7 2" xfId="7260"/>
    <cellStyle name="常规 8 7 2 2" xfId="7261"/>
    <cellStyle name="常规 8 7 3" xfId="7262"/>
    <cellStyle name="常规 8 8" xfId="7263"/>
    <cellStyle name="常规 8 8 2" xfId="7264"/>
    <cellStyle name="常规 8 9" xfId="7265"/>
    <cellStyle name="常规 8 9 2" xfId="7266"/>
    <cellStyle name="常规 9" xfId="7267"/>
    <cellStyle name="常规 9 10" xfId="7268"/>
    <cellStyle name="常规 9 2" xfId="7269"/>
    <cellStyle name="常规 9 2 2" xfId="7270"/>
    <cellStyle name="常规 9 2 2 2" xfId="7271"/>
    <cellStyle name="常规 9 2 2 2 2" xfId="7272"/>
    <cellStyle name="常规 9 2 2 3" xfId="7273"/>
    <cellStyle name="常规 9 2 2 3 2" xfId="7274"/>
    <cellStyle name="常规 9 2 2 4" xfId="7275"/>
    <cellStyle name="常规 9 2 2 4 2" xfId="7276"/>
    <cellStyle name="常规 9 2 2 5" xfId="7277"/>
    <cellStyle name="常规 9 2 2 6" xfId="7278"/>
    <cellStyle name="常规 9 2 3" xfId="7279"/>
    <cellStyle name="常规 9 2 3 2" xfId="7280"/>
    <cellStyle name="常规 9 2 3 2 2" xfId="7281"/>
    <cellStyle name="常规 9 2 3 3" xfId="7282"/>
    <cellStyle name="常规 9 2 3 4" xfId="7283"/>
    <cellStyle name="常规 9 2 4" xfId="7284"/>
    <cellStyle name="常规 9 2 4 2" xfId="7285"/>
    <cellStyle name="常规 9 2 5" xfId="7286"/>
    <cellStyle name="常规 9 2 5 2" xfId="7287"/>
    <cellStyle name="常规 9 2 6" xfId="7288"/>
    <cellStyle name="常规 9 2 6 2" xfId="7289"/>
    <cellStyle name="常规 9 2 7" xfId="7290"/>
    <cellStyle name="常规 9 2 8" xfId="7291"/>
    <cellStyle name="常规 9 2_郑州新区二期扩建工程-概算总表 20180723" xfId="7292"/>
    <cellStyle name="常规 9 3" xfId="7293"/>
    <cellStyle name="常规 9 3 2" xfId="7294"/>
    <cellStyle name="常规 9 3 2 2" xfId="7295"/>
    <cellStyle name="常规 9 3 3" xfId="7296"/>
    <cellStyle name="常规 9 3 3 2" xfId="7297"/>
    <cellStyle name="常规 9 3 4" xfId="7298"/>
    <cellStyle name="常规 9 3 4 2" xfId="7299"/>
    <cellStyle name="常规 9 3 5" xfId="7300"/>
    <cellStyle name="常规 9 3 6" xfId="7301"/>
    <cellStyle name="常规 9 4" xfId="7302"/>
    <cellStyle name="常规 9 4 2" xfId="7303"/>
    <cellStyle name="常规 9 4 2 2" xfId="7304"/>
    <cellStyle name="常规 9 4 3" xfId="7305"/>
    <cellStyle name="常规 9 4 4" xfId="7306"/>
    <cellStyle name="常规 9 5" xfId="7307"/>
    <cellStyle name="常规 9 5 2" xfId="7308"/>
    <cellStyle name="常规 9 5 3" xfId="7309"/>
    <cellStyle name="常规 9 6" xfId="7310"/>
    <cellStyle name="常规 9 6 2" xfId="7311"/>
    <cellStyle name="常规 9 7" xfId="7312"/>
    <cellStyle name="常规 9 7 2" xfId="7313"/>
    <cellStyle name="常规 9 8" xfId="7314"/>
    <cellStyle name="常规 9 8 2" xfId="7315"/>
    <cellStyle name="常规 9 9" xfId="7316"/>
    <cellStyle name="常规 9_郑州新区二期扩建工程-概算总表 20180723" xfId="7317"/>
    <cellStyle name="常规_Book1 2" xfId="8"/>
    <cellStyle name="常规_zjzb" xfId="1"/>
    <cellStyle name="常规_崇明崇西水厂初设2012.2.16" xfId="7"/>
    <cellStyle name="常规_涪陵AAO总表20140505方案三" xfId="13"/>
    <cellStyle name="常规_工可报告" xfId="4"/>
    <cellStyle name="常规_嘉定南翔污水厂总表-项建书正" xfId="3"/>
    <cellStyle name="常规_江苏省建设工程造价咨询服务费" xfId="17"/>
    <cellStyle name="常规_江苏省建设工程造价咨询服务费 2" xfId="18"/>
    <cellStyle name="常规_柳州投标" xfId="10"/>
    <cellStyle name="常规_杨厂7号线可行性10－16 的备份" xfId="2"/>
    <cellStyle name="超级链接" xfId="7318"/>
    <cellStyle name="好 2" xfId="7319"/>
    <cellStyle name="好 2 2" xfId="7320"/>
    <cellStyle name="好 2 2 2" xfId="7321"/>
    <cellStyle name="好 2 2 2 2" xfId="7322"/>
    <cellStyle name="好 2 2 2 2 2" xfId="7323"/>
    <cellStyle name="好 2 2 2 3" xfId="7324"/>
    <cellStyle name="好 2 2 2 3 2" xfId="7325"/>
    <cellStyle name="好 2 2 2 4" xfId="7326"/>
    <cellStyle name="好 2 2 2 4 2" xfId="7327"/>
    <cellStyle name="好 2 2 2 5" xfId="7328"/>
    <cellStyle name="好 2 2 3" xfId="7329"/>
    <cellStyle name="好 2 2 3 2" xfId="7330"/>
    <cellStyle name="好 2 2 3 2 2" xfId="7331"/>
    <cellStyle name="好 2 2 3 3" xfId="7332"/>
    <cellStyle name="好 2 2 3 3 2" xfId="7333"/>
    <cellStyle name="好 2 2 3 4" xfId="7334"/>
    <cellStyle name="好 2 2 3 4 2" xfId="7335"/>
    <cellStyle name="好 2 2 3 5" xfId="7336"/>
    <cellStyle name="好 2 2 4" xfId="7337"/>
    <cellStyle name="好 2 2 4 2" xfId="7338"/>
    <cellStyle name="好 2 2 5" xfId="7339"/>
    <cellStyle name="好 2 2 5 2" xfId="7340"/>
    <cellStyle name="好 2 2 6" xfId="7341"/>
    <cellStyle name="好 2 2_郑州新区二期扩建工程-概算总表 20180723" xfId="7342"/>
    <cellStyle name="好 2 3" xfId="7343"/>
    <cellStyle name="好 2 3 2" xfId="7344"/>
    <cellStyle name="好 2 3 2 2" xfId="7345"/>
    <cellStyle name="好 2 3 3" xfId="7346"/>
    <cellStyle name="好 2 3 3 2" xfId="7347"/>
    <cellStyle name="好 2 3 4" xfId="7348"/>
    <cellStyle name="好 2 3 4 2" xfId="7349"/>
    <cellStyle name="好 2 3 5" xfId="7350"/>
    <cellStyle name="好 2 4" xfId="7351"/>
    <cellStyle name="好 2 4 2" xfId="7352"/>
    <cellStyle name="好 2 4 2 2" xfId="7353"/>
    <cellStyle name="好 2 4 3" xfId="7354"/>
    <cellStyle name="好 2 5" xfId="7355"/>
    <cellStyle name="好 2 5 2" xfId="7356"/>
    <cellStyle name="好 2 6" xfId="7357"/>
    <cellStyle name="好 2 6 2" xfId="7358"/>
    <cellStyle name="好 2 7" xfId="7359"/>
    <cellStyle name="好 2 7 2" xfId="7360"/>
    <cellStyle name="好 2 8" xfId="7361"/>
    <cellStyle name="好 2 8 2" xfId="7362"/>
    <cellStyle name="好 2 9" xfId="7363"/>
    <cellStyle name="好 2_郑州新区二期扩建工程-概算总表 20180723" xfId="7364"/>
    <cellStyle name="好 3" xfId="7365"/>
    <cellStyle name="好 3 2" xfId="7366"/>
    <cellStyle name="好 3 2 2" xfId="7367"/>
    <cellStyle name="好 3 3" xfId="7368"/>
    <cellStyle name="好 3_郑州新区二期扩建工程-概算总表 20180723" xfId="7369"/>
    <cellStyle name="好 4" xfId="7370"/>
    <cellStyle name="好 4 2" xfId="7371"/>
    <cellStyle name="好_(比选）财务评价" xfId="7372"/>
    <cellStyle name="好_(比选）财务评价 2" xfId="7373"/>
    <cellStyle name="好_(比选）财务评价 2 2" xfId="7374"/>
    <cellStyle name="好_(比选）财务评价 2 2 2" xfId="7375"/>
    <cellStyle name="好_(比选）财务评价 2 2 2 2" xfId="7376"/>
    <cellStyle name="好_(比选）财务评价 2 2 3" xfId="7377"/>
    <cellStyle name="好_(比选）财务评价 2 2 3 2" xfId="7378"/>
    <cellStyle name="好_(比选）财务评价 2 2 4" xfId="7379"/>
    <cellStyle name="好_(比选）财务评价 2 3" xfId="7380"/>
    <cellStyle name="好_(比选）财务评价 2 3 2" xfId="7381"/>
    <cellStyle name="好_(比选）财务评价 2 4" xfId="7382"/>
    <cellStyle name="好_(比选）财务评价 2 4 2" xfId="7383"/>
    <cellStyle name="好_(比选）财务评价 2 5" xfId="7384"/>
    <cellStyle name="好_(比选）财务评价 3" xfId="7385"/>
    <cellStyle name="好_(比选）财务评价 3 2" xfId="7386"/>
    <cellStyle name="好_(比选）财务评价 3 2 2" xfId="7387"/>
    <cellStyle name="好_(比选）财务评价 3 3" xfId="7388"/>
    <cellStyle name="好_(比选）财务评价 3 3 2" xfId="7389"/>
    <cellStyle name="好_(比选）财务评价 3 4" xfId="7390"/>
    <cellStyle name="好_(比选）财务评价 4" xfId="7391"/>
    <cellStyle name="好_(比选）财务评价 4 2" xfId="7392"/>
    <cellStyle name="好_(比选）财务评价 5" xfId="7393"/>
    <cellStyle name="好_(比选）财务评价 5 2" xfId="7394"/>
    <cellStyle name="好_(比选）财务评价 6" xfId="7395"/>
    <cellStyle name="好_(比选）财务评价 6 2" xfId="7396"/>
    <cellStyle name="好_(比选）财务评价 7" xfId="7397"/>
    <cellStyle name="好_A标材料表" xfId="7398"/>
    <cellStyle name="好_B标科佳材料表1" xfId="7399"/>
    <cellStyle name="好_dy20110919" xfId="7400"/>
    <cellStyle name="好_dy20110919 2" xfId="7401"/>
    <cellStyle name="好_gpj" xfId="7402"/>
    <cellStyle name="好_gpj 2" xfId="7403"/>
    <cellStyle name="好_gs20090327调整" xfId="7404"/>
    <cellStyle name="好_gs20090327调整 2" xfId="7405"/>
    <cellStyle name="好_gs20090327调整 2 2" xfId="7406"/>
    <cellStyle name="好_gs20090327调整 2 2 2" xfId="7407"/>
    <cellStyle name="好_gs20090327调整 2 2 2 2" xfId="7408"/>
    <cellStyle name="好_gs20090327调整 2 2 3" xfId="7409"/>
    <cellStyle name="好_gs20090327调整 2 2 3 2" xfId="7410"/>
    <cellStyle name="好_gs20090327调整 2 2 4" xfId="7411"/>
    <cellStyle name="好_gs20090327调整 2 2 4 2" xfId="7412"/>
    <cellStyle name="好_gs20090327调整 2 2 5" xfId="7413"/>
    <cellStyle name="好_gs20090327调整 2 3" xfId="7414"/>
    <cellStyle name="好_gs20090327调整 2 3 2" xfId="7415"/>
    <cellStyle name="好_gs20090327调整 2 3 2 2" xfId="7416"/>
    <cellStyle name="好_gs20090327调整 2 3 3" xfId="7417"/>
    <cellStyle name="好_gs20090327调整 2 3 3 2" xfId="7418"/>
    <cellStyle name="好_gs20090327调整 2 3 4" xfId="7419"/>
    <cellStyle name="好_gs20090327调整 2 3 4 2" xfId="7420"/>
    <cellStyle name="好_gs20090327调整 2 3 5" xfId="7421"/>
    <cellStyle name="好_gs20090327调整 2 4" xfId="7422"/>
    <cellStyle name="好_gs20090327调整 2 4 2" xfId="7423"/>
    <cellStyle name="好_gs20090327调整 2 5" xfId="7424"/>
    <cellStyle name="好_gs20090327调整 2 5 2" xfId="7425"/>
    <cellStyle name="好_gs20090327调整 2 6" xfId="7426"/>
    <cellStyle name="好_gs20090327调整 3" xfId="7427"/>
    <cellStyle name="好_gs20090327调整 3 2" xfId="7428"/>
    <cellStyle name="好_gs20090327调整 3 2 2" xfId="7429"/>
    <cellStyle name="好_gs20090327调整 3 3" xfId="7430"/>
    <cellStyle name="好_gs20090327调整 3 3 2" xfId="7431"/>
    <cellStyle name="好_gs20090327调整 3 4" xfId="7432"/>
    <cellStyle name="好_gs20090327调整 3 4 2" xfId="7433"/>
    <cellStyle name="好_gs20090327调整 3 5" xfId="7434"/>
    <cellStyle name="好_gs20090327调整 4" xfId="7435"/>
    <cellStyle name="好_gs20090327调整 4 2" xfId="7436"/>
    <cellStyle name="好_gs20090327调整 4 2 2" xfId="7437"/>
    <cellStyle name="好_gs20090327调整 4 3" xfId="7438"/>
    <cellStyle name="好_gs20090327调整 5" xfId="7439"/>
    <cellStyle name="好_gs20090327调整 5 2" xfId="7440"/>
    <cellStyle name="好_gs20090327调整 6" xfId="7441"/>
    <cellStyle name="好_gs20090327调整 6 2" xfId="7442"/>
    <cellStyle name="好_gs20090327调整 7" xfId="7443"/>
    <cellStyle name="好_gs20090327调整 7 2" xfId="7444"/>
    <cellStyle name="好_gs20090327调整 8" xfId="7445"/>
    <cellStyle name="好_gs20090327调整 8 2" xfId="7446"/>
    <cellStyle name="好_gs20090327调整 9" xfId="7447"/>
    <cellStyle name="好_gs20090327调整_交接" xfId="7448"/>
    <cellStyle name="好_gs20090327调整_设备交接" xfId="7449"/>
    <cellStyle name="好_gs20101106" xfId="7450"/>
    <cellStyle name="好_gs20101106 2" xfId="7451"/>
    <cellStyle name="好_gs20101106 2 2" xfId="7452"/>
    <cellStyle name="好_gs20101106 2 2 2" xfId="7453"/>
    <cellStyle name="好_gs20101106 2 2 2 2" xfId="7454"/>
    <cellStyle name="好_gs20101106 2 2 3" xfId="7455"/>
    <cellStyle name="好_gs20101106 2 2 3 2" xfId="7456"/>
    <cellStyle name="好_gs20101106 2 2 4" xfId="7457"/>
    <cellStyle name="好_gs20101106 2 2 4 2" xfId="7458"/>
    <cellStyle name="好_gs20101106 2 2 5" xfId="7459"/>
    <cellStyle name="好_gs20101106 2 3" xfId="7460"/>
    <cellStyle name="好_gs20101106 2 3 2" xfId="7461"/>
    <cellStyle name="好_gs20101106 2 3 2 2" xfId="7462"/>
    <cellStyle name="好_gs20101106 2 3 3" xfId="7463"/>
    <cellStyle name="好_gs20101106 2 3 3 2" xfId="7464"/>
    <cellStyle name="好_gs20101106 2 3 4" xfId="7465"/>
    <cellStyle name="好_gs20101106 2 3 4 2" xfId="7466"/>
    <cellStyle name="好_gs20101106 2 3 5" xfId="7467"/>
    <cellStyle name="好_gs20101106 2 4" xfId="7468"/>
    <cellStyle name="好_gs20101106 2 4 2" xfId="7469"/>
    <cellStyle name="好_gs20101106 2 5" xfId="7470"/>
    <cellStyle name="好_gs20101106 2 5 2" xfId="7471"/>
    <cellStyle name="好_gs20101106 2 6" xfId="7472"/>
    <cellStyle name="好_gs20101106 3" xfId="7473"/>
    <cellStyle name="好_gs20101106 3 2" xfId="7474"/>
    <cellStyle name="好_gs20101106 3 2 2" xfId="7475"/>
    <cellStyle name="好_gs20101106 3 3" xfId="7476"/>
    <cellStyle name="好_gs20101106 3 3 2" xfId="7477"/>
    <cellStyle name="好_gs20101106 3 4" xfId="7478"/>
    <cellStyle name="好_gs20101106 3 4 2" xfId="7479"/>
    <cellStyle name="好_gs20101106 3 5" xfId="7480"/>
    <cellStyle name="好_gs20101106 4" xfId="7481"/>
    <cellStyle name="好_gs20101106 4 2" xfId="7482"/>
    <cellStyle name="好_gs20101106 4 2 2" xfId="7483"/>
    <cellStyle name="好_gs20101106 4 3" xfId="7484"/>
    <cellStyle name="好_gs20101106 5" xfId="7485"/>
    <cellStyle name="好_gs20101106 5 2" xfId="7486"/>
    <cellStyle name="好_gs20101106 6" xfId="7487"/>
    <cellStyle name="好_gs20101106 6 2" xfId="7488"/>
    <cellStyle name="好_gs20101106 7" xfId="7489"/>
    <cellStyle name="好_gs20101106 7 2" xfId="7490"/>
    <cellStyle name="好_gs20101106 8" xfId="7491"/>
    <cellStyle name="好_gs20101106_交接" xfId="7492"/>
    <cellStyle name="好_gs20101106_设备交接" xfId="7493"/>
    <cellStyle name="好_LIST0（徐鑫）" xfId="7494"/>
    <cellStyle name="好_sb" xfId="7495"/>
    <cellStyle name="好_sb 10" xfId="7496"/>
    <cellStyle name="好_sb 2" xfId="7497"/>
    <cellStyle name="好_sb 2 2" xfId="7498"/>
    <cellStyle name="好_sb 2 2 2" xfId="7499"/>
    <cellStyle name="好_sb 2 2 2 2" xfId="7500"/>
    <cellStyle name="好_sb 2 2 2 2 2" xfId="7501"/>
    <cellStyle name="好_sb 2 2 2 3" xfId="7502"/>
    <cellStyle name="好_sb 2 2 3" xfId="7503"/>
    <cellStyle name="好_sb 2 2 3 2" xfId="7504"/>
    <cellStyle name="好_sb 2 2 4" xfId="7505"/>
    <cellStyle name="好_sb 2 2 4 2" xfId="7506"/>
    <cellStyle name="好_sb 2 2 5" xfId="7507"/>
    <cellStyle name="好_sb 2 2 5 2" xfId="7508"/>
    <cellStyle name="好_sb 2 2 6" xfId="7509"/>
    <cellStyle name="好_sb 2 3" xfId="7510"/>
    <cellStyle name="好_sb 2 3 2" xfId="7511"/>
    <cellStyle name="好_sb 2 3 2 2" xfId="7512"/>
    <cellStyle name="好_sb 2 3 3" xfId="7513"/>
    <cellStyle name="好_sb 2 3 3 2" xfId="7514"/>
    <cellStyle name="好_sb 2 3 4" xfId="7515"/>
    <cellStyle name="好_sb 2 3 4 2" xfId="7516"/>
    <cellStyle name="好_sb 2 3 5" xfId="7517"/>
    <cellStyle name="好_sb 2 3 5 2" xfId="7518"/>
    <cellStyle name="好_sb 2 3 6" xfId="7519"/>
    <cellStyle name="好_sb 2 4" xfId="7520"/>
    <cellStyle name="好_sb 2 4 2" xfId="7521"/>
    <cellStyle name="好_sb 2 5" xfId="7522"/>
    <cellStyle name="好_sb 2 5 2" xfId="7523"/>
    <cellStyle name="好_sb 2 6" xfId="7524"/>
    <cellStyle name="好_sb 2 6 2" xfId="7525"/>
    <cellStyle name="好_sb 2 7" xfId="7526"/>
    <cellStyle name="好_sb 3" xfId="7527"/>
    <cellStyle name="好_sb 3 2" xfId="7528"/>
    <cellStyle name="好_sb 3 2 2" xfId="7529"/>
    <cellStyle name="好_sb 3 2 2 2" xfId="7530"/>
    <cellStyle name="好_sb 3 2 3" xfId="7531"/>
    <cellStyle name="好_sb 3 3" xfId="7532"/>
    <cellStyle name="好_sb 3 3 2" xfId="7533"/>
    <cellStyle name="好_sb 3 4" xfId="7534"/>
    <cellStyle name="好_sb 3 4 2" xfId="7535"/>
    <cellStyle name="好_sb 3 5" xfId="7536"/>
    <cellStyle name="好_sb 3 5 2" xfId="7537"/>
    <cellStyle name="好_sb 3 6" xfId="7538"/>
    <cellStyle name="好_sb 4" xfId="7539"/>
    <cellStyle name="好_sb 4 2" xfId="7540"/>
    <cellStyle name="好_sb 4 2 2" xfId="7541"/>
    <cellStyle name="好_sb 4 3" xfId="7542"/>
    <cellStyle name="好_sb 5" xfId="7543"/>
    <cellStyle name="好_sb 5 2" xfId="7544"/>
    <cellStyle name="好_sb 6" xfId="7545"/>
    <cellStyle name="好_sb 6 2" xfId="7546"/>
    <cellStyle name="好_sb 7" xfId="7547"/>
    <cellStyle name="好_sb 7 2" xfId="7548"/>
    <cellStyle name="好_sb 8" xfId="7549"/>
    <cellStyle name="好_sb 8 2" xfId="7550"/>
    <cellStyle name="好_sb 9" xfId="7551"/>
    <cellStyle name="好_sb 9 2" xfId="7552"/>
    <cellStyle name="好_sb_dy20110919" xfId="7553"/>
    <cellStyle name="好_sb_dy20110919 2" xfId="7554"/>
    <cellStyle name="好_sb_交接" xfId="7555"/>
    <cellStyle name="好_sb_南三环管配件20110914" xfId="7556"/>
    <cellStyle name="好_sb_南三环管配件20110914 2" xfId="7557"/>
    <cellStyle name="好_sb_南三环暖通" xfId="7558"/>
    <cellStyle name="好_sb_南三环暖通 2" xfId="7559"/>
    <cellStyle name="好_sb_设备单项" xfId="7560"/>
    <cellStyle name="好_sb_设备单项 2" xfId="7561"/>
    <cellStyle name="好_sb_设备交接" xfId="7562"/>
    <cellStyle name="好_Xl0000010" xfId="7563"/>
    <cellStyle name="好_Xl0000010 2" xfId="7564"/>
    <cellStyle name="好_Xl0000011" xfId="7565"/>
    <cellStyle name="好_Xl0000011 2" xfId="7566"/>
    <cellStyle name="好_Xl0000076" xfId="7567"/>
    <cellStyle name="好_Xl0000111" xfId="7568"/>
    <cellStyle name="好_Xl0000247" xfId="7569"/>
    <cellStyle name="好_zj-intake-pf-clb" xfId="7570"/>
    <cellStyle name="好_zj-intake-pf-clb20120807" xfId="7571"/>
    <cellStyle name="好_zjzrz-f-clb20121220" xfId="7572"/>
    <cellStyle name="好_zjzrz-f-clb20130226" xfId="7573"/>
    <cellStyle name="好_安亭国际汽车城污水处理厂升级改造工程 暖通" xfId="7574"/>
    <cellStyle name="好_安亭污水厂总表-项建书" xfId="7575"/>
    <cellStyle name="好_安亭污水厂总表-项建书1029" xfId="7576"/>
    <cellStyle name="好_安亭总表工可2015.5（校对）-最终稿" xfId="7577"/>
    <cellStyle name="好_包头管廊工可（2016.4.12）" xfId="7578"/>
    <cellStyle name="好_包头管廊工可（方案比较2016.3.30）" xfId="7579"/>
    <cellStyle name="好_包头管廊工可（方案比较2016.4.7）" xfId="7580"/>
    <cellStyle name="好_北区发电机房" xfId="7581"/>
    <cellStyle name="好_北区发电机房 2" xfId="7582"/>
    <cellStyle name="好_北区发电机房 2 2" xfId="7583"/>
    <cellStyle name="好_北区发电机房 2 2 2" xfId="7584"/>
    <cellStyle name="好_北区发电机房 2 2 2 2" xfId="7585"/>
    <cellStyle name="好_北区发电机房 2 2 3" xfId="7586"/>
    <cellStyle name="好_北区发电机房 2 2 3 2" xfId="7587"/>
    <cellStyle name="好_北区发电机房 2 2 4" xfId="7588"/>
    <cellStyle name="好_北区发电机房 2 3" xfId="7589"/>
    <cellStyle name="好_北区发电机房 2 3 2" xfId="7590"/>
    <cellStyle name="好_北区发电机房 2 4" xfId="7591"/>
    <cellStyle name="好_北区发电机房 2 4 2" xfId="7592"/>
    <cellStyle name="好_北区发电机房 2 5" xfId="7593"/>
    <cellStyle name="好_北区发电机房 3" xfId="7594"/>
    <cellStyle name="好_北区发电机房 3 2" xfId="7595"/>
    <cellStyle name="好_北区发电机房 3 2 2" xfId="7596"/>
    <cellStyle name="好_北区发电机房 3 3" xfId="7597"/>
    <cellStyle name="好_北区发电机房 3 3 2" xfId="7598"/>
    <cellStyle name="好_北区发电机房 3 4" xfId="7599"/>
    <cellStyle name="好_北区发电机房 4" xfId="7600"/>
    <cellStyle name="好_北区发电机房 4 2" xfId="7601"/>
    <cellStyle name="好_北区发电机房 5" xfId="7602"/>
    <cellStyle name="好_北区发电机房 5 2" xfId="7603"/>
    <cellStyle name="好_北区发电机房 6" xfId="7604"/>
    <cellStyle name="好_北区发电机房 6 2" xfId="7605"/>
    <cellStyle name="好_北区发电机房 7" xfId="7606"/>
    <cellStyle name="好_北区管配件单项" xfId="7607"/>
    <cellStyle name="好_北区管配件单项 2" xfId="7608"/>
    <cellStyle name="好_北区管配件单项 2 2" xfId="7609"/>
    <cellStyle name="好_北区管配件单项 2 2 2" xfId="7610"/>
    <cellStyle name="好_北区管配件单项 2 2 2 2" xfId="7611"/>
    <cellStyle name="好_北区管配件单项 2 2 3" xfId="7612"/>
    <cellStyle name="好_北区管配件单项 2 2 3 2" xfId="7613"/>
    <cellStyle name="好_北区管配件单项 2 2 4" xfId="7614"/>
    <cellStyle name="好_北区管配件单项 2 3" xfId="7615"/>
    <cellStyle name="好_北区管配件单项 2 3 2" xfId="7616"/>
    <cellStyle name="好_北区管配件单项 2 4" xfId="7617"/>
    <cellStyle name="好_北区管配件单项 2 4 2" xfId="7618"/>
    <cellStyle name="好_北区管配件单项 2 5" xfId="7619"/>
    <cellStyle name="好_北区管配件单项 3" xfId="7620"/>
    <cellStyle name="好_北区管配件单项 3 2" xfId="7621"/>
    <cellStyle name="好_北区管配件单项 3 2 2" xfId="7622"/>
    <cellStyle name="好_北区管配件单项 3 3" xfId="7623"/>
    <cellStyle name="好_北区管配件单项 3 3 2" xfId="7624"/>
    <cellStyle name="好_北区管配件单项 3 4" xfId="7625"/>
    <cellStyle name="好_北区管配件单项 4" xfId="7626"/>
    <cellStyle name="好_北区管配件单项 4 2" xfId="7627"/>
    <cellStyle name="好_北区管配件单项 5" xfId="7628"/>
    <cellStyle name="好_北区管配件单项 5 2" xfId="7629"/>
    <cellStyle name="好_北区管配件单项 6" xfId="7630"/>
    <cellStyle name="好_北区管配件单项 6 2" xfId="7631"/>
    <cellStyle name="好_北区管配件单项 7" xfId="7632"/>
    <cellStyle name="好_泵站材料" xfId="7633"/>
    <cellStyle name="好_财务评价" xfId="7634"/>
    <cellStyle name="好_财务评价 2" xfId="7635"/>
    <cellStyle name="好_财务评价 2 2" xfId="7636"/>
    <cellStyle name="好_财务评价 2 2 2" xfId="7637"/>
    <cellStyle name="好_财务评价 2 2 2 2" xfId="7638"/>
    <cellStyle name="好_财务评价 2 2 3" xfId="7639"/>
    <cellStyle name="好_财务评价 2 2 3 2" xfId="7640"/>
    <cellStyle name="好_财务评价 2 2 4" xfId="7641"/>
    <cellStyle name="好_财务评价 2 3" xfId="7642"/>
    <cellStyle name="好_财务评价 2 3 2" xfId="7643"/>
    <cellStyle name="好_财务评价 2 4" xfId="7644"/>
    <cellStyle name="好_财务评价 2 4 2" xfId="7645"/>
    <cellStyle name="好_财务评价 2 5" xfId="7646"/>
    <cellStyle name="好_财务评价 3" xfId="7647"/>
    <cellStyle name="好_财务评价 3 2" xfId="7648"/>
    <cellStyle name="好_财务评价 3 2 2" xfId="7649"/>
    <cellStyle name="好_财务评价 3 3" xfId="7650"/>
    <cellStyle name="好_财务评价 3 3 2" xfId="7651"/>
    <cellStyle name="好_财务评价 3 4" xfId="7652"/>
    <cellStyle name="好_财务评价 4" xfId="7653"/>
    <cellStyle name="好_财务评价 4 2" xfId="7654"/>
    <cellStyle name="好_财务评价 5" xfId="7655"/>
    <cellStyle name="好_财务评价 5 2" xfId="7656"/>
    <cellStyle name="好_财务评价 6" xfId="7657"/>
    <cellStyle name="好_财务评价 6 2" xfId="7658"/>
    <cellStyle name="好_财务评价 7" xfId="7659"/>
    <cellStyle name="好_财务评价_郑州新区二期20170517" xfId="7660"/>
    <cellStyle name="好_财务评价2011.08.02" xfId="7661"/>
    <cellStyle name="好_财务评价2011.08.02 2" xfId="7662"/>
    <cellStyle name="好_财务评价报表(建设期2年、运营期25年）" xfId="7663"/>
    <cellStyle name="好_财务评价报表(建设期2年、运营期25年） 2" xfId="7664"/>
    <cellStyle name="好_草海段工程" xfId="7665"/>
    <cellStyle name="好_草海段工程 10" xfId="7666"/>
    <cellStyle name="好_草海段工程 2" xfId="7667"/>
    <cellStyle name="好_草海段工程 2 2" xfId="7668"/>
    <cellStyle name="好_草海段工程 2 2 2" xfId="7669"/>
    <cellStyle name="好_草海段工程 2 2 2 2" xfId="7670"/>
    <cellStyle name="好_草海段工程 2 2 2 2 2" xfId="7671"/>
    <cellStyle name="好_草海段工程 2 2 2 3" xfId="7672"/>
    <cellStyle name="好_草海段工程 2 2 3" xfId="7673"/>
    <cellStyle name="好_草海段工程 2 2 3 2" xfId="7674"/>
    <cellStyle name="好_草海段工程 2 2 4" xfId="7675"/>
    <cellStyle name="好_草海段工程 2 2 4 2" xfId="7676"/>
    <cellStyle name="好_草海段工程 2 2 5" xfId="7677"/>
    <cellStyle name="好_草海段工程 2 2 5 2" xfId="7678"/>
    <cellStyle name="好_草海段工程 2 2 6" xfId="7679"/>
    <cellStyle name="好_草海段工程 2 3" xfId="7680"/>
    <cellStyle name="好_草海段工程 2 3 2" xfId="7681"/>
    <cellStyle name="好_草海段工程 2 3 2 2" xfId="7682"/>
    <cellStyle name="好_草海段工程 2 3 3" xfId="7683"/>
    <cellStyle name="好_草海段工程 2 3 3 2" xfId="7684"/>
    <cellStyle name="好_草海段工程 2 3 4" xfId="7685"/>
    <cellStyle name="好_草海段工程 2 3 4 2" xfId="7686"/>
    <cellStyle name="好_草海段工程 2 3 5" xfId="7687"/>
    <cellStyle name="好_草海段工程 2 3 5 2" xfId="7688"/>
    <cellStyle name="好_草海段工程 2 3 6" xfId="7689"/>
    <cellStyle name="好_草海段工程 2 4" xfId="7690"/>
    <cellStyle name="好_草海段工程 2 4 2" xfId="7691"/>
    <cellStyle name="好_草海段工程 2 5" xfId="7692"/>
    <cellStyle name="好_草海段工程 2 5 2" xfId="7693"/>
    <cellStyle name="好_草海段工程 2 6" xfId="7694"/>
    <cellStyle name="好_草海段工程 2 6 2" xfId="7695"/>
    <cellStyle name="好_草海段工程 2 7" xfId="7696"/>
    <cellStyle name="好_草海段工程 3" xfId="7697"/>
    <cellStyle name="好_草海段工程 3 2" xfId="7698"/>
    <cellStyle name="好_草海段工程 3 2 2" xfId="7699"/>
    <cellStyle name="好_草海段工程 3 2 2 2" xfId="7700"/>
    <cellStyle name="好_草海段工程 3 2 3" xfId="7701"/>
    <cellStyle name="好_草海段工程 3 3" xfId="7702"/>
    <cellStyle name="好_草海段工程 3 3 2" xfId="7703"/>
    <cellStyle name="好_草海段工程 3 4" xfId="7704"/>
    <cellStyle name="好_草海段工程 3 4 2" xfId="7705"/>
    <cellStyle name="好_草海段工程 3 5" xfId="7706"/>
    <cellStyle name="好_草海段工程 3 5 2" xfId="7707"/>
    <cellStyle name="好_草海段工程 3 6" xfId="7708"/>
    <cellStyle name="好_草海段工程 4" xfId="7709"/>
    <cellStyle name="好_草海段工程 4 2" xfId="7710"/>
    <cellStyle name="好_草海段工程 4 2 2" xfId="7711"/>
    <cellStyle name="好_草海段工程 4 3" xfId="7712"/>
    <cellStyle name="好_草海段工程 5" xfId="7713"/>
    <cellStyle name="好_草海段工程 5 2" xfId="7714"/>
    <cellStyle name="好_草海段工程 6" xfId="7715"/>
    <cellStyle name="好_草海段工程 6 2" xfId="7716"/>
    <cellStyle name="好_草海段工程 7" xfId="7717"/>
    <cellStyle name="好_草海段工程 7 2" xfId="7718"/>
    <cellStyle name="好_草海段工程 8" xfId="7719"/>
    <cellStyle name="好_草海段工程 8 2" xfId="7720"/>
    <cellStyle name="好_草海段工程 9" xfId="7721"/>
    <cellStyle name="好_草海段工程 9 2" xfId="7722"/>
    <cellStyle name="好_草海段工程_交接" xfId="7723"/>
    <cellStyle name="好_草海段工程_设备交接" xfId="7724"/>
    <cellStyle name="好_昌吉污水厂电气、仪表及自控统计汇总表" xfId="7725"/>
    <cellStyle name="好_昌吉污水厂电气、仪表及自控统计汇总表 2" xfId="7726"/>
    <cellStyle name="好_车墩自仪投标材料150128" xfId="7727"/>
    <cellStyle name="好_初设概算" xfId="7728"/>
    <cellStyle name="好_初设概算2" xfId="7729"/>
    <cellStyle name="好_大连海淡项目新" xfId="7730"/>
    <cellStyle name="好_滇西岸概算（一）文本2010.6.28" xfId="7731"/>
    <cellStyle name="好_滇西岸概算（一）文本2010.6.28 2" xfId="7732"/>
    <cellStyle name="好_滇西岸概算（一）文本2010.6.28 2 2" xfId="7733"/>
    <cellStyle name="好_滇西岸概算（一）文本2010.6.28 3" xfId="7734"/>
    <cellStyle name="好_滇西岸概算（一）文本2010.6.28 3 2" xfId="7735"/>
    <cellStyle name="好_滇西岸概算（一）文本2010.6.28 4" xfId="7736"/>
    <cellStyle name="好_电气材料表" xfId="7737"/>
    <cellStyle name="好_电气材料表 2" xfId="7738"/>
    <cellStyle name="好_电气材料表 2 2" xfId="7739"/>
    <cellStyle name="好_电气材料表 2 2 2" xfId="7740"/>
    <cellStyle name="好_电气材料表 2 2 2 2" xfId="7741"/>
    <cellStyle name="好_电气材料表 2 2 3" xfId="7742"/>
    <cellStyle name="好_电气材料表 2 2 3 2" xfId="7743"/>
    <cellStyle name="好_电气材料表 2 2 4" xfId="7744"/>
    <cellStyle name="好_电气材料表 2 3" xfId="7745"/>
    <cellStyle name="好_电气材料表 2 3 2" xfId="7746"/>
    <cellStyle name="好_电气材料表 2 4" xfId="7747"/>
    <cellStyle name="好_电气材料表 2 4 2" xfId="7748"/>
    <cellStyle name="好_电气材料表 2 5" xfId="7749"/>
    <cellStyle name="好_电气材料表 3" xfId="7750"/>
    <cellStyle name="好_电气材料表 3 2" xfId="7751"/>
    <cellStyle name="好_电气材料表 3 2 2" xfId="7752"/>
    <cellStyle name="好_电气材料表 3 3" xfId="7753"/>
    <cellStyle name="好_电气材料表 3 3 2" xfId="7754"/>
    <cellStyle name="好_电气材料表 3 4" xfId="7755"/>
    <cellStyle name="好_电气材料表 4" xfId="7756"/>
    <cellStyle name="好_电气材料表 4 2" xfId="7757"/>
    <cellStyle name="好_电气材料表 5" xfId="7758"/>
    <cellStyle name="好_电气材料表 5 2" xfId="7759"/>
    <cellStyle name="好_电气材料表 6" xfId="7760"/>
    <cellStyle name="好_电气材料表 6 2" xfId="7761"/>
    <cellStyle name="好_电气材料表 7" xfId="7762"/>
    <cellStyle name="好_电气材料表_郑州新区二期20170517" xfId="7763"/>
    <cellStyle name="好_电气材料表-方案一" xfId="7764"/>
    <cellStyle name="好_电气材料表-方案一 2" xfId="7765"/>
    <cellStyle name="好_电气材料表-方案一 2 2" xfId="7766"/>
    <cellStyle name="好_电气材料表-方案一 2 2 2" xfId="7767"/>
    <cellStyle name="好_电气材料表-方案一 2 2 2 2" xfId="7768"/>
    <cellStyle name="好_电气材料表-方案一 2 2 3" xfId="7769"/>
    <cellStyle name="好_电气材料表-方案一 2 2 3 2" xfId="7770"/>
    <cellStyle name="好_电气材料表-方案一 2 2 4" xfId="7771"/>
    <cellStyle name="好_电气材料表-方案一 2 2 4 2" xfId="7772"/>
    <cellStyle name="好_电气材料表-方案一 2 2 5" xfId="7773"/>
    <cellStyle name="好_电气材料表-方案一 2 3" xfId="7774"/>
    <cellStyle name="好_电气材料表-方案一 2 3 2" xfId="7775"/>
    <cellStyle name="好_电气材料表-方案一 2 3 2 2" xfId="7776"/>
    <cellStyle name="好_电气材料表-方案一 2 3 3" xfId="7777"/>
    <cellStyle name="好_电气材料表-方案一 2 3 3 2" xfId="7778"/>
    <cellStyle name="好_电气材料表-方案一 2 3 4" xfId="7779"/>
    <cellStyle name="好_电气材料表-方案一 2 3 4 2" xfId="7780"/>
    <cellStyle name="好_电气材料表-方案一 2 3 5" xfId="7781"/>
    <cellStyle name="好_电气材料表-方案一 2 4" xfId="7782"/>
    <cellStyle name="好_电气材料表-方案一 2 4 2" xfId="7783"/>
    <cellStyle name="好_电气材料表-方案一 2 5" xfId="7784"/>
    <cellStyle name="好_电气材料表-方案一 2 5 2" xfId="7785"/>
    <cellStyle name="好_电气材料表-方案一 2 6" xfId="7786"/>
    <cellStyle name="好_电气材料表-方案一 3" xfId="7787"/>
    <cellStyle name="好_电气材料表-方案一 3 2" xfId="7788"/>
    <cellStyle name="好_电气材料表-方案一 3 2 2" xfId="7789"/>
    <cellStyle name="好_电气材料表-方案一 3 3" xfId="7790"/>
    <cellStyle name="好_电气材料表-方案一 3 3 2" xfId="7791"/>
    <cellStyle name="好_电气材料表-方案一 3 4" xfId="7792"/>
    <cellStyle name="好_电气材料表-方案一 3 4 2" xfId="7793"/>
    <cellStyle name="好_电气材料表-方案一 3 5" xfId="7794"/>
    <cellStyle name="好_电气材料表-方案一 4" xfId="7795"/>
    <cellStyle name="好_电气材料表-方案一 4 2" xfId="7796"/>
    <cellStyle name="好_电气材料表-方案一 4 2 2" xfId="7797"/>
    <cellStyle name="好_电气材料表-方案一 4 3" xfId="7798"/>
    <cellStyle name="好_电气材料表-方案一 5" xfId="7799"/>
    <cellStyle name="好_电气材料表-方案一 5 2" xfId="7800"/>
    <cellStyle name="好_电气材料表-方案一 6" xfId="7801"/>
    <cellStyle name="好_电气材料表-方案一 6 2" xfId="7802"/>
    <cellStyle name="好_电气材料表-方案一 7" xfId="7803"/>
    <cellStyle name="好_电气材料表-方案一 7 2" xfId="7804"/>
    <cellStyle name="好_电气材料表-方案一 8" xfId="7805"/>
    <cellStyle name="好_电气材料表-方案一_交接" xfId="7806"/>
    <cellStyle name="好_电气材料表-方案一_设备交接" xfId="7807"/>
    <cellStyle name="好_电气材料表-推荐" xfId="7808"/>
    <cellStyle name="好_电气材料表-推荐 2" xfId="7809"/>
    <cellStyle name="好_电气材料表-推荐 2 2" xfId="7810"/>
    <cellStyle name="好_电气材料表-推荐 2 2 2" xfId="7811"/>
    <cellStyle name="好_电气材料表-推荐 2 2 2 2" xfId="7812"/>
    <cellStyle name="好_电气材料表-推荐 2 2 3" xfId="7813"/>
    <cellStyle name="好_电气材料表-推荐 2 2 3 2" xfId="7814"/>
    <cellStyle name="好_电气材料表-推荐 2 2 4" xfId="7815"/>
    <cellStyle name="好_电气材料表-推荐 2 3" xfId="7816"/>
    <cellStyle name="好_电气材料表-推荐 2 3 2" xfId="7817"/>
    <cellStyle name="好_电气材料表-推荐 2 4" xfId="7818"/>
    <cellStyle name="好_电气材料表-推荐 2 4 2" xfId="7819"/>
    <cellStyle name="好_电气材料表-推荐 2 5" xfId="7820"/>
    <cellStyle name="好_电气材料表-推荐 3" xfId="7821"/>
    <cellStyle name="好_电气材料表-推荐 3 2" xfId="7822"/>
    <cellStyle name="好_电气材料表-推荐 3 2 2" xfId="7823"/>
    <cellStyle name="好_电气材料表-推荐 3 3" xfId="7824"/>
    <cellStyle name="好_电气材料表-推荐 3 3 2" xfId="7825"/>
    <cellStyle name="好_电气材料表-推荐 3 4" xfId="7826"/>
    <cellStyle name="好_电气材料表-推荐 4" xfId="7827"/>
    <cellStyle name="好_电气材料表-推荐 4 2" xfId="7828"/>
    <cellStyle name="好_电气材料表-推荐 5" xfId="7829"/>
    <cellStyle name="好_电气材料表-推荐 5 2" xfId="7830"/>
    <cellStyle name="好_电气材料表-推荐 6" xfId="7831"/>
    <cellStyle name="好_电气材料表-推荐 6 2" xfId="7832"/>
    <cellStyle name="好_电气材料表-推荐 7" xfId="7833"/>
    <cellStyle name="好_电气初设交接材料表" xfId="7834"/>
    <cellStyle name="好_电气设备表-初设2010.12.17" xfId="7835"/>
    <cellStyle name="好_电气设备表-初设2010.12.17 2" xfId="7836"/>
    <cellStyle name="好_电气设备表-初设2010.12.17 2 2" xfId="7837"/>
    <cellStyle name="好_电气设备表-初设2010.12.17 2 2 2" xfId="7838"/>
    <cellStyle name="好_电气设备表-初设2010.12.17 2 2 2 2" xfId="7839"/>
    <cellStyle name="好_电气设备表-初设2010.12.17 2 2 3" xfId="7840"/>
    <cellStyle name="好_电气设备表-初设2010.12.17 2 2 3 2" xfId="7841"/>
    <cellStyle name="好_电气设备表-初设2010.12.17 2 2 4" xfId="7842"/>
    <cellStyle name="好_电气设备表-初设2010.12.17 2 3" xfId="7843"/>
    <cellStyle name="好_电气设备表-初设2010.12.17 2 3 2" xfId="7844"/>
    <cellStyle name="好_电气设备表-初设2010.12.17 2 4" xfId="7845"/>
    <cellStyle name="好_电气设备表-初设2010.12.17 2 4 2" xfId="7846"/>
    <cellStyle name="好_电气设备表-初设2010.12.17 2 5" xfId="7847"/>
    <cellStyle name="好_电气设备表-初设2010.12.17 3" xfId="7848"/>
    <cellStyle name="好_电气设备表-初设2010.12.17 3 2" xfId="7849"/>
    <cellStyle name="好_电气设备表-初设2010.12.17 3 2 2" xfId="7850"/>
    <cellStyle name="好_电气设备表-初设2010.12.17 3 3" xfId="7851"/>
    <cellStyle name="好_电气设备表-初设2010.12.17 3 3 2" xfId="7852"/>
    <cellStyle name="好_电气设备表-初设2010.12.17 3 4" xfId="7853"/>
    <cellStyle name="好_电气设备表-初设2010.12.17 4" xfId="7854"/>
    <cellStyle name="好_电气设备表-初设2010.12.17 4 2" xfId="7855"/>
    <cellStyle name="好_电气设备表-初设2010.12.17 5" xfId="7856"/>
    <cellStyle name="好_电气设备表-初设2010.12.17 5 2" xfId="7857"/>
    <cellStyle name="好_电气设备表-初设2010.12.17 6" xfId="7858"/>
    <cellStyle name="好_电气设备表-初设2010.12.17 6 2" xfId="7859"/>
    <cellStyle name="好_电气设备表-初设2010.12.17 7" xfId="7860"/>
    <cellStyle name="好_电气设备表-方案2012.09.23" xfId="7861"/>
    <cellStyle name="好_电气设备材料表" xfId="7862"/>
    <cellStyle name="好_电气设备材料表_1" xfId="7863"/>
    <cellStyle name="好_电气设备材料表_兰溪市城南污水转输金华市临江污水厂工程总表" xfId="7864"/>
    <cellStyle name="好_电仪1" xfId="7865"/>
    <cellStyle name="好_电仪1 2" xfId="7866"/>
    <cellStyle name="好_电仪1 2 2" xfId="7867"/>
    <cellStyle name="好_电仪1 3" xfId="7868"/>
    <cellStyle name="好_电仪1 3 2" xfId="7869"/>
    <cellStyle name="好_电仪1 4" xfId="7870"/>
    <cellStyle name="好_定安县重点镇（黄竹白塘）供水工程（取水、净水部分）概算总表" xfId="7871"/>
    <cellStyle name="好_富阳灵桥污水处理厂-方案" xfId="7872"/>
    <cellStyle name="好_富阳灵桥污水处理厂-方案 2" xfId="7873"/>
    <cellStyle name="好_富阳市新登污水处理厂二期工程管配件及设备（李霞）" xfId="7874"/>
    <cellStyle name="好_富阳市新登污水处理厂二期工程管配件及设备（李霞） 2" xfId="7875"/>
    <cellStyle name="好_富阳市新登污水处理厂二期工程管配件及设备（李霞） 2 2" xfId="7876"/>
    <cellStyle name="好_富阳市新登污水处理厂二期工程管配件及设备（李霞） 3" xfId="7877"/>
    <cellStyle name="好_富阳市新登污水处理厂二期工程管配件及设备（李霞） 3 2" xfId="7878"/>
    <cellStyle name="好_富阳市新登污水处理厂二期工程管配件及设备（李霞） 4" xfId="7879"/>
    <cellStyle name="好_工可2016.1.6" xfId="7880"/>
    <cellStyle name="好_工可材料表20090212" xfId="7881"/>
    <cellStyle name="好_工可材料表20090212 10" xfId="7882"/>
    <cellStyle name="好_工可材料表20090212 2" xfId="7883"/>
    <cellStyle name="好_工可材料表20090212 2 2" xfId="7884"/>
    <cellStyle name="好_工可材料表20090212 2 2 2" xfId="7885"/>
    <cellStyle name="好_工可材料表20090212 2 2 2 2" xfId="7886"/>
    <cellStyle name="好_工可材料表20090212 2 2 2 2 2" xfId="7887"/>
    <cellStyle name="好_工可材料表20090212 2 2 2 3" xfId="7888"/>
    <cellStyle name="好_工可材料表20090212 2 2 3" xfId="7889"/>
    <cellStyle name="好_工可材料表20090212 2 2 3 2" xfId="7890"/>
    <cellStyle name="好_工可材料表20090212 2 2 4" xfId="7891"/>
    <cellStyle name="好_工可材料表20090212 2 2 4 2" xfId="7892"/>
    <cellStyle name="好_工可材料表20090212 2 2 5" xfId="7893"/>
    <cellStyle name="好_工可材料表20090212 2 2 5 2" xfId="7894"/>
    <cellStyle name="好_工可材料表20090212 2 2 6" xfId="7895"/>
    <cellStyle name="好_工可材料表20090212 2 3" xfId="7896"/>
    <cellStyle name="好_工可材料表20090212 2 3 2" xfId="7897"/>
    <cellStyle name="好_工可材料表20090212 2 3 2 2" xfId="7898"/>
    <cellStyle name="好_工可材料表20090212 2 3 3" xfId="7899"/>
    <cellStyle name="好_工可材料表20090212 2 3 3 2" xfId="7900"/>
    <cellStyle name="好_工可材料表20090212 2 3 4" xfId="7901"/>
    <cellStyle name="好_工可材料表20090212 2 3 4 2" xfId="7902"/>
    <cellStyle name="好_工可材料表20090212 2 3 5" xfId="7903"/>
    <cellStyle name="好_工可材料表20090212 2 3 5 2" xfId="7904"/>
    <cellStyle name="好_工可材料表20090212 2 3 6" xfId="7905"/>
    <cellStyle name="好_工可材料表20090212 2 4" xfId="7906"/>
    <cellStyle name="好_工可材料表20090212 2 4 2" xfId="7907"/>
    <cellStyle name="好_工可材料表20090212 2 5" xfId="7908"/>
    <cellStyle name="好_工可材料表20090212 2 5 2" xfId="7909"/>
    <cellStyle name="好_工可材料表20090212 2 6" xfId="7910"/>
    <cellStyle name="好_工可材料表20090212 2 6 2" xfId="7911"/>
    <cellStyle name="好_工可材料表20090212 2 7" xfId="7912"/>
    <cellStyle name="好_工可材料表20090212 3" xfId="7913"/>
    <cellStyle name="好_工可材料表20090212 3 2" xfId="7914"/>
    <cellStyle name="好_工可材料表20090212 3 2 2" xfId="7915"/>
    <cellStyle name="好_工可材料表20090212 3 2 2 2" xfId="7916"/>
    <cellStyle name="好_工可材料表20090212 3 2 3" xfId="7917"/>
    <cellStyle name="好_工可材料表20090212 3 3" xfId="7918"/>
    <cellStyle name="好_工可材料表20090212 3 3 2" xfId="7919"/>
    <cellStyle name="好_工可材料表20090212 3 4" xfId="7920"/>
    <cellStyle name="好_工可材料表20090212 3 4 2" xfId="7921"/>
    <cellStyle name="好_工可材料表20090212 3 5" xfId="7922"/>
    <cellStyle name="好_工可材料表20090212 3 5 2" xfId="7923"/>
    <cellStyle name="好_工可材料表20090212 3 6" xfId="7924"/>
    <cellStyle name="好_工可材料表20090212 4" xfId="7925"/>
    <cellStyle name="好_工可材料表20090212 4 2" xfId="7926"/>
    <cellStyle name="好_工可材料表20090212 4 2 2" xfId="7927"/>
    <cellStyle name="好_工可材料表20090212 4 3" xfId="7928"/>
    <cellStyle name="好_工可材料表20090212 5" xfId="7929"/>
    <cellStyle name="好_工可材料表20090212 5 2" xfId="7930"/>
    <cellStyle name="好_工可材料表20090212 6" xfId="7931"/>
    <cellStyle name="好_工可材料表20090212 6 2" xfId="7932"/>
    <cellStyle name="好_工可材料表20090212 7" xfId="7933"/>
    <cellStyle name="好_工可材料表20090212 7 2" xfId="7934"/>
    <cellStyle name="好_工可材料表20090212 8" xfId="7935"/>
    <cellStyle name="好_工可材料表20090212 8 2" xfId="7936"/>
    <cellStyle name="好_工可材料表20090212 9" xfId="7937"/>
    <cellStyle name="好_工可材料表20090212 9 2" xfId="7938"/>
    <cellStyle name="好_工可材料表20090212_交接" xfId="7939"/>
    <cellStyle name="好_工可材料表20090212_设备交接" xfId="7940"/>
    <cellStyle name="好_工可材料表20100504" xfId="7941"/>
    <cellStyle name="好_工可材料表20100504 2" xfId="7942"/>
    <cellStyle name="好_工可材料表20100504 2 2" xfId="7943"/>
    <cellStyle name="好_工可材料表20100504 2 2 2" xfId="7944"/>
    <cellStyle name="好_工可材料表20100504 2 2 2 2" xfId="7945"/>
    <cellStyle name="好_工可材料表20100504 2 2 3" xfId="7946"/>
    <cellStyle name="好_工可材料表20100504 2 2 3 2" xfId="7947"/>
    <cellStyle name="好_工可材料表20100504 2 2 4" xfId="7948"/>
    <cellStyle name="好_工可材料表20100504 2 2 4 2" xfId="7949"/>
    <cellStyle name="好_工可材料表20100504 2 2 5" xfId="7950"/>
    <cellStyle name="好_工可材料表20100504 2 3" xfId="7951"/>
    <cellStyle name="好_工可材料表20100504 2 3 2" xfId="7952"/>
    <cellStyle name="好_工可材料表20100504 2 3 2 2" xfId="7953"/>
    <cellStyle name="好_工可材料表20100504 2 3 3" xfId="7954"/>
    <cellStyle name="好_工可材料表20100504 2 3 3 2" xfId="7955"/>
    <cellStyle name="好_工可材料表20100504 2 3 4" xfId="7956"/>
    <cellStyle name="好_工可材料表20100504 2 3 4 2" xfId="7957"/>
    <cellStyle name="好_工可材料表20100504 2 3 5" xfId="7958"/>
    <cellStyle name="好_工可材料表20100504 2 4" xfId="7959"/>
    <cellStyle name="好_工可材料表20100504 2 4 2" xfId="7960"/>
    <cellStyle name="好_工可材料表20100504 2 5" xfId="7961"/>
    <cellStyle name="好_工可材料表20100504 2 5 2" xfId="7962"/>
    <cellStyle name="好_工可材料表20100504 2 6" xfId="7963"/>
    <cellStyle name="好_工可材料表20100504 3" xfId="7964"/>
    <cellStyle name="好_工可材料表20100504 3 2" xfId="7965"/>
    <cellStyle name="好_工可材料表20100504 3 2 2" xfId="7966"/>
    <cellStyle name="好_工可材料表20100504 3 3" xfId="7967"/>
    <cellStyle name="好_工可材料表20100504 3 3 2" xfId="7968"/>
    <cellStyle name="好_工可材料表20100504 3 4" xfId="7969"/>
    <cellStyle name="好_工可材料表20100504 3 4 2" xfId="7970"/>
    <cellStyle name="好_工可材料表20100504 3 5" xfId="7971"/>
    <cellStyle name="好_工可材料表20100504 4" xfId="7972"/>
    <cellStyle name="好_工可材料表20100504 4 2" xfId="7973"/>
    <cellStyle name="好_工可材料表20100504 4 2 2" xfId="7974"/>
    <cellStyle name="好_工可材料表20100504 4 3" xfId="7975"/>
    <cellStyle name="好_工可材料表20100504 5" xfId="7976"/>
    <cellStyle name="好_工可材料表20100504 5 2" xfId="7977"/>
    <cellStyle name="好_工可材料表20100504 6" xfId="7978"/>
    <cellStyle name="好_工可材料表20100504 6 2" xfId="7979"/>
    <cellStyle name="好_工可材料表20100504 7" xfId="7980"/>
    <cellStyle name="好_工可材料表20100504 7 2" xfId="7981"/>
    <cellStyle name="好_工可材料表20100504 8" xfId="7982"/>
    <cellStyle name="好_工可材料表20100504_交接" xfId="7983"/>
    <cellStyle name="好_工可材料表20100504_设备交接" xfId="7984"/>
    <cellStyle name="好_工可材料表20100824" xfId="7985"/>
    <cellStyle name="好_工可材料表20100824 2" xfId="7986"/>
    <cellStyle name="好_工可材料表20100824 2 2" xfId="7987"/>
    <cellStyle name="好_工可材料表20100824 2 2 2" xfId="7988"/>
    <cellStyle name="好_工可材料表20100824 2 2 2 2" xfId="7989"/>
    <cellStyle name="好_工可材料表20100824 2 2 3" xfId="7990"/>
    <cellStyle name="好_工可材料表20100824 2 2 3 2" xfId="7991"/>
    <cellStyle name="好_工可材料表20100824 2 2 4" xfId="7992"/>
    <cellStyle name="好_工可材料表20100824 2 2 4 2" xfId="7993"/>
    <cellStyle name="好_工可材料表20100824 2 2 5" xfId="7994"/>
    <cellStyle name="好_工可材料表20100824 2 3" xfId="7995"/>
    <cellStyle name="好_工可材料表20100824 2 3 2" xfId="7996"/>
    <cellStyle name="好_工可材料表20100824 2 3 2 2" xfId="7997"/>
    <cellStyle name="好_工可材料表20100824 2 3 3" xfId="7998"/>
    <cellStyle name="好_工可材料表20100824 2 3 3 2" xfId="7999"/>
    <cellStyle name="好_工可材料表20100824 2 3 4" xfId="8000"/>
    <cellStyle name="好_工可材料表20100824 2 3 4 2" xfId="8001"/>
    <cellStyle name="好_工可材料表20100824 2 3 5" xfId="8002"/>
    <cellStyle name="好_工可材料表20100824 2 4" xfId="8003"/>
    <cellStyle name="好_工可材料表20100824 2 4 2" xfId="8004"/>
    <cellStyle name="好_工可材料表20100824 2 5" xfId="8005"/>
    <cellStyle name="好_工可材料表20100824 2 5 2" xfId="8006"/>
    <cellStyle name="好_工可材料表20100824 2 6" xfId="8007"/>
    <cellStyle name="好_工可材料表20100824 3" xfId="8008"/>
    <cellStyle name="好_工可材料表20100824 3 2" xfId="8009"/>
    <cellStyle name="好_工可材料表20100824 3 2 2" xfId="8010"/>
    <cellStyle name="好_工可材料表20100824 3 3" xfId="8011"/>
    <cellStyle name="好_工可材料表20100824 3 3 2" xfId="8012"/>
    <cellStyle name="好_工可材料表20100824 3 4" xfId="8013"/>
    <cellStyle name="好_工可材料表20100824 3 4 2" xfId="8014"/>
    <cellStyle name="好_工可材料表20100824 3 5" xfId="8015"/>
    <cellStyle name="好_工可材料表20100824 4" xfId="8016"/>
    <cellStyle name="好_工可材料表20100824 4 2" xfId="8017"/>
    <cellStyle name="好_工可材料表20100824 4 2 2" xfId="8018"/>
    <cellStyle name="好_工可材料表20100824 4 3" xfId="8019"/>
    <cellStyle name="好_工可材料表20100824 5" xfId="8020"/>
    <cellStyle name="好_工可材料表20100824 5 2" xfId="8021"/>
    <cellStyle name="好_工可材料表20100824 6" xfId="8022"/>
    <cellStyle name="好_工可材料表20100824 6 2" xfId="8023"/>
    <cellStyle name="好_工可材料表20100824 7" xfId="8024"/>
    <cellStyle name="好_工可材料表20100824 7 2" xfId="8025"/>
    <cellStyle name="好_工可材料表20100824 8" xfId="8026"/>
    <cellStyle name="好_工可材料表20100824 8 2" xfId="8027"/>
    <cellStyle name="好_工可材料表20100824 9" xfId="8028"/>
    <cellStyle name="好_工可材料表20100824_交接" xfId="8029"/>
    <cellStyle name="好_工可材料表20100824_设备交接" xfId="8030"/>
    <cellStyle name="好_工可电气材料表（近期实施5万吨+消化+再生水）2011.09.24" xfId="8031"/>
    <cellStyle name="好_工可电气材料表（近期实施5万吨+消化+再生水）2011.09.24 2" xfId="8032"/>
    <cellStyle name="好_工可电气材料表（近期实施5万吨+消化+再生水）2011.09.24 2 2" xfId="8033"/>
    <cellStyle name="好_工可电气材料表（近期实施5万吨+消化+再生水）2011.09.24 2 2 2" xfId="8034"/>
    <cellStyle name="好_工可电气材料表（近期实施5万吨+消化+再生水）2011.09.24 2 2 2 2" xfId="8035"/>
    <cellStyle name="好_工可电气材料表（近期实施5万吨+消化+再生水）2011.09.24 2 2 3" xfId="8036"/>
    <cellStyle name="好_工可电气材料表（近期实施5万吨+消化+再生水）2011.09.24 2 2 3 2" xfId="8037"/>
    <cellStyle name="好_工可电气材料表（近期实施5万吨+消化+再生水）2011.09.24 2 2 4" xfId="8038"/>
    <cellStyle name="好_工可电气材料表（近期实施5万吨+消化+再生水）2011.09.24 2 2 4 2" xfId="8039"/>
    <cellStyle name="好_工可电气材料表（近期实施5万吨+消化+再生水）2011.09.24 2 2 5" xfId="8040"/>
    <cellStyle name="好_工可电气材料表（近期实施5万吨+消化+再生水）2011.09.24 2 3" xfId="8041"/>
    <cellStyle name="好_工可电气材料表（近期实施5万吨+消化+再生水）2011.09.24 2 3 2" xfId="8042"/>
    <cellStyle name="好_工可电气材料表（近期实施5万吨+消化+再生水）2011.09.24 2 3 2 2" xfId="8043"/>
    <cellStyle name="好_工可电气材料表（近期实施5万吨+消化+再生水）2011.09.24 2 3 3" xfId="8044"/>
    <cellStyle name="好_工可电气材料表（近期实施5万吨+消化+再生水）2011.09.24 2 3 3 2" xfId="8045"/>
    <cellStyle name="好_工可电气材料表（近期实施5万吨+消化+再生水）2011.09.24 2 3 4" xfId="8046"/>
    <cellStyle name="好_工可电气材料表（近期实施5万吨+消化+再生水）2011.09.24 2 3 4 2" xfId="8047"/>
    <cellStyle name="好_工可电气材料表（近期实施5万吨+消化+再生水）2011.09.24 2 3 5" xfId="8048"/>
    <cellStyle name="好_工可电气材料表（近期实施5万吨+消化+再生水）2011.09.24 2 4" xfId="8049"/>
    <cellStyle name="好_工可电气材料表（近期实施5万吨+消化+再生水）2011.09.24 2 4 2" xfId="8050"/>
    <cellStyle name="好_工可电气材料表（近期实施5万吨+消化+再生水）2011.09.24 2 5" xfId="8051"/>
    <cellStyle name="好_工可电气材料表（近期实施5万吨+消化+再生水）2011.09.24 2 5 2" xfId="8052"/>
    <cellStyle name="好_工可电气材料表（近期实施5万吨+消化+再生水）2011.09.24 2 6" xfId="8053"/>
    <cellStyle name="好_工可电气材料表（近期实施5万吨+消化+再生水）2011.09.24 3" xfId="8054"/>
    <cellStyle name="好_工可电气材料表（近期实施5万吨+消化+再生水）2011.09.24 3 2" xfId="8055"/>
    <cellStyle name="好_工可电气材料表（近期实施5万吨+消化+再生水）2011.09.24 3 2 2" xfId="8056"/>
    <cellStyle name="好_工可电气材料表（近期实施5万吨+消化+再生水）2011.09.24 3 3" xfId="8057"/>
    <cellStyle name="好_工可电气材料表（近期实施5万吨+消化+再生水）2011.09.24 3 3 2" xfId="8058"/>
    <cellStyle name="好_工可电气材料表（近期实施5万吨+消化+再生水）2011.09.24 3 4" xfId="8059"/>
    <cellStyle name="好_工可电气材料表（近期实施5万吨+消化+再生水）2011.09.24 3 4 2" xfId="8060"/>
    <cellStyle name="好_工可电气材料表（近期实施5万吨+消化+再生水）2011.09.24 3 5" xfId="8061"/>
    <cellStyle name="好_工可电气材料表（近期实施5万吨+消化+再生水）2011.09.24 4" xfId="8062"/>
    <cellStyle name="好_工可电气材料表（近期实施5万吨+消化+再生水）2011.09.24 4 2" xfId="8063"/>
    <cellStyle name="好_工可电气材料表（近期实施5万吨+消化+再生水）2011.09.24 4 2 2" xfId="8064"/>
    <cellStyle name="好_工可电气材料表（近期实施5万吨+消化+再生水）2011.09.24 4 3" xfId="8065"/>
    <cellStyle name="好_工可电气材料表（近期实施5万吨+消化+再生水）2011.09.24 5" xfId="8066"/>
    <cellStyle name="好_工可电气材料表（近期实施5万吨+消化+再生水）2011.09.24 5 2" xfId="8067"/>
    <cellStyle name="好_工可电气材料表（近期实施5万吨+消化+再生水）2011.09.24 6" xfId="8068"/>
    <cellStyle name="好_工可电气材料表（近期实施5万吨+消化+再生水）2011.09.24 6 2" xfId="8069"/>
    <cellStyle name="好_工可电气材料表（近期实施5万吨+消化+再生水）2011.09.24 7" xfId="8070"/>
    <cellStyle name="好_工可电气材料表（近期实施5万吨+消化+再生水）2011.09.24 7 2" xfId="8071"/>
    <cellStyle name="好_工可电气材料表（近期实施5万吨+消化+再生水）2011.09.24 8" xfId="8072"/>
    <cellStyle name="好_工可电气材料表（近期实施5万吨+消化+再生水）2011.09.24_交接" xfId="8073"/>
    <cellStyle name="好_工可电气材料表（近期实施5万吨+消化+再生水）2011.09.24_设备交接" xfId="8074"/>
    <cellStyle name="好_工可估算" xfId="8075"/>
    <cellStyle name="好_工艺交接" xfId="8076"/>
    <cellStyle name="好_工艺交接 2" xfId="8077"/>
    <cellStyle name="好_估算投资20101020" xfId="8078"/>
    <cellStyle name="好_估算投资20101020 2" xfId="8079"/>
    <cellStyle name="好_估算投资20101020 2 2" xfId="8080"/>
    <cellStyle name="好_估算投资20101020 2 2 2" xfId="8081"/>
    <cellStyle name="好_估算投资20101020 2 2 2 2" xfId="8082"/>
    <cellStyle name="好_估算投资20101020 2 2 3" xfId="8083"/>
    <cellStyle name="好_估算投资20101020 2 2 3 2" xfId="8084"/>
    <cellStyle name="好_估算投资20101020 2 2 4" xfId="8085"/>
    <cellStyle name="好_估算投资20101020 2 2 4 2" xfId="8086"/>
    <cellStyle name="好_估算投资20101020 2 2 5" xfId="8087"/>
    <cellStyle name="好_估算投资20101020 2 3" xfId="8088"/>
    <cellStyle name="好_估算投资20101020 2 3 2" xfId="8089"/>
    <cellStyle name="好_估算投资20101020 2 3 2 2" xfId="8090"/>
    <cellStyle name="好_估算投资20101020 2 3 3" xfId="8091"/>
    <cellStyle name="好_估算投资20101020 2 3 3 2" xfId="8092"/>
    <cellStyle name="好_估算投资20101020 2 3 4" xfId="8093"/>
    <cellStyle name="好_估算投资20101020 2 3 4 2" xfId="8094"/>
    <cellStyle name="好_估算投资20101020 2 3 5" xfId="8095"/>
    <cellStyle name="好_估算投资20101020 2 4" xfId="8096"/>
    <cellStyle name="好_估算投资20101020 2 4 2" xfId="8097"/>
    <cellStyle name="好_估算投资20101020 2 5" xfId="8098"/>
    <cellStyle name="好_估算投资20101020 2 5 2" xfId="8099"/>
    <cellStyle name="好_估算投资20101020 2 6" xfId="8100"/>
    <cellStyle name="好_估算投资20101020 3" xfId="8101"/>
    <cellStyle name="好_估算投资20101020 3 2" xfId="8102"/>
    <cellStyle name="好_估算投资20101020 3 2 2" xfId="8103"/>
    <cellStyle name="好_估算投资20101020 3 3" xfId="8104"/>
    <cellStyle name="好_估算投资20101020 3 3 2" xfId="8105"/>
    <cellStyle name="好_估算投资20101020 3 4" xfId="8106"/>
    <cellStyle name="好_估算投资20101020 3 4 2" xfId="8107"/>
    <cellStyle name="好_估算投资20101020 3 5" xfId="8108"/>
    <cellStyle name="好_估算投资20101020 4" xfId="8109"/>
    <cellStyle name="好_估算投资20101020 4 2" xfId="8110"/>
    <cellStyle name="好_估算投资20101020 4 2 2" xfId="8111"/>
    <cellStyle name="好_估算投资20101020 4 3" xfId="8112"/>
    <cellStyle name="好_估算投资20101020 5" xfId="8113"/>
    <cellStyle name="好_估算投资20101020 5 2" xfId="8114"/>
    <cellStyle name="好_估算投资20101020 6" xfId="8115"/>
    <cellStyle name="好_估算投资20101020 6 2" xfId="8116"/>
    <cellStyle name="好_估算投资20101020 7" xfId="8117"/>
    <cellStyle name="好_估算投资20101020 7 2" xfId="8118"/>
    <cellStyle name="好_估算投资20101020 8" xfId="8119"/>
    <cellStyle name="好_估算投资20101020 8 2" xfId="8120"/>
    <cellStyle name="好_估算投资20101020 9" xfId="8121"/>
    <cellStyle name="好_估算投资20101020_交接" xfId="8122"/>
    <cellStyle name="好_估算投资20101020_设备交接" xfId="8123"/>
    <cellStyle name="好_估算投资20110130" xfId="8124"/>
    <cellStyle name="好_估算投资20110130 2" xfId="8125"/>
    <cellStyle name="好_观音山管配件及设备20100423-调整稿" xfId="8126"/>
    <cellStyle name="好_观音山管配件及设备20100423-调整稿 2" xfId="8127"/>
    <cellStyle name="好_观音山管配件及设备20100423-调整稿 2 2" xfId="8128"/>
    <cellStyle name="好_观音山管配件及设备20100423-调整稿 3" xfId="8129"/>
    <cellStyle name="好_观音山管配件及设备20100423-调整稿 3 2" xfId="8130"/>
    <cellStyle name="好_观音山管配件及设备20100423-调整稿 4" xfId="8131"/>
    <cellStyle name="好_管配件设备总图（李霞）20111125" xfId="8132"/>
    <cellStyle name="好_管配件设备总图（李霞）20111125 2" xfId="8133"/>
    <cellStyle name="好_管配件设备总图（李霞）20111125 2 2" xfId="8134"/>
    <cellStyle name="好_管配件设备总图（李霞）20111125 3" xfId="8135"/>
    <cellStyle name="好_管配件设备总图（李霞）20111125 3 2" xfId="8136"/>
    <cellStyle name="好_管配件设备总图（李霞）20111125 4" xfId="8137"/>
    <cellStyle name="好_贵阳二桥污水处理厂二期-管配件设备5.20" xfId="8138"/>
    <cellStyle name="好_贵阳二桥污水处理厂二期-管配件设备5.20 2" xfId="8139"/>
    <cellStyle name="好_贵阳二桥污水处理厂二期-管配件设备电气仪控" xfId="8140"/>
    <cellStyle name="好_贵阳二桥污水处理厂二期-管配件设备电气仪控 2" xfId="8141"/>
    <cellStyle name="好_海泊河北区管配件表" xfId="8142"/>
    <cellStyle name="好_海泊河北区管配件表 2" xfId="8143"/>
    <cellStyle name="好_海泊河北区管配件表 2 2" xfId="8144"/>
    <cellStyle name="好_海泊河北区管配件表 2 2 2" xfId="8145"/>
    <cellStyle name="好_海泊河北区管配件表 2 2 2 2" xfId="8146"/>
    <cellStyle name="好_海泊河北区管配件表 2 2 3" xfId="8147"/>
    <cellStyle name="好_海泊河北区管配件表 2 2 3 2" xfId="8148"/>
    <cellStyle name="好_海泊河北区管配件表 2 2 4" xfId="8149"/>
    <cellStyle name="好_海泊河北区管配件表 2 3" xfId="8150"/>
    <cellStyle name="好_海泊河北区管配件表 2 3 2" xfId="8151"/>
    <cellStyle name="好_海泊河北区管配件表 2 4" xfId="8152"/>
    <cellStyle name="好_海泊河北区管配件表 2 4 2" xfId="8153"/>
    <cellStyle name="好_海泊河北区管配件表 2 5" xfId="8154"/>
    <cellStyle name="好_海泊河北区管配件表 3" xfId="8155"/>
    <cellStyle name="好_海泊河北区管配件表 3 2" xfId="8156"/>
    <cellStyle name="好_海泊河北区管配件表 3 2 2" xfId="8157"/>
    <cellStyle name="好_海泊河北区管配件表 3 3" xfId="8158"/>
    <cellStyle name="好_海泊河北区管配件表 3 3 2" xfId="8159"/>
    <cellStyle name="好_海泊河北区管配件表 3 4" xfId="8160"/>
    <cellStyle name="好_海泊河北区管配件表 4" xfId="8161"/>
    <cellStyle name="好_海泊河北区管配件表 4 2" xfId="8162"/>
    <cellStyle name="好_海泊河北区管配件表 5" xfId="8163"/>
    <cellStyle name="好_海泊河北区管配件表 5 2" xfId="8164"/>
    <cellStyle name="好_海泊河北区管配件表 6" xfId="8165"/>
    <cellStyle name="好_海泊河北区管配件表 6 2" xfId="8166"/>
    <cellStyle name="好_海泊河北区管配件表 7" xfId="8167"/>
    <cellStyle name="好_海泊河北区管配件表-zong" xfId="8168"/>
    <cellStyle name="好_海泊河北区管配件表-zong 2" xfId="8169"/>
    <cellStyle name="好_海泊河北区管配件表-zong 2 2" xfId="8170"/>
    <cellStyle name="好_海泊河北区管配件表-zong 2 2 2" xfId="8171"/>
    <cellStyle name="好_海泊河北区管配件表-zong 2 2 2 2" xfId="8172"/>
    <cellStyle name="好_海泊河北区管配件表-zong 2 2 3" xfId="8173"/>
    <cellStyle name="好_海泊河北区管配件表-zong 2 2 3 2" xfId="8174"/>
    <cellStyle name="好_海泊河北区管配件表-zong 2 2 4" xfId="8175"/>
    <cellStyle name="好_海泊河北区管配件表-zong 2 3" xfId="8176"/>
    <cellStyle name="好_海泊河北区管配件表-zong 2 3 2" xfId="8177"/>
    <cellStyle name="好_海泊河北区管配件表-zong 2 4" xfId="8178"/>
    <cellStyle name="好_海泊河北区管配件表-zong 2 4 2" xfId="8179"/>
    <cellStyle name="好_海泊河北区管配件表-zong 2 5" xfId="8180"/>
    <cellStyle name="好_海泊河北区管配件表-zong 3" xfId="8181"/>
    <cellStyle name="好_海泊河北区管配件表-zong 3 2" xfId="8182"/>
    <cellStyle name="好_海泊河北区管配件表-zong 3 2 2" xfId="8183"/>
    <cellStyle name="好_海泊河北区管配件表-zong 3 3" xfId="8184"/>
    <cellStyle name="好_海泊河北区管配件表-zong 3 3 2" xfId="8185"/>
    <cellStyle name="好_海泊河北区管配件表-zong 3 4" xfId="8186"/>
    <cellStyle name="好_海泊河北区管配件表-zong 4" xfId="8187"/>
    <cellStyle name="好_海泊河北区管配件表-zong 4 2" xfId="8188"/>
    <cellStyle name="好_海泊河北区管配件表-zong 5" xfId="8189"/>
    <cellStyle name="好_海泊河北区管配件表-zong 5 2" xfId="8190"/>
    <cellStyle name="好_海泊河北区管配件表-zong 6" xfId="8191"/>
    <cellStyle name="好_海泊河北区管配件表-zong 6 2" xfId="8192"/>
    <cellStyle name="好_海泊河北区管配件表-zong 7" xfId="8193"/>
    <cellStyle name="好_海泊河北区管配件表-zong-计算底稿" xfId="8194"/>
    <cellStyle name="好_海泊河北区管配件表-zong-计算底稿 2" xfId="8195"/>
    <cellStyle name="好_海泊河北区管配件表-zong-计算底稿 2 2" xfId="8196"/>
    <cellStyle name="好_海泊河北区管配件表-zong-计算底稿 2 2 2" xfId="8197"/>
    <cellStyle name="好_海泊河北区管配件表-zong-计算底稿 2 2 2 2" xfId="8198"/>
    <cellStyle name="好_海泊河北区管配件表-zong-计算底稿 2 2 3" xfId="8199"/>
    <cellStyle name="好_海泊河北区管配件表-zong-计算底稿 2 2 3 2" xfId="8200"/>
    <cellStyle name="好_海泊河北区管配件表-zong-计算底稿 2 2 4" xfId="8201"/>
    <cellStyle name="好_海泊河北区管配件表-zong-计算底稿 2 3" xfId="8202"/>
    <cellStyle name="好_海泊河北区管配件表-zong-计算底稿 2 3 2" xfId="8203"/>
    <cellStyle name="好_海泊河北区管配件表-zong-计算底稿 2 4" xfId="8204"/>
    <cellStyle name="好_海泊河北区管配件表-zong-计算底稿 2 4 2" xfId="8205"/>
    <cellStyle name="好_海泊河北区管配件表-zong-计算底稿 2 5" xfId="8206"/>
    <cellStyle name="好_海泊河北区管配件表-zong-计算底稿 3" xfId="8207"/>
    <cellStyle name="好_海泊河北区管配件表-zong-计算底稿 3 2" xfId="8208"/>
    <cellStyle name="好_海泊河北区管配件表-zong-计算底稿 3 2 2" xfId="8209"/>
    <cellStyle name="好_海泊河北区管配件表-zong-计算底稿 3 3" xfId="8210"/>
    <cellStyle name="好_海泊河北区管配件表-zong-计算底稿 3 3 2" xfId="8211"/>
    <cellStyle name="好_海泊河北区管配件表-zong-计算底稿 3 4" xfId="8212"/>
    <cellStyle name="好_海泊河北区管配件表-zong-计算底稿 4" xfId="8213"/>
    <cellStyle name="好_海泊河北区管配件表-zong-计算底稿 4 2" xfId="8214"/>
    <cellStyle name="好_海泊河北区管配件表-zong-计算底稿 5" xfId="8215"/>
    <cellStyle name="好_海泊河北区管配件表-zong-计算底稿 5 2" xfId="8216"/>
    <cellStyle name="好_海泊河北区管配件表-zong-计算底稿 6" xfId="8217"/>
    <cellStyle name="好_海泊河北区管配件表-zong-计算底稿 6 2" xfId="8218"/>
    <cellStyle name="好_海泊河北区管配件表-zong-计算底稿 7" xfId="8219"/>
    <cellStyle name="好_海泊河北去 管配件" xfId="8220"/>
    <cellStyle name="好_海泊河北去 管配件 2" xfId="8221"/>
    <cellStyle name="好_海泊河北去 管配件 2 2" xfId="8222"/>
    <cellStyle name="好_海泊河北去 管配件 2 2 2" xfId="8223"/>
    <cellStyle name="好_海泊河北去 管配件 2 2 2 2" xfId="8224"/>
    <cellStyle name="好_海泊河北去 管配件 2 2 3" xfId="8225"/>
    <cellStyle name="好_海泊河北去 管配件 2 2 3 2" xfId="8226"/>
    <cellStyle name="好_海泊河北去 管配件 2 2 4" xfId="8227"/>
    <cellStyle name="好_海泊河北去 管配件 2 3" xfId="8228"/>
    <cellStyle name="好_海泊河北去 管配件 2 3 2" xfId="8229"/>
    <cellStyle name="好_海泊河北去 管配件 2 4" xfId="8230"/>
    <cellStyle name="好_海泊河北去 管配件 2 4 2" xfId="8231"/>
    <cellStyle name="好_海泊河北去 管配件 2 5" xfId="8232"/>
    <cellStyle name="好_海泊河北去 管配件 3" xfId="8233"/>
    <cellStyle name="好_海泊河北去 管配件 3 2" xfId="8234"/>
    <cellStyle name="好_海泊河北去 管配件 3 2 2" xfId="8235"/>
    <cellStyle name="好_海泊河北去 管配件 3 3" xfId="8236"/>
    <cellStyle name="好_海泊河北去 管配件 3 3 2" xfId="8237"/>
    <cellStyle name="好_海泊河北去 管配件 3 4" xfId="8238"/>
    <cellStyle name="好_海泊河北去 管配件 4" xfId="8239"/>
    <cellStyle name="好_海泊河北去 管配件 4 2" xfId="8240"/>
    <cellStyle name="好_海泊河北去 管配件 5" xfId="8241"/>
    <cellStyle name="好_海泊河北去 管配件 5 2" xfId="8242"/>
    <cellStyle name="好_海泊河北去 管配件 6" xfId="8243"/>
    <cellStyle name="好_海泊河北去 管配件 6 2" xfId="8244"/>
    <cellStyle name="好_海泊河北去 管配件 7" xfId="8245"/>
    <cellStyle name="好_海泊河南区管配件表-计算底稿" xfId="8246"/>
    <cellStyle name="好_海泊河南区管配件表-计算底稿 2" xfId="8247"/>
    <cellStyle name="好_海泊河南区管配件表-计算底稿 2 2" xfId="8248"/>
    <cellStyle name="好_海泊河南区管配件表-计算底稿 2 2 2" xfId="8249"/>
    <cellStyle name="好_海泊河南区管配件表-计算底稿 2 2 2 2" xfId="8250"/>
    <cellStyle name="好_海泊河南区管配件表-计算底稿 2 2 3" xfId="8251"/>
    <cellStyle name="好_海泊河南区管配件表-计算底稿 2 2 3 2" xfId="8252"/>
    <cellStyle name="好_海泊河南区管配件表-计算底稿 2 2 4" xfId="8253"/>
    <cellStyle name="好_海泊河南区管配件表-计算底稿 2 3" xfId="8254"/>
    <cellStyle name="好_海泊河南区管配件表-计算底稿 2 3 2" xfId="8255"/>
    <cellStyle name="好_海泊河南区管配件表-计算底稿 2 4" xfId="8256"/>
    <cellStyle name="好_海泊河南区管配件表-计算底稿 2 4 2" xfId="8257"/>
    <cellStyle name="好_海泊河南区管配件表-计算底稿 2 5" xfId="8258"/>
    <cellStyle name="好_海泊河南区管配件表-计算底稿 3" xfId="8259"/>
    <cellStyle name="好_海泊河南区管配件表-计算底稿 3 2" xfId="8260"/>
    <cellStyle name="好_海泊河南区管配件表-计算底稿 3 2 2" xfId="8261"/>
    <cellStyle name="好_海泊河南区管配件表-计算底稿 3 3" xfId="8262"/>
    <cellStyle name="好_海泊河南区管配件表-计算底稿 3 3 2" xfId="8263"/>
    <cellStyle name="好_海泊河南区管配件表-计算底稿 3 4" xfId="8264"/>
    <cellStyle name="好_海泊河南区管配件表-计算底稿 4" xfId="8265"/>
    <cellStyle name="好_海泊河南区管配件表-计算底稿 4 2" xfId="8266"/>
    <cellStyle name="好_海泊河南区管配件表-计算底稿 5" xfId="8267"/>
    <cellStyle name="好_海泊河南区管配件表-计算底稿 5 2" xfId="8268"/>
    <cellStyle name="好_海泊河南区管配件表-计算底稿 6" xfId="8269"/>
    <cellStyle name="好_海泊河南区管配件表-计算底稿 6 2" xfId="8270"/>
    <cellStyle name="好_海泊河南区管配件表-计算底稿 7" xfId="8271"/>
    <cellStyle name="好_杭州科技城工可(校对)" xfId="8272"/>
    <cellStyle name="好_航空港二水厂初设（评审调整）2015.9.22" xfId="8273"/>
    <cellStyle name="好_航空港二水厂工可(校对2015.3.26)" xfId="8274"/>
    <cellStyle name="好_横岭厂二期估算表及成本" xfId="8275"/>
    <cellStyle name="好_横岭二期工程前期方案工程量工艺交接20170718" xfId="8276"/>
    <cellStyle name="好_鸡冠石污泥报表20091102" xfId="8277"/>
    <cellStyle name="好_鸡冠石污泥报表20091102 2" xfId="8278"/>
    <cellStyle name="好_嘉定南翔污水厂总表-项建书正" xfId="8279"/>
    <cellStyle name="好_嘉定升级改造" xfId="8280"/>
    <cellStyle name="好_嘉定升级改造_兰溪市城南污水转输金华市临江污水厂工程-总表(方案二)1" xfId="8281"/>
    <cellStyle name="好_嘉定升级改造_温岭市东部新区2#提升泵站工程总表-项建书总表" xfId="8282"/>
    <cellStyle name="好_嘉定升级改造_温岭市区城区污水管网改造三期工程-总表" xfId="8283"/>
    <cellStyle name="好_嘉善幽澜水厂一期、二期改造工程-总表 (方案二)-校对" xfId="8284"/>
    <cellStyle name="好_江海道路照明材料表" xfId="8285"/>
    <cellStyle name="好_江海道路照明材料表(城建院）" xfId="8286"/>
    <cellStyle name="好_江海道路照明材料表(科佳院）" xfId="8287"/>
    <cellStyle name="好_交接" xfId="8288"/>
    <cellStyle name="好_津南辛庄镇泵站工可电仪" xfId="8289"/>
    <cellStyle name="好_津南辛庄镇泵站工可电仪 2" xfId="8290"/>
    <cellStyle name="好_津南辛庄镇泵站工可电仪 2 2" xfId="8291"/>
    <cellStyle name="好_津南辛庄镇泵站工可电仪 3" xfId="8292"/>
    <cellStyle name="好_津南辛庄镇泵站工可电仪 3 2" xfId="8293"/>
    <cellStyle name="好_津南辛庄镇泵站工可电仪 4" xfId="8294"/>
    <cellStyle name="好_昆明滇池-沉砂池20090414" xfId="8295"/>
    <cellStyle name="好_昆明滇池-沉砂池20090414 2" xfId="8296"/>
    <cellStyle name="好_昆明滇池-沉砂池20090414 2 2" xfId="8297"/>
    <cellStyle name="好_昆明滇池-沉砂池20090414 3" xfId="8298"/>
    <cellStyle name="好_昆明滇池-沉砂池20090414 3 2" xfId="8299"/>
    <cellStyle name="好_昆明滇池-沉砂池20090414 4" xfId="8300"/>
    <cellStyle name="好_昆明滇池-工艺设备20090408" xfId="8301"/>
    <cellStyle name="好_昆明滇池-工艺设备20090408 2" xfId="8302"/>
    <cellStyle name="好_昆明滇池-工艺设备20090408 2 2" xfId="8303"/>
    <cellStyle name="好_昆明滇池-工艺设备20090408 3" xfId="8304"/>
    <cellStyle name="好_昆明滇池-工艺设备20090408 3 2" xfId="8305"/>
    <cellStyle name="好_昆明滇池-工艺设备20090408 4" xfId="8306"/>
    <cellStyle name="好_昆明滇池-平面布置20090414" xfId="8307"/>
    <cellStyle name="好_昆明滇池-平面布置20090414 2" xfId="8308"/>
    <cellStyle name="好_昆明滇池-平面布置20090414 2 2" xfId="8309"/>
    <cellStyle name="好_昆明滇池-平面布置20090414 3" xfId="8310"/>
    <cellStyle name="好_昆明滇池-平面布置20090414 3 2" xfId="8311"/>
    <cellStyle name="好_昆明滇池-平面布置20090414 4" xfId="8312"/>
    <cellStyle name="好_昆明十一厂 暖通" xfId="8313"/>
    <cellStyle name="好_昆明十一厂 暖通 2" xfId="8314"/>
    <cellStyle name="好_昆明市滇池-管配件20090408" xfId="8315"/>
    <cellStyle name="好_昆明市滇池-管配件20090408 2" xfId="8316"/>
    <cellStyle name="好_昆明市滇池-管配件20090408 2 2" xfId="8317"/>
    <cellStyle name="好_昆明市滇池-管配件20090408 3" xfId="8318"/>
    <cellStyle name="好_昆明市滇池-管配件20090408 3 2" xfId="8319"/>
    <cellStyle name="好_昆明市滇池-管配件20090408 4" xfId="8320"/>
    <cellStyle name="好_兰溪市城南污水转输金华市临江污水厂工程总表" xfId="8321"/>
    <cellStyle name="好_兰溪市城南污水转输金华市临江污水厂工程-总表(方案二)1" xfId="8322"/>
    <cellStyle name="好_兰州管廊规划2016.4.28" xfId="8323"/>
    <cellStyle name="好_乐清市污水估算-2011.6.7" xfId="8324"/>
    <cellStyle name="好_乐清市污水估算-2011.6.7 2" xfId="8325"/>
    <cellStyle name="好_乐清市污水估算-2011.6.7 2 2" xfId="8326"/>
    <cellStyle name="好_乐清市污水估算-2011.6.7 3" xfId="8327"/>
    <cellStyle name="好_乐清市污水估算-2011.6.7 3 2" xfId="8328"/>
    <cellStyle name="好_乐清市污水估算-2011.6.7 4" xfId="8329"/>
    <cellStyle name="好_乐清污水厂一期提标改造工程概算2011.11.29" xfId="8330"/>
    <cellStyle name="好_乐清污水厂一期提标改造工程概算2011.11.29 2" xfId="8331"/>
    <cellStyle name="好_乐清污水厂一期提标改造工程概算2011.11.29 2 2" xfId="8332"/>
    <cellStyle name="好_乐清污水厂一期提标改造工程概算2011.11.29 3" xfId="8333"/>
    <cellStyle name="好_乐清污水厂一期提标改造工程概算2011.11.29 3 2" xfId="8334"/>
    <cellStyle name="好_乐清污水厂一期提标改造工程概算2011.11.29 4" xfId="8335"/>
    <cellStyle name="好_南昌沉北水厂电气设备20081114" xfId="8336"/>
    <cellStyle name="好_南昌沉北水厂电气设备20081114 2" xfId="8337"/>
    <cellStyle name="好_南昌沉北水厂电气设备20081114 2 2" xfId="8338"/>
    <cellStyle name="好_南昌沉北水厂电气设备20081114 3" xfId="8339"/>
    <cellStyle name="好_南昌沉北水厂电气设备20081114 3 2" xfId="8340"/>
    <cellStyle name="好_南昌沉北水厂电气设备20081114 4" xfId="8341"/>
    <cellStyle name="好_南昌沉北水厂电气设备20081114_包头管廊工可（校对）" xfId="8342"/>
    <cellStyle name="好_南昌沉北水厂电气设备20081114_宝山区联谊路污水管道工程-总表-最终版2013.08.01" xfId="8343"/>
    <cellStyle name="好_南昌沉北水厂电气设备20081114_杭州科技城工可(校对)" xfId="8344"/>
    <cellStyle name="好_南昌沉北水厂电气设备20081114_兰溪市城南污水转输金华市临江污水厂工程总表" xfId="8345"/>
    <cellStyle name="好_南昌沉北水厂电气设备20081114_兰州管廊规划2016.2.22" xfId="8346"/>
    <cellStyle name="好_南汇污水厂提标工程交接工程量0920" xfId="8347"/>
    <cellStyle name="好_南区管配件单项" xfId="8348"/>
    <cellStyle name="好_南区管配件单项 2" xfId="8349"/>
    <cellStyle name="好_南区管配件单项 2 2" xfId="8350"/>
    <cellStyle name="好_南区管配件单项 2 2 2" xfId="8351"/>
    <cellStyle name="好_南区管配件单项 2 2 2 2" xfId="8352"/>
    <cellStyle name="好_南区管配件单项 2 2 3" xfId="8353"/>
    <cellStyle name="好_南区管配件单项 2 2 3 2" xfId="8354"/>
    <cellStyle name="好_南区管配件单项 2 2 4" xfId="8355"/>
    <cellStyle name="好_南区管配件单项 2 3" xfId="8356"/>
    <cellStyle name="好_南区管配件单项 2 3 2" xfId="8357"/>
    <cellStyle name="好_南区管配件单项 2 4" xfId="8358"/>
    <cellStyle name="好_南区管配件单项 2 4 2" xfId="8359"/>
    <cellStyle name="好_南区管配件单项 2 5" xfId="8360"/>
    <cellStyle name="好_南区管配件单项 3" xfId="8361"/>
    <cellStyle name="好_南区管配件单项 3 2" xfId="8362"/>
    <cellStyle name="好_南区管配件单项 3 2 2" xfId="8363"/>
    <cellStyle name="好_南区管配件单项 3 3" xfId="8364"/>
    <cellStyle name="好_南区管配件单项 3 3 2" xfId="8365"/>
    <cellStyle name="好_南区管配件单项 3 4" xfId="8366"/>
    <cellStyle name="好_南区管配件单项 4" xfId="8367"/>
    <cellStyle name="好_南区管配件单项 4 2" xfId="8368"/>
    <cellStyle name="好_南区管配件单项 5" xfId="8369"/>
    <cellStyle name="好_南区管配件单项 5 2" xfId="8370"/>
    <cellStyle name="好_南区管配件单项 6" xfId="8371"/>
    <cellStyle name="好_南区管配件单项 6 2" xfId="8372"/>
    <cellStyle name="好_南区管配件单项 7" xfId="8373"/>
    <cellStyle name="好_南三环" xfId="8374"/>
    <cellStyle name="好_南三环 2" xfId="8375"/>
    <cellStyle name="好_南三环管配件单项" xfId="8376"/>
    <cellStyle name="好_南三环管配件单项 2" xfId="8377"/>
    <cellStyle name="好_南三环暖通" xfId="8378"/>
    <cellStyle name="好_南三环暖通 2" xfId="8379"/>
    <cellStyle name="好_宁波碧海初设" xfId="8380"/>
    <cellStyle name="好_潘泾路三期总表" xfId="8381"/>
    <cellStyle name="好_潘泾路三期总表 2" xfId="8382"/>
    <cellStyle name="好_潘泾路三期总表 2 2" xfId="8383"/>
    <cellStyle name="好_潘泾路三期总表 3" xfId="8384"/>
    <cellStyle name="好_潘泾路三期总表 3 2" xfId="8385"/>
    <cellStyle name="好_潘泾路三期总表 4" xfId="8386"/>
    <cellStyle name="好_钱江萧山四期污水处理厂扩建工程2017.6.11" xfId="8387"/>
    <cellStyle name="好_钱江萧山四期污水处理厂扩建工程2017.6.11 2" xfId="8388"/>
    <cellStyle name="好_取水口" xfId="8389"/>
    <cellStyle name="好_厦门电气材料" xfId="8390"/>
    <cellStyle name="好_厦门电气材料 2" xfId="8391"/>
    <cellStyle name="好_厦门电气材料 2 2" xfId="8392"/>
    <cellStyle name="好_厦门电气材料 3" xfId="8393"/>
    <cellStyle name="好_厦门电气材料方案二" xfId="8394"/>
    <cellStyle name="好_厦门电气材料方案二 2" xfId="8395"/>
    <cellStyle name="好_厦门电气材料方案二 2 2" xfId="8396"/>
    <cellStyle name="好_厦门电气材料方案二 3" xfId="8397"/>
    <cellStyle name="好_厦门工可估算" xfId="8398"/>
    <cellStyle name="好_厦门杏林水厂改造自控仪表技经交接NEW（徐鑫）" xfId="8399"/>
    <cellStyle name="好_上海嘉定南翔污水处理厂工程建筑2012.5.17" xfId="8400"/>
    <cellStyle name="好_上海嘉定南翔污水处理厂工程建筑2012.5.17_兰溪市城南污水转输金华市临江污水厂工程-总表(方案二)1" xfId="8401"/>
    <cellStyle name="好_上海嘉定南翔污水处理厂工程建筑2012.5.17_温岭市东部新区2#提升泵站工程总表-项建书总表" xfId="8402"/>
    <cellStyle name="好_上海嘉定南翔污水处理厂工程建筑2012.5.17_温岭市区城区污水管网改造三期工程-总表" xfId="8403"/>
    <cellStyle name="好_上海老港生活垃圾卫生填埋场四期渗滤液厂扩建工程总表2008.07.28" xfId="8404"/>
    <cellStyle name="好_上海老港生活垃圾卫生填埋场四期渗滤液厂扩建工程总表2008.07.28 2" xfId="8405"/>
    <cellStyle name="好_绍兴电气设备清单_new" xfId="8406"/>
    <cellStyle name="好_绍兴电气设备清单_new 2" xfId="8407"/>
    <cellStyle name="好_绍兴电气设备清单_new 2 2" xfId="8408"/>
    <cellStyle name="好_绍兴电气设备清单_new 3" xfId="8409"/>
    <cellStyle name="好_绍兴电气设备清单_new 3 2" xfId="8410"/>
    <cellStyle name="好_绍兴电气设备清单_new 4" xfId="8411"/>
    <cellStyle name="好_绍兴电气设备清单_new_安亭总表2014.11.7-直埋管管径DN1400和更改借地费" xfId="8412"/>
    <cellStyle name="好_绍兴电气设备清单_new_安亭总表工可2015.5（校对）-最终稿" xfId="8413"/>
    <cellStyle name="好_绍兴电气设备清单_new_包头管廊工可（校对）" xfId="8414"/>
    <cellStyle name="好_绍兴电气设备清单_new_宝山区联谊路污水管道工程-总表-最终版2013.08.01" xfId="8415"/>
    <cellStyle name="好_绍兴电气设备清单_new_初设概算" xfId="8416"/>
    <cellStyle name="好_绍兴电气设备清单_new_初设概算2011.12.29" xfId="8417"/>
    <cellStyle name="好_绍兴电气设备清单_new_初设概算2011.7.29" xfId="8418"/>
    <cellStyle name="好_绍兴电气设备清单_new_电气2" xfId="8419"/>
    <cellStyle name="好_绍兴电气设备清单_new_杭州科技城工可(校对)" xfId="8420"/>
    <cellStyle name="好_绍兴电气设备清单_new_嘉善幽澜水厂一期、二期改造工程-总表 (方案二)-校对" xfId="8421"/>
    <cellStyle name="好_绍兴电气设备清单_new_兰溪市城南污水转输金华市临江污水厂工程总表" xfId="8422"/>
    <cellStyle name="好_绍兴电气设备清单_new_兰州管廊规划2016.2.22" xfId="8423"/>
    <cellStyle name="好_绍兴电气设备清单_new_西外环初设概算" xfId="8424"/>
    <cellStyle name="好_绍兴电气设备清单_new_总表最终版" xfId="8425"/>
    <cellStyle name="好_设备表" xfId="8426"/>
    <cellStyle name="好_设备表 2" xfId="8427"/>
    <cellStyle name="好_设备及管配件V1.01" xfId="8428"/>
    <cellStyle name="好_设备交接" xfId="8429"/>
    <cellStyle name="好_十五里河2012030421" xfId="8430"/>
    <cellStyle name="好_十五里河2012030421 2" xfId="8431"/>
    <cellStyle name="好_室内采暖主材概算" xfId="8432"/>
    <cellStyle name="好_双桥概算20140525" xfId="8433"/>
    <cellStyle name="好_双桥概算20140525 2" xfId="8434"/>
    <cellStyle name="好_双桥概算20140531" xfId="8435"/>
    <cellStyle name="好_双桥概算20140531 2" xfId="8436"/>
    <cellStyle name="好_双桥市政院总表（03版本）-0331" xfId="8437"/>
    <cellStyle name="好_双桥市政院总表（03版本）-0331 2" xfId="8438"/>
    <cellStyle name="好_泗水管廊" xfId="8439"/>
    <cellStyle name="好_泗水管廊10.19" xfId="8440"/>
    <cellStyle name="好_苏州七子山垃圾渗沥液升级改造工程" xfId="8441"/>
    <cellStyle name="好_苏州七子山垃圾渗沥液升级改造工程 2" xfId="8442"/>
    <cellStyle name="好_苏州七子山垃圾渗沥液升级改造配件电气" xfId="8443"/>
    <cellStyle name="好_苏州七子山垃圾渗沥液升级改造配件电气 2" xfId="8444"/>
    <cellStyle name="好_泰安市三合水厂改造 建筑2012.7.25" xfId="8445"/>
    <cellStyle name="好_土建指标估算" xfId="8446"/>
    <cellStyle name="好_温岭市东部新区2#提升泵站工程总表-项建书总表" xfId="8447"/>
    <cellStyle name="好_温岭市区城区污水管网改造三期工程-总表" xfId="8448"/>
    <cellStyle name="好_污水处理厂财务评价" xfId="8449"/>
    <cellStyle name="好_污水处理厂财务评价 2" xfId="8450"/>
    <cellStyle name="好_污水处理厂财务评价(压力)" xfId="8451"/>
    <cellStyle name="好_污水处理厂财务评价(压力) 2" xfId="8452"/>
    <cellStyle name="好_污水设备表整理-0811" xfId="8453"/>
    <cellStyle name="好_污水设备表整理-0811 2" xfId="8454"/>
    <cellStyle name="好_西干线WT1.7标工程量清单2011.06.09" xfId="8455"/>
    <cellStyle name="好_西干线WT1.7标工程量清单2011.06.09 2" xfId="8456"/>
    <cellStyle name="好_西干线WT1.7标工程量清单2011.06.09 3" xfId="8457"/>
    <cellStyle name="好_项建书材料表20090202" xfId="8458"/>
    <cellStyle name="好_项建书材料表20090202 10" xfId="8459"/>
    <cellStyle name="好_项建书材料表20090202 2" xfId="8460"/>
    <cellStyle name="好_项建书材料表20090202 2 2" xfId="8461"/>
    <cellStyle name="好_项建书材料表20090202 2 2 2" xfId="8462"/>
    <cellStyle name="好_项建书材料表20090202 2 2 2 2" xfId="8463"/>
    <cellStyle name="好_项建书材料表20090202 2 2 2 2 2" xfId="8464"/>
    <cellStyle name="好_项建书材料表20090202 2 2 2 3" xfId="8465"/>
    <cellStyle name="好_项建书材料表20090202 2 2 3" xfId="8466"/>
    <cellStyle name="好_项建书材料表20090202 2 2 3 2" xfId="8467"/>
    <cellStyle name="好_项建书材料表20090202 2 2 4" xfId="8468"/>
    <cellStyle name="好_项建书材料表20090202 2 2 4 2" xfId="8469"/>
    <cellStyle name="好_项建书材料表20090202 2 2 5" xfId="8470"/>
    <cellStyle name="好_项建书材料表20090202 2 2 5 2" xfId="8471"/>
    <cellStyle name="好_项建书材料表20090202 2 2 6" xfId="8472"/>
    <cellStyle name="好_项建书材料表20090202 2 3" xfId="8473"/>
    <cellStyle name="好_项建书材料表20090202 2 3 2" xfId="8474"/>
    <cellStyle name="好_项建书材料表20090202 2 3 2 2" xfId="8475"/>
    <cellStyle name="好_项建书材料表20090202 2 3 3" xfId="8476"/>
    <cellStyle name="好_项建书材料表20090202 2 3 3 2" xfId="8477"/>
    <cellStyle name="好_项建书材料表20090202 2 3 4" xfId="8478"/>
    <cellStyle name="好_项建书材料表20090202 2 3 4 2" xfId="8479"/>
    <cellStyle name="好_项建书材料表20090202 2 3 5" xfId="8480"/>
    <cellStyle name="好_项建书材料表20090202 2 3 5 2" xfId="8481"/>
    <cellStyle name="好_项建书材料表20090202 2 3 6" xfId="8482"/>
    <cellStyle name="好_项建书材料表20090202 2 4" xfId="8483"/>
    <cellStyle name="好_项建书材料表20090202 2 4 2" xfId="8484"/>
    <cellStyle name="好_项建书材料表20090202 2 5" xfId="8485"/>
    <cellStyle name="好_项建书材料表20090202 2 5 2" xfId="8486"/>
    <cellStyle name="好_项建书材料表20090202 2 6" xfId="8487"/>
    <cellStyle name="好_项建书材料表20090202 2 6 2" xfId="8488"/>
    <cellStyle name="好_项建书材料表20090202 2 7" xfId="8489"/>
    <cellStyle name="好_项建书材料表20090202 3" xfId="8490"/>
    <cellStyle name="好_项建书材料表20090202 3 2" xfId="8491"/>
    <cellStyle name="好_项建书材料表20090202 3 2 2" xfId="8492"/>
    <cellStyle name="好_项建书材料表20090202 3 2 2 2" xfId="8493"/>
    <cellStyle name="好_项建书材料表20090202 3 2 3" xfId="8494"/>
    <cellStyle name="好_项建书材料表20090202 3 3" xfId="8495"/>
    <cellStyle name="好_项建书材料表20090202 3 3 2" xfId="8496"/>
    <cellStyle name="好_项建书材料表20090202 3 4" xfId="8497"/>
    <cellStyle name="好_项建书材料表20090202 3 4 2" xfId="8498"/>
    <cellStyle name="好_项建书材料表20090202 3 5" xfId="8499"/>
    <cellStyle name="好_项建书材料表20090202 3 5 2" xfId="8500"/>
    <cellStyle name="好_项建书材料表20090202 3 6" xfId="8501"/>
    <cellStyle name="好_项建书材料表20090202 4" xfId="8502"/>
    <cellStyle name="好_项建书材料表20090202 4 2" xfId="8503"/>
    <cellStyle name="好_项建书材料表20090202 4 2 2" xfId="8504"/>
    <cellStyle name="好_项建书材料表20090202 4 3" xfId="8505"/>
    <cellStyle name="好_项建书材料表20090202 5" xfId="8506"/>
    <cellStyle name="好_项建书材料表20090202 5 2" xfId="8507"/>
    <cellStyle name="好_项建书材料表20090202 6" xfId="8508"/>
    <cellStyle name="好_项建书材料表20090202 6 2" xfId="8509"/>
    <cellStyle name="好_项建书材料表20090202 7" xfId="8510"/>
    <cellStyle name="好_项建书材料表20090202 7 2" xfId="8511"/>
    <cellStyle name="好_项建书材料表20090202 8" xfId="8512"/>
    <cellStyle name="好_项建书材料表20090202 8 2" xfId="8513"/>
    <cellStyle name="好_项建书材料表20090202 9" xfId="8514"/>
    <cellStyle name="好_项建书材料表20090202 9 2" xfId="8515"/>
    <cellStyle name="好_项建书材料表20090202_交接" xfId="8516"/>
    <cellStyle name="好_项建书材料表20090202_设备交接" xfId="8517"/>
    <cellStyle name="好_新车墩初设电气材料表20150512" xfId="8518"/>
    <cellStyle name="好_新车墩工可电气材料表" xfId="8519"/>
    <cellStyle name="好_新车墩工可电气材料表0320" xfId="8520"/>
    <cellStyle name="好_新车墩工可电气材料表审核后" xfId="8521"/>
    <cellStyle name="好_新车墩投标电气材料表20150129" xfId="8522"/>
    <cellStyle name="好_新乡污泥项目设备估算" xfId="8523"/>
    <cellStyle name="好_新乡污泥项目设备估算 2" xfId="8524"/>
    <cellStyle name="好_盐城开放区污水处理厂概算2014.3.8" xfId="8525"/>
    <cellStyle name="好_仪表材料表" xfId="8526"/>
    <cellStyle name="好_义乌水厂二期(苏溪)" xfId="8527"/>
    <cellStyle name="好_增加安亭水厂泵房电气材料表2014.11.10" xfId="8528"/>
    <cellStyle name="好_郑州新区二期20170517" xfId="8529"/>
    <cellStyle name="好_郑州新区二期扩建工程-概算总表 20180723" xfId="8530"/>
    <cellStyle name="好_郑州新区二期扩建工程总表及财评--0704发" xfId="8531"/>
    <cellStyle name="好_中国江海产业园一期官网工程暖通" xfId="8532"/>
    <cellStyle name="好_重做初设" xfId="8533"/>
    <cellStyle name="好_重做初设(评审调整)" xfId="8534"/>
    <cellStyle name="好_重做工可（评审调整）" xfId="8535"/>
    <cellStyle name="好_主要设备表（项建书第二稿20万地上）" xfId="8536"/>
    <cellStyle name="好_主要设备表（项建书第二稿20万地上） 2" xfId="8537"/>
    <cellStyle name="好_主要设备表（项建书第二稿20万地上） 2 2" xfId="8538"/>
    <cellStyle name="好_主要设备表（项建书第二稿20万地上） 2 2 2" xfId="8539"/>
    <cellStyle name="好_主要设备表（项建书第二稿20万地上） 2 2 2 2" xfId="8540"/>
    <cellStyle name="好_主要设备表（项建书第二稿20万地上） 2 2 3" xfId="8541"/>
    <cellStyle name="好_主要设备表（项建书第二稿20万地上） 2 2 3 2" xfId="8542"/>
    <cellStyle name="好_主要设备表（项建书第二稿20万地上） 2 2 4" xfId="8543"/>
    <cellStyle name="好_主要设备表（项建书第二稿20万地上） 2 2 4 2" xfId="8544"/>
    <cellStyle name="好_主要设备表（项建书第二稿20万地上） 2 2 5" xfId="8545"/>
    <cellStyle name="好_主要设备表（项建书第二稿20万地上） 2 3" xfId="8546"/>
    <cellStyle name="好_主要设备表（项建书第二稿20万地上） 2 3 2" xfId="8547"/>
    <cellStyle name="好_主要设备表（项建书第二稿20万地上） 2 3 2 2" xfId="8548"/>
    <cellStyle name="好_主要设备表（项建书第二稿20万地上） 2 3 3" xfId="8549"/>
    <cellStyle name="好_主要设备表（项建书第二稿20万地上） 2 3 3 2" xfId="8550"/>
    <cellStyle name="好_主要设备表（项建书第二稿20万地上） 2 3 4" xfId="8551"/>
    <cellStyle name="好_主要设备表（项建书第二稿20万地上） 2 3 4 2" xfId="8552"/>
    <cellStyle name="好_主要设备表（项建书第二稿20万地上） 2 3 5" xfId="8553"/>
    <cellStyle name="好_主要设备表（项建书第二稿20万地上） 2 4" xfId="8554"/>
    <cellStyle name="好_主要设备表（项建书第二稿20万地上） 2 4 2" xfId="8555"/>
    <cellStyle name="好_主要设备表（项建书第二稿20万地上） 2 5" xfId="8556"/>
    <cellStyle name="好_主要设备表（项建书第二稿20万地上） 2 5 2" xfId="8557"/>
    <cellStyle name="好_主要设备表（项建书第二稿20万地上） 2 6" xfId="8558"/>
    <cellStyle name="好_主要设备表（项建书第二稿20万地上） 3" xfId="8559"/>
    <cellStyle name="好_主要设备表（项建书第二稿20万地上） 3 2" xfId="8560"/>
    <cellStyle name="好_主要设备表（项建书第二稿20万地上） 3 2 2" xfId="8561"/>
    <cellStyle name="好_主要设备表（项建书第二稿20万地上） 3 3" xfId="8562"/>
    <cellStyle name="好_主要设备表（项建书第二稿20万地上） 3 3 2" xfId="8563"/>
    <cellStyle name="好_主要设备表（项建书第二稿20万地上） 3 4" xfId="8564"/>
    <cellStyle name="好_主要设备表（项建书第二稿20万地上） 3 4 2" xfId="8565"/>
    <cellStyle name="好_主要设备表（项建书第二稿20万地上） 3 5" xfId="8566"/>
    <cellStyle name="好_主要设备表（项建书第二稿20万地上） 4" xfId="8567"/>
    <cellStyle name="好_主要设备表（项建书第二稿20万地上） 4 2" xfId="8568"/>
    <cellStyle name="好_主要设备表（项建书第二稿20万地上） 4 2 2" xfId="8569"/>
    <cellStyle name="好_主要设备表（项建书第二稿20万地上） 4 3" xfId="8570"/>
    <cellStyle name="好_主要设备表（项建书第二稿20万地上） 5" xfId="8571"/>
    <cellStyle name="好_主要设备表（项建书第二稿20万地上） 5 2" xfId="8572"/>
    <cellStyle name="好_主要设备表（项建书第二稿20万地上） 6" xfId="8573"/>
    <cellStyle name="好_主要设备表（项建书第二稿20万地上） 6 2" xfId="8574"/>
    <cellStyle name="好_主要设备表（项建书第二稿20万地上） 7" xfId="8575"/>
    <cellStyle name="好_主要设备表（项建书第二稿20万地上） 7 2" xfId="8576"/>
    <cellStyle name="好_主要设备表（项建书第二稿20万地上） 8" xfId="8577"/>
    <cellStyle name="好_主要设备表（项建书第二稿20万地上） 8 2" xfId="8578"/>
    <cellStyle name="好_主要设备表（项建书第二稿20万地上） 9" xfId="8579"/>
    <cellStyle name="好_主要设备表（项建书第二稿20万地上）_交接" xfId="8580"/>
    <cellStyle name="好_主要设备表（项建书第二稿20万地上）_设备交接" xfId="8581"/>
    <cellStyle name="好_自控仪表" xfId="8582"/>
    <cellStyle name="好_总表最终版" xfId="8583"/>
    <cellStyle name="后继超级链接" xfId="8584"/>
    <cellStyle name="汇总 2" xfId="8585"/>
    <cellStyle name="汇总 2 2" xfId="8586"/>
    <cellStyle name="汇总 2 2 2" xfId="8587"/>
    <cellStyle name="汇总 2 2 2 2" xfId="8588"/>
    <cellStyle name="汇总 2 2 2 2 2" xfId="8589"/>
    <cellStyle name="汇总 2 2 2 3" xfId="8590"/>
    <cellStyle name="汇总 2 2 2 3 2" xfId="8591"/>
    <cellStyle name="汇总 2 2 2 4" xfId="8592"/>
    <cellStyle name="汇总 2 2 2 4 2" xfId="8593"/>
    <cellStyle name="汇总 2 2 2 5" xfId="8594"/>
    <cellStyle name="汇总 2 2 3" xfId="8595"/>
    <cellStyle name="汇总 2 2 3 2" xfId="8596"/>
    <cellStyle name="汇总 2 2 3 2 2" xfId="8597"/>
    <cellStyle name="汇总 2 2 3 3" xfId="8598"/>
    <cellStyle name="汇总 2 2 3 3 2" xfId="8599"/>
    <cellStyle name="汇总 2 2 3 4" xfId="8600"/>
    <cellStyle name="汇总 2 2 3 4 2" xfId="8601"/>
    <cellStyle name="汇总 2 2 3 5" xfId="8602"/>
    <cellStyle name="汇总 2 2 4" xfId="8603"/>
    <cellStyle name="汇总 2 2 4 2" xfId="8604"/>
    <cellStyle name="汇总 2 2 5" xfId="8605"/>
    <cellStyle name="汇总 2 2 5 2" xfId="8606"/>
    <cellStyle name="汇总 2 2 6" xfId="8607"/>
    <cellStyle name="汇总 2 2_郑州新区二期扩建工程-概算总表 20180723" xfId="8608"/>
    <cellStyle name="汇总 2 3" xfId="8609"/>
    <cellStyle name="汇总 2 3 2" xfId="8610"/>
    <cellStyle name="汇总 2 3 2 2" xfId="8611"/>
    <cellStyle name="汇总 2 3 3" xfId="8612"/>
    <cellStyle name="汇总 2 3 3 2" xfId="8613"/>
    <cellStyle name="汇总 2 3 4" xfId="8614"/>
    <cellStyle name="汇总 2 3 4 2" xfId="8615"/>
    <cellStyle name="汇总 2 3 5" xfId="8616"/>
    <cellStyle name="汇总 2 4" xfId="8617"/>
    <cellStyle name="汇总 2 4 2" xfId="8618"/>
    <cellStyle name="汇总 2 4 2 2" xfId="8619"/>
    <cellStyle name="汇总 2 4 3" xfId="8620"/>
    <cellStyle name="汇总 2 5" xfId="8621"/>
    <cellStyle name="汇总 2 5 2" xfId="8622"/>
    <cellStyle name="汇总 2 6" xfId="8623"/>
    <cellStyle name="汇总 2 6 2" xfId="8624"/>
    <cellStyle name="汇总 2 7" xfId="8625"/>
    <cellStyle name="汇总 2 7 2" xfId="8626"/>
    <cellStyle name="汇总 2 8" xfId="8627"/>
    <cellStyle name="汇总 2 8 2" xfId="8628"/>
    <cellStyle name="汇总 2 9" xfId="8629"/>
    <cellStyle name="汇总 2_郑州新区二期扩建工程-概算总表 20180723" xfId="8630"/>
    <cellStyle name="汇总 3" xfId="8631"/>
    <cellStyle name="汇总 3 2" xfId="8632"/>
    <cellStyle name="汇总 3 2 2" xfId="8633"/>
    <cellStyle name="汇总 3 3" xfId="8634"/>
    <cellStyle name="汇总 3_郑州新区二期扩建工程-概算总表 20180723" xfId="8635"/>
    <cellStyle name="汇总 4" xfId="8636"/>
    <cellStyle name="汇总 4 2" xfId="8637"/>
    <cellStyle name="汇总 4 2 2" xfId="8638"/>
    <cellStyle name="汇总 4 3" xfId="8639"/>
    <cellStyle name="汇总 5" xfId="8640"/>
    <cellStyle name="汇总 5 2" xfId="8641"/>
    <cellStyle name="货币 2" xfId="8642"/>
    <cellStyle name="货币 2 2" xfId="8643"/>
    <cellStyle name="货币 2 2 2" xfId="8644"/>
    <cellStyle name="货币 2 3" xfId="8645"/>
    <cellStyle name="货币 2 3 2" xfId="8646"/>
    <cellStyle name="货币 2 4" xfId="8647"/>
    <cellStyle name="货币 3" xfId="8648"/>
    <cellStyle name="货币 4" xfId="8649"/>
    <cellStyle name="货币 5" xfId="8650"/>
    <cellStyle name="货币 6" xfId="8651"/>
    <cellStyle name="货币 7" xfId="8652"/>
    <cellStyle name="计算 2" xfId="8653"/>
    <cellStyle name="计算 2 2" xfId="8654"/>
    <cellStyle name="计算 2 2 2" xfId="8655"/>
    <cellStyle name="计算 2 2 2 2" xfId="8656"/>
    <cellStyle name="计算 2 2 2 2 2" xfId="8657"/>
    <cellStyle name="计算 2 2 2 3" xfId="8658"/>
    <cellStyle name="计算 2 2 2 3 2" xfId="8659"/>
    <cellStyle name="计算 2 2 2 4" xfId="8660"/>
    <cellStyle name="计算 2 2 2 4 2" xfId="8661"/>
    <cellStyle name="计算 2 2 2 5" xfId="8662"/>
    <cellStyle name="计算 2 2 3" xfId="8663"/>
    <cellStyle name="计算 2 2 3 2" xfId="8664"/>
    <cellStyle name="计算 2 2 3 2 2" xfId="8665"/>
    <cellStyle name="计算 2 2 3 3" xfId="8666"/>
    <cellStyle name="计算 2 2 3 3 2" xfId="8667"/>
    <cellStyle name="计算 2 2 3 4" xfId="8668"/>
    <cellStyle name="计算 2 2 3 4 2" xfId="8669"/>
    <cellStyle name="计算 2 2 3 5" xfId="8670"/>
    <cellStyle name="计算 2 2 4" xfId="8671"/>
    <cellStyle name="计算 2 2 4 2" xfId="8672"/>
    <cellStyle name="计算 2 2 5" xfId="8673"/>
    <cellStyle name="计算 2 2 5 2" xfId="8674"/>
    <cellStyle name="计算 2 2 6" xfId="8675"/>
    <cellStyle name="计算 2 2_郑州新区二期扩建工程-概算总表 20180723" xfId="8676"/>
    <cellStyle name="计算 2 3" xfId="8677"/>
    <cellStyle name="计算 2 3 2" xfId="8678"/>
    <cellStyle name="计算 2 3 2 2" xfId="8679"/>
    <cellStyle name="计算 2 3 3" xfId="8680"/>
    <cellStyle name="计算 2 3 3 2" xfId="8681"/>
    <cellStyle name="计算 2 3 4" xfId="8682"/>
    <cellStyle name="计算 2 3 4 2" xfId="8683"/>
    <cellStyle name="计算 2 3 5" xfId="8684"/>
    <cellStyle name="计算 2 4" xfId="8685"/>
    <cellStyle name="计算 2 4 2" xfId="8686"/>
    <cellStyle name="计算 2 4 2 2" xfId="8687"/>
    <cellStyle name="计算 2 4 3" xfId="8688"/>
    <cellStyle name="计算 2 5" xfId="8689"/>
    <cellStyle name="计算 2 5 2" xfId="8690"/>
    <cellStyle name="计算 2 6" xfId="8691"/>
    <cellStyle name="计算 2 6 2" xfId="8692"/>
    <cellStyle name="计算 2 7" xfId="8693"/>
    <cellStyle name="计算 2 7 2" xfId="8694"/>
    <cellStyle name="计算 2 8" xfId="8695"/>
    <cellStyle name="计算 2 8 2" xfId="8696"/>
    <cellStyle name="计算 2 9" xfId="8697"/>
    <cellStyle name="计算 2_郑州新区二期扩建工程-概算总表 20180723" xfId="8698"/>
    <cellStyle name="计算 3" xfId="8699"/>
    <cellStyle name="计算 3 2" xfId="8700"/>
    <cellStyle name="计算 3 2 2" xfId="8701"/>
    <cellStyle name="计算 3 3" xfId="8702"/>
    <cellStyle name="计算 3_郑州新区二期扩建工程-概算总表 20180723" xfId="8703"/>
    <cellStyle name="计算 4" xfId="8704"/>
    <cellStyle name="计算 4 2" xfId="8705"/>
    <cellStyle name="计算 4 2 2" xfId="8706"/>
    <cellStyle name="计算 4 3" xfId="8707"/>
    <cellStyle name="计算 5" xfId="8708"/>
    <cellStyle name="计算 5 2" xfId="8709"/>
    <cellStyle name="检查单元格 2" xfId="8710"/>
    <cellStyle name="检查单元格 2 2" xfId="8711"/>
    <cellStyle name="检查单元格 2 2 2" xfId="8712"/>
    <cellStyle name="检查单元格 2 2 2 2" xfId="8713"/>
    <cellStyle name="检查单元格 2 2 2 2 2" xfId="8714"/>
    <cellStyle name="检查单元格 2 2 2 3" xfId="8715"/>
    <cellStyle name="检查单元格 2 2 2 3 2" xfId="8716"/>
    <cellStyle name="检查单元格 2 2 2 4" xfId="8717"/>
    <cellStyle name="检查单元格 2 2 2 4 2" xfId="8718"/>
    <cellStyle name="检查单元格 2 2 2 5" xfId="8719"/>
    <cellStyle name="检查单元格 2 2 3" xfId="8720"/>
    <cellStyle name="检查单元格 2 2 3 2" xfId="8721"/>
    <cellStyle name="检查单元格 2 2 3 2 2" xfId="8722"/>
    <cellStyle name="检查单元格 2 2 3 3" xfId="8723"/>
    <cellStyle name="检查单元格 2 2 3 3 2" xfId="8724"/>
    <cellStyle name="检查单元格 2 2 3 4" xfId="8725"/>
    <cellStyle name="检查单元格 2 2 3 4 2" xfId="8726"/>
    <cellStyle name="检查单元格 2 2 3 5" xfId="8727"/>
    <cellStyle name="检查单元格 2 2 4" xfId="8728"/>
    <cellStyle name="检查单元格 2 2 4 2" xfId="8729"/>
    <cellStyle name="检查单元格 2 2 5" xfId="8730"/>
    <cellStyle name="检查单元格 2 2 5 2" xfId="8731"/>
    <cellStyle name="检查单元格 2 2 6" xfId="8732"/>
    <cellStyle name="检查单元格 2 2_郑州新区二期扩建工程-概算总表 20180723" xfId="8733"/>
    <cellStyle name="检查单元格 2 3" xfId="8734"/>
    <cellStyle name="检查单元格 2 3 2" xfId="8735"/>
    <cellStyle name="检查单元格 2 3 2 2" xfId="8736"/>
    <cellStyle name="检查单元格 2 3 3" xfId="8737"/>
    <cellStyle name="检查单元格 2 3 3 2" xfId="8738"/>
    <cellStyle name="检查单元格 2 3 4" xfId="8739"/>
    <cellStyle name="检查单元格 2 3 4 2" xfId="8740"/>
    <cellStyle name="检查单元格 2 3 5" xfId="8741"/>
    <cellStyle name="检查单元格 2 4" xfId="8742"/>
    <cellStyle name="检查单元格 2 4 2" xfId="8743"/>
    <cellStyle name="检查单元格 2 4 2 2" xfId="8744"/>
    <cellStyle name="检查单元格 2 4 3" xfId="8745"/>
    <cellStyle name="检查单元格 2 5" xfId="8746"/>
    <cellStyle name="检查单元格 2 5 2" xfId="8747"/>
    <cellStyle name="检查单元格 2 6" xfId="8748"/>
    <cellStyle name="检查单元格 2 6 2" xfId="8749"/>
    <cellStyle name="检查单元格 2 7" xfId="8750"/>
    <cellStyle name="检查单元格 2 7 2" xfId="8751"/>
    <cellStyle name="检查单元格 2 8" xfId="8752"/>
    <cellStyle name="检查单元格 2 8 2" xfId="8753"/>
    <cellStyle name="检查单元格 2 9" xfId="8754"/>
    <cellStyle name="检查单元格 2_郑州新区二期扩建工程-概算总表 20180723" xfId="8755"/>
    <cellStyle name="检查单元格 3" xfId="8756"/>
    <cellStyle name="检查单元格 3 2" xfId="8757"/>
    <cellStyle name="检查单元格 3 2 2" xfId="8758"/>
    <cellStyle name="检查单元格 3 3" xfId="8759"/>
    <cellStyle name="检查单元格 3_郑州新区二期扩建工程-概算总表 20180723" xfId="8760"/>
    <cellStyle name="检查单元格 4" xfId="8761"/>
    <cellStyle name="检查单元格 4 2" xfId="8762"/>
    <cellStyle name="检查单元格 4 2 2" xfId="8763"/>
    <cellStyle name="检查单元格 4 3" xfId="8764"/>
    <cellStyle name="检查单元格 5" xfId="8765"/>
    <cellStyle name="检查单元格 5 2" xfId="8766"/>
    <cellStyle name="解释性文本 2" xfId="8767"/>
    <cellStyle name="解释性文本 2 2" xfId="8768"/>
    <cellStyle name="解释性文本 2 2 2" xfId="8769"/>
    <cellStyle name="解释性文本 2 2 2 2" xfId="8770"/>
    <cellStyle name="解释性文本 2 2 2 2 2" xfId="8771"/>
    <cellStyle name="解释性文本 2 2 2 3" xfId="8772"/>
    <cellStyle name="解释性文本 2 2 2 3 2" xfId="8773"/>
    <cellStyle name="解释性文本 2 2 2 4" xfId="8774"/>
    <cellStyle name="解释性文本 2 2 2 4 2" xfId="8775"/>
    <cellStyle name="解释性文本 2 2 2 5" xfId="8776"/>
    <cellStyle name="解释性文本 2 2 3" xfId="8777"/>
    <cellStyle name="解释性文本 2 2 3 2" xfId="8778"/>
    <cellStyle name="解释性文本 2 2 3 2 2" xfId="8779"/>
    <cellStyle name="解释性文本 2 2 3 3" xfId="8780"/>
    <cellStyle name="解释性文本 2 2 3 3 2" xfId="8781"/>
    <cellStyle name="解释性文本 2 2 3 4" xfId="8782"/>
    <cellStyle name="解释性文本 2 2 3 4 2" xfId="8783"/>
    <cellStyle name="解释性文本 2 2 3 5" xfId="8784"/>
    <cellStyle name="解释性文本 2 2 4" xfId="8785"/>
    <cellStyle name="解释性文本 2 2 4 2" xfId="8786"/>
    <cellStyle name="解释性文本 2 2 5" xfId="8787"/>
    <cellStyle name="解释性文本 2 2 5 2" xfId="8788"/>
    <cellStyle name="解释性文本 2 2 6" xfId="8789"/>
    <cellStyle name="解释性文本 2 2_郑州新区二期扩建工程-概算总表 20180723" xfId="8790"/>
    <cellStyle name="解释性文本 2 3" xfId="8791"/>
    <cellStyle name="解释性文本 2 3 2" xfId="8792"/>
    <cellStyle name="解释性文本 2 3 2 2" xfId="8793"/>
    <cellStyle name="解释性文本 2 3 3" xfId="8794"/>
    <cellStyle name="解释性文本 2 3 3 2" xfId="8795"/>
    <cellStyle name="解释性文本 2 3 4" xfId="8796"/>
    <cellStyle name="解释性文本 2 3 4 2" xfId="8797"/>
    <cellStyle name="解释性文本 2 3 5" xfId="8798"/>
    <cellStyle name="解释性文本 2 4" xfId="8799"/>
    <cellStyle name="解释性文本 2 4 2" xfId="8800"/>
    <cellStyle name="解释性文本 2 4 2 2" xfId="8801"/>
    <cellStyle name="解释性文本 2 4 3" xfId="8802"/>
    <cellStyle name="解释性文本 2 5" xfId="8803"/>
    <cellStyle name="解释性文本 2 5 2" xfId="8804"/>
    <cellStyle name="解释性文本 2 6" xfId="8805"/>
    <cellStyle name="解释性文本 2 6 2" xfId="8806"/>
    <cellStyle name="解释性文本 2 7" xfId="8807"/>
    <cellStyle name="解释性文本 2 7 2" xfId="8808"/>
    <cellStyle name="解释性文本 2 8" xfId="8809"/>
    <cellStyle name="解释性文本 2 8 2" xfId="8810"/>
    <cellStyle name="解释性文本 2 9" xfId="8811"/>
    <cellStyle name="解释性文本 2_郑州新区二期扩建工程-概算总表 20180723" xfId="8812"/>
    <cellStyle name="解释性文本 3" xfId="8813"/>
    <cellStyle name="解释性文本 3 2" xfId="8814"/>
    <cellStyle name="解释性文本 3 2 2" xfId="8815"/>
    <cellStyle name="解释性文本 3 3" xfId="8816"/>
    <cellStyle name="解释性文本 3_郑州新区二期扩建工程-概算总表 20180723" xfId="8817"/>
    <cellStyle name="解释性文本 4" xfId="8818"/>
    <cellStyle name="解释性文本 4 2" xfId="8819"/>
    <cellStyle name="警告文本 2" xfId="8820"/>
    <cellStyle name="警告文本 2 10" xfId="8821"/>
    <cellStyle name="警告文本 2 2" xfId="8822"/>
    <cellStyle name="警告文本 2 2 2" xfId="8823"/>
    <cellStyle name="警告文本 2 2 2 2" xfId="8824"/>
    <cellStyle name="警告文本 2 2 2 2 2" xfId="8825"/>
    <cellStyle name="警告文本 2 2 2 2 2 2" xfId="8826"/>
    <cellStyle name="警告文本 2 2 2 2 3" xfId="8827"/>
    <cellStyle name="警告文本 2 2 2 3" xfId="8828"/>
    <cellStyle name="警告文本 2 2 2 3 2" xfId="8829"/>
    <cellStyle name="警告文本 2 2 2 4" xfId="8830"/>
    <cellStyle name="警告文本 2 2 2 4 2" xfId="8831"/>
    <cellStyle name="警告文本 2 2 2 5" xfId="8832"/>
    <cellStyle name="警告文本 2 2 3" xfId="8833"/>
    <cellStyle name="警告文本 2 2 3 2" xfId="8834"/>
    <cellStyle name="警告文本 2 2 3 2 2" xfId="8835"/>
    <cellStyle name="警告文本 2 2 3 3" xfId="8836"/>
    <cellStyle name="警告文本 2 2 3 3 2" xfId="8837"/>
    <cellStyle name="警告文本 2 2 3 4" xfId="8838"/>
    <cellStyle name="警告文本 2 2 3 4 2" xfId="8839"/>
    <cellStyle name="警告文本 2 2 3 5" xfId="8840"/>
    <cellStyle name="警告文本 2 2 4" xfId="8841"/>
    <cellStyle name="警告文本 2 2 4 2" xfId="8842"/>
    <cellStyle name="警告文本 2 2 4 2 2" xfId="8843"/>
    <cellStyle name="警告文本 2 2 4 3" xfId="8844"/>
    <cellStyle name="警告文本 2 2 5" xfId="8845"/>
    <cellStyle name="警告文本 2 2 5 2" xfId="8846"/>
    <cellStyle name="警告文本 2 2 6" xfId="8847"/>
    <cellStyle name="警告文本 2 2 6 2" xfId="8848"/>
    <cellStyle name="警告文本 2 2 7" xfId="8849"/>
    <cellStyle name="警告文本 2 2_郑州新区二期扩建工程-概算总表 20180723" xfId="8850"/>
    <cellStyle name="警告文本 2 3" xfId="8851"/>
    <cellStyle name="警告文本 2 3 2" xfId="8852"/>
    <cellStyle name="警告文本 2 3 2 2" xfId="8853"/>
    <cellStyle name="警告文本 2 3 2 2 2" xfId="8854"/>
    <cellStyle name="警告文本 2 3 2 3" xfId="8855"/>
    <cellStyle name="警告文本 2 3 3" xfId="8856"/>
    <cellStyle name="警告文本 2 3 3 2" xfId="8857"/>
    <cellStyle name="警告文本 2 3 4" xfId="8858"/>
    <cellStyle name="警告文本 2 3 4 2" xfId="8859"/>
    <cellStyle name="警告文本 2 3 5" xfId="8860"/>
    <cellStyle name="警告文本 2 4" xfId="8861"/>
    <cellStyle name="警告文本 2 4 2" xfId="8862"/>
    <cellStyle name="警告文本 2 4 2 2" xfId="8863"/>
    <cellStyle name="警告文本 2 4 3" xfId="8864"/>
    <cellStyle name="警告文本 2 5" xfId="8865"/>
    <cellStyle name="警告文本 2 5 2" xfId="8866"/>
    <cellStyle name="警告文本 2 5 2 2" xfId="8867"/>
    <cellStyle name="警告文本 2 5 3" xfId="8868"/>
    <cellStyle name="警告文本 2 6" xfId="8869"/>
    <cellStyle name="警告文本 2 6 2" xfId="8870"/>
    <cellStyle name="警告文本 2 7" xfId="8871"/>
    <cellStyle name="警告文本 2 7 2" xfId="8872"/>
    <cellStyle name="警告文本 2 8" xfId="8873"/>
    <cellStyle name="警告文本 2 8 2" xfId="8874"/>
    <cellStyle name="警告文本 2 9" xfId="8875"/>
    <cellStyle name="警告文本 2 9 2" xfId="8876"/>
    <cellStyle name="警告文本 2_郑州新区二期扩建工程-概算总表 20180723" xfId="8877"/>
    <cellStyle name="警告文本 3" xfId="8878"/>
    <cellStyle name="警告文本 3 2" xfId="8879"/>
    <cellStyle name="警告文本 3 2 2" xfId="8880"/>
    <cellStyle name="警告文本 3 3" xfId="8881"/>
    <cellStyle name="警告文本 3_郑州新区二期扩建工程-概算总表 20180723" xfId="8882"/>
    <cellStyle name="警告文本 4" xfId="8883"/>
    <cellStyle name="警告文本 4 2" xfId="8884"/>
    <cellStyle name="链接单元格 2" xfId="8885"/>
    <cellStyle name="链接单元格 2 2" xfId="8886"/>
    <cellStyle name="链接单元格 2 2 2" xfId="8887"/>
    <cellStyle name="链接单元格 2 2 2 2" xfId="8888"/>
    <cellStyle name="链接单元格 2 2 2 2 2" xfId="8889"/>
    <cellStyle name="链接单元格 2 2 2 3" xfId="8890"/>
    <cellStyle name="链接单元格 2 2 2 3 2" xfId="8891"/>
    <cellStyle name="链接单元格 2 2 2 4" xfId="8892"/>
    <cellStyle name="链接单元格 2 2 2 4 2" xfId="8893"/>
    <cellStyle name="链接单元格 2 2 2 5" xfId="8894"/>
    <cellStyle name="链接单元格 2 2 3" xfId="8895"/>
    <cellStyle name="链接单元格 2 2 3 2" xfId="8896"/>
    <cellStyle name="链接单元格 2 2 3 2 2" xfId="8897"/>
    <cellStyle name="链接单元格 2 2 3 3" xfId="8898"/>
    <cellStyle name="链接单元格 2 2 3 3 2" xfId="8899"/>
    <cellStyle name="链接单元格 2 2 3 4" xfId="8900"/>
    <cellStyle name="链接单元格 2 2 3 4 2" xfId="8901"/>
    <cellStyle name="链接单元格 2 2 3 5" xfId="8902"/>
    <cellStyle name="链接单元格 2 2 4" xfId="8903"/>
    <cellStyle name="链接单元格 2 2 4 2" xfId="8904"/>
    <cellStyle name="链接单元格 2 2 5" xfId="8905"/>
    <cellStyle name="链接单元格 2 2 5 2" xfId="8906"/>
    <cellStyle name="链接单元格 2 2 6" xfId="8907"/>
    <cellStyle name="链接单元格 2 2_郑州新区二期扩建工程-概算总表 20180723" xfId="8908"/>
    <cellStyle name="链接单元格 2 3" xfId="8909"/>
    <cellStyle name="链接单元格 2 3 2" xfId="8910"/>
    <cellStyle name="链接单元格 2 3 2 2" xfId="8911"/>
    <cellStyle name="链接单元格 2 3 3" xfId="8912"/>
    <cellStyle name="链接单元格 2 3 3 2" xfId="8913"/>
    <cellStyle name="链接单元格 2 3 4" xfId="8914"/>
    <cellStyle name="链接单元格 2 3 4 2" xfId="8915"/>
    <cellStyle name="链接单元格 2 3 5" xfId="8916"/>
    <cellStyle name="链接单元格 2 4" xfId="8917"/>
    <cellStyle name="链接单元格 2 4 2" xfId="8918"/>
    <cellStyle name="链接单元格 2 4 2 2" xfId="8919"/>
    <cellStyle name="链接单元格 2 4 3" xfId="8920"/>
    <cellStyle name="链接单元格 2 5" xfId="8921"/>
    <cellStyle name="链接单元格 2 5 2" xfId="8922"/>
    <cellStyle name="链接单元格 2 6" xfId="8923"/>
    <cellStyle name="链接单元格 2 6 2" xfId="8924"/>
    <cellStyle name="链接单元格 2 7" xfId="8925"/>
    <cellStyle name="链接单元格 2 7 2" xfId="8926"/>
    <cellStyle name="链接单元格 2 8" xfId="8927"/>
    <cellStyle name="链接单元格 2 8 2" xfId="8928"/>
    <cellStyle name="链接单元格 2 9" xfId="8929"/>
    <cellStyle name="链接单元格 2_郑州新区二期扩建工程-概算总表 20180723" xfId="8930"/>
    <cellStyle name="链接单元格 3" xfId="8931"/>
    <cellStyle name="链接单元格 3 2" xfId="8932"/>
    <cellStyle name="链接单元格 3 2 2" xfId="8933"/>
    <cellStyle name="链接单元格 3 3" xfId="8934"/>
    <cellStyle name="链接单元格 3_郑州新区二期扩建工程-概算总表 20180723" xfId="8935"/>
    <cellStyle name="链接单元格 4" xfId="8936"/>
    <cellStyle name="链接单元格 4 2" xfId="8937"/>
    <cellStyle name="普通_ 费率" xfId="8938"/>
    <cellStyle name="普通_总表_1" xfId="5"/>
    <cellStyle name="普通O电气设备_平面布置,管配件" xfId="8939"/>
    <cellStyle name="千分位[0]_ 管配件" xfId="8940"/>
    <cellStyle name="千分位_ 管配件" xfId="8941"/>
    <cellStyle name="千位[0]_laroux" xfId="8942"/>
    <cellStyle name="千位_laroux" xfId="8943"/>
    <cellStyle name="千位分隔 2" xfId="8944"/>
    <cellStyle name="千位分隔 2 10" xfId="8945"/>
    <cellStyle name="千位分隔 2 11" xfId="8946"/>
    <cellStyle name="千位分隔 2 2" xfId="8947"/>
    <cellStyle name="千位分隔 2 2 10" xfId="8948"/>
    <cellStyle name="千位分隔 2 2 11" xfId="8949"/>
    <cellStyle name="千位分隔 2 2 2" xfId="8950"/>
    <cellStyle name="千位分隔 2 2 2 2" xfId="8951"/>
    <cellStyle name="千位分隔 2 2 2 2 2" xfId="8952"/>
    <cellStyle name="千位分隔 2 2 2 2 2 2" xfId="8953"/>
    <cellStyle name="千位分隔 2 2 2 2 3" xfId="8954"/>
    <cellStyle name="千位分隔 2 2 2 2 3 2" xfId="8955"/>
    <cellStyle name="千位分隔 2 2 2 2 4" xfId="8956"/>
    <cellStyle name="千位分隔 2 2 2 2 5" xfId="8957"/>
    <cellStyle name="千位分隔 2 2 2 3" xfId="8958"/>
    <cellStyle name="千位分隔 2 2 2 3 2" xfId="8959"/>
    <cellStyle name="千位分隔 2 2 2 4" xfId="8960"/>
    <cellStyle name="千位分隔 2 2 2 4 2" xfId="8961"/>
    <cellStyle name="千位分隔 2 2 2 5" xfId="8962"/>
    <cellStyle name="千位分隔 2 2 2 5 2" xfId="8963"/>
    <cellStyle name="千位分隔 2 2 2 6" xfId="8964"/>
    <cellStyle name="千位分隔 2 2 2 7" xfId="8965"/>
    <cellStyle name="千位分隔 2 2 3" xfId="8966"/>
    <cellStyle name="千位分隔 2 2 3 2" xfId="8967"/>
    <cellStyle name="千位分隔 2 2 3 2 2" xfId="8968"/>
    <cellStyle name="千位分隔 2 2 3 3" xfId="8969"/>
    <cellStyle name="千位分隔 2 2 3 3 2" xfId="8970"/>
    <cellStyle name="千位分隔 2 2 3 4" xfId="8971"/>
    <cellStyle name="千位分隔 2 2 3 4 2" xfId="8972"/>
    <cellStyle name="千位分隔 2 2 3 5" xfId="8973"/>
    <cellStyle name="千位分隔 2 2 3 5 2" xfId="8974"/>
    <cellStyle name="千位分隔 2 2 3 6" xfId="8975"/>
    <cellStyle name="千位分隔 2 2 3 7" xfId="8976"/>
    <cellStyle name="千位分隔 2 2 4" xfId="8977"/>
    <cellStyle name="千位分隔 2 2 4 2" xfId="8978"/>
    <cellStyle name="千位分隔 2 2 4 2 2" xfId="8979"/>
    <cellStyle name="千位分隔 2 2 4 3" xfId="8980"/>
    <cellStyle name="千位分隔 2 2 4 4" xfId="8981"/>
    <cellStyle name="千位分隔 2 2 5" xfId="8982"/>
    <cellStyle name="千位分隔 2 2 5 2" xfId="8983"/>
    <cellStyle name="千位分隔 2 2 6" xfId="8984"/>
    <cellStyle name="千位分隔 2 2 6 2" xfId="8985"/>
    <cellStyle name="千位分隔 2 2 7" xfId="8986"/>
    <cellStyle name="千位分隔 2 2 7 2" xfId="8987"/>
    <cellStyle name="千位分隔 2 2 8" xfId="8988"/>
    <cellStyle name="千位分隔 2 2 8 2" xfId="8989"/>
    <cellStyle name="千位分隔 2 2 9" xfId="8990"/>
    <cellStyle name="千位分隔 2 2 9 2" xfId="8991"/>
    <cellStyle name="千位分隔 2 3" xfId="8992"/>
    <cellStyle name="千位分隔 2 3 2" xfId="8993"/>
    <cellStyle name="千位分隔 2 3 2 2" xfId="8994"/>
    <cellStyle name="千位分隔 2 3 2 2 2" xfId="8995"/>
    <cellStyle name="千位分隔 2 3 2 3" xfId="8996"/>
    <cellStyle name="千位分隔 2 3 3" xfId="8997"/>
    <cellStyle name="千位分隔 2 3 3 2" xfId="8998"/>
    <cellStyle name="千位分隔 2 3 4" xfId="8999"/>
    <cellStyle name="千位分隔 2 3 4 2" xfId="9000"/>
    <cellStyle name="千位分隔 2 3 5" xfId="9001"/>
    <cellStyle name="千位分隔 2 3 5 2" xfId="9002"/>
    <cellStyle name="千位分隔 2 3 6" xfId="9003"/>
    <cellStyle name="千位分隔 2 3 6 2" xfId="9004"/>
    <cellStyle name="千位分隔 2 3 7" xfId="9005"/>
    <cellStyle name="千位分隔 2 3 7 2" xfId="9006"/>
    <cellStyle name="千位分隔 2 3 8" xfId="9007"/>
    <cellStyle name="千位分隔 2 3 9" xfId="9008"/>
    <cellStyle name="千位分隔 2 4" xfId="9009"/>
    <cellStyle name="千位分隔 2 4 2" xfId="9010"/>
    <cellStyle name="千位分隔 2 4 2 2" xfId="9011"/>
    <cellStyle name="千位分隔 2 4 3" xfId="9012"/>
    <cellStyle name="千位分隔 2 4 3 2" xfId="9013"/>
    <cellStyle name="千位分隔 2 4 4" xfId="9014"/>
    <cellStyle name="千位分隔 2 4 4 2" xfId="9015"/>
    <cellStyle name="千位分隔 2 4 5" xfId="9016"/>
    <cellStyle name="千位分隔 2 4 5 2" xfId="9017"/>
    <cellStyle name="千位分隔 2 4 6" xfId="9018"/>
    <cellStyle name="千位分隔 2 4 6 2" xfId="9019"/>
    <cellStyle name="千位分隔 2 4 7" xfId="9020"/>
    <cellStyle name="千位分隔 2 4 7 2" xfId="9021"/>
    <cellStyle name="千位分隔 2 4 8" xfId="9022"/>
    <cellStyle name="千位分隔 2 4 9" xfId="9023"/>
    <cellStyle name="千位分隔 2 5" xfId="9024"/>
    <cellStyle name="千位分隔 2 5 2" xfId="9025"/>
    <cellStyle name="千位分隔 2 5 2 2" xfId="9026"/>
    <cellStyle name="千位分隔 2 5 3" xfId="9027"/>
    <cellStyle name="千位分隔 2 5 3 2" xfId="9028"/>
    <cellStyle name="千位分隔 2 5 4" xfId="9029"/>
    <cellStyle name="千位分隔 2 6" xfId="9030"/>
    <cellStyle name="千位分隔 2 6 2" xfId="9031"/>
    <cellStyle name="千位分隔 2 7" xfId="9032"/>
    <cellStyle name="千位分隔 2 7 2" xfId="9033"/>
    <cellStyle name="千位分隔 2 8" xfId="9034"/>
    <cellStyle name="千位分隔 2 8 2" xfId="9035"/>
    <cellStyle name="千位分隔 2 9" xfId="9036"/>
    <cellStyle name="千位分隔 2 9 2" xfId="9037"/>
    <cellStyle name="千位分隔 3" xfId="9038"/>
    <cellStyle name="千位分隔 4" xfId="9039"/>
    <cellStyle name="千位分隔 5" xfId="9040"/>
    <cellStyle name="强调文字颜色 1 2" xfId="9041"/>
    <cellStyle name="强调文字颜色 1 2 2" xfId="9042"/>
    <cellStyle name="强调文字颜色 1 2 2 2" xfId="9043"/>
    <cellStyle name="强调文字颜色 1 2 2 2 2" xfId="9044"/>
    <cellStyle name="强调文字颜色 1 2 2 2 2 2" xfId="9045"/>
    <cellStyle name="强调文字颜色 1 2 2 2 3" xfId="9046"/>
    <cellStyle name="强调文字颜色 1 2 2 2 3 2" xfId="9047"/>
    <cellStyle name="强调文字颜色 1 2 2 2 4" xfId="9048"/>
    <cellStyle name="强调文字颜色 1 2 2 2 4 2" xfId="9049"/>
    <cellStyle name="强调文字颜色 1 2 2 2 5" xfId="9050"/>
    <cellStyle name="强调文字颜色 1 2 2 3" xfId="9051"/>
    <cellStyle name="强调文字颜色 1 2 2 3 2" xfId="9052"/>
    <cellStyle name="强调文字颜色 1 2 2 3 2 2" xfId="9053"/>
    <cellStyle name="强调文字颜色 1 2 2 3 3" xfId="9054"/>
    <cellStyle name="强调文字颜色 1 2 2 3 3 2" xfId="9055"/>
    <cellStyle name="强调文字颜色 1 2 2 3 4" xfId="9056"/>
    <cellStyle name="强调文字颜色 1 2 2 3 4 2" xfId="9057"/>
    <cellStyle name="强调文字颜色 1 2 2 3 5" xfId="9058"/>
    <cellStyle name="强调文字颜色 1 2 2 4" xfId="9059"/>
    <cellStyle name="强调文字颜色 1 2 2 4 2" xfId="9060"/>
    <cellStyle name="强调文字颜色 1 2 2 5" xfId="9061"/>
    <cellStyle name="强调文字颜色 1 2 2 5 2" xfId="9062"/>
    <cellStyle name="强调文字颜色 1 2 2 6" xfId="9063"/>
    <cellStyle name="强调文字颜色 1 2 3" xfId="9064"/>
    <cellStyle name="强调文字颜色 1 2 3 2" xfId="9065"/>
    <cellStyle name="强调文字颜色 1 2 3 2 2" xfId="9066"/>
    <cellStyle name="强调文字颜色 1 2 3 3" xfId="9067"/>
    <cellStyle name="强调文字颜色 1 2 3 3 2" xfId="9068"/>
    <cellStyle name="强调文字颜色 1 2 3 4" xfId="9069"/>
    <cellStyle name="强调文字颜色 1 2 3 4 2" xfId="9070"/>
    <cellStyle name="强调文字颜色 1 2 3 5" xfId="9071"/>
    <cellStyle name="强调文字颜色 1 2 4" xfId="9072"/>
    <cellStyle name="强调文字颜色 1 2 4 2" xfId="9073"/>
    <cellStyle name="强调文字颜色 1 2 4 2 2" xfId="9074"/>
    <cellStyle name="强调文字颜色 1 2 4 3" xfId="9075"/>
    <cellStyle name="强调文字颜色 1 2 5" xfId="9076"/>
    <cellStyle name="强调文字颜色 1 2 5 2" xfId="9077"/>
    <cellStyle name="强调文字颜色 1 2 6" xfId="9078"/>
    <cellStyle name="强调文字颜色 1 2 6 2" xfId="9079"/>
    <cellStyle name="强调文字颜色 1 2 7" xfId="9080"/>
    <cellStyle name="强调文字颜色 1 2 7 2" xfId="9081"/>
    <cellStyle name="强调文字颜色 1 2 8" xfId="9082"/>
    <cellStyle name="强调文字颜色 1 2 8 2" xfId="9083"/>
    <cellStyle name="强调文字颜色 1 2 9" xfId="9084"/>
    <cellStyle name="强调文字颜色 1 2_横岭厂二期估算表--0921fa" xfId="9085"/>
    <cellStyle name="强调文字颜色 1 3" xfId="9086"/>
    <cellStyle name="强调文字颜色 1 3 2" xfId="9087"/>
    <cellStyle name="强调文字颜色 1 3 2 2" xfId="9088"/>
    <cellStyle name="强调文字颜色 1 3 3" xfId="9089"/>
    <cellStyle name="强调文字颜色 2 2" xfId="9090"/>
    <cellStyle name="强调文字颜色 2 2 2" xfId="9091"/>
    <cellStyle name="强调文字颜色 2 2 2 2" xfId="9092"/>
    <cellStyle name="强调文字颜色 2 2 2 2 2" xfId="9093"/>
    <cellStyle name="强调文字颜色 2 2 2 2 2 2" xfId="9094"/>
    <cellStyle name="强调文字颜色 2 2 2 2 3" xfId="9095"/>
    <cellStyle name="强调文字颜色 2 2 2 2 3 2" xfId="9096"/>
    <cellStyle name="强调文字颜色 2 2 2 2 4" xfId="9097"/>
    <cellStyle name="强调文字颜色 2 2 2 2 4 2" xfId="9098"/>
    <cellStyle name="强调文字颜色 2 2 2 2 5" xfId="9099"/>
    <cellStyle name="强调文字颜色 2 2 2 3" xfId="9100"/>
    <cellStyle name="强调文字颜色 2 2 2 3 2" xfId="9101"/>
    <cellStyle name="强调文字颜色 2 2 2 3 2 2" xfId="9102"/>
    <cellStyle name="强调文字颜色 2 2 2 3 3" xfId="9103"/>
    <cellStyle name="强调文字颜色 2 2 2 3 3 2" xfId="9104"/>
    <cellStyle name="强调文字颜色 2 2 2 3 4" xfId="9105"/>
    <cellStyle name="强调文字颜色 2 2 2 3 4 2" xfId="9106"/>
    <cellStyle name="强调文字颜色 2 2 2 3 5" xfId="9107"/>
    <cellStyle name="强调文字颜色 2 2 2 4" xfId="9108"/>
    <cellStyle name="强调文字颜色 2 2 2 4 2" xfId="9109"/>
    <cellStyle name="强调文字颜色 2 2 2 5" xfId="9110"/>
    <cellStyle name="强调文字颜色 2 2 2 5 2" xfId="9111"/>
    <cellStyle name="强调文字颜色 2 2 2 6" xfId="9112"/>
    <cellStyle name="强调文字颜色 2 2 3" xfId="9113"/>
    <cellStyle name="强调文字颜色 2 2 3 2" xfId="9114"/>
    <cellStyle name="强调文字颜色 2 2 3 2 2" xfId="9115"/>
    <cellStyle name="强调文字颜色 2 2 3 3" xfId="9116"/>
    <cellStyle name="强调文字颜色 2 2 3 3 2" xfId="9117"/>
    <cellStyle name="强调文字颜色 2 2 3 4" xfId="9118"/>
    <cellStyle name="强调文字颜色 2 2 3 4 2" xfId="9119"/>
    <cellStyle name="强调文字颜色 2 2 3 5" xfId="9120"/>
    <cellStyle name="强调文字颜色 2 2 4" xfId="9121"/>
    <cellStyle name="强调文字颜色 2 2 4 2" xfId="9122"/>
    <cellStyle name="强调文字颜色 2 2 4 2 2" xfId="9123"/>
    <cellStyle name="强调文字颜色 2 2 4 3" xfId="9124"/>
    <cellStyle name="强调文字颜色 2 2 5" xfId="9125"/>
    <cellStyle name="强调文字颜色 2 2 5 2" xfId="9126"/>
    <cellStyle name="强调文字颜色 2 2 6" xfId="9127"/>
    <cellStyle name="强调文字颜色 2 2 6 2" xfId="9128"/>
    <cellStyle name="强调文字颜色 2 2 7" xfId="9129"/>
    <cellStyle name="强调文字颜色 2 2 7 2" xfId="9130"/>
    <cellStyle name="强调文字颜色 2 2 8" xfId="9131"/>
    <cellStyle name="强调文字颜色 2 2 8 2" xfId="9132"/>
    <cellStyle name="强调文字颜色 2 2 9" xfId="9133"/>
    <cellStyle name="强调文字颜色 2 2_横岭厂二期估算表--0921fa" xfId="9134"/>
    <cellStyle name="强调文字颜色 2 3" xfId="9135"/>
    <cellStyle name="强调文字颜色 2 3 2" xfId="9136"/>
    <cellStyle name="强调文字颜色 2 3 2 2" xfId="9137"/>
    <cellStyle name="强调文字颜色 2 3 3" xfId="9138"/>
    <cellStyle name="强调文字颜色 3 2" xfId="9139"/>
    <cellStyle name="强调文字颜色 3 2 2" xfId="9140"/>
    <cellStyle name="强调文字颜色 3 2 2 2" xfId="9141"/>
    <cellStyle name="强调文字颜色 3 2 2 2 2" xfId="9142"/>
    <cellStyle name="强调文字颜色 3 2 2 2 2 2" xfId="9143"/>
    <cellStyle name="强调文字颜色 3 2 2 2 3" xfId="9144"/>
    <cellStyle name="强调文字颜色 3 2 2 2 3 2" xfId="9145"/>
    <cellStyle name="强调文字颜色 3 2 2 2 4" xfId="9146"/>
    <cellStyle name="强调文字颜色 3 2 2 2 4 2" xfId="9147"/>
    <cellStyle name="强调文字颜色 3 2 2 2 5" xfId="9148"/>
    <cellStyle name="强调文字颜色 3 2 2 3" xfId="9149"/>
    <cellStyle name="强调文字颜色 3 2 2 3 2" xfId="9150"/>
    <cellStyle name="强调文字颜色 3 2 2 3 2 2" xfId="9151"/>
    <cellStyle name="强调文字颜色 3 2 2 3 3" xfId="9152"/>
    <cellStyle name="强调文字颜色 3 2 2 3 3 2" xfId="9153"/>
    <cellStyle name="强调文字颜色 3 2 2 3 4" xfId="9154"/>
    <cellStyle name="强调文字颜色 3 2 2 3 4 2" xfId="9155"/>
    <cellStyle name="强调文字颜色 3 2 2 3 5" xfId="9156"/>
    <cellStyle name="强调文字颜色 3 2 2 4" xfId="9157"/>
    <cellStyle name="强调文字颜色 3 2 2 4 2" xfId="9158"/>
    <cellStyle name="强调文字颜色 3 2 2 5" xfId="9159"/>
    <cellStyle name="强调文字颜色 3 2 2 5 2" xfId="9160"/>
    <cellStyle name="强调文字颜色 3 2 2 6" xfId="9161"/>
    <cellStyle name="强调文字颜色 3 2 3" xfId="9162"/>
    <cellStyle name="强调文字颜色 3 2 3 2" xfId="9163"/>
    <cellStyle name="强调文字颜色 3 2 3 2 2" xfId="9164"/>
    <cellStyle name="强调文字颜色 3 2 3 3" xfId="9165"/>
    <cellStyle name="强调文字颜色 3 2 3 3 2" xfId="9166"/>
    <cellStyle name="强调文字颜色 3 2 3 4" xfId="9167"/>
    <cellStyle name="强调文字颜色 3 2 3 4 2" xfId="9168"/>
    <cellStyle name="强调文字颜色 3 2 3 5" xfId="9169"/>
    <cellStyle name="强调文字颜色 3 2 4" xfId="9170"/>
    <cellStyle name="强调文字颜色 3 2 4 2" xfId="9171"/>
    <cellStyle name="强调文字颜色 3 2 4 2 2" xfId="9172"/>
    <cellStyle name="强调文字颜色 3 2 4 3" xfId="9173"/>
    <cellStyle name="强调文字颜色 3 2 5" xfId="9174"/>
    <cellStyle name="强调文字颜色 3 2 5 2" xfId="9175"/>
    <cellStyle name="强调文字颜色 3 2 6" xfId="9176"/>
    <cellStyle name="强调文字颜色 3 2 6 2" xfId="9177"/>
    <cellStyle name="强调文字颜色 3 2 7" xfId="9178"/>
    <cellStyle name="强调文字颜色 3 2 7 2" xfId="9179"/>
    <cellStyle name="强调文字颜色 3 2 8" xfId="9180"/>
    <cellStyle name="强调文字颜色 3 2 8 2" xfId="9181"/>
    <cellStyle name="强调文字颜色 3 2 9" xfId="9182"/>
    <cellStyle name="强调文字颜色 3 2_横岭厂二期估算表--0921fa" xfId="9183"/>
    <cellStyle name="强调文字颜色 3 3" xfId="9184"/>
    <cellStyle name="强调文字颜色 3 3 2" xfId="9185"/>
    <cellStyle name="强调文字颜色 3 3 2 2" xfId="9186"/>
    <cellStyle name="强调文字颜色 3 3 3" xfId="9187"/>
    <cellStyle name="强调文字颜色 4 2" xfId="9188"/>
    <cellStyle name="强调文字颜色 4 2 2" xfId="9189"/>
    <cellStyle name="强调文字颜色 4 2 2 2" xfId="9190"/>
    <cellStyle name="强调文字颜色 4 2 2 2 2" xfId="9191"/>
    <cellStyle name="强调文字颜色 4 2 2 2 2 2" xfId="9192"/>
    <cellStyle name="强调文字颜色 4 2 2 2 3" xfId="9193"/>
    <cellStyle name="强调文字颜色 4 2 2 2 3 2" xfId="9194"/>
    <cellStyle name="强调文字颜色 4 2 2 2 4" xfId="9195"/>
    <cellStyle name="强调文字颜色 4 2 2 2 4 2" xfId="9196"/>
    <cellStyle name="强调文字颜色 4 2 2 2 5" xfId="9197"/>
    <cellStyle name="强调文字颜色 4 2 2 3" xfId="9198"/>
    <cellStyle name="强调文字颜色 4 2 2 3 2" xfId="9199"/>
    <cellStyle name="强调文字颜色 4 2 2 3 2 2" xfId="9200"/>
    <cellStyle name="强调文字颜色 4 2 2 3 3" xfId="9201"/>
    <cellStyle name="强调文字颜色 4 2 2 3 3 2" xfId="9202"/>
    <cellStyle name="强调文字颜色 4 2 2 3 4" xfId="9203"/>
    <cellStyle name="强调文字颜色 4 2 2 3 4 2" xfId="9204"/>
    <cellStyle name="强调文字颜色 4 2 2 3 5" xfId="9205"/>
    <cellStyle name="强调文字颜色 4 2 2 4" xfId="9206"/>
    <cellStyle name="强调文字颜色 4 2 2 4 2" xfId="9207"/>
    <cellStyle name="强调文字颜色 4 2 2 5" xfId="9208"/>
    <cellStyle name="强调文字颜色 4 2 2 5 2" xfId="9209"/>
    <cellStyle name="强调文字颜色 4 2 2 6" xfId="9210"/>
    <cellStyle name="强调文字颜色 4 2 3" xfId="9211"/>
    <cellStyle name="强调文字颜色 4 2 3 2" xfId="9212"/>
    <cellStyle name="强调文字颜色 4 2 3 2 2" xfId="9213"/>
    <cellStyle name="强调文字颜色 4 2 3 3" xfId="9214"/>
    <cellStyle name="强调文字颜色 4 2 3 3 2" xfId="9215"/>
    <cellStyle name="强调文字颜色 4 2 3 4" xfId="9216"/>
    <cellStyle name="强调文字颜色 4 2 3 4 2" xfId="9217"/>
    <cellStyle name="强调文字颜色 4 2 3 5" xfId="9218"/>
    <cellStyle name="强调文字颜色 4 2 4" xfId="9219"/>
    <cellStyle name="强调文字颜色 4 2 4 2" xfId="9220"/>
    <cellStyle name="强调文字颜色 4 2 4 2 2" xfId="9221"/>
    <cellStyle name="强调文字颜色 4 2 4 3" xfId="9222"/>
    <cellStyle name="强调文字颜色 4 2 5" xfId="9223"/>
    <cellStyle name="强调文字颜色 4 2 5 2" xfId="9224"/>
    <cellStyle name="强调文字颜色 4 2 6" xfId="9225"/>
    <cellStyle name="强调文字颜色 4 2 6 2" xfId="9226"/>
    <cellStyle name="强调文字颜色 4 2 7" xfId="9227"/>
    <cellStyle name="强调文字颜色 4 2 7 2" xfId="9228"/>
    <cellStyle name="强调文字颜色 4 2 8" xfId="9229"/>
    <cellStyle name="强调文字颜色 4 2 8 2" xfId="9230"/>
    <cellStyle name="强调文字颜色 4 2 9" xfId="9231"/>
    <cellStyle name="强调文字颜色 4 2_横岭厂二期估算表--0921fa" xfId="9232"/>
    <cellStyle name="强调文字颜色 4 3" xfId="9233"/>
    <cellStyle name="强调文字颜色 4 3 2" xfId="9234"/>
    <cellStyle name="强调文字颜色 4 3 2 2" xfId="9235"/>
    <cellStyle name="强调文字颜色 4 3 3" xfId="9236"/>
    <cellStyle name="强调文字颜色 5 2" xfId="9237"/>
    <cellStyle name="强调文字颜色 5 2 2" xfId="9238"/>
    <cellStyle name="强调文字颜色 5 2 2 2" xfId="9239"/>
    <cellStyle name="强调文字颜色 5 2 2 2 2" xfId="9240"/>
    <cellStyle name="强调文字颜色 5 2 2 2 2 2" xfId="9241"/>
    <cellStyle name="强调文字颜色 5 2 2 2 3" xfId="9242"/>
    <cellStyle name="强调文字颜色 5 2 2 2 3 2" xfId="9243"/>
    <cellStyle name="强调文字颜色 5 2 2 2 4" xfId="9244"/>
    <cellStyle name="强调文字颜色 5 2 2 2 4 2" xfId="9245"/>
    <cellStyle name="强调文字颜色 5 2 2 2 5" xfId="9246"/>
    <cellStyle name="强调文字颜色 5 2 2 3" xfId="9247"/>
    <cellStyle name="强调文字颜色 5 2 2 3 2" xfId="9248"/>
    <cellStyle name="强调文字颜色 5 2 2 3 2 2" xfId="9249"/>
    <cellStyle name="强调文字颜色 5 2 2 3 3" xfId="9250"/>
    <cellStyle name="强调文字颜色 5 2 2 3 3 2" xfId="9251"/>
    <cellStyle name="强调文字颜色 5 2 2 3 4" xfId="9252"/>
    <cellStyle name="强调文字颜色 5 2 2 3 4 2" xfId="9253"/>
    <cellStyle name="强调文字颜色 5 2 2 3 5" xfId="9254"/>
    <cellStyle name="强调文字颜色 5 2 2 4" xfId="9255"/>
    <cellStyle name="强调文字颜色 5 2 2 4 2" xfId="9256"/>
    <cellStyle name="强调文字颜色 5 2 2 5" xfId="9257"/>
    <cellStyle name="强调文字颜色 5 2 2 5 2" xfId="9258"/>
    <cellStyle name="强调文字颜色 5 2 2 6" xfId="9259"/>
    <cellStyle name="强调文字颜色 5 2 3" xfId="9260"/>
    <cellStyle name="强调文字颜色 5 2 3 2" xfId="9261"/>
    <cellStyle name="强调文字颜色 5 2 3 2 2" xfId="9262"/>
    <cellStyle name="强调文字颜色 5 2 3 3" xfId="9263"/>
    <cellStyle name="强调文字颜色 5 2 3 3 2" xfId="9264"/>
    <cellStyle name="强调文字颜色 5 2 3 4" xfId="9265"/>
    <cellStyle name="强调文字颜色 5 2 3 4 2" xfId="9266"/>
    <cellStyle name="强调文字颜色 5 2 3 5" xfId="9267"/>
    <cellStyle name="强调文字颜色 5 2 4" xfId="9268"/>
    <cellStyle name="强调文字颜色 5 2 4 2" xfId="9269"/>
    <cellStyle name="强调文字颜色 5 2 4 2 2" xfId="9270"/>
    <cellStyle name="强调文字颜色 5 2 4 3" xfId="9271"/>
    <cellStyle name="强调文字颜色 5 2 5" xfId="9272"/>
    <cellStyle name="强调文字颜色 5 2 5 2" xfId="9273"/>
    <cellStyle name="强调文字颜色 5 2 6" xfId="9274"/>
    <cellStyle name="强调文字颜色 5 2 6 2" xfId="9275"/>
    <cellStyle name="强调文字颜色 5 2 7" xfId="9276"/>
    <cellStyle name="强调文字颜色 5 2 7 2" xfId="9277"/>
    <cellStyle name="强调文字颜色 5 2 8" xfId="9278"/>
    <cellStyle name="强调文字颜色 5 2 8 2" xfId="9279"/>
    <cellStyle name="强调文字颜色 5 2 9" xfId="9280"/>
    <cellStyle name="强调文字颜色 5 2_横岭厂二期估算表--0921fa" xfId="9281"/>
    <cellStyle name="强调文字颜色 5 3" xfId="9282"/>
    <cellStyle name="强调文字颜色 5 3 2" xfId="9283"/>
    <cellStyle name="强调文字颜色 5 3 2 2" xfId="9284"/>
    <cellStyle name="强调文字颜色 5 3 3" xfId="9285"/>
    <cellStyle name="强调文字颜色 6 2" xfId="9286"/>
    <cellStyle name="强调文字颜色 6 2 2" xfId="9287"/>
    <cellStyle name="强调文字颜色 6 2 2 2" xfId="9288"/>
    <cellStyle name="强调文字颜色 6 2 2 2 2" xfId="9289"/>
    <cellStyle name="强调文字颜色 6 2 2 2 2 2" xfId="9290"/>
    <cellStyle name="强调文字颜色 6 2 2 2 3" xfId="9291"/>
    <cellStyle name="强调文字颜色 6 2 2 2 3 2" xfId="9292"/>
    <cellStyle name="强调文字颜色 6 2 2 2 4" xfId="9293"/>
    <cellStyle name="强调文字颜色 6 2 2 2 4 2" xfId="9294"/>
    <cellStyle name="强调文字颜色 6 2 2 2 5" xfId="9295"/>
    <cellStyle name="强调文字颜色 6 2 2 3" xfId="9296"/>
    <cellStyle name="强调文字颜色 6 2 2 3 2" xfId="9297"/>
    <cellStyle name="强调文字颜色 6 2 2 3 2 2" xfId="9298"/>
    <cellStyle name="强调文字颜色 6 2 2 3 3" xfId="9299"/>
    <cellStyle name="强调文字颜色 6 2 2 3 3 2" xfId="9300"/>
    <cellStyle name="强调文字颜色 6 2 2 3 4" xfId="9301"/>
    <cellStyle name="强调文字颜色 6 2 2 3 4 2" xfId="9302"/>
    <cellStyle name="强调文字颜色 6 2 2 3 5" xfId="9303"/>
    <cellStyle name="强调文字颜色 6 2 2 4" xfId="9304"/>
    <cellStyle name="强调文字颜色 6 2 2 4 2" xfId="9305"/>
    <cellStyle name="强调文字颜色 6 2 2 5" xfId="9306"/>
    <cellStyle name="强调文字颜色 6 2 2 5 2" xfId="9307"/>
    <cellStyle name="强调文字颜色 6 2 2 6" xfId="9308"/>
    <cellStyle name="强调文字颜色 6 2 3" xfId="9309"/>
    <cellStyle name="强调文字颜色 6 2 3 2" xfId="9310"/>
    <cellStyle name="强调文字颜色 6 2 3 2 2" xfId="9311"/>
    <cellStyle name="强调文字颜色 6 2 3 3" xfId="9312"/>
    <cellStyle name="强调文字颜色 6 2 3 3 2" xfId="9313"/>
    <cellStyle name="强调文字颜色 6 2 3 4" xfId="9314"/>
    <cellStyle name="强调文字颜色 6 2 3 4 2" xfId="9315"/>
    <cellStyle name="强调文字颜色 6 2 3 5" xfId="9316"/>
    <cellStyle name="强调文字颜色 6 2 4" xfId="9317"/>
    <cellStyle name="强调文字颜色 6 2 4 2" xfId="9318"/>
    <cellStyle name="强调文字颜色 6 2 4 2 2" xfId="9319"/>
    <cellStyle name="强调文字颜色 6 2 4 3" xfId="9320"/>
    <cellStyle name="强调文字颜色 6 2 5" xfId="9321"/>
    <cellStyle name="强调文字颜色 6 2 5 2" xfId="9322"/>
    <cellStyle name="强调文字颜色 6 2 6" xfId="9323"/>
    <cellStyle name="强调文字颜色 6 2 6 2" xfId="9324"/>
    <cellStyle name="强调文字颜色 6 2 7" xfId="9325"/>
    <cellStyle name="强调文字颜色 6 2 7 2" xfId="9326"/>
    <cellStyle name="强调文字颜色 6 2 8" xfId="9327"/>
    <cellStyle name="强调文字颜色 6 2 8 2" xfId="9328"/>
    <cellStyle name="强调文字颜色 6 2 9" xfId="9329"/>
    <cellStyle name="强调文字颜色 6 2_横岭厂二期估算表--0921fa" xfId="9330"/>
    <cellStyle name="强调文字颜色 6 3" xfId="9331"/>
    <cellStyle name="强调文字颜色 6 3 2" xfId="9332"/>
    <cellStyle name="强调文字颜色 6 3 2 2" xfId="9333"/>
    <cellStyle name="强调文字颜色 6 3 3" xfId="9334"/>
    <cellStyle name="适中 2" xfId="9335"/>
    <cellStyle name="适中 2 2" xfId="9336"/>
    <cellStyle name="适中 2 2 2" xfId="9337"/>
    <cellStyle name="适中 2 2 2 2" xfId="9338"/>
    <cellStyle name="适中 2 2 2 2 2" xfId="9339"/>
    <cellStyle name="适中 2 2 2 3" xfId="9340"/>
    <cellStyle name="适中 2 2 2 3 2" xfId="9341"/>
    <cellStyle name="适中 2 2 2 4" xfId="9342"/>
    <cellStyle name="适中 2 2 2 4 2" xfId="9343"/>
    <cellStyle name="适中 2 2 2 5" xfId="9344"/>
    <cellStyle name="适中 2 2 3" xfId="9345"/>
    <cellStyle name="适中 2 2 3 2" xfId="9346"/>
    <cellStyle name="适中 2 2 3 2 2" xfId="9347"/>
    <cellStyle name="适中 2 2 3 3" xfId="9348"/>
    <cellStyle name="适中 2 2 3 3 2" xfId="9349"/>
    <cellStyle name="适中 2 2 3 4" xfId="9350"/>
    <cellStyle name="适中 2 2 3 4 2" xfId="9351"/>
    <cellStyle name="适中 2 2 3 5" xfId="9352"/>
    <cellStyle name="适中 2 2 4" xfId="9353"/>
    <cellStyle name="适中 2 2 4 2" xfId="9354"/>
    <cellStyle name="适中 2 2 5" xfId="9355"/>
    <cellStyle name="适中 2 2 5 2" xfId="9356"/>
    <cellStyle name="适中 2 2 6" xfId="9357"/>
    <cellStyle name="适中 2 2_郑州新区二期扩建工程-概算总表 20180723" xfId="9358"/>
    <cellStyle name="适中 2 3" xfId="9359"/>
    <cellStyle name="适中 2 3 2" xfId="9360"/>
    <cellStyle name="适中 2 3 2 2" xfId="9361"/>
    <cellStyle name="适中 2 3 3" xfId="9362"/>
    <cellStyle name="适中 2 3 3 2" xfId="9363"/>
    <cellStyle name="适中 2 3 4" xfId="9364"/>
    <cellStyle name="适中 2 3 4 2" xfId="9365"/>
    <cellStyle name="适中 2 3 5" xfId="9366"/>
    <cellStyle name="适中 2 4" xfId="9367"/>
    <cellStyle name="适中 2 4 2" xfId="9368"/>
    <cellStyle name="适中 2 4 2 2" xfId="9369"/>
    <cellStyle name="适中 2 4 3" xfId="9370"/>
    <cellStyle name="适中 2 5" xfId="9371"/>
    <cellStyle name="适中 2 5 2" xfId="9372"/>
    <cellStyle name="适中 2 6" xfId="9373"/>
    <cellStyle name="适中 2 6 2" xfId="9374"/>
    <cellStyle name="适中 2 7" xfId="9375"/>
    <cellStyle name="适中 2 7 2" xfId="9376"/>
    <cellStyle name="适中 2 8" xfId="9377"/>
    <cellStyle name="适中 2 8 2" xfId="9378"/>
    <cellStyle name="适中 2 9" xfId="9379"/>
    <cellStyle name="适中 2_郑州新区二期扩建工程-概算总表 20180723" xfId="9380"/>
    <cellStyle name="适中 3" xfId="9381"/>
    <cellStyle name="适中 3 2" xfId="9382"/>
    <cellStyle name="适中 3 2 2" xfId="9383"/>
    <cellStyle name="适中 3 3" xfId="9384"/>
    <cellStyle name="适中 3_郑州新区二期扩建工程-概算总表 20180723" xfId="9385"/>
    <cellStyle name="适中 4" xfId="9386"/>
    <cellStyle name="适中 4 2" xfId="9387"/>
    <cellStyle name="输出 2" xfId="9388"/>
    <cellStyle name="输出 2 2" xfId="9389"/>
    <cellStyle name="输出 2 2 2" xfId="9390"/>
    <cellStyle name="输出 2 2 2 2" xfId="9391"/>
    <cellStyle name="输出 2 2 2 2 2" xfId="9392"/>
    <cellStyle name="输出 2 2 2 3" xfId="9393"/>
    <cellStyle name="输出 2 2 2 3 2" xfId="9394"/>
    <cellStyle name="输出 2 2 2 4" xfId="9395"/>
    <cellStyle name="输出 2 2 2 4 2" xfId="9396"/>
    <cellStyle name="输出 2 2 2 5" xfId="9397"/>
    <cellStyle name="输出 2 2 3" xfId="9398"/>
    <cellStyle name="输出 2 2 3 2" xfId="9399"/>
    <cellStyle name="输出 2 2 3 2 2" xfId="9400"/>
    <cellStyle name="输出 2 2 3 3" xfId="9401"/>
    <cellStyle name="输出 2 2 3 3 2" xfId="9402"/>
    <cellStyle name="输出 2 2 3 4" xfId="9403"/>
    <cellStyle name="输出 2 2 3 4 2" xfId="9404"/>
    <cellStyle name="输出 2 2 3 5" xfId="9405"/>
    <cellStyle name="输出 2 2 4" xfId="9406"/>
    <cellStyle name="输出 2 2 4 2" xfId="9407"/>
    <cellStyle name="输出 2 2 5" xfId="9408"/>
    <cellStyle name="输出 2 2 5 2" xfId="9409"/>
    <cellStyle name="输出 2 2 6" xfId="9410"/>
    <cellStyle name="输出 2 2_郑州新区二期扩建工程-概算总表 20180723" xfId="9411"/>
    <cellStyle name="输出 2 3" xfId="9412"/>
    <cellStyle name="输出 2 3 2" xfId="9413"/>
    <cellStyle name="输出 2 3 2 2" xfId="9414"/>
    <cellStyle name="输出 2 3 3" xfId="9415"/>
    <cellStyle name="输出 2 3 3 2" xfId="9416"/>
    <cellStyle name="输出 2 3 4" xfId="9417"/>
    <cellStyle name="输出 2 3 4 2" xfId="9418"/>
    <cellStyle name="输出 2 3 5" xfId="9419"/>
    <cellStyle name="输出 2 4" xfId="9420"/>
    <cellStyle name="输出 2 4 2" xfId="9421"/>
    <cellStyle name="输出 2 4 2 2" xfId="9422"/>
    <cellStyle name="输出 2 4 3" xfId="9423"/>
    <cellStyle name="输出 2 5" xfId="9424"/>
    <cellStyle name="输出 2 5 2" xfId="9425"/>
    <cellStyle name="输出 2 6" xfId="9426"/>
    <cellStyle name="输出 2 6 2" xfId="9427"/>
    <cellStyle name="输出 2 7" xfId="9428"/>
    <cellStyle name="输出 2 7 2" xfId="9429"/>
    <cellStyle name="输出 2 8" xfId="9430"/>
    <cellStyle name="输出 2 8 2" xfId="9431"/>
    <cellStyle name="输出 2 9" xfId="9432"/>
    <cellStyle name="输出 2_郑州新区二期扩建工程-概算总表 20180723" xfId="9433"/>
    <cellStyle name="输出 3" xfId="9434"/>
    <cellStyle name="输出 3 2" xfId="9435"/>
    <cellStyle name="输出 3 2 2" xfId="9436"/>
    <cellStyle name="输出 3 3" xfId="9437"/>
    <cellStyle name="输出 3_郑州新区二期扩建工程-概算总表 20180723" xfId="9438"/>
    <cellStyle name="输出 4" xfId="9439"/>
    <cellStyle name="输出 4 2" xfId="9440"/>
    <cellStyle name="输出 4 2 2" xfId="9441"/>
    <cellStyle name="输出 4 3" xfId="9442"/>
    <cellStyle name="输出 5" xfId="9443"/>
    <cellStyle name="输出 5 2" xfId="9444"/>
    <cellStyle name="输入 2" xfId="9445"/>
    <cellStyle name="输入 2 2" xfId="9446"/>
    <cellStyle name="输入 2 2 2" xfId="9447"/>
    <cellStyle name="输入 2 2 2 2" xfId="9448"/>
    <cellStyle name="输入 2 2 2 2 2" xfId="9449"/>
    <cellStyle name="输入 2 2 2 3" xfId="9450"/>
    <cellStyle name="输入 2 2 2 3 2" xfId="9451"/>
    <cellStyle name="输入 2 2 2 4" xfId="9452"/>
    <cellStyle name="输入 2 2 2 4 2" xfId="9453"/>
    <cellStyle name="输入 2 2 2 5" xfId="9454"/>
    <cellStyle name="输入 2 2 3" xfId="9455"/>
    <cellStyle name="输入 2 2 3 2" xfId="9456"/>
    <cellStyle name="输入 2 2 3 2 2" xfId="9457"/>
    <cellStyle name="输入 2 2 3 3" xfId="9458"/>
    <cellStyle name="输入 2 2 3 3 2" xfId="9459"/>
    <cellStyle name="输入 2 2 3 4" xfId="9460"/>
    <cellStyle name="输入 2 2 3 4 2" xfId="9461"/>
    <cellStyle name="输入 2 2 3 5" xfId="9462"/>
    <cellStyle name="输入 2 2 4" xfId="9463"/>
    <cellStyle name="输入 2 2 4 2" xfId="9464"/>
    <cellStyle name="输入 2 2 5" xfId="9465"/>
    <cellStyle name="输入 2 2 5 2" xfId="9466"/>
    <cellStyle name="输入 2 2 6" xfId="9467"/>
    <cellStyle name="输入 2 2_郑州新区二期扩建工程-概算总表 20180723" xfId="9468"/>
    <cellStyle name="输入 2 3" xfId="9469"/>
    <cellStyle name="输入 2 3 2" xfId="9470"/>
    <cellStyle name="输入 2 3 2 2" xfId="9471"/>
    <cellStyle name="输入 2 3 3" xfId="9472"/>
    <cellStyle name="输入 2 3 3 2" xfId="9473"/>
    <cellStyle name="输入 2 3 4" xfId="9474"/>
    <cellStyle name="输入 2 3 4 2" xfId="9475"/>
    <cellStyle name="输入 2 3 5" xfId="9476"/>
    <cellStyle name="输入 2 4" xfId="9477"/>
    <cellStyle name="输入 2 4 2" xfId="9478"/>
    <cellStyle name="输入 2 4 2 2" xfId="9479"/>
    <cellStyle name="输入 2 4 3" xfId="9480"/>
    <cellStyle name="输入 2 5" xfId="9481"/>
    <cellStyle name="输入 2 5 2" xfId="9482"/>
    <cellStyle name="输入 2 6" xfId="9483"/>
    <cellStyle name="输入 2 6 2" xfId="9484"/>
    <cellStyle name="输入 2 7" xfId="9485"/>
    <cellStyle name="输入 2 7 2" xfId="9486"/>
    <cellStyle name="输入 2 8" xfId="9487"/>
    <cellStyle name="输入 2 8 2" xfId="9488"/>
    <cellStyle name="输入 2 9" xfId="9489"/>
    <cellStyle name="输入 2_郑州新区二期扩建工程-概算总表 20180723" xfId="9490"/>
    <cellStyle name="输入 3" xfId="9491"/>
    <cellStyle name="输入 3 2" xfId="9492"/>
    <cellStyle name="输入 3 2 2" xfId="9493"/>
    <cellStyle name="输入 3 3" xfId="9494"/>
    <cellStyle name="输入 3_郑州新区二期扩建工程-概算总表 20180723" xfId="9495"/>
    <cellStyle name="输入 4" xfId="9496"/>
    <cellStyle name="输入 4 2" xfId="9497"/>
    <cellStyle name="样式 1" xfId="9498"/>
    <cellStyle name="样式 1 2" xfId="9499"/>
    <cellStyle name="样式 1 3" xfId="9500"/>
    <cellStyle name="着色 1 2" xfId="9501"/>
    <cellStyle name="着色 2 2" xfId="9502"/>
    <cellStyle name="着色 3 2" xfId="9503"/>
    <cellStyle name="着色 4 2" xfId="9504"/>
    <cellStyle name="着色 5 2" xfId="9505"/>
    <cellStyle name="着色 6 2" xfId="9506"/>
    <cellStyle name="注释 2" xfId="9507"/>
    <cellStyle name="注释 2 10" xfId="9508"/>
    <cellStyle name="注释 2 2" xfId="9509"/>
    <cellStyle name="注释 2 2 2" xfId="9510"/>
    <cellStyle name="注释 2 2 2 2" xfId="9511"/>
    <cellStyle name="注释 2 2 2 2 2" xfId="9512"/>
    <cellStyle name="注释 2 2 2 2 2 2" xfId="9513"/>
    <cellStyle name="注释 2 2 2 2 2 2 10" xfId="9514"/>
    <cellStyle name="注释 2 2 2 2 2 2 10 2" xfId="9515"/>
    <cellStyle name="注释 2 2 2 2 2 2 10 2 2" xfId="9516"/>
    <cellStyle name="注释 2 2 2 2 2 2 10 3" xfId="9517"/>
    <cellStyle name="注释 2 2 2 2 2 2 11" xfId="9518"/>
    <cellStyle name="注释 2 2 2 2 2 2 11 2" xfId="9519"/>
    <cellStyle name="注释 2 2 2 2 2 2 12" xfId="9520"/>
    <cellStyle name="注释 2 2 2 2 2 2 2" xfId="9521"/>
    <cellStyle name="注释 2 2 2 2 2 2 2 2" xfId="9522"/>
    <cellStyle name="注释 2 2 2 2 2 2 2 2 2" xfId="9523"/>
    <cellStyle name="注释 2 2 2 2 2 2 2 2 2 2" xfId="9524"/>
    <cellStyle name="注释 2 2 2 2 2 2 2 2 3" xfId="9525"/>
    <cellStyle name="注释 2 2 2 2 2 2 2 3" xfId="9526"/>
    <cellStyle name="注释 2 2 2 2 2 2 2 3 2" xfId="9527"/>
    <cellStyle name="注释 2 2 2 2 2 2 2 4" xfId="9528"/>
    <cellStyle name="注释 2 2 2 2 2 2 3" xfId="9529"/>
    <cellStyle name="注释 2 2 2 2 2 2 3 2" xfId="9530"/>
    <cellStyle name="注释 2 2 2 2 2 2 3 2 2" xfId="9531"/>
    <cellStyle name="注释 2 2 2 2 2 2 3 2 2 2" xfId="9532"/>
    <cellStyle name="注释 2 2 2 2 2 2 3 2 3" xfId="9533"/>
    <cellStyle name="注释 2 2 2 2 2 2 3 3" xfId="9534"/>
    <cellStyle name="注释 2 2 2 2 2 2 3 3 2" xfId="9535"/>
    <cellStyle name="注释 2 2 2 2 2 2 3 4" xfId="9536"/>
    <cellStyle name="注释 2 2 2 2 2 2 4" xfId="9537"/>
    <cellStyle name="注释 2 2 2 2 2 2 4 2" xfId="9538"/>
    <cellStyle name="注释 2 2 2 2 2 2 4 2 2" xfId="9539"/>
    <cellStyle name="注释 2 2 2 2 2 2 4 2 2 2" xfId="9540"/>
    <cellStyle name="注释 2 2 2 2 2 2 4 2 3" xfId="9541"/>
    <cellStyle name="注释 2 2 2 2 2 2 4 3" xfId="9542"/>
    <cellStyle name="注释 2 2 2 2 2 2 4 3 2" xfId="9543"/>
    <cellStyle name="注释 2 2 2 2 2 2 4 4" xfId="9544"/>
    <cellStyle name="注释 2 2 2 2 2 2 5" xfId="9545"/>
    <cellStyle name="注释 2 2 2 2 2 2 5 2" xfId="9546"/>
    <cellStyle name="注释 2 2 2 2 2 2 5 2 2" xfId="9547"/>
    <cellStyle name="注释 2 2 2 2 2 2 5 2 2 2" xfId="9548"/>
    <cellStyle name="注释 2 2 2 2 2 2 5 2 3" xfId="9549"/>
    <cellStyle name="注释 2 2 2 2 2 2 5 3" xfId="9550"/>
    <cellStyle name="注释 2 2 2 2 2 2 5 3 2" xfId="9551"/>
    <cellStyle name="注释 2 2 2 2 2 2 5 4" xfId="9552"/>
    <cellStyle name="注释 2 2 2 2 2 2 6" xfId="9553"/>
    <cellStyle name="注释 2 2 2 2 2 2 6 2" xfId="9554"/>
    <cellStyle name="注释 2 2 2 2 2 2 6 2 2" xfId="9555"/>
    <cellStyle name="注释 2 2 2 2 2 2 6 2 2 2" xfId="9556"/>
    <cellStyle name="注释 2 2 2 2 2 2 6 2 3" xfId="9557"/>
    <cellStyle name="注释 2 2 2 2 2 2 6 3" xfId="9558"/>
    <cellStyle name="注释 2 2 2 2 2 2 6 3 2" xfId="9559"/>
    <cellStyle name="注释 2 2 2 2 2 2 6 4" xfId="9560"/>
    <cellStyle name="注释 2 2 2 2 2 2 7" xfId="9561"/>
    <cellStyle name="注释 2 2 2 2 2 2 7 2" xfId="9562"/>
    <cellStyle name="注释 2 2 2 2 2 2 7 2 2" xfId="9563"/>
    <cellStyle name="注释 2 2 2 2 2 2 7 2 2 2" xfId="9564"/>
    <cellStyle name="注释 2 2 2 2 2 2 7 2 3" xfId="9565"/>
    <cellStyle name="注释 2 2 2 2 2 2 7 3" xfId="9566"/>
    <cellStyle name="注释 2 2 2 2 2 2 7 3 2" xfId="9567"/>
    <cellStyle name="注释 2 2 2 2 2 2 7 4" xfId="9568"/>
    <cellStyle name="注释 2 2 2 2 2 2 8" xfId="9569"/>
    <cellStyle name="注释 2 2 2 2 2 2 8 2" xfId="9570"/>
    <cellStyle name="注释 2 2 2 2 2 2 8 2 2" xfId="9571"/>
    <cellStyle name="注释 2 2 2 2 2 2 8 2 2 2" xfId="9572"/>
    <cellStyle name="注释 2 2 2 2 2 2 8 2 3" xfId="9573"/>
    <cellStyle name="注释 2 2 2 2 2 2 8 3" xfId="9574"/>
    <cellStyle name="注释 2 2 2 2 2 2 8 3 2" xfId="9575"/>
    <cellStyle name="注释 2 2 2 2 2 2 8 4" xfId="9576"/>
    <cellStyle name="注释 2 2 2 2 2 2 9" xfId="9577"/>
    <cellStyle name="注释 2 2 2 2 2 2 9 2" xfId="9578"/>
    <cellStyle name="注释 2 2 2 2 2 2 9 2 2" xfId="9579"/>
    <cellStyle name="注释 2 2 2 2 2 2 9 3" xfId="9580"/>
    <cellStyle name="注释 2 2 2 2 2 3" xfId="9581"/>
    <cellStyle name="注释 2 2 2 2 3" xfId="9582"/>
    <cellStyle name="注释 2 2 2 3" xfId="9583"/>
    <cellStyle name="注释 2 2 2 3 2" xfId="9584"/>
    <cellStyle name="注释 2 2 2 4" xfId="9585"/>
    <cellStyle name="注释 2 2 2 4 2" xfId="9586"/>
    <cellStyle name="注释 2 2 2 5" xfId="9587"/>
    <cellStyle name="注释 2 2 3" xfId="9588"/>
    <cellStyle name="注释 2 2 3 2" xfId="9589"/>
    <cellStyle name="注释 2 2 3 2 2" xfId="9590"/>
    <cellStyle name="注释 2 2 3 3" xfId="9591"/>
    <cellStyle name="注释 2 2 3 3 2" xfId="9592"/>
    <cellStyle name="注释 2 2 3 4" xfId="9593"/>
    <cellStyle name="注释 2 2 3 4 2" xfId="9594"/>
    <cellStyle name="注释 2 2 3 5" xfId="9595"/>
    <cellStyle name="注释 2 2 4" xfId="9596"/>
    <cellStyle name="注释 2 2 4 2" xfId="9597"/>
    <cellStyle name="注释 2 2 4 2 2" xfId="9598"/>
    <cellStyle name="注释 2 2 4 3" xfId="9599"/>
    <cellStyle name="注释 2 2 5" xfId="9600"/>
    <cellStyle name="注释 2 2 5 2" xfId="9601"/>
    <cellStyle name="注释 2 2 6" xfId="9602"/>
    <cellStyle name="注释 2 2 6 2" xfId="9603"/>
    <cellStyle name="注释 2 2 7" xfId="9604"/>
    <cellStyle name="注释 2 3" xfId="9605"/>
    <cellStyle name="注释 2 3 2" xfId="9606"/>
    <cellStyle name="注释 2 3 2 2" xfId="9607"/>
    <cellStyle name="注释 2 3 2 2 2" xfId="9608"/>
    <cellStyle name="注释 2 3 2 3" xfId="9609"/>
    <cellStyle name="注释 2 3 3" xfId="9610"/>
    <cellStyle name="注释 2 3 3 2" xfId="9611"/>
    <cellStyle name="注释 2 3 4" xfId="9612"/>
    <cellStyle name="注释 2 3 4 2" xfId="9613"/>
    <cellStyle name="注释 2 3 5" xfId="9614"/>
    <cellStyle name="注释 2 4" xfId="9615"/>
    <cellStyle name="注释 2 4 2" xfId="9616"/>
    <cellStyle name="注释 2 4 2 2" xfId="9617"/>
    <cellStyle name="注释 2 4 3" xfId="9618"/>
    <cellStyle name="注释 2 4 3 2" xfId="9619"/>
    <cellStyle name="注释 2 4 4" xfId="9620"/>
    <cellStyle name="注释 2 4 4 2" xfId="9621"/>
    <cellStyle name="注释 2 4 5" xfId="9622"/>
    <cellStyle name="注释 2 5" xfId="9623"/>
    <cellStyle name="注释 2 5 2" xfId="9624"/>
    <cellStyle name="注释 2 5 2 2" xfId="9625"/>
    <cellStyle name="注释 2 5 3" xfId="9626"/>
    <cellStyle name="注释 2 6" xfId="9627"/>
    <cellStyle name="注释 2 6 2" xfId="9628"/>
    <cellStyle name="注释 2 7" xfId="9629"/>
    <cellStyle name="注释 2 7 2" xfId="9630"/>
    <cellStyle name="注释 2 8" xfId="9631"/>
    <cellStyle name="注释 2 8 2" xfId="9632"/>
    <cellStyle name="注释 2 9" xfId="9633"/>
    <cellStyle name="注释 2 9 2" xfId="9634"/>
    <cellStyle name="注释 3" xfId="9635"/>
    <cellStyle name="注释 3 10" xfId="9636"/>
    <cellStyle name="注释 3 11" xfId="9637"/>
    <cellStyle name="注释 3 2" xfId="9638"/>
    <cellStyle name="注释 3 2 2" xfId="9639"/>
    <cellStyle name="注释 3 2 2 2" xfId="9640"/>
    <cellStyle name="注释 3 2 2 2 2" xfId="9641"/>
    <cellStyle name="注释 3 2 2 2 2 2" xfId="9642"/>
    <cellStyle name="注释 3 2 2 2 3" xfId="9643"/>
    <cellStyle name="注释 3 2 2 2 4" xfId="9644"/>
    <cellStyle name="注释 3 2 2 3" xfId="9645"/>
    <cellStyle name="注释 3 2 2 3 2" xfId="9646"/>
    <cellStyle name="注释 3 2 2 4" xfId="9647"/>
    <cellStyle name="注释 3 2 2 4 2" xfId="9648"/>
    <cellStyle name="注释 3 2 2 5" xfId="9649"/>
    <cellStyle name="注释 3 2 2 6" xfId="9650"/>
    <cellStyle name="注释 3 2 3" xfId="9651"/>
    <cellStyle name="注释 3 2 3 2" xfId="9652"/>
    <cellStyle name="注释 3 2 3 2 2" xfId="9653"/>
    <cellStyle name="注释 3 2 3 3" xfId="9654"/>
    <cellStyle name="注释 3 2 3 3 2" xfId="9655"/>
    <cellStyle name="注释 3 2 3 4" xfId="9656"/>
    <cellStyle name="注释 3 2 3 4 2" xfId="9657"/>
    <cellStyle name="注释 3 2 3 5" xfId="9658"/>
    <cellStyle name="注释 3 2 3 6" xfId="9659"/>
    <cellStyle name="注释 3 2 4" xfId="9660"/>
    <cellStyle name="注释 3 2 4 2" xfId="9661"/>
    <cellStyle name="注释 3 2 4 2 2" xfId="9662"/>
    <cellStyle name="注释 3 2 4 3" xfId="9663"/>
    <cellStyle name="注释 3 2 4 4" xfId="9664"/>
    <cellStyle name="注释 3 2 5" xfId="9665"/>
    <cellStyle name="注释 3 2 5 2" xfId="9666"/>
    <cellStyle name="注释 3 2 6" xfId="9667"/>
    <cellStyle name="注释 3 2 6 2" xfId="9668"/>
    <cellStyle name="注释 3 2 7" xfId="9669"/>
    <cellStyle name="注释 3 2 8" xfId="9670"/>
    <cellStyle name="注释 3 3" xfId="9671"/>
    <cellStyle name="注释 3 3 2" xfId="9672"/>
    <cellStyle name="注释 3 3 2 2" xfId="9673"/>
    <cellStyle name="注释 3 3 2 2 2" xfId="9674"/>
    <cellStyle name="注释 3 3 2 3" xfId="9675"/>
    <cellStyle name="注释 3 3 2 4" xfId="9676"/>
    <cellStyle name="注释 3 3 3" xfId="9677"/>
    <cellStyle name="注释 3 3 3 2" xfId="9678"/>
    <cellStyle name="注释 3 3 4" xfId="9679"/>
    <cellStyle name="注释 3 3 4 2" xfId="9680"/>
    <cellStyle name="注释 3 3 5" xfId="9681"/>
    <cellStyle name="注释 3 3 6" xfId="9682"/>
    <cellStyle name="注释 3 4" xfId="9683"/>
    <cellStyle name="注释 3 4 2" xfId="9684"/>
    <cellStyle name="注释 3 4 2 2" xfId="9685"/>
    <cellStyle name="注释 3 4 3" xfId="9686"/>
    <cellStyle name="注释 3 4 3 2" xfId="9687"/>
    <cellStyle name="注释 3 4 4" xfId="9688"/>
    <cellStyle name="注释 3 4 4 2" xfId="9689"/>
    <cellStyle name="注释 3 4 5" xfId="9690"/>
    <cellStyle name="注释 3 4 6" xfId="9691"/>
    <cellStyle name="注释 3 5" xfId="9692"/>
    <cellStyle name="注释 3 5 2" xfId="9693"/>
    <cellStyle name="注释 3 5 2 2" xfId="9694"/>
    <cellStyle name="注释 3 5 3" xfId="9695"/>
    <cellStyle name="注释 3 5 4" xfId="9696"/>
    <cellStyle name="注释 3 6" xfId="9697"/>
    <cellStyle name="注释 3 6 2" xfId="9698"/>
    <cellStyle name="注释 3 7" xfId="9699"/>
    <cellStyle name="注释 3 7 2" xfId="9700"/>
    <cellStyle name="注释 3 8" xfId="9701"/>
    <cellStyle name="注释 3 8 2" xfId="9702"/>
    <cellStyle name="注释 3 9" xfId="9703"/>
    <cellStyle name="注释 3 9 2" xfId="9704"/>
    <cellStyle name="注释 4" xfId="9705"/>
    <cellStyle name="注释 4 2" xfId="9706"/>
    <cellStyle name="注释 4 2 2" xfId="9707"/>
    <cellStyle name="注释 4 3" xfId="9708"/>
    <cellStyle name="注释 5" xfId="9709"/>
    <cellStyle name="注释 5 2" xfId="97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theme" Target="theme/theme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20" fmlaLink="$M$22" fmlaRange="$R$23:$R$24" val="0"/>
</file>

<file path=xl/ctrlProps/ctrlProp2.xml><?xml version="1.0" encoding="utf-8"?>
<formControlPr xmlns="http://schemas.microsoft.com/office/spreadsheetml/2009/9/main" objectType="Drop" dropStyle="combo" dx="20" fmlaLink="$M$57" fmlaRange="$R$58:$R$59" val="0"/>
</file>

<file path=xl/ctrlProps/ctrlProp3.xml><?xml version="1.0" encoding="utf-8"?>
<formControlPr xmlns="http://schemas.microsoft.com/office/spreadsheetml/2009/9/main" objectType="CheckBox" checked="Checked" fmlaLink="$G$38" lockText="1"/>
</file>

<file path=xl/ctrlProps/ctrlProp4.xml><?xml version="1.0" encoding="utf-8"?>
<formControlPr xmlns="http://schemas.microsoft.com/office/spreadsheetml/2009/9/main" objectType="CheckBox" fmlaLink="$G$39" lockText="1"/>
</file>

<file path=xl/ctrlProps/ctrlProp5.xml><?xml version="1.0" encoding="utf-8"?>
<formControlPr xmlns="http://schemas.microsoft.com/office/spreadsheetml/2009/9/main" objectType="CheckBox" fmlaLink="$G$34" lockText="1"/>
</file>

<file path=xl/ctrlProps/ctrlProp6.xml><?xml version="1.0" encoding="utf-8"?>
<formControlPr xmlns="http://schemas.microsoft.com/office/spreadsheetml/2009/9/main" objectType="CheckBox" fmlaLink="$G$36" lockText="1"/>
</file>

<file path=xl/ctrlProps/ctrlProp7.xml><?xml version="1.0" encoding="utf-8"?>
<formControlPr xmlns="http://schemas.microsoft.com/office/spreadsheetml/2009/9/main" objectType="CheckBox" fmlaLink="$G$37" lockText="1"/>
</file>

<file path=xl/ctrlProps/ctrlProp8.xml><?xml version="1.0" encoding="utf-8"?>
<formControlPr xmlns="http://schemas.microsoft.com/office/spreadsheetml/2009/9/main" objectType="CheckBox" fmlaLink="$G$40" lockText="1"/>
</file>

<file path=xl/ctrlProps/ctrlProp9.xml><?xml version="1.0" encoding="utf-8"?>
<formControlPr xmlns="http://schemas.microsoft.com/office/spreadsheetml/2009/9/main" objectType="CheckBox" checked="Checked" fmlaLink="$G$41" lockText="1"/>
</file>

<file path=xl/ctrlProps/ctrlProp10.xml><?xml version="1.0" encoding="utf-8"?>
<formControlPr xmlns="http://schemas.microsoft.com/office/spreadsheetml/2009/9/main" objectType="CheckBox" fmlaLink="$G$42" lockText="1"/>
</file>

<file path=xl/ctrlProps/ctrlProp11.xml><?xml version="1.0" encoding="utf-8"?>
<formControlPr xmlns="http://schemas.microsoft.com/office/spreadsheetml/2009/9/main" objectType="CheckBox" checked="Checked" fmlaLink="$G$31" lockText="1"/>
</file>

<file path=xl/ctrlProps/ctrlProp12.xml><?xml version="1.0" encoding="utf-8"?>
<formControlPr xmlns="http://schemas.microsoft.com/office/spreadsheetml/2009/9/main" objectType="CheckBox" checked="Checked" fmlaLink="$G$33" lockText="1"/>
</file>

<file path=xl/ctrlProps/ctrlProp13.xml><?xml version="1.0" encoding="utf-8"?>
<formControlPr xmlns="http://schemas.microsoft.com/office/spreadsheetml/2009/9/main" objectType="CheckBox" fmlaLink="$G$32" lockText="1"/>
</file>

<file path=xl/ctrlProps/ctrlProp14.xml><?xml version="1.0" encoding="utf-8"?>
<formControlPr xmlns="http://schemas.microsoft.com/office/spreadsheetml/2009/9/main" objectType="CheckBox" checked="Checked" fmlaLink="$G$43" lockText="1"/>
</file>

<file path=xl/ctrlProps/ctrlProp15.xml><?xml version="1.0" encoding="utf-8"?>
<formControlPr xmlns="http://schemas.microsoft.com/office/spreadsheetml/2009/9/main" objectType="CheckBox" fmlaLink="$G$44" lockText="1"/>
</file>

<file path=xl/ctrlProps/ctrlProp16.xml><?xml version="1.0" encoding="utf-8"?>
<formControlPr xmlns="http://schemas.microsoft.com/office/spreadsheetml/2009/9/main" objectType="CheckBox" fmlaLink="$G$45" lockText="1"/>
</file>

<file path=xl/ctrlProps/ctrlProp17.xml><?xml version="1.0" encoding="utf-8"?>
<formControlPr xmlns="http://schemas.microsoft.com/office/spreadsheetml/2009/9/main" objectType="CheckBox" fmlaLink="$G$35" lockText="1"/>
</file>

<file path=xl/ctrlProps/ctrlProp18.xml><?xml version="1.0" encoding="utf-8"?>
<formControlPr xmlns="http://schemas.microsoft.com/office/spreadsheetml/2009/9/main" objectType="CheckBox" checked="Checked" fmlaLink="$G$45" lockText="1"/>
</file>

<file path=xl/ctrlProps/ctrlProp19.xml><?xml version="1.0" encoding="utf-8"?>
<formControlPr xmlns="http://schemas.microsoft.com/office/spreadsheetml/2009/9/main" objectType="CheckBox" fmlaLink="$G$46" lockText="1"/>
</file>

<file path=xl/ctrlProps/ctrlProp20.xml><?xml version="1.0" encoding="utf-8"?>
<formControlPr xmlns="http://schemas.microsoft.com/office/spreadsheetml/2009/9/main" objectType="CheckBox" fmlaLink="$G$41" lockText="1"/>
</file>

<file path=xl/ctrlProps/ctrlProp21.xml><?xml version="1.0" encoding="utf-8"?>
<formControlPr xmlns="http://schemas.microsoft.com/office/spreadsheetml/2009/9/main" objectType="CheckBox" fmlaLink="$G$43" lockText="1"/>
</file>

<file path=xl/ctrlProps/ctrlProp22.xml><?xml version="1.0" encoding="utf-8"?>
<formControlPr xmlns="http://schemas.microsoft.com/office/spreadsheetml/2009/9/main" objectType="CheckBox" fmlaLink="$G$44" lockText="1"/>
</file>

<file path=xl/ctrlProps/ctrlProp23.xml><?xml version="1.0" encoding="utf-8"?>
<formControlPr xmlns="http://schemas.microsoft.com/office/spreadsheetml/2009/9/main" objectType="CheckBox" fmlaLink="$G$47" lockText="1"/>
</file>

<file path=xl/ctrlProps/ctrlProp24.xml><?xml version="1.0" encoding="utf-8"?>
<formControlPr xmlns="http://schemas.microsoft.com/office/spreadsheetml/2009/9/main" objectType="CheckBox" checked="Checked" fmlaLink="$G$48" lockText="1"/>
</file>

<file path=xl/ctrlProps/ctrlProp25.xml><?xml version="1.0" encoding="utf-8"?>
<formControlPr xmlns="http://schemas.microsoft.com/office/spreadsheetml/2009/9/main" objectType="CheckBox" fmlaLink="$G$49" lockText="1"/>
</file>

<file path=xl/ctrlProps/ctrlProp26.xml><?xml version="1.0" encoding="utf-8"?>
<formControlPr xmlns="http://schemas.microsoft.com/office/spreadsheetml/2009/9/main" objectType="CheckBox" checked="Checked" fmlaLink="$G$38" lockText="1"/>
</file>

<file path=xl/ctrlProps/ctrlProp27.xml><?xml version="1.0" encoding="utf-8"?>
<formControlPr xmlns="http://schemas.microsoft.com/office/spreadsheetml/2009/9/main" objectType="CheckBox" checked="Checked" fmlaLink="$G$40" lockText="1"/>
</file>

<file path=xl/ctrlProps/ctrlProp28.xml><?xml version="1.0" encoding="utf-8"?>
<formControlPr xmlns="http://schemas.microsoft.com/office/spreadsheetml/2009/9/main" objectType="CheckBox" fmlaLink="$G$39" lockText="1"/>
</file>

<file path=xl/ctrlProps/ctrlProp29.xml><?xml version="1.0" encoding="utf-8"?>
<formControlPr xmlns="http://schemas.microsoft.com/office/spreadsheetml/2009/9/main" objectType="CheckBox" checked="Checked" fmlaLink="$G$57" lockText="1"/>
</file>

<file path=xl/ctrlProps/ctrlProp30.xml><?xml version="1.0" encoding="utf-8"?>
<formControlPr xmlns="http://schemas.microsoft.com/office/spreadsheetml/2009/9/main" objectType="CheckBox" fmlaLink="$G$58" lockText="1"/>
</file>

<file path=xl/ctrlProps/ctrlProp31.xml><?xml version="1.0" encoding="utf-8"?>
<formControlPr xmlns="http://schemas.microsoft.com/office/spreadsheetml/2009/9/main" objectType="CheckBox" fmlaLink="$G$59" lockText="1"/>
</file>

<file path=xl/ctrlProps/ctrlProp32.xml><?xml version="1.0" encoding="utf-8"?>
<formControlPr xmlns="http://schemas.microsoft.com/office/spreadsheetml/2009/9/main" objectType="CheckBox" fmlaLink="$G$42" lockText="1"/>
</file>

<file path=xl/ctrlProps/ctrlProp33.xml><?xml version="1.0" encoding="utf-8"?>
<formControlPr xmlns="http://schemas.microsoft.com/office/spreadsheetml/2009/9/main" objectType="CheckBox" fmlaLink="$G$50" lockText="1"/>
</file>

<file path=xl/ctrlProps/ctrlProp34.xml><?xml version="1.0" encoding="utf-8"?>
<formControlPr xmlns="http://schemas.microsoft.com/office/spreadsheetml/2009/9/main" objectType="CheckBox" fmlaLink="$G$51" lockText="1"/>
</file>

<file path=xl/ctrlProps/ctrlProp35.xml><?xml version="1.0" encoding="utf-8"?>
<formControlPr xmlns="http://schemas.microsoft.com/office/spreadsheetml/2009/9/main" objectType="CheckBox" checked="Checked" fmlaLink="$G$52" lockText="1"/>
</file>

<file path=xl/ctrlProps/ctrlProp36.xml><?xml version="1.0" encoding="utf-8"?>
<formControlPr xmlns="http://schemas.microsoft.com/office/spreadsheetml/2009/9/main" objectType="CheckBox" fmlaLink="$G$53" lockText="1"/>
</file>

<file path=xl/ctrlProps/ctrlProp37.xml><?xml version="1.0" encoding="utf-8"?>
<formControlPr xmlns="http://schemas.microsoft.com/office/spreadsheetml/2009/9/main" objectType="CheckBox" fmlaLink="$G$54" lockText="1"/>
</file>

<file path=xl/ctrlProps/ctrlProp38.xml><?xml version="1.0" encoding="utf-8"?>
<formControlPr xmlns="http://schemas.microsoft.com/office/spreadsheetml/2009/9/main" objectType="CheckBox" fmlaLink="$G$56" lockText="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13</xdr:col>
      <xdr:colOff>582931</xdr:colOff>
      <xdr:row>93</xdr:row>
      <xdr:rowOff>174307</xdr:rowOff>
    </xdr:from>
    <xdr:to>
      <xdr:col>20</xdr:col>
      <xdr:colOff>51448</xdr:colOff>
      <xdr:row>109</xdr:row>
      <xdr:rowOff>106002</xdr:rowOff>
    </xdr:to>
    <xdr:pic>
      <xdr:nvPicPr>
        <xdr:cNvPr id="2" name="图片 1"/>
        <xdr:cNvPicPr>
          <a:picLocks noChangeAspect="1"/>
        </xdr:cNvPicPr>
      </xdr:nvPicPr>
      <xdr:blipFill>
        <a:blip xmlns:r="http://schemas.openxmlformats.org/officeDocument/2006/relationships" r:embed="rId1"/>
        <a:stretch>
          <a:fillRect/>
        </a:stretch>
      </xdr:blipFill>
      <xdr:spPr>
        <a:xfrm>
          <a:off x="12332971" y="14256067"/>
          <a:ext cx="4535817" cy="3208295"/>
        </a:xfrm>
        <a:prstGeom prst="rect">
          <a:avLst/>
        </a:prstGeom>
        <a:solidFill>
          <a:schemeClr val="bg1">
            <a:alpha val="20000"/>
          </a:schemeClr>
        </a:solidFill>
      </xdr:spPr>
    </xdr:pic>
    <xdr:clientData/>
  </xdr:twoCellAnchor>
  <xdr:twoCellAnchor editAs="oneCell">
    <xdr:from>
      <xdr:col>18</xdr:col>
      <xdr:colOff>7620</xdr:colOff>
      <xdr:row>76</xdr:row>
      <xdr:rowOff>15240</xdr:rowOff>
    </xdr:from>
    <xdr:to>
      <xdr:col>27</xdr:col>
      <xdr:colOff>23446</xdr:colOff>
      <xdr:row>96</xdr:row>
      <xdr:rowOff>15513</xdr:rowOff>
    </xdr:to>
    <xdr:pic>
      <xdr:nvPicPr>
        <xdr:cNvPr id="3" name="图片 2">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15377160" y="11544300"/>
          <a:ext cx="6759526" cy="3147333"/>
        </a:xfrm>
        <a:prstGeom prst="rect">
          <a:avLst/>
        </a:prstGeom>
        <a:ln>
          <a:solidFill>
            <a:schemeClr val="accent1"/>
          </a:solidFill>
        </a:ln>
      </xdr:spPr>
    </xdr:pic>
    <xdr:clientData/>
  </xdr:twoCellAnchor>
  <xdr:twoCellAnchor editAs="oneCell">
    <xdr:from>
      <xdr:col>20</xdr:col>
      <xdr:colOff>352426</xdr:colOff>
      <xdr:row>94</xdr:row>
      <xdr:rowOff>61913</xdr:rowOff>
    </xdr:from>
    <xdr:to>
      <xdr:col>27</xdr:col>
      <xdr:colOff>147127</xdr:colOff>
      <xdr:row>120</xdr:row>
      <xdr:rowOff>117925</xdr:rowOff>
    </xdr:to>
    <xdr:pic>
      <xdr:nvPicPr>
        <xdr:cNvPr id="4" name="图片 3"/>
        <xdr:cNvPicPr>
          <a:picLocks noChangeAspect="1"/>
        </xdr:cNvPicPr>
      </xdr:nvPicPr>
      <xdr:blipFill>
        <a:blip xmlns:r="http://schemas.openxmlformats.org/officeDocument/2006/relationships" r:embed="rId3"/>
        <a:stretch>
          <a:fillRect/>
        </a:stretch>
      </xdr:blipFill>
      <xdr:spPr>
        <a:xfrm>
          <a:off x="17169766" y="14341793"/>
          <a:ext cx="5090601" cy="452133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53340</xdr:colOff>
          <xdr:row>20</xdr:row>
          <xdr:rowOff>167640</xdr:rowOff>
        </xdr:from>
        <xdr:to>
          <xdr:col>14</xdr:col>
          <xdr:colOff>121920</xdr:colOff>
          <xdr:row>22</xdr:row>
          <xdr:rowOff>22860</xdr:rowOff>
        </xdr:to>
        <xdr:sp macro="" textlink="">
          <xdr:nvSpPr>
            <xdr:cNvPr id="1025" name="Drop Down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xdr:colOff>
          <xdr:row>51</xdr:row>
          <xdr:rowOff>167640</xdr:rowOff>
        </xdr:from>
        <xdr:to>
          <xdr:col>14</xdr:col>
          <xdr:colOff>106680</xdr:colOff>
          <xdr:row>57</xdr:row>
          <xdr:rowOff>22860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twoCellAnchor>
    <xdr:from>
      <xdr:col>13</xdr:col>
      <xdr:colOff>342900</xdr:colOff>
      <xdr:row>60</xdr:row>
      <xdr:rowOff>140654</xdr:rowOff>
    </xdr:from>
    <xdr:to>
      <xdr:col>19</xdr:col>
      <xdr:colOff>69851</xdr:colOff>
      <xdr:row>64</xdr:row>
      <xdr:rowOff>8890</xdr:rowOff>
    </xdr:to>
    <xdr:grpSp>
      <xdr:nvGrpSpPr>
        <xdr:cNvPr id="7" name="组合 6"/>
        <xdr:cNvGrpSpPr/>
      </xdr:nvGrpSpPr>
      <xdr:grpSpPr>
        <a:xfrm>
          <a:off x="12092940" y="9490394"/>
          <a:ext cx="4070351" cy="462596"/>
          <a:chOff x="12100560" y="9520874"/>
          <a:chExt cx="4070351" cy="462596"/>
        </a:xfrm>
      </xdr:grpSpPr>
      <xdr:pic>
        <xdr:nvPicPr>
          <xdr:cNvPr id="8" name="图片 7">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4"/>
          <a:stretch>
            <a:fillRect/>
          </a:stretch>
        </xdr:blipFill>
        <xdr:spPr>
          <a:xfrm>
            <a:off x="12257723" y="9520874"/>
            <a:ext cx="3913188" cy="462596"/>
          </a:xfrm>
          <a:prstGeom prst="rect">
            <a:avLst/>
          </a:prstGeom>
        </xdr:spPr>
      </xdr:pic>
      <xdr:cxnSp macro="">
        <xdr:nvCxnSpPr>
          <xdr:cNvPr id="9" name="直接箭头连接符 8"/>
          <xdr:cNvCxnSpPr/>
        </xdr:nvCxnSpPr>
        <xdr:spPr>
          <a:xfrm flipV="1">
            <a:off x="12100560" y="9761220"/>
            <a:ext cx="304800" cy="76200"/>
          </a:xfrm>
          <a:prstGeom prst="straightConnector1">
            <a:avLst/>
          </a:prstGeom>
          <a:ln>
            <a:solidFill>
              <a:srgbClr val="FF0000"/>
            </a:solidFill>
            <a:headEnd type="stealth"/>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771525</xdr:colOff>
      <xdr:row>17</xdr:row>
      <xdr:rowOff>152400</xdr:rowOff>
    </xdr:from>
    <xdr:ext cx="7173326" cy="5677692"/>
    <xdr:pic>
      <xdr:nvPicPr>
        <xdr:cNvPr id="2" name="图片 1">
          <a:extLst>
            <a:ext uri="{FF2B5EF4-FFF2-40B4-BE49-F238E27FC236}">
              <a16:creationId xmlns="" xmlns:a16="http://schemas.microsoft.com/office/drawing/2014/main" id="{9B917A8C-3DEE-478E-9BB3-18D11144B843}"/>
            </a:ext>
          </a:extLst>
        </xdr:cNvPr>
        <xdr:cNvPicPr>
          <a:picLocks noChangeAspect="1"/>
        </xdr:cNvPicPr>
      </xdr:nvPicPr>
      <xdr:blipFill>
        <a:blip xmlns:r="http://schemas.openxmlformats.org/officeDocument/2006/relationships" r:embed="rId1"/>
        <a:stretch>
          <a:fillRect/>
        </a:stretch>
      </xdr:blipFill>
      <xdr:spPr>
        <a:xfrm>
          <a:off x="771525" y="3520440"/>
          <a:ext cx="7173326" cy="5677692"/>
        </a:xfrm>
        <a:prstGeom prst="rect">
          <a:avLst/>
        </a:prstGeom>
      </xdr:spPr>
    </xdr:pic>
    <xdr:clientData/>
  </xdr:oneCellAnchor>
  <xdr:twoCellAnchor editAs="oneCell">
    <xdr:from>
      <xdr:col>12</xdr:col>
      <xdr:colOff>485588</xdr:colOff>
      <xdr:row>50</xdr:row>
      <xdr:rowOff>104587</xdr:rowOff>
    </xdr:from>
    <xdr:to>
      <xdr:col>24</xdr:col>
      <xdr:colOff>403412</xdr:colOff>
      <xdr:row>67</xdr:row>
      <xdr:rowOff>30906</xdr:rowOff>
    </xdr:to>
    <xdr:pic>
      <xdr:nvPicPr>
        <xdr:cNvPr id="3" name="图片 2">
          <a:extLst>
            <a:ext uri="{FF2B5EF4-FFF2-40B4-BE49-F238E27FC236}">
              <a16:creationId xmlns="" xmlns:a16="http://schemas.microsoft.com/office/drawing/2014/main" id="{BC9763C5-E7F8-3639-58E5-1928B8151DB3}"/>
            </a:ext>
          </a:extLst>
        </xdr:cNvPr>
        <xdr:cNvPicPr>
          <a:picLocks noChangeAspect="1"/>
        </xdr:cNvPicPr>
      </xdr:nvPicPr>
      <xdr:blipFill>
        <a:blip xmlns:r="http://schemas.openxmlformats.org/officeDocument/2006/relationships" r:embed="rId2"/>
        <a:stretch>
          <a:fillRect/>
        </a:stretch>
      </xdr:blipFill>
      <xdr:spPr>
        <a:xfrm>
          <a:off x="9896288" y="10010587"/>
          <a:ext cx="8170284" cy="3294359"/>
        </a:xfrm>
        <a:prstGeom prst="rect">
          <a:avLst/>
        </a:prstGeom>
      </xdr:spPr>
    </xdr:pic>
    <xdr:clientData/>
  </xdr:twoCellAnchor>
  <xdr:twoCellAnchor>
    <xdr:from>
      <xdr:col>10</xdr:col>
      <xdr:colOff>5602</xdr:colOff>
      <xdr:row>99</xdr:row>
      <xdr:rowOff>26147</xdr:rowOff>
    </xdr:from>
    <xdr:to>
      <xdr:col>17</xdr:col>
      <xdr:colOff>330574</xdr:colOff>
      <xdr:row>107</xdr:row>
      <xdr:rowOff>98984</xdr:rowOff>
    </xdr:to>
    <xdr:grpSp>
      <xdr:nvGrpSpPr>
        <xdr:cNvPr id="4" name="组合 3">
          <a:extLst>
            <a:ext uri="{FF2B5EF4-FFF2-40B4-BE49-F238E27FC236}">
              <a16:creationId xmlns="" xmlns:a16="http://schemas.microsoft.com/office/drawing/2014/main" id="{7EDACD4F-02F5-7922-205B-84EA7C6A6F51}"/>
            </a:ext>
          </a:extLst>
        </xdr:cNvPr>
        <xdr:cNvGrpSpPr/>
      </xdr:nvGrpSpPr>
      <xdr:grpSpPr>
        <a:xfrm>
          <a:off x="7885578" y="19551276"/>
          <a:ext cx="5219702" cy="1785096"/>
          <a:chOff x="515470" y="18646588"/>
          <a:chExt cx="4407126" cy="1585282"/>
        </a:xfrm>
      </xdr:grpSpPr>
      <xdr:pic>
        <xdr:nvPicPr>
          <xdr:cNvPr id="5" name="图片 4">
            <a:extLst>
              <a:ext uri="{FF2B5EF4-FFF2-40B4-BE49-F238E27FC236}">
                <a16:creationId xmlns="" xmlns:a16="http://schemas.microsoft.com/office/drawing/2014/main" id="{42C125F8-5617-A237-CB32-EF9677F2491E}"/>
              </a:ext>
            </a:extLst>
          </xdr:cNvPr>
          <xdr:cNvPicPr>
            <a:picLocks noChangeAspect="1"/>
          </xdr:cNvPicPr>
        </xdr:nvPicPr>
        <xdr:blipFill>
          <a:blip xmlns:r="http://schemas.openxmlformats.org/officeDocument/2006/relationships" r:embed="rId3"/>
          <a:stretch>
            <a:fillRect/>
          </a:stretch>
        </xdr:blipFill>
        <xdr:spPr>
          <a:xfrm>
            <a:off x="515470" y="18646588"/>
            <a:ext cx="4407126" cy="1143059"/>
          </a:xfrm>
          <a:prstGeom prst="rect">
            <a:avLst/>
          </a:prstGeom>
        </xdr:spPr>
      </xdr:pic>
      <xdr:pic>
        <xdr:nvPicPr>
          <xdr:cNvPr id="6" name="图片 5">
            <a:extLst>
              <a:ext uri="{FF2B5EF4-FFF2-40B4-BE49-F238E27FC236}">
                <a16:creationId xmlns="" xmlns:a16="http://schemas.microsoft.com/office/drawing/2014/main" id="{8547A514-249F-FAF4-FBE5-12264C4E2E3E}"/>
              </a:ext>
            </a:extLst>
          </xdr:cNvPr>
          <xdr:cNvPicPr>
            <a:picLocks noChangeAspect="1"/>
          </xdr:cNvPicPr>
        </xdr:nvPicPr>
        <xdr:blipFill>
          <a:blip xmlns:r="http://schemas.openxmlformats.org/officeDocument/2006/relationships" r:embed="rId4"/>
          <a:stretch>
            <a:fillRect/>
          </a:stretch>
        </xdr:blipFill>
        <xdr:spPr>
          <a:xfrm>
            <a:off x="552824" y="19774647"/>
            <a:ext cx="4311872" cy="457223"/>
          </a:xfrm>
          <a:prstGeom prst="rect">
            <a:avLst/>
          </a:prstGeom>
        </xdr:spPr>
      </xdr:pic>
    </xdr:grpSp>
    <xdr:clientData/>
  </xdr:twoCellAnchor>
  <xdr:twoCellAnchor>
    <xdr:from>
      <xdr:col>17</xdr:col>
      <xdr:colOff>323106</xdr:colOff>
      <xdr:row>100</xdr:row>
      <xdr:rowOff>26148</xdr:rowOff>
    </xdr:from>
    <xdr:to>
      <xdr:col>21</xdr:col>
      <xdr:colOff>194238</xdr:colOff>
      <xdr:row>104</xdr:row>
      <xdr:rowOff>173691</xdr:rowOff>
    </xdr:to>
    <xdr:grpSp>
      <xdr:nvGrpSpPr>
        <xdr:cNvPr id="7" name="组合 6">
          <a:extLst>
            <a:ext uri="{FF2B5EF4-FFF2-40B4-BE49-F238E27FC236}">
              <a16:creationId xmlns="" xmlns:a16="http://schemas.microsoft.com/office/drawing/2014/main" id="{62109214-30C3-1807-00DA-6F8C9855B113}"/>
            </a:ext>
          </a:extLst>
        </xdr:cNvPr>
        <xdr:cNvGrpSpPr/>
      </xdr:nvGrpSpPr>
      <xdr:grpSpPr>
        <a:xfrm>
          <a:off x="13097812" y="19748501"/>
          <a:ext cx="2668120" cy="1070908"/>
          <a:chOff x="4609353" y="18796000"/>
          <a:chExt cx="1799487" cy="579000"/>
        </a:xfrm>
      </xdr:grpSpPr>
      <xdr:pic>
        <xdr:nvPicPr>
          <xdr:cNvPr id="8" name="图片 7">
            <a:extLst>
              <a:ext uri="{FF2B5EF4-FFF2-40B4-BE49-F238E27FC236}">
                <a16:creationId xmlns="" xmlns:a16="http://schemas.microsoft.com/office/drawing/2014/main" id="{2A59D7F6-98DE-993B-EB8A-7A64A28F38CF}"/>
              </a:ext>
            </a:extLst>
          </xdr:cNvPr>
          <xdr:cNvPicPr>
            <a:picLocks noChangeAspect="1"/>
          </xdr:cNvPicPr>
        </xdr:nvPicPr>
        <xdr:blipFill>
          <a:blip xmlns:r="http://schemas.openxmlformats.org/officeDocument/2006/relationships" r:embed="rId5"/>
          <a:stretch>
            <a:fillRect/>
          </a:stretch>
        </xdr:blipFill>
        <xdr:spPr>
          <a:xfrm>
            <a:off x="4609353" y="18803471"/>
            <a:ext cx="1130358" cy="571529"/>
          </a:xfrm>
          <a:prstGeom prst="rect">
            <a:avLst/>
          </a:prstGeom>
        </xdr:spPr>
      </xdr:pic>
      <xdr:pic>
        <xdr:nvPicPr>
          <xdr:cNvPr id="9" name="图片 8">
            <a:extLst>
              <a:ext uri="{FF2B5EF4-FFF2-40B4-BE49-F238E27FC236}">
                <a16:creationId xmlns="" xmlns:a16="http://schemas.microsoft.com/office/drawing/2014/main" id="{2488913A-2991-7A6C-BCF0-46181FC7FB79}"/>
              </a:ext>
            </a:extLst>
          </xdr:cNvPr>
          <xdr:cNvPicPr>
            <a:picLocks noChangeAspect="1"/>
          </xdr:cNvPicPr>
        </xdr:nvPicPr>
        <xdr:blipFill>
          <a:blip xmlns:r="http://schemas.openxmlformats.org/officeDocument/2006/relationships" r:embed="rId6"/>
          <a:stretch>
            <a:fillRect/>
          </a:stretch>
        </xdr:blipFill>
        <xdr:spPr>
          <a:xfrm>
            <a:off x="5475342" y="18796000"/>
            <a:ext cx="933498" cy="574834"/>
          </a:xfrm>
          <a:prstGeom prst="rect">
            <a:avLst/>
          </a:prstGeom>
        </xdr:spPr>
      </xdr:pic>
    </xdr:grpSp>
    <xdr:clientData/>
  </xdr:twoCellAnchor>
  <xdr:twoCellAnchor editAs="oneCell">
    <xdr:from>
      <xdr:col>11</xdr:col>
      <xdr:colOff>0</xdr:colOff>
      <xdr:row>204</xdr:row>
      <xdr:rowOff>0</xdr:rowOff>
    </xdr:from>
    <xdr:to>
      <xdr:col>18</xdr:col>
      <xdr:colOff>564358</xdr:colOff>
      <xdr:row>239</xdr:row>
      <xdr:rowOff>84398</xdr:rowOff>
    </xdr:to>
    <xdr:pic>
      <xdr:nvPicPr>
        <xdr:cNvPr id="10" name="图片 9">
          <a:extLst>
            <a:ext uri="{FF2B5EF4-FFF2-40B4-BE49-F238E27FC236}">
              <a16:creationId xmlns="" xmlns:a16="http://schemas.microsoft.com/office/drawing/2014/main" id="{F2DAE555-247D-9067-7304-AC73FCFE9F64}"/>
            </a:ext>
          </a:extLst>
        </xdr:cNvPr>
        <xdr:cNvPicPr>
          <a:picLocks noChangeAspect="1"/>
        </xdr:cNvPicPr>
      </xdr:nvPicPr>
      <xdr:blipFill>
        <a:blip xmlns:r="http://schemas.openxmlformats.org/officeDocument/2006/relationships" r:embed="rId7"/>
        <a:stretch>
          <a:fillRect/>
        </a:stretch>
      </xdr:blipFill>
      <xdr:spPr>
        <a:xfrm>
          <a:off x="8519160" y="41643300"/>
          <a:ext cx="5502118" cy="7125278"/>
        </a:xfrm>
        <a:prstGeom prst="rect">
          <a:avLst/>
        </a:prstGeom>
      </xdr:spPr>
    </xdr:pic>
    <xdr:clientData/>
  </xdr:twoCellAnchor>
  <xdr:oneCellAnchor>
    <xdr:from>
      <xdr:col>10</xdr:col>
      <xdr:colOff>1</xdr:colOff>
      <xdr:row>312</xdr:row>
      <xdr:rowOff>186765</xdr:rowOff>
    </xdr:from>
    <xdr:ext cx="5517358" cy="7017104"/>
    <xdr:pic>
      <xdr:nvPicPr>
        <xdr:cNvPr id="11" name="图片 10">
          <a:extLst>
            <a:ext uri="{FF2B5EF4-FFF2-40B4-BE49-F238E27FC236}">
              <a16:creationId xmlns="" xmlns:a16="http://schemas.microsoft.com/office/drawing/2014/main" id="{1ECBC775-924E-4DBA-B751-56384CC80B54}"/>
            </a:ext>
          </a:extLst>
        </xdr:cNvPr>
        <xdr:cNvPicPr>
          <a:picLocks noChangeAspect="1"/>
        </xdr:cNvPicPr>
      </xdr:nvPicPr>
      <xdr:blipFill>
        <a:blip xmlns:r="http://schemas.openxmlformats.org/officeDocument/2006/relationships" r:embed="rId7"/>
        <a:stretch>
          <a:fillRect/>
        </a:stretch>
      </xdr:blipFill>
      <xdr:spPr>
        <a:xfrm>
          <a:off x="7863841" y="63333705"/>
          <a:ext cx="5517358" cy="701710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xdr:colOff>
          <xdr:row>12</xdr:row>
          <xdr:rowOff>53340</xdr:rowOff>
        </xdr:from>
        <xdr:to>
          <xdr:col>4</xdr:col>
          <xdr:colOff>342900</xdr:colOff>
          <xdr:row>12</xdr:row>
          <xdr:rowOff>259080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13</xdr:row>
          <xdr:rowOff>53340</xdr:rowOff>
        </xdr:from>
        <xdr:to>
          <xdr:col>4</xdr:col>
          <xdr:colOff>335280</xdr:colOff>
          <xdr:row>13</xdr:row>
          <xdr:rowOff>281940</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8</xdr:row>
          <xdr:rowOff>15240</xdr:rowOff>
        </xdr:from>
        <xdr:to>
          <xdr:col>4</xdr:col>
          <xdr:colOff>342900</xdr:colOff>
          <xdr:row>8</xdr:row>
          <xdr:rowOff>213360</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10</xdr:row>
          <xdr:rowOff>68580</xdr:rowOff>
        </xdr:from>
        <xdr:to>
          <xdr:col>4</xdr:col>
          <xdr:colOff>342900</xdr:colOff>
          <xdr:row>10</xdr:row>
          <xdr:rowOff>281940</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11</xdr:row>
          <xdr:rowOff>53340</xdr:rowOff>
        </xdr:from>
        <xdr:to>
          <xdr:col>4</xdr:col>
          <xdr:colOff>335280</xdr:colOff>
          <xdr:row>11</xdr:row>
          <xdr:rowOff>281940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381000</xdr:colOff>
          <xdr:row>17</xdr:row>
          <xdr:rowOff>0</xdr:rowOff>
        </xdr:from>
        <xdr:to>
          <xdr:col>3</xdr:col>
          <xdr:colOff>662940</xdr:colOff>
          <xdr:row>17</xdr:row>
          <xdr:rowOff>213360</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18</xdr:row>
          <xdr:rowOff>22860</xdr:rowOff>
        </xdr:from>
        <xdr:to>
          <xdr:col>5</xdr:col>
          <xdr:colOff>15240</xdr:colOff>
          <xdr:row>18</xdr:row>
          <xdr:rowOff>243840</xdr:rowOff>
        </xdr:to>
        <xdr:sp macro="" textlink="">
          <xdr:nvSpPr>
            <xdr:cNvPr id="4103" name="Check Box 7" hidden="1">
              <a:extLst>
                <a:ext uri="{63B3BB69-23CF-44E3-9099-C40C66FF867C}">
                  <a14:compatExt spid="_x0000_s410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19</xdr:row>
          <xdr:rowOff>0</xdr:rowOff>
        </xdr:from>
        <xdr:to>
          <xdr:col>5</xdr:col>
          <xdr:colOff>0</xdr:colOff>
          <xdr:row>19</xdr:row>
          <xdr:rowOff>213360</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365760</xdr:colOff>
          <xdr:row>5</xdr:row>
          <xdr:rowOff>0</xdr:rowOff>
        </xdr:from>
        <xdr:to>
          <xdr:col>3</xdr:col>
          <xdr:colOff>640080</xdr:colOff>
          <xdr:row>5</xdr:row>
          <xdr:rowOff>213360</xdr:rowOff>
        </xdr:to>
        <xdr:sp macro="" textlink="">
          <xdr:nvSpPr>
            <xdr:cNvPr id="4105" name="Check Box 9" hidden="1">
              <a:extLst>
                <a:ext uri="{63B3BB69-23CF-44E3-9099-C40C66FF867C}">
                  <a14:compatExt spid="_x0000_s410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358140</xdr:colOff>
          <xdr:row>7</xdr:row>
          <xdr:rowOff>15240</xdr:rowOff>
        </xdr:from>
        <xdr:to>
          <xdr:col>3</xdr:col>
          <xdr:colOff>632460</xdr:colOff>
          <xdr:row>7</xdr:row>
          <xdr:rowOff>220980</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365760</xdr:colOff>
          <xdr:row>5</xdr:row>
          <xdr:rowOff>220980</xdr:rowOff>
        </xdr:from>
        <xdr:to>
          <xdr:col>3</xdr:col>
          <xdr:colOff>640080</xdr:colOff>
          <xdr:row>6</xdr:row>
          <xdr:rowOff>205740</xdr:rowOff>
        </xdr:to>
        <xdr:sp macro="" textlink="">
          <xdr:nvSpPr>
            <xdr:cNvPr id="4107" name="Check Box 11" hidden="1">
              <a:extLst>
                <a:ext uri="{63B3BB69-23CF-44E3-9099-C40C66FF867C}">
                  <a14:compatExt spid="_x0000_s410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14</xdr:row>
          <xdr:rowOff>53340</xdr:rowOff>
        </xdr:from>
        <xdr:to>
          <xdr:col>4</xdr:col>
          <xdr:colOff>342900</xdr:colOff>
          <xdr:row>14</xdr:row>
          <xdr:rowOff>243840</xdr:rowOff>
        </xdr:to>
        <xdr:sp macro="" textlink="">
          <xdr:nvSpPr>
            <xdr:cNvPr id="4108" name="Check Box 12" hidden="1">
              <a:extLst>
                <a:ext uri="{63B3BB69-23CF-44E3-9099-C40C66FF867C}">
                  <a14:compatExt spid="_x0000_s410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15</xdr:row>
          <xdr:rowOff>0</xdr:rowOff>
        </xdr:from>
        <xdr:to>
          <xdr:col>4</xdr:col>
          <xdr:colOff>342900</xdr:colOff>
          <xdr:row>15</xdr:row>
          <xdr:rowOff>213360</xdr:rowOff>
        </xdr:to>
        <xdr:sp macro="" textlink="">
          <xdr:nvSpPr>
            <xdr:cNvPr id="4109" name="Check Box 13" hidden="1">
              <a:extLst>
                <a:ext uri="{63B3BB69-23CF-44E3-9099-C40C66FF867C}">
                  <a14:compatExt spid="_x0000_s410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16</xdr:row>
          <xdr:rowOff>38100</xdr:rowOff>
        </xdr:from>
        <xdr:to>
          <xdr:col>4</xdr:col>
          <xdr:colOff>342900</xdr:colOff>
          <xdr:row>16</xdr:row>
          <xdr:rowOff>243840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9</xdr:row>
          <xdr:rowOff>38100</xdr:rowOff>
        </xdr:from>
        <xdr:to>
          <xdr:col>4</xdr:col>
          <xdr:colOff>342900</xdr:colOff>
          <xdr:row>9</xdr:row>
          <xdr:rowOff>251460</xdr:rowOff>
        </xdr:to>
        <xdr:sp macro="" textlink="">
          <xdr:nvSpPr>
            <xdr:cNvPr id="4111" name="Check Box 15" hidden="1">
              <a:extLst>
                <a:ext uri="{63B3BB69-23CF-44E3-9099-C40C66FF867C}">
                  <a14:compatExt spid="_x0000_s411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xdr:colOff>
          <xdr:row>12</xdr:row>
          <xdr:rowOff>53340</xdr:rowOff>
        </xdr:from>
        <xdr:to>
          <xdr:col>5</xdr:col>
          <xdr:colOff>0</xdr:colOff>
          <xdr:row>12</xdr:row>
          <xdr:rowOff>251460</xdr:rowOff>
        </xdr:to>
        <xdr:sp macro="" textlink="">
          <xdr:nvSpPr>
            <xdr:cNvPr id="5121" name="Check Box 1" hidden="1">
              <a:extLst>
                <a:ext uri="{63B3BB69-23CF-44E3-9099-C40C66FF867C}">
                  <a14:compatExt spid="_x0000_s512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13</xdr:row>
          <xdr:rowOff>38100</xdr:rowOff>
        </xdr:from>
        <xdr:to>
          <xdr:col>5</xdr:col>
          <xdr:colOff>0</xdr:colOff>
          <xdr:row>13</xdr:row>
          <xdr:rowOff>266700</xdr:rowOff>
        </xdr:to>
        <xdr:sp macro="" textlink="">
          <xdr:nvSpPr>
            <xdr:cNvPr id="5122" name="Check Box 2" hidden="1">
              <a:extLst>
                <a:ext uri="{63B3BB69-23CF-44E3-9099-C40C66FF867C}">
                  <a14:compatExt spid="_x0000_s51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8</xdr:row>
          <xdr:rowOff>22860</xdr:rowOff>
        </xdr:from>
        <xdr:to>
          <xdr:col>5</xdr:col>
          <xdr:colOff>0</xdr:colOff>
          <xdr:row>8</xdr:row>
          <xdr:rowOff>243840</xdr:rowOff>
        </xdr:to>
        <xdr:sp macro="" textlink="">
          <xdr:nvSpPr>
            <xdr:cNvPr id="5123" name="Check Box 3" hidden="1">
              <a:extLst>
                <a:ext uri="{63B3BB69-23CF-44E3-9099-C40C66FF867C}">
                  <a14:compatExt spid="_x0000_s512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10</xdr:row>
          <xdr:rowOff>68580</xdr:rowOff>
        </xdr:from>
        <xdr:to>
          <xdr:col>5</xdr:col>
          <xdr:colOff>0</xdr:colOff>
          <xdr:row>10</xdr:row>
          <xdr:rowOff>281940</xdr:rowOff>
        </xdr:to>
        <xdr:sp macro="" textlink="">
          <xdr:nvSpPr>
            <xdr:cNvPr id="5124" name="Check Box 4" hidden="1">
              <a:extLst>
                <a:ext uri="{63B3BB69-23CF-44E3-9099-C40C66FF867C}">
                  <a14:compatExt spid="_x0000_s51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11</xdr:row>
          <xdr:rowOff>53340</xdr:rowOff>
        </xdr:from>
        <xdr:to>
          <xdr:col>4</xdr:col>
          <xdr:colOff>342900</xdr:colOff>
          <xdr:row>11</xdr:row>
          <xdr:rowOff>281940</xdr:rowOff>
        </xdr:to>
        <xdr:sp macro="" textlink="">
          <xdr:nvSpPr>
            <xdr:cNvPr id="5125" name="Check Box 5" hidden="1">
              <a:extLst>
                <a:ext uri="{63B3BB69-23CF-44E3-9099-C40C66FF867C}">
                  <a14:compatExt spid="_x0000_s51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20</xdr:row>
          <xdr:rowOff>0</xdr:rowOff>
        </xdr:from>
        <xdr:to>
          <xdr:col>3</xdr:col>
          <xdr:colOff>670560</xdr:colOff>
          <xdr:row>21</xdr:row>
          <xdr:rowOff>22860</xdr:rowOff>
        </xdr:to>
        <xdr:sp macro="" textlink="">
          <xdr:nvSpPr>
            <xdr:cNvPr id="5126" name="Check Box 6" hidden="1">
              <a:extLst>
                <a:ext uri="{63B3BB69-23CF-44E3-9099-C40C66FF867C}">
                  <a14:compatExt spid="_x0000_s512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21</xdr:row>
          <xdr:rowOff>22860</xdr:rowOff>
        </xdr:from>
        <xdr:to>
          <xdr:col>5</xdr:col>
          <xdr:colOff>15240</xdr:colOff>
          <xdr:row>22</xdr:row>
          <xdr:rowOff>0</xdr:rowOff>
        </xdr:to>
        <xdr:sp macro="" textlink="">
          <xdr:nvSpPr>
            <xdr:cNvPr id="5127" name="Check Box 7" hidden="1">
              <a:extLst>
                <a:ext uri="{63B3BB69-23CF-44E3-9099-C40C66FF867C}">
                  <a14:compatExt spid="_x0000_s512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22</xdr:row>
          <xdr:rowOff>0</xdr:rowOff>
        </xdr:from>
        <xdr:to>
          <xdr:col>5</xdr:col>
          <xdr:colOff>0</xdr:colOff>
          <xdr:row>22</xdr:row>
          <xdr:rowOff>213360</xdr:rowOff>
        </xdr:to>
        <xdr:sp macro="" textlink="">
          <xdr:nvSpPr>
            <xdr:cNvPr id="5128" name="Check Box 8" hidden="1">
              <a:extLst>
                <a:ext uri="{63B3BB69-23CF-44E3-9099-C40C66FF867C}">
                  <a14:compatExt spid="_x0000_s512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373380</xdr:colOff>
          <xdr:row>5</xdr:row>
          <xdr:rowOff>0</xdr:rowOff>
        </xdr:from>
        <xdr:to>
          <xdr:col>3</xdr:col>
          <xdr:colOff>662940</xdr:colOff>
          <xdr:row>5</xdr:row>
          <xdr:rowOff>213360</xdr:rowOff>
        </xdr:to>
        <xdr:sp macro="" textlink="">
          <xdr:nvSpPr>
            <xdr:cNvPr id="5129" name="Check Box 9" hidden="1">
              <a:extLst>
                <a:ext uri="{63B3BB69-23CF-44E3-9099-C40C66FF867C}">
                  <a14:compatExt spid="_x0000_s512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365760</xdr:colOff>
          <xdr:row>7</xdr:row>
          <xdr:rowOff>15240</xdr:rowOff>
        </xdr:from>
        <xdr:to>
          <xdr:col>3</xdr:col>
          <xdr:colOff>640080</xdr:colOff>
          <xdr:row>7</xdr:row>
          <xdr:rowOff>220980</xdr:rowOff>
        </xdr:to>
        <xdr:sp macro="" textlink="">
          <xdr:nvSpPr>
            <xdr:cNvPr id="5130" name="Check Box 10" hidden="1">
              <a:extLst>
                <a:ext uri="{63B3BB69-23CF-44E3-9099-C40C66FF867C}">
                  <a14:compatExt spid="_x0000_s51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373380</xdr:colOff>
          <xdr:row>5</xdr:row>
          <xdr:rowOff>220980</xdr:rowOff>
        </xdr:from>
        <xdr:to>
          <xdr:col>3</xdr:col>
          <xdr:colOff>662940</xdr:colOff>
          <xdr:row>6</xdr:row>
          <xdr:rowOff>205740</xdr:rowOff>
        </xdr:to>
        <xdr:sp macro="" textlink="">
          <xdr:nvSpPr>
            <xdr:cNvPr id="5131" name="Check Box 11" hidden="1">
              <a:extLst>
                <a:ext uri="{63B3BB69-23CF-44E3-9099-C40C66FF867C}">
                  <a14:compatExt spid="_x0000_s51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14</xdr:row>
          <xdr:rowOff>297180</xdr:rowOff>
        </xdr:from>
        <xdr:to>
          <xdr:col>5</xdr:col>
          <xdr:colOff>0</xdr:colOff>
          <xdr:row>16</xdr:row>
          <xdr:rowOff>15240</xdr:rowOff>
        </xdr:to>
        <xdr:sp macro="" textlink="">
          <xdr:nvSpPr>
            <xdr:cNvPr id="5132" name="Check Box 12" hidden="1">
              <a:extLst>
                <a:ext uri="{63B3BB69-23CF-44E3-9099-C40C66FF867C}">
                  <a14:compatExt spid="_x0000_s51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16</xdr:row>
          <xdr:rowOff>0</xdr:rowOff>
        </xdr:from>
        <xdr:to>
          <xdr:col>5</xdr:col>
          <xdr:colOff>0</xdr:colOff>
          <xdr:row>16</xdr:row>
          <xdr:rowOff>213360</xdr:rowOff>
        </xdr:to>
        <xdr:sp macro="" textlink="">
          <xdr:nvSpPr>
            <xdr:cNvPr id="5133" name="Check Box 13" hidden="1">
              <a:extLst>
                <a:ext uri="{63B3BB69-23CF-44E3-9099-C40C66FF867C}">
                  <a14:compatExt spid="_x0000_s51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16</xdr:row>
          <xdr:rowOff>213360</xdr:rowOff>
        </xdr:from>
        <xdr:to>
          <xdr:col>4</xdr:col>
          <xdr:colOff>335280</xdr:colOff>
          <xdr:row>18</xdr:row>
          <xdr:rowOff>15240</xdr:rowOff>
        </xdr:to>
        <xdr:sp macro="" textlink="">
          <xdr:nvSpPr>
            <xdr:cNvPr id="5134" name="Check Box 14" hidden="1">
              <a:extLst>
                <a:ext uri="{63B3BB69-23CF-44E3-9099-C40C66FF867C}">
                  <a14:compatExt spid="_x0000_s51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9</xdr:row>
          <xdr:rowOff>38100</xdr:rowOff>
        </xdr:from>
        <xdr:to>
          <xdr:col>5</xdr:col>
          <xdr:colOff>0</xdr:colOff>
          <xdr:row>9</xdr:row>
          <xdr:rowOff>251460</xdr:rowOff>
        </xdr:to>
        <xdr:sp macro="" textlink="">
          <xdr:nvSpPr>
            <xdr:cNvPr id="5135" name="Check Box 15" hidden="1">
              <a:extLst>
                <a:ext uri="{63B3BB69-23CF-44E3-9099-C40C66FF867C}">
                  <a14:compatExt spid="_x0000_s51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22</xdr:row>
          <xdr:rowOff>213360</xdr:rowOff>
        </xdr:from>
        <xdr:to>
          <xdr:col>5</xdr:col>
          <xdr:colOff>15240</xdr:colOff>
          <xdr:row>24</xdr:row>
          <xdr:rowOff>15240</xdr:rowOff>
        </xdr:to>
        <xdr:sp macro="" textlink="">
          <xdr:nvSpPr>
            <xdr:cNvPr id="5136" name="Check Box 16" hidden="1">
              <a:extLst>
                <a:ext uri="{63B3BB69-23CF-44E3-9099-C40C66FF867C}">
                  <a14:compatExt spid="_x0000_s51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24</xdr:row>
          <xdr:rowOff>15240</xdr:rowOff>
        </xdr:from>
        <xdr:to>
          <xdr:col>5</xdr:col>
          <xdr:colOff>0</xdr:colOff>
          <xdr:row>24</xdr:row>
          <xdr:rowOff>220980</xdr:rowOff>
        </xdr:to>
        <xdr:sp macro="" textlink="">
          <xdr:nvSpPr>
            <xdr:cNvPr id="5137" name="Check Box 17" hidden="1">
              <a:extLst>
                <a:ext uri="{63B3BB69-23CF-44E3-9099-C40C66FF867C}">
                  <a14:compatExt spid="_x0000_s51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24</xdr:row>
          <xdr:rowOff>213360</xdr:rowOff>
        </xdr:from>
        <xdr:to>
          <xdr:col>3</xdr:col>
          <xdr:colOff>670560</xdr:colOff>
          <xdr:row>26</xdr:row>
          <xdr:rowOff>15240</xdr:rowOff>
        </xdr:to>
        <xdr:sp macro="" textlink="">
          <xdr:nvSpPr>
            <xdr:cNvPr id="5138" name="Check Box 18" hidden="1">
              <a:extLst>
                <a:ext uri="{63B3BB69-23CF-44E3-9099-C40C66FF867C}">
                  <a14:compatExt spid="_x0000_s51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25</xdr:row>
          <xdr:rowOff>220980</xdr:rowOff>
        </xdr:from>
        <xdr:to>
          <xdr:col>3</xdr:col>
          <xdr:colOff>670560</xdr:colOff>
          <xdr:row>27</xdr:row>
          <xdr:rowOff>15240</xdr:rowOff>
        </xdr:to>
        <xdr:sp macro="" textlink="">
          <xdr:nvSpPr>
            <xdr:cNvPr id="5139" name="Check Box 19" hidden="1">
              <a:extLst>
                <a:ext uri="{63B3BB69-23CF-44E3-9099-C40C66FF867C}">
                  <a14:compatExt spid="_x0000_s51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xdr:twoCellAnchor editAs="oneCell">
    <xdr:from>
      <xdr:col>14</xdr:col>
      <xdr:colOff>0</xdr:colOff>
      <xdr:row>3</xdr:row>
      <xdr:rowOff>0</xdr:rowOff>
    </xdr:from>
    <xdr:to>
      <xdr:col>22</xdr:col>
      <xdr:colOff>549117</xdr:colOff>
      <xdr:row>30</xdr:row>
      <xdr:rowOff>114900</xdr:rowOff>
    </xdr:to>
    <xdr:pic>
      <xdr:nvPicPr>
        <xdr:cNvPr id="21" name="图片 20">
          <a:extLst>
            <a:ext uri="{FF2B5EF4-FFF2-40B4-BE49-F238E27FC236}">
              <a16:creationId xmlns="" xmlns:a16="http://schemas.microsoft.com/office/drawing/2014/main" id="{00000000-0008-0000-0100-000015000000}"/>
            </a:ext>
          </a:extLst>
        </xdr:cNvPr>
        <xdr:cNvPicPr>
          <a:picLocks noChangeAspect="1"/>
        </xdr:cNvPicPr>
      </xdr:nvPicPr>
      <xdr:blipFill>
        <a:blip xmlns:r="http://schemas.openxmlformats.org/officeDocument/2006/relationships" r:embed="rId1"/>
        <a:stretch>
          <a:fillRect/>
        </a:stretch>
      </xdr:blipFill>
      <xdr:spPr>
        <a:xfrm>
          <a:off x="9974580" y="601980"/>
          <a:ext cx="5502117" cy="6919560"/>
        </a:xfrm>
        <a:prstGeom prst="rect">
          <a:avLst/>
        </a:prstGeom>
        <a:ln>
          <a:solidFill>
            <a:schemeClr val="accent1"/>
          </a:solidFill>
        </a:ln>
      </xdr:spPr>
    </xdr:pic>
    <xdr:clientData/>
  </xdr:twoCellAnchor>
  <mc:AlternateContent xmlns:mc="http://schemas.openxmlformats.org/markup-compatibility/2006">
    <mc:Choice xmlns:a14="http://schemas.microsoft.com/office/drawing/2010/main" Requires="a14">
      <xdr:twoCellAnchor editAs="oneCell">
        <xdr:from>
          <xdr:col>5</xdr:col>
          <xdr:colOff>152400</xdr:colOff>
          <xdr:row>27</xdr:row>
          <xdr:rowOff>281940</xdr:rowOff>
        </xdr:from>
        <xdr:to>
          <xdr:col>5</xdr:col>
          <xdr:colOff>434340</xdr:colOff>
          <xdr:row>29</xdr:row>
          <xdr:rowOff>15240</xdr:rowOff>
        </xdr:to>
        <xdr:sp macro="" textlink="">
          <xdr:nvSpPr>
            <xdr:cNvPr id="5140" name="Check Box 20" hidden="1">
              <a:extLst>
                <a:ext uri="{63B3BB69-23CF-44E3-9099-C40C66FF867C}">
                  <a14:compatExt spid="_x0000_s51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29</xdr:row>
          <xdr:rowOff>220980</xdr:rowOff>
        </xdr:from>
        <xdr:to>
          <xdr:col>3</xdr:col>
          <xdr:colOff>670560</xdr:colOff>
          <xdr:row>31</xdr:row>
          <xdr:rowOff>15240</xdr:rowOff>
        </xdr:to>
        <xdr:sp macro="" textlink="">
          <xdr:nvSpPr>
            <xdr:cNvPr id="5141" name="Check Box 21" hidden="1">
              <a:extLst>
                <a:ext uri="{63B3BB69-23CF-44E3-9099-C40C66FF867C}">
                  <a14:compatExt spid="_x0000_s514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 </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nyunyun/Desktop/&#26446;&#2820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635;&#34920;&#35268;&#33539;&#27169;&#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24464;&#20806;&#19996;\&#21021;&#35774;\&#40644;&#28006;&#27743;&#24178;&#27969;&#26032;&#22686;&#38450;&#27946;&#24037;&#31243;A2&#26631;\&#27700;&#21033;&#22522;&#30784;&#21333;&#20215;&#65288;A2&#21021;&#3577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xqm\&#21335;&#24066;&#27700;&#21378;\&#21335;&#24066;&#24037;&#21487;&#35843;&#25972;2000.11\2&#21487;&#30740;\SUPPLY-98-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2002file\&#30707;&#27934;&#21475;&#26631;&#20070;&#35745;&#3163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INDOWS/TEMP/SUPPLY-2.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Library" Target="ANALYSIS/REGRESS.XLA"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1\Desktop\&#30720;&#23665;&#21439;&#22478;&#20065;&#20379;&#27700;&#19968;&#20307;&#21270;&#24037;&#31243;&#27010;&#31639;-&#35774;&#22791;&#26448;&#26009;&#34920;&#27719;&#24635;\ANALYSIS\REGRESS.XLA"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35745;&#31639;&#24213;&#31295;/&#27010;&#31639;/2011/&#21414;&#38376;&#29615;&#23707;&#27745;&#27700;&#25130;&#27969;&#19968;&#26399;/&#21021;&#35774;--&#36991;&#39118;&#22366;/&#37325;&#24198;&#27745;&#27877;&#24178;&#21270;/&#27010;&#31639;&#34920;/lixia/&#28023;&#27850;&#27827;/DOCUME~1/yuan_h.gys/LOCALS~1/Temp/user2005year/&#26477;&#24030;&#24066;&#22235;&#22561;&#21378;&#21453;&#21521;&#36755;&#36865;&#24037;&#31243;&#27010;&#31639;08/&#36755;&#36865;&#27893;&#25151;&#22303;&#24314;.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2006year\&#26477;&#24030;&#22235;&#22561;&#27745;&#27700;&#21453;&#21521;&#36755;&#36865;&#24037;&#31243;0603\&#36755;&#36865;&#27893;&#25151;&#22303;&#2431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yh\work\2008\&#37325;&#24198;&#27745;&#27700;&#24037;&#21487;\&#31119;&#27704;&#36130;&#21153;&#35780;&#20215;.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2&#21487;&#30740;\&#24191;&#20013;&#36335;&#27893;&#31449;\1&#39044;&#21487;&#30740;\WINDOWS\TEMP\SUPPLY-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ynologyDrive/03%20&#25237;&#26631;&#39033;&#30446;/20231121%20&#28595;&#38376;&#20154;&#24037;&#23707;&#27745;&#27700;&#21378;/01_&#20114;&#25552;&#36164;&#26009;/01%20&#25216;&#32463;&#26469;&#24448;/20240105%20&#26262;&#20132;&#25216;&#32463;&#65288;&#28595;&#38376;&#20154;&#24037;&#23707;&#27745;&#27700;&#21378;&#65289;.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Z:\Users\cch9428\AppData\Roaming\Microsoft\Excel\&#35745;&#31639;&#2007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lxh4\93AZ.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2015year/2015&#24180;&#21021;&#27493;&#35774;&#35745;/&#37329;&#21326;&#31179;&#28392;&#27745;&#27700;&#22788;&#29702;&#21378;&#19977;&#26399;&#24037;&#31243;&#65288;&#21021;&#35774;&#65289;/&#25104;&#21697;&#25991;&#20214;&#22841;/&#34425;&#26725;/My%20Documents/&#21326;&#38738;&#36335;&#39030;&#31649;&#20117;.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WINDOWS\TEMP\SUPPLY-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xqm/&#21335;&#24066;&#27700;&#21378;/&#21335;&#24066;&#24037;&#21487;&#35843;&#25972;2000.11/2&#21487;&#30740;/SUPPLY-98-1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Z:\01&#21150;&#20844;\04&#26262;&#36890;\M&#35745;&#31639;&#20070;\&#26045;&#24037;&#22270;&#35745;&#31639;-0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02_&#35774;&#35745;&#39033;&#30446;/20190505&#23425;&#27874;&#25991;&#21019;&#28207;/03_&#35774;&#35745;&#25991;&#20214;/04&#26262;&#21160;/M&#35745;&#31639;&#20070;/05_INDIGO/&#23425;&#27874;&#25991;&#21019;&#28207;&#19968;&#26399;&#26045;&#24037;&#22270;&#35745;&#31639;&#20070;&#65288;INDIGO&#65289;.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22791;&#20221;\&#22791;&#20221;1\&#25307;&#25237;&#26631;\&#21494;&#27053;&#22616;&#27700;&#38392;&#25237;&#26631;\&#27700;&#21033;&#22522;&#30784;&#21333;&#20215;&#65288;&#21494;&#27053;&#22616;&#65289;.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02_&#35774;&#35745;&#39033;&#30446;/20190314&#21326;&#24072;&#22823;&#20108;&#38468;&#20013;/03_&#35774;&#35745;&#25991;&#20214;/04_&#35745;&#31639;&#25991;&#20214;/&#21326;&#20108;&#25193;&#21021;&#35745;&#31639;&#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表"/>
      <sheetName val="李港"/>
    </sheetNames>
    <definedNames>
      <definedName name="_____q2"/>
      <definedName name="_____xx3"/>
    </defined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湖南省工程总表"/>
      <sheetName val="湖南省其他费用表"/>
      <sheetName val="湖南省其他费用底稿"/>
      <sheetName val="江苏省工程总表 "/>
      <sheetName val="江苏省其他费用表"/>
      <sheetName val="江苏省其他费用底稿"/>
      <sheetName val="江苏省建设工程造价咨询服务费取费方法2014"/>
      <sheetName val="江苏省建设工程造价咨询服务费取费方法（苏建价协2022(7)号"/>
      <sheetName val="江苏省工程总表123"/>
      <sheetName val="辽宁省工程造价咨询服务费(辽价发(2013)005号文)"/>
      <sheetName val="浙江省工程总表"/>
      <sheetName val="浙江省其他费用表"/>
      <sheetName val="浙江省其他费用底稿"/>
      <sheetName val="浙江概算汇总表（含工程建设其他费细项）"/>
      <sheetName val="浙江省实例总表"/>
      <sheetName val="浙江省部分文件"/>
      <sheetName val="安徽省工程总表"/>
      <sheetName val="安徽省其他费用表"/>
      <sheetName val="安徽省其他费用底稿"/>
      <sheetName val="安徽省城市基础设施配套费"/>
      <sheetName val="Sheet4"/>
      <sheetName val="安徽省建设工程造价咨询服务费(皖价服2007(86号文))"/>
      <sheetName val="安徽概算汇总表（含工程建设其他费细项）"/>
      <sheetName val="安徽省工程总表123"/>
      <sheetName val="安徽省征地区片综合地价标准2024"/>
      <sheetName val="江西省工程总表"/>
      <sheetName val="江西省其他费用表"/>
      <sheetName val="江西省其他费用底稿"/>
      <sheetName val="Sheet1"/>
      <sheetName val="Sheet2"/>
      <sheetName val="Sheet3"/>
      <sheetName val="广西工程总表"/>
      <sheetName val="广西其他费用表"/>
      <sheetName val="广西其他费用底稿"/>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材料单价"/>
      <sheetName val="打印材料"/>
      <sheetName val="砼级配"/>
      <sheetName val="机械"/>
      <sheetName val="机械挖土"/>
      <sheetName val="汽车运土"/>
      <sheetName val="挖淤泥"/>
      <sheetName val="回填土(筑坝）"/>
      <sheetName val="回填土"/>
      <sheetName val="节制闸混凝土"/>
      <sheetName val="素砼垫层"/>
      <sheetName val="碎石垫层1"/>
      <sheetName val="土工布"/>
      <sheetName val="浆砌块石护底"/>
      <sheetName val="灌砌块石护底 "/>
      <sheetName val="灌砌块石护坡"/>
      <sheetName val="素砼格梗"/>
      <sheetName val="防冲槽抛石"/>
      <sheetName val="抛石每增运1KM"/>
      <sheetName val="碎石排水棱体"/>
      <sheetName val="钢筋"/>
      <sheetName val="无纺布铺设"/>
      <sheetName val="机械压实回填"/>
      <sheetName val="三渣垫层 "/>
      <sheetName val="砼运输"/>
      <sheetName val="c25扶垛式挡土墙"/>
      <sheetName val="c25水闸底板"/>
      <sheetName val="c30水闸底板"/>
      <sheetName val="c25胸墙"/>
      <sheetName val="c25直墙"/>
      <sheetName val="c30直墙"/>
      <sheetName val="c25水闸底板2"/>
      <sheetName val="c25护坦"/>
      <sheetName val="c25悬臂式挡土墙墙"/>
      <sheetName val="混凝土预制桩 &lt;=10米"/>
      <sheetName val="混凝土预制桩&gt;10米"/>
      <sheetName val="打预制桩"/>
      <sheetName val="灌注砼"/>
      <sheetName val="船闸混凝土"/>
      <sheetName val="土围堰填筑"/>
      <sheetName val="土围堰拆除"/>
      <sheetName val="伸缩缝"/>
      <sheetName val="橡胶护弦"/>
      <sheetName val="橡胶伸缩缝 "/>
      <sheetName val="PVC排水管"/>
      <sheetName val="草土围堰填筑"/>
      <sheetName val="草土围堰拆除"/>
      <sheetName val="钢板桩围堰"/>
      <sheetName val="钢板桩围堰 (堰高加1米)"/>
      <sheetName val="钢板桩围堰 (桩入土加1米) "/>
      <sheetName val="浆砌块石护坡"/>
      <sheetName val="c20混凝土护脚"/>
      <sheetName val="c25混凝土护脚 "/>
      <sheetName val="浆砌块石挡墙"/>
      <sheetName val="砂砾石基层(15)"/>
      <sheetName val="砂砾石基层(20)"/>
      <sheetName val="混凝土路面(20)"/>
      <sheetName val="混凝土路面(15)"/>
      <sheetName val="沥青路面5"/>
      <sheetName val="沥青路面4"/>
      <sheetName val="沥青碎石"/>
      <sheetName val="泥结碎石路面"/>
      <sheetName val="拆除浆砌块石"/>
      <sheetName val="拆除砖结构"/>
      <sheetName val="拆除钢砼结构"/>
      <sheetName val="c30桥面铺装层"/>
      <sheetName val="预制空心板"/>
      <sheetName val="闸墩"/>
      <sheetName val="桥墩"/>
      <sheetName val="楼梯"/>
      <sheetName val="公路桥"/>
      <sheetName val="工作桥"/>
      <sheetName val="安装定额"/>
      <sheetName val="A1型"/>
      <sheetName val="A2型"/>
      <sheetName val="A3型 "/>
      <sheetName val="A4型 "/>
      <sheetName val="A5型 "/>
      <sheetName val="A6型 "/>
      <sheetName val="A7型 "/>
      <sheetName val="H1型"/>
      <sheetName val="H2型 "/>
      <sheetName val="H3型"/>
      <sheetName val="H4型 "/>
      <sheetName val="A型"/>
      <sheetName val="防汛通道"/>
      <sheetName val="建筑概算(黄浦江)"/>
      <sheetName val="建筑概算(春申塘) "/>
      <sheetName val="建筑概算(六磊塘)"/>
      <sheetName val="建筑概算(俞塘)"/>
      <sheetName val="建筑概算(北横泾) "/>
      <sheetName val="建筑概算(北竹港)"/>
      <sheetName val="建筑概算(北沙港)"/>
      <sheetName val="建筑概算(淀浦河)"/>
      <sheetName val="泵闸(华泾港)1"/>
      <sheetName val="泵闸(工农河)2"/>
      <sheetName val="泵闸(铁路河)3"/>
      <sheetName val="节制闸(六磊塘)4"/>
      <sheetName val="节制闸(俞塘)5"/>
      <sheetName val="节制闸(北横泾)6"/>
      <sheetName val="泵涵闸(和尚浜)7 "/>
      <sheetName val="套闸(北沙港)8"/>
      <sheetName val="节制闸(北竹港)9"/>
      <sheetName val="泵涵闸(华泾浜)10"/>
      <sheetName val="节制闸(塘泗泾) 11"/>
      <sheetName val="节制闸(曹家港)12"/>
      <sheetName val="加高加固(梅陇港)"/>
      <sheetName val="加高加固(横沥港南)"/>
      <sheetName val="加高加固(横沥港北)"/>
      <sheetName val="加高加固(新泾港)"/>
      <sheetName val="加高加固(淀浦河东)"/>
      <sheetName val="机电设备 (2)"/>
      <sheetName val="机电设备"/>
      <sheetName val="金属结构"/>
      <sheetName val="金属结构 (2)"/>
      <sheetName val="总概算 "/>
      <sheetName val="临时工程"/>
      <sheetName val="其他费用"/>
      <sheetName val="材料用量"/>
      <sheetName val="设备费"/>
      <sheetName val="设计费"/>
      <sheetName val="主要工程数量及"/>
      <sheetName val="Sheet1"/>
      <sheetName val="征租地"/>
      <sheetName val="材料"/>
      <sheetName val="设计费 (2)"/>
      <sheetName val="总表"/>
      <sheetName val="XLR_NoRangeSheet"/>
      <sheetName val="概算总表"/>
      <sheetName val="不许动（隐藏）"/>
      <sheetName val="二沉池sb "/>
      <sheetName val="污泥处理组合池管配件"/>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招标"/>
      <sheetName val="水保（水土保持方案编制）"/>
      <sheetName val="水保（水土保持施工期监测费）"/>
      <sheetName val="预算编制费"/>
      <sheetName val="sis.xlm"/>
      <sheetName val="C"/>
      <sheetName val="污泥处理计算"/>
      <sheetName val="水厂平面土建底稿"/>
      <sheetName val="深度处理"/>
      <sheetName val="财务计划现金流量表"/>
      <sheetName val="设备及安装工程估算表"/>
      <sheetName val="除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 sheetId="128" refreshError="1"/>
      <sheetData sheetId="129" refreshError="1"/>
      <sheetData sheetId="130" refreshError="1"/>
      <sheetData sheetId="13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XLR_NoRangeSheet"/>
      <sheetName val="总表"/>
      <sheetName val="取水泵房土建"/>
      <sheetName val="材料单价"/>
      <sheetName val="Macro2"/>
    </sheetNames>
    <sheetDataSet>
      <sheetData sheetId="0" refreshError="1">
        <row r="1">
          <cell r="B1" t="str">
            <v>exit</v>
          </cell>
          <cell r="H1" t="str">
            <v>quit</v>
          </cell>
        </row>
        <row r="15">
          <cell r="E15" t="e">
            <v>#VALUE!</v>
          </cell>
        </row>
        <row r="16">
          <cell r="E16" t="b">
            <v>1</v>
          </cell>
        </row>
      </sheetData>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细格栅"/>
      <sheetName val="配水渠道"/>
      <sheetName val="出水泵房"/>
      <sheetName val="电缆隧道"/>
      <sheetName val="电缆隧道（总量）"/>
      <sheetName val="电缆沟"/>
      <sheetName val="电缆沟（总量）"/>
      <sheetName val="风道"/>
      <sheetName val="风道（总量）"/>
      <sheetName val="sheet1"/>
      <sheetName val="sis.xlm"/>
      <sheetName val="材料单价"/>
      <sheetName val="C"/>
      <sheetName val="REGRESS"/>
      <sheetName val="附表6"/>
      <sheetName val="#REF!"/>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费"/>
      <sheetName val="设计招标"/>
      <sheetName val="水保（水土保持方案编制）"/>
      <sheetName val="水保（水土保持施工期监测费）"/>
      <sheetName val="预算编制费"/>
      <sheetName val="总表"/>
      <sheetName val="不打印"/>
      <sheetName val="XLR_NoRangeSheet"/>
      <sheetName val="input"/>
      <sheetName val="不许动（隐藏）"/>
      <sheetName val="沉淀池"/>
      <sheetName val="V型滤池"/>
      <sheetName val="sis_xlm"/>
      <sheetName val="围墙"/>
      <sheetName val="水厂平面土建底稿"/>
      <sheetName val="二期粗格栅及进水泵房gpj "/>
      <sheetName val="次氯酸钠制备间扩容改造 sb  "/>
      <sheetName val="二期粗格栅及进水泵房sb"/>
      <sheetName val="Macro2"/>
      <sheetName val="机械"/>
      <sheetName val="其他给排水设备"/>
      <sheetName val="污泥处理组合池管配件"/>
      <sheetName val="土建"/>
      <sheetName val="二泵房土建"/>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G1">
            <v>3.1415926535897931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REGRESS"/>
      <sheetName val="XLR_NoRangeSheet"/>
      <sheetName val="工程总表"/>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费"/>
      <sheetName val="设计招标"/>
      <sheetName val="水保（水土保持方案编制）"/>
      <sheetName val="水保（水土保持施工期监测费）"/>
      <sheetName val="预算编制费"/>
      <sheetName val="分析总表"/>
      <sheetName val="机械"/>
      <sheetName val="SUPPLY-2"/>
      <sheetName val="清水池"/>
      <sheetName val="二泵房土建"/>
      <sheetName val="沉淀池"/>
      <sheetName val="结构1"/>
      <sheetName val="污泥处理组合池管配件"/>
      <sheetName val="不打印"/>
      <sheetName val="取水泵房"/>
      <sheetName val="00地基处理"/>
      <sheetName val="地基处理"/>
      <sheetName val="回收池"/>
      <sheetName val="脱水机房"/>
      <sheetName val="粉碳投加间"/>
      <sheetName val="不许动（隐藏）"/>
      <sheetName val="input"/>
      <sheetName val="材料单价"/>
      <sheetName val="Macro2"/>
      <sheetName val="水厂平面土建底稿"/>
      <sheetName val="围墙"/>
      <sheetName val="工艺设备"/>
      <sheetName val="SJ评价"/>
      <sheetName val="auto"/>
    </sheetNames>
    <sheetDataSet>
      <sheetData sheetId="0" refreshError="1">
        <row r="1">
          <cell r="B1" t="str">
            <v>exit</v>
          </cell>
        </row>
        <row r="15">
          <cell r="E15" t="e">
            <v>#VALUE!</v>
          </cell>
        </row>
        <row r="16">
          <cell r="E16"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RESS"/>
      <sheetName val="sheet1"/>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RES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输送泵房土建"/>
      <sheetName val="XLR_NoRangeSheet"/>
      <sheetName val="sheet1"/>
    </sheetNames>
    <sheetDataSet>
      <sheetData sheetId="0" refreshError="1"/>
      <sheetData sheetId="1">
        <row r="6">
          <cell r="B6" t="str">
            <v>污水反向输送泵房 土建</v>
          </cell>
          <cell r="C6" t="str">
            <v>市政工程预算书</v>
          </cell>
        </row>
      </sheetData>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输送泵房土建"/>
      <sheetName val="XLR_NoRangeSheet"/>
      <sheetName val="土建"/>
      <sheetName val="sheet1"/>
      <sheetName val="REGRESS"/>
      <sheetName val="auto"/>
      <sheetName val="沉淀池"/>
      <sheetName val="综合概算书2"/>
      <sheetName val="机械"/>
      <sheetName val="EB1污"/>
      <sheetName val="分析总表"/>
      <sheetName val="总表"/>
      <sheetName val="材料单价"/>
      <sheetName val="进水库DN1400倒虹管"/>
      <sheetName val="sis.xlm"/>
      <sheetName val="一览表"/>
      <sheetName val="#REF!"/>
      <sheetName val="不许动（隐藏）"/>
      <sheetName val="地基处理及围护"/>
      <sheetName val="工程费用"/>
      <sheetName val="深度处理"/>
      <sheetName val="污泥处理计算"/>
      <sheetName val="投资估算表(独塔斜拉)"/>
      <sheetName val="投资估算表 （桥梁小箱梁)"/>
      <sheetName val="C"/>
    </sheetNames>
    <sheetDataSet>
      <sheetData sheetId="0" refreshError="1"/>
      <sheetData sheetId="1" refreshError="1">
        <row r="6">
          <cell r="B6" t="str">
            <v>污水反向输送泵房 土建</v>
          </cell>
          <cell r="C6" t="str">
            <v>市政工程预算书</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表"/>
      <sheetName val="利息"/>
      <sheetName val="流动资金"/>
      <sheetName val="成本"/>
      <sheetName val="年成本分析"/>
      <sheetName val="现金流量"/>
      <sheetName val="资本金现金流量"/>
      <sheetName val="损益表"/>
      <sheetName val="财务计划"/>
      <sheetName val="资产负债"/>
      <sheetName val="借款偿还"/>
      <sheetName val="财务指标"/>
      <sheetName val="敏感分析1"/>
      <sheetName val="资金来源运用"/>
      <sheetName val="XLR_NoRangeSheet"/>
      <sheetName val="土建"/>
      <sheetName val="sis.xlm"/>
      <sheetName val="分析总表"/>
      <sheetName val="REGRESS"/>
      <sheetName val="#REF!"/>
      <sheetName val="财务总表"/>
      <sheetName val="沉淀池"/>
    </sheetNames>
    <sheetDataSet>
      <sheetData sheetId="0" refreshError="1">
        <row r="44">
          <cell r="D44">
            <v>25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总表"/>
      <sheetName val="财务总表"/>
      <sheetName val="REGRESS"/>
      <sheetName val="机械"/>
      <sheetName val="分析总表"/>
      <sheetName val="材料单价"/>
      <sheetName val="结构"/>
      <sheetName val="投资"/>
      <sheetName val="XLR_NoRangeSheet"/>
      <sheetName val="清水池"/>
      <sheetName val="封面"/>
      <sheetName val="sis_xlm"/>
      <sheetName val="sis_xlm1"/>
      <sheetName val="sis_xlm2"/>
      <sheetName val="sis_xlm3"/>
      <sheetName val="sis_xlm4"/>
      <sheetName val="土建工程综合单价表"/>
      <sheetName val="土建工程综合单价组价明细表"/>
      <sheetName val="input"/>
      <sheetName val="3环评"/>
      <sheetName val="成本预测"/>
      <sheetName val="#REF!"/>
      <sheetName val="V型滤池"/>
      <sheetName val="土建"/>
      <sheetName val="取水泵房"/>
      <sheetName val="00地基处理"/>
      <sheetName val="地基处理"/>
      <sheetName val="不打印"/>
      <sheetName val="Data"/>
      <sheetName val="污泥处理组合池管配件"/>
      <sheetName val="取水泵房土建"/>
      <sheetName val="不许动（隐藏）"/>
      <sheetName val="综合概算书2"/>
      <sheetName val="工程总表"/>
      <sheetName val="Macro2"/>
      <sheetName val="围墙"/>
      <sheetName val="溶液池"/>
      <sheetName val="5中港一村增压泵房"/>
      <sheetName val="平面土建底稿"/>
      <sheetName val="阀门井底稿"/>
      <sheetName val="设计费"/>
      <sheetName val="SJ评价"/>
      <sheetName val="居家桥-现有污水池设备"/>
      <sheetName val="取水头部及引水管"/>
      <sheetName val="C"/>
      <sheetName val="结构1"/>
      <sheetName val="回收池"/>
      <sheetName val="脱水机房"/>
      <sheetName val="粉碳投加间"/>
      <sheetName val="说明"/>
      <sheetName val="水厂平面土建底稿"/>
      <sheetName val="审核表"/>
      <sheetName val="圈(过)梁"/>
      <sheetName val="深度处理"/>
      <sheetName val="污泥处理计算"/>
    </sheetNames>
    <sheetDataSet>
      <sheetData sheetId="0" refreshError="1">
        <row r="1">
          <cell r="B1" t="str">
            <v>exit</v>
          </cell>
          <cell r="H1" t="str">
            <v>quit</v>
          </cell>
        </row>
        <row r="15">
          <cell r="E15" t="e">
            <v>#VALUE!</v>
          </cell>
        </row>
        <row r="16">
          <cell r="E16" t="b">
            <v>1</v>
          </cell>
        </row>
      </sheetData>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通风系统"/>
      <sheetName val="风机阻力"/>
      <sheetName val="风机用电"/>
      <sheetName val="雷达塔机房暖通设备"/>
      <sheetName val="综合楼暖通设备及材料"/>
      <sheetName val="工艺各单体暖通通风设备总表"/>
      <sheetName val="工艺各单体暖通空调设备总表"/>
      <sheetName val="工艺各单体暖通材料总表"/>
      <sheetName val="主机材料表"/>
      <sheetName val="冷却水泵"/>
      <sheetName val="变配电通风量计算"/>
      <sheetName val="空调箱阻力"/>
      <sheetName val="蓄水槽布水器"/>
      <sheetName val="地块负荷"/>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7">
          <cell r="E7" t="str">
            <v>前向</v>
          </cell>
          <cell r="F7" t="str">
            <v>直联</v>
          </cell>
        </row>
        <row r="8">
          <cell r="E8" t="str">
            <v>后向</v>
          </cell>
          <cell r="F8" t="str">
            <v>联轴</v>
          </cell>
        </row>
        <row r="9">
          <cell r="E9" t="str">
            <v>混流</v>
          </cell>
          <cell r="F9" t="str">
            <v>皮带</v>
          </cell>
        </row>
        <row r="10">
          <cell r="E10" t="str">
            <v>轴流</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防排烟系统"/>
      <sheetName val="通风系统"/>
      <sheetName val="风机阻力"/>
      <sheetName val="变配电通风计算"/>
      <sheetName val="Sheet1"/>
      <sheetName val="能评计算"/>
      <sheetName val="水泵"/>
      <sheetName val="设备机组"/>
      <sheetName val="冷却水泵"/>
      <sheetName val="发电机参数"/>
      <sheetName val="主机材料表"/>
      <sheetName val="水泵材料表"/>
      <sheetName val="风机材料表"/>
      <sheetName val="空调箱材料表"/>
      <sheetName val="加药装置"/>
      <sheetName val="定压装置"/>
      <sheetName val="空调箱"/>
      <sheetName val="空调箱阻力"/>
      <sheetName val="结构"/>
      <sheetName val="分析总表"/>
      <sheetName val="基坑围护计算"/>
      <sheetName val="调蓄池北侧渠道计算"/>
    </sheetNames>
    <sheetDataSet>
      <sheetData sheetId="0"/>
      <sheetData sheetId="1"/>
      <sheetData sheetId="2"/>
      <sheetData sheetId="3"/>
      <sheetData sheetId="4">
        <row r="2">
          <cell r="A2">
            <v>450</v>
          </cell>
        </row>
        <row r="7">
          <cell r="E7" t="str">
            <v>前向</v>
          </cell>
        </row>
        <row r="8">
          <cell r="E8" t="str">
            <v>后向</v>
          </cell>
        </row>
        <row r="9">
          <cell r="E9" t="str">
            <v>混流</v>
          </cell>
        </row>
        <row r="10">
          <cell r="E10" t="str">
            <v>轴流</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钢管人、材统计表(2)"/>
      <sheetName val="汇总表"/>
      <sheetName val="汇总表(附)"/>
      <sheetName val="水厂钢管(定额价)组价"/>
      <sheetName val="长距离输水钢管组价"/>
      <sheetName val="钢配件组价汇总表"/>
      <sheetName val="钢法兰组价汇总表"/>
      <sheetName val="水厂钢管试压"/>
      <sheetName val="铸铁管、球墨铸铁管组价表"/>
      <sheetName val="Sheet1"/>
      <sheetName val="SZ1"/>
      <sheetName val="SZ2"/>
      <sheetName val="SZ3"/>
      <sheetName val="钢管铺设(埋深1m)"/>
      <sheetName val="钢管铺设(埋深2m)"/>
      <sheetName val="Sheet9"/>
      <sheetName val="Macro2"/>
      <sheetName val="sis.xlm"/>
      <sheetName val="总表"/>
      <sheetName val="土建"/>
      <sheetName val="工程总表"/>
      <sheetName val="分析总表"/>
      <sheetName val="REGRESS"/>
      <sheetName val="财务总表"/>
      <sheetName val="XLR_NoRangeSheet"/>
      <sheetName val="沉淀池"/>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沉池配水井"/>
      <sheetName val="16#"/>
      <sheetName val="17#"/>
      <sheetName val="18#"/>
      <sheetName val="sheet1"/>
      <sheetName val="sis.xlm"/>
      <sheetName val="Macro2"/>
      <sheetName val="REGRESS"/>
      <sheetName val="总表"/>
      <sheetName val="XLR_NoRangeShe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REGRESS"/>
      <sheetName val="XLR_NoRangeSheet"/>
      <sheetName val="工程总表"/>
      <sheetName val="项目申请报告（编制可研报告）"/>
      <sheetName val="工程招标"/>
      <sheetName val="环评（编制环境影响报告书）"/>
      <sheetName val="货物招标"/>
      <sheetName val="监理费"/>
      <sheetName val="监理招标"/>
      <sheetName val="汇总"/>
      <sheetName val="建设管理费"/>
      <sheetName val="勘察招标"/>
      <sheetName val="项目申请报告（评估可研报告）"/>
      <sheetName val="设计费"/>
      <sheetName val="设计招标"/>
      <sheetName val="水保（水土保持方案编制）"/>
      <sheetName val="水保（水土保持施工期监测费）"/>
      <sheetName val="预算编制费"/>
      <sheetName val="分析总表"/>
      <sheetName val="SUPPLY-2"/>
      <sheetName val="机械"/>
      <sheetName val="清水池"/>
      <sheetName val="二泵房土建"/>
      <sheetName val="取水泵房"/>
      <sheetName val="00地基处理"/>
      <sheetName val="地基处理"/>
      <sheetName val="回收池"/>
      <sheetName val="脱水机房"/>
      <sheetName val="粉碳投加间"/>
      <sheetName val="不许动（隐藏）"/>
      <sheetName val="input"/>
      <sheetName val="沉淀池"/>
      <sheetName val="Macro2"/>
      <sheetName val="材料单价"/>
      <sheetName val="工艺设备"/>
      <sheetName val="SJ评价"/>
      <sheetName val="围墙"/>
      <sheetName val="V型滤池"/>
    </sheetNames>
    <sheetDataSet>
      <sheetData sheetId="0" refreshError="1">
        <row r="1">
          <cell r="B1" t="str">
            <v>exit</v>
          </cell>
        </row>
        <row r="15">
          <cell r="E15" t="e">
            <v>#VALUE!</v>
          </cell>
        </row>
        <row r="16">
          <cell r="E16"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xlm"/>
      <sheetName val="analy"/>
      <sheetName val="Sheet2"/>
      <sheetName val="ANALYSIS"/>
      <sheetName val="Sheet1"/>
      <sheetName val="成本表"/>
      <sheetName val="全部流量"/>
      <sheetName val="国内流量"/>
      <sheetName val="损益表"/>
      <sheetName val="资金应用"/>
      <sheetName val="负债表"/>
      <sheetName val="借款表"/>
      <sheetName val="XLR_NoRangeSheet"/>
      <sheetName val="总表"/>
      <sheetName val="取水泵房土建"/>
      <sheetName val="材料单价"/>
      <sheetName val="Macro2"/>
    </sheetNames>
    <sheetDataSet>
      <sheetData sheetId="0" refreshError="1">
        <row r="1">
          <cell r="B1" t="str">
            <v>exit</v>
          </cell>
        </row>
        <row r="15">
          <cell r="E15" t="e">
            <v>#VALUE!</v>
          </cell>
        </row>
        <row r="16">
          <cell r="E16" t="b">
            <v>1</v>
          </cell>
        </row>
      </sheetData>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负荷统计"/>
      <sheetName val="通风系统"/>
      <sheetName val="FAN阻力"/>
      <sheetName val="防烟系统"/>
      <sheetName val="FAN阻力 (加压)"/>
      <sheetName val="排烟系统"/>
      <sheetName val="排烟阻力"/>
      <sheetName val="AHU"/>
      <sheetName val="AHU阻力"/>
      <sheetName val="AHU-01-4F-01a水力计算"/>
      <sheetName val="VAVBOX"/>
      <sheetName val="CAV&amp;FASU"/>
      <sheetName val="PAC"/>
      <sheetName val="FCU"/>
      <sheetName val="chiller"/>
      <sheetName val="he"/>
      <sheetName val="水管表"/>
      <sheetName val="计算表（冷水）"/>
      <sheetName val="计算表（低区热水 )"/>
      <sheetName val="计算表（高区热水 ) "/>
      <sheetName val="Pump"/>
      <sheetName val="OA&amp;EA"/>
      <sheetName val="楼梯间及前室"/>
      <sheetName val="排烟量计算"/>
      <sheetName val="1-AHU-2F-3水力计算"/>
      <sheetName val="Sheet1"/>
      <sheetName val="工程量计算表"/>
      <sheetName val="二类费用计算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2">
          <cell r="B12" t="str">
            <v>直管段</v>
          </cell>
        </row>
        <row r="13">
          <cell r="B13" t="str">
            <v>普通型截止阀</v>
          </cell>
        </row>
        <row r="14">
          <cell r="B14" t="str">
            <v>斜柄型截止阀</v>
          </cell>
        </row>
        <row r="15">
          <cell r="B15" t="str">
            <v>直通型截止阀</v>
          </cell>
        </row>
        <row r="16">
          <cell r="B16" t="str">
            <v>升降式止回阀</v>
          </cell>
        </row>
        <row r="17">
          <cell r="B17" t="str">
            <v>旋启式止回阀</v>
          </cell>
        </row>
        <row r="18">
          <cell r="B18" t="str">
            <v>蝶阀</v>
          </cell>
        </row>
        <row r="19">
          <cell r="B19" t="str">
            <v>闸阀</v>
          </cell>
        </row>
        <row r="20">
          <cell r="B20" t="str">
            <v>旋塞阀</v>
          </cell>
        </row>
        <row r="21">
          <cell r="B21" t="str">
            <v>渐缩变径管</v>
          </cell>
        </row>
        <row r="22">
          <cell r="B22" t="str">
            <v>渐扩变径管</v>
          </cell>
        </row>
        <row r="23">
          <cell r="B23" t="str">
            <v>90°普通弯头</v>
          </cell>
        </row>
        <row r="24">
          <cell r="B24" t="str">
            <v>45°普通弯头</v>
          </cell>
        </row>
        <row r="25">
          <cell r="B25" t="str">
            <v>90°焊接弯头</v>
          </cell>
        </row>
        <row r="26">
          <cell r="B26" t="str">
            <v>45°焊接弯头</v>
          </cell>
        </row>
        <row r="27">
          <cell r="B27" t="str">
            <v>90°煨弯弯管</v>
          </cell>
        </row>
        <row r="28">
          <cell r="B28" t="str">
            <v>水箱接管进水口</v>
          </cell>
        </row>
        <row r="29">
          <cell r="B29" t="str">
            <v>水箱接管出水口</v>
          </cell>
        </row>
        <row r="30">
          <cell r="B30" t="str">
            <v>有底阀滤水网</v>
          </cell>
        </row>
        <row r="31">
          <cell r="B31" t="str">
            <v>无底阀滤水网</v>
          </cell>
        </row>
        <row r="32">
          <cell r="B32" t="str">
            <v>水泵入口</v>
          </cell>
        </row>
        <row r="33">
          <cell r="B33" t="str">
            <v>一型三通</v>
          </cell>
        </row>
        <row r="34">
          <cell r="B34" t="str">
            <v>二型三通</v>
          </cell>
        </row>
        <row r="35">
          <cell r="B35" t="str">
            <v>三型三通</v>
          </cell>
        </row>
        <row r="36">
          <cell r="B36" t="str">
            <v>四型三通</v>
          </cell>
        </row>
        <row r="37">
          <cell r="B37" t="str">
            <v>五型三通</v>
          </cell>
        </row>
        <row r="38">
          <cell r="B38" t="str">
            <v>六型三通</v>
          </cell>
        </row>
        <row r="39">
          <cell r="B39" t="str">
            <v>七型三通</v>
          </cell>
        </row>
        <row r="40">
          <cell r="B40" t="str">
            <v>八型三通</v>
          </cell>
        </row>
        <row r="41">
          <cell r="B41" t="str">
            <v>九型三通</v>
          </cell>
        </row>
        <row r="42">
          <cell r="B42" t="str">
            <v>十型三通</v>
          </cell>
        </row>
        <row r="43">
          <cell r="B43" t="str">
            <v>待加项</v>
          </cell>
        </row>
        <row r="44">
          <cell r="B44" t="str">
            <v>待加项</v>
          </cell>
        </row>
        <row r="45">
          <cell r="B45" t="str">
            <v>待加项</v>
          </cell>
        </row>
        <row r="46">
          <cell r="B46" t="str">
            <v>待加项</v>
          </cell>
        </row>
        <row r="47">
          <cell r="B47" t="str">
            <v>待加项</v>
          </cell>
        </row>
        <row r="48">
          <cell r="B48" t="str">
            <v>待加项</v>
          </cell>
        </row>
        <row r="49">
          <cell r="B49" t="str">
            <v>待加项</v>
          </cell>
        </row>
        <row r="50">
          <cell r="B50" t="str">
            <v>待加项</v>
          </cell>
        </row>
        <row r="51">
          <cell r="B51" t="str">
            <v>待加项</v>
          </cell>
        </row>
        <row r="52">
          <cell r="B52" t="str">
            <v>待加项</v>
          </cell>
        </row>
        <row r="53">
          <cell r="B53" t="str">
            <v>待加项</v>
          </cell>
        </row>
        <row r="54">
          <cell r="B54" t="str">
            <v>待加项</v>
          </cell>
        </row>
        <row r="55">
          <cell r="B55" t="str">
            <v>待加项</v>
          </cell>
        </row>
        <row r="56">
          <cell r="B56" t="str">
            <v>待加项</v>
          </cell>
        </row>
        <row r="57">
          <cell r="B57" t="str">
            <v>待加项</v>
          </cell>
        </row>
        <row r="58">
          <cell r="B58" t="str">
            <v>待加项</v>
          </cell>
        </row>
        <row r="59">
          <cell r="B59" t="str">
            <v>待加项</v>
          </cell>
        </row>
      </sheetData>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设计参数"/>
      <sheetName val="PAU"/>
      <sheetName val="16#HDY负荷"/>
      <sheetName val="泳池计算"/>
      <sheetName val="15#16#厨房负荷"/>
      <sheetName val="风机性能参数表"/>
      <sheetName val="通风计算"/>
      <sheetName val="通风阻力计算"/>
      <sheetName val="锅炉房变配电通风"/>
      <sheetName val="AHU"/>
      <sheetName val="AHU阻力计算"/>
      <sheetName val="空调箱性能参数表"/>
      <sheetName val="喷口旋流风口选型"/>
      <sheetName val="15#"/>
      <sheetName val="16#"/>
      <sheetName val="A塔楼办公"/>
      <sheetName val="A塔楼酒店"/>
      <sheetName val="B塔楼"/>
      <sheetName val="FCU"/>
      <sheetName val="PAC"/>
      <sheetName val="VRF"/>
      <sheetName val="Sheet1"/>
      <sheetName val="排风"/>
      <sheetName val="15#冷热负荷"/>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2">
          <cell r="E2" t="str">
            <v>前向</v>
          </cell>
        </row>
        <row r="3">
          <cell r="E3" t="str">
            <v>后向</v>
          </cell>
        </row>
        <row r="4">
          <cell r="E4" t="str">
            <v>混流</v>
          </cell>
        </row>
        <row r="5">
          <cell r="E5" t="str">
            <v>轴流</v>
          </cell>
        </row>
      </sheetData>
      <sheetData sheetId="22" refreshError="1"/>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材料单价"/>
      <sheetName val="打印材料"/>
      <sheetName val="砼级配"/>
      <sheetName val="机械"/>
      <sheetName val="机械 (2)"/>
      <sheetName val="机械挖土"/>
      <sheetName val="汽车运土"/>
      <sheetName val="挖淤泥"/>
      <sheetName val="回填土"/>
      <sheetName val="节制闸混凝土"/>
      <sheetName val="素砼垫层"/>
      <sheetName val="碎石垫层1"/>
      <sheetName val="土工布"/>
      <sheetName val="浆砌块石护底"/>
      <sheetName val="素砼格梗"/>
      <sheetName val="防冲槽抛石"/>
      <sheetName val="抛石每增运1KM"/>
      <sheetName val="碎石排水棱体"/>
      <sheetName val="钢筋"/>
      <sheetName val="无纺布铺设"/>
      <sheetName val="机械压实回填"/>
      <sheetName val="三渣垫层 "/>
      <sheetName val="砼运输"/>
      <sheetName val="c25扶垛式挡土墙"/>
      <sheetName val="c25水闸底板"/>
      <sheetName val="c25直墙"/>
      <sheetName val="c25水闸底板2"/>
      <sheetName val="c25护坦"/>
      <sheetName val="c25悬臂式挡土墙墙"/>
      <sheetName val="混凝土预制桩"/>
      <sheetName val="船闸混凝土"/>
      <sheetName val="土围堰填筑"/>
      <sheetName val="土围堰拆除"/>
      <sheetName val="PVC排水管"/>
      <sheetName val="草土围堰填筑"/>
      <sheetName val="草土围堰拆除"/>
      <sheetName val="c30桥面铺装层"/>
      <sheetName val="沥青混凝土桥面铺装"/>
      <sheetName val="公路桥"/>
      <sheetName val="桥墩"/>
      <sheetName val="橡胶止水带"/>
      <sheetName val="橡胶护弦"/>
      <sheetName val="浆砌块石护坡"/>
      <sheetName val="c20混凝土护脚"/>
      <sheetName val="浆砌块石挡墙"/>
      <sheetName val="砂砾石基层"/>
      <sheetName val="沥青路面"/>
      <sheetName val="泥结碎石路面"/>
      <sheetName val="2"/>
      <sheetName val="3"/>
      <sheetName val="4"/>
      <sheetName val="5"/>
      <sheetName val="安装定额"/>
      <sheetName val="6"/>
      <sheetName val="7"/>
      <sheetName val="建筑概算"/>
      <sheetName val="机电设备"/>
      <sheetName val="金属结构"/>
      <sheetName val="总概算 "/>
      <sheetName val="临时工程"/>
      <sheetName val="其他费用"/>
      <sheetName val="材料用量"/>
      <sheetName val="闸设备费"/>
      <sheetName val="Sheet14"/>
      <sheetName val="Sheet15"/>
      <sheetName val="设计费"/>
      <sheetName val="不许动（隐藏）"/>
      <sheetName val="sis.xlm"/>
      <sheetName val="沉淀池"/>
      <sheetName val="sheet1"/>
      <sheetName val="总表"/>
      <sheetName val="XLR_NoRangeSheet"/>
      <sheetName val="Macro2"/>
      <sheetName val="C"/>
      <sheetName val="工程总表"/>
      <sheetName val="回收池"/>
      <sheetName val="水厂平面土建底稿"/>
      <sheetName val="围墙"/>
      <sheetName val="二泵房土建"/>
      <sheetName val="清水池"/>
      <sheetName val="结构"/>
      <sheetName val="编制可研报告"/>
      <sheetName val="概算编制或审核"/>
      <sheetName val="工程招标"/>
      <sheetName val="估算编制或审核"/>
      <sheetName val="建设管理费"/>
      <sheetName val="参数"/>
      <sheetName val="SJ评价2"/>
      <sheetName val="工艺设备"/>
      <sheetName val="概算总表"/>
      <sheetName val="检验监测招标"/>
      <sheetName val="圈(过)梁"/>
      <sheetName val="估算审核"/>
    </sheetNames>
    <sheetDataSet>
      <sheetData sheetId="0" refreshError="1">
        <row r="3">
          <cell r="B3">
            <v>24.376103255667836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风机性能参数表"/>
      <sheetName val="通风计算 (2)"/>
      <sheetName val="通风阻力计算 (2)"/>
      <sheetName val="设计参数"/>
      <sheetName val="房间负荷"/>
      <sheetName val="板交"/>
      <sheetName val="AHU阻力计算"/>
      <sheetName val="正压"/>
      <sheetName val="排烟"/>
      <sheetName val="排风"/>
      <sheetName val="通风计算"/>
      <sheetName val="通风阻力计算"/>
      <sheetName val="Sheet1"/>
      <sheetName val="系统划分"/>
      <sheetName val="PAU"/>
      <sheetName val="AHU"/>
      <sheetName val="VRF"/>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E2" t="str">
            <v>前向</v>
          </cell>
        </row>
        <row r="3">
          <cell r="E3" t="str">
            <v>后向</v>
          </cell>
        </row>
        <row r="4">
          <cell r="E4" t="str">
            <v>混流</v>
          </cell>
        </row>
        <row r="5">
          <cell r="E5" t="str">
            <v>轴流</v>
          </cell>
        </row>
      </sheetData>
      <sheetData sheetId="13"/>
      <sheetData sheetId="14"/>
      <sheetData sheetId="15"/>
      <sheetData sheetId="1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xml"/><Relationship Id="rId13" Type="http://schemas.openxmlformats.org/officeDocument/2006/relationships/ctrlProp" Target="../ctrlProps/ctrlProp12.xml"/><Relationship Id="rId18" Type="http://schemas.openxmlformats.org/officeDocument/2006/relationships/ctrlProp" Target="../ctrlProps/ctrlProp17.xml"/><Relationship Id="rId3" Type="http://schemas.openxmlformats.org/officeDocument/2006/relationships/vmlDrawing" Target="../drawings/vmlDrawing2.vml"/><Relationship Id="rId7" Type="http://schemas.openxmlformats.org/officeDocument/2006/relationships/ctrlProp" Target="../ctrlProps/ctrlProp6.xml"/><Relationship Id="rId12" Type="http://schemas.openxmlformats.org/officeDocument/2006/relationships/ctrlProp" Target="../ctrlProps/ctrlProp11.xml"/><Relationship Id="rId17" Type="http://schemas.openxmlformats.org/officeDocument/2006/relationships/ctrlProp" Target="../ctrlProps/ctrlProp16.xml"/><Relationship Id="rId2" Type="http://schemas.openxmlformats.org/officeDocument/2006/relationships/drawing" Target="../drawings/drawing3.xml"/><Relationship Id="rId16" Type="http://schemas.openxmlformats.org/officeDocument/2006/relationships/ctrlProp" Target="../ctrlProps/ctrlProp15.xml"/><Relationship Id="rId1" Type="http://schemas.openxmlformats.org/officeDocument/2006/relationships/printerSettings" Target="../printerSettings/printerSettings4.bin"/><Relationship Id="rId6" Type="http://schemas.openxmlformats.org/officeDocument/2006/relationships/ctrlProp" Target="../ctrlProps/ctrlProp5.xml"/><Relationship Id="rId11" Type="http://schemas.openxmlformats.org/officeDocument/2006/relationships/ctrlProp" Target="../ctrlProps/ctrlProp10.xml"/><Relationship Id="rId5" Type="http://schemas.openxmlformats.org/officeDocument/2006/relationships/ctrlProp" Target="../ctrlProps/ctrlProp4.xml"/><Relationship Id="rId15" Type="http://schemas.openxmlformats.org/officeDocument/2006/relationships/ctrlProp" Target="../ctrlProps/ctrlProp14.xml"/><Relationship Id="rId10" Type="http://schemas.openxmlformats.org/officeDocument/2006/relationships/ctrlProp" Target="../ctrlProps/ctrlProp9.xml"/><Relationship Id="rId19" Type="http://schemas.openxmlformats.org/officeDocument/2006/relationships/comments" Target="../comments2.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2.xml"/><Relationship Id="rId13" Type="http://schemas.openxmlformats.org/officeDocument/2006/relationships/ctrlProp" Target="../ctrlProps/ctrlProp27.xml"/><Relationship Id="rId18" Type="http://schemas.openxmlformats.org/officeDocument/2006/relationships/ctrlProp" Target="../ctrlProps/ctrlProp32.xml"/><Relationship Id="rId3" Type="http://schemas.openxmlformats.org/officeDocument/2006/relationships/vmlDrawing" Target="../drawings/vmlDrawing3.vml"/><Relationship Id="rId21" Type="http://schemas.openxmlformats.org/officeDocument/2006/relationships/ctrlProp" Target="../ctrlProps/ctrlProp35.xml"/><Relationship Id="rId7" Type="http://schemas.openxmlformats.org/officeDocument/2006/relationships/ctrlProp" Target="../ctrlProps/ctrlProp21.xml"/><Relationship Id="rId12" Type="http://schemas.openxmlformats.org/officeDocument/2006/relationships/ctrlProp" Target="../ctrlProps/ctrlProp26.xml"/><Relationship Id="rId17" Type="http://schemas.openxmlformats.org/officeDocument/2006/relationships/ctrlProp" Target="../ctrlProps/ctrlProp31.xml"/><Relationship Id="rId25" Type="http://schemas.openxmlformats.org/officeDocument/2006/relationships/comments" Target="../comments3.xml"/><Relationship Id="rId2" Type="http://schemas.openxmlformats.org/officeDocument/2006/relationships/drawing" Target="../drawings/drawing4.xml"/><Relationship Id="rId16" Type="http://schemas.openxmlformats.org/officeDocument/2006/relationships/ctrlProp" Target="../ctrlProps/ctrlProp30.xml"/><Relationship Id="rId20" Type="http://schemas.openxmlformats.org/officeDocument/2006/relationships/ctrlProp" Target="../ctrlProps/ctrlProp34.xml"/><Relationship Id="rId1" Type="http://schemas.openxmlformats.org/officeDocument/2006/relationships/printerSettings" Target="../printerSettings/printerSettings5.bin"/><Relationship Id="rId6" Type="http://schemas.openxmlformats.org/officeDocument/2006/relationships/ctrlProp" Target="../ctrlProps/ctrlProp20.xml"/><Relationship Id="rId11" Type="http://schemas.openxmlformats.org/officeDocument/2006/relationships/ctrlProp" Target="../ctrlProps/ctrlProp25.xml"/><Relationship Id="rId24" Type="http://schemas.openxmlformats.org/officeDocument/2006/relationships/ctrlProp" Target="../ctrlProps/ctrlProp38.xml"/><Relationship Id="rId5" Type="http://schemas.openxmlformats.org/officeDocument/2006/relationships/ctrlProp" Target="../ctrlProps/ctrlProp19.xml"/><Relationship Id="rId15" Type="http://schemas.openxmlformats.org/officeDocument/2006/relationships/ctrlProp" Target="../ctrlProps/ctrlProp29.xml"/><Relationship Id="rId23" Type="http://schemas.openxmlformats.org/officeDocument/2006/relationships/ctrlProp" Target="../ctrlProps/ctrlProp37.xml"/><Relationship Id="rId10" Type="http://schemas.openxmlformats.org/officeDocument/2006/relationships/ctrlProp" Target="../ctrlProps/ctrlProp24.xml"/><Relationship Id="rId19" Type="http://schemas.openxmlformats.org/officeDocument/2006/relationships/ctrlProp" Target="../ctrlProps/ctrlProp33.xml"/><Relationship Id="rId4" Type="http://schemas.openxmlformats.org/officeDocument/2006/relationships/ctrlProp" Target="../ctrlProps/ctrlProp18.xml"/><Relationship Id="rId9" Type="http://schemas.openxmlformats.org/officeDocument/2006/relationships/ctrlProp" Target="../ctrlProps/ctrlProp23.xml"/><Relationship Id="rId14" Type="http://schemas.openxmlformats.org/officeDocument/2006/relationships/ctrlProp" Target="../ctrlProps/ctrlProp28.xml"/><Relationship Id="rId22"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A1:X122"/>
  <sheetViews>
    <sheetView showZeros="0" tabSelected="1" workbookViewId="0">
      <pane xSplit="2" ySplit="5" topLeftCell="C6" activePane="bottomRight" state="frozen"/>
      <selection activeCell="C15" sqref="C15:C17"/>
      <selection pane="topRight" activeCell="C15" sqref="C15:C17"/>
      <selection pane="bottomLeft" activeCell="C15" sqref="C15:C17"/>
      <selection pane="bottomRight" activeCell="E19" sqref="E19"/>
    </sheetView>
  </sheetViews>
  <sheetFormatPr defaultColWidth="9.5" defaultRowHeight="15.6" outlineLevelRow="2"/>
  <cols>
    <col min="1" max="1" width="5" style="3" customWidth="1"/>
    <col min="2" max="2" width="23.5" style="3" customWidth="1"/>
    <col min="3" max="3" width="9.69921875" style="5" customWidth="1"/>
    <col min="4" max="4" width="11.796875" style="6" customWidth="1"/>
    <col min="5" max="6" width="9.69921875" style="6" customWidth="1"/>
    <col min="7" max="7" width="7.69921875" style="6" customWidth="1"/>
    <col min="8" max="8" width="9.69921875" style="6" customWidth="1"/>
    <col min="9" max="9" width="5.796875" style="4" customWidth="1"/>
    <col min="10" max="10" width="7" style="7" customWidth="1"/>
    <col min="11" max="11" width="8.796875" style="3" customWidth="1"/>
    <col min="12" max="12" width="36.296875" style="6" customWidth="1"/>
    <col min="13" max="13" width="9.5" style="3" customWidth="1"/>
    <col min="14" max="19" width="9.5" style="4" customWidth="1"/>
    <col min="20" max="23" width="9.5" style="3" customWidth="1"/>
    <col min="24" max="16384" width="9.5" style="3"/>
  </cols>
  <sheetData>
    <row r="1" spans="1:24" ht="17.25" customHeight="1">
      <c r="A1" s="1" t="s">
        <v>0</v>
      </c>
      <c r="B1" s="2"/>
      <c r="C1" s="2"/>
      <c r="D1" s="2"/>
      <c r="E1" s="2"/>
      <c r="F1" s="2"/>
      <c r="G1" s="2"/>
      <c r="H1" s="2"/>
      <c r="I1" s="2"/>
      <c r="J1" s="2"/>
      <c r="K1" s="2"/>
      <c r="L1" s="2"/>
    </row>
    <row r="2" spans="1:24" ht="10.5" customHeight="1"/>
    <row r="3" spans="1:24" ht="21" customHeight="1" thickBot="1">
      <c r="A3" s="8" t="s">
        <v>1</v>
      </c>
      <c r="L3" s="9" t="s">
        <v>2</v>
      </c>
    </row>
    <row r="4" spans="1:24" s="21" customFormat="1" ht="18" customHeight="1">
      <c r="A4" s="10"/>
      <c r="B4" s="11"/>
      <c r="C4" s="12" t="s">
        <v>3</v>
      </c>
      <c r="D4" s="13"/>
      <c r="E4" s="13"/>
      <c r="F4" s="13"/>
      <c r="G4" s="13"/>
      <c r="H4" s="14"/>
      <c r="I4" s="15" t="s">
        <v>4</v>
      </c>
      <c r="J4" s="15"/>
      <c r="K4" s="16"/>
      <c r="L4" s="17"/>
      <c r="M4" s="18"/>
      <c r="N4" s="19"/>
      <c r="O4" s="19"/>
      <c r="P4" s="20"/>
      <c r="Q4" s="20"/>
      <c r="R4" s="20"/>
      <c r="S4" s="20"/>
    </row>
    <row r="5" spans="1:24" s="21" customFormat="1" ht="38.25" customHeight="1">
      <c r="A5" s="22" t="s">
        <v>5</v>
      </c>
      <c r="B5" s="23" t="s">
        <v>6</v>
      </c>
      <c r="C5" s="24" t="s">
        <v>7</v>
      </c>
      <c r="D5" s="25" t="s">
        <v>8</v>
      </c>
      <c r="E5" s="25" t="s">
        <v>9</v>
      </c>
      <c r="F5" s="25" t="s">
        <v>10</v>
      </c>
      <c r="G5" s="24" t="s">
        <v>11</v>
      </c>
      <c r="H5" s="24" t="s">
        <v>12</v>
      </c>
      <c r="I5" s="26" t="s">
        <v>13</v>
      </c>
      <c r="J5" s="26" t="s">
        <v>14</v>
      </c>
      <c r="K5" s="27" t="s">
        <v>15</v>
      </c>
      <c r="L5" s="28" t="s">
        <v>16</v>
      </c>
      <c r="M5" s="29"/>
      <c r="N5" s="30"/>
      <c r="O5" s="30"/>
      <c r="P5" s="20"/>
      <c r="Q5" s="20"/>
      <c r="R5" s="20"/>
      <c r="S5" s="20"/>
    </row>
    <row r="6" spans="1:24" s="37" customFormat="1" ht="16.05" customHeight="1">
      <c r="A6" s="31" t="s">
        <v>17</v>
      </c>
      <c r="B6" s="32" t="s">
        <v>18</v>
      </c>
      <c r="C6" s="33"/>
      <c r="D6" s="33"/>
      <c r="E6" s="33"/>
      <c r="F6" s="33"/>
      <c r="G6" s="33"/>
      <c r="H6" s="33"/>
      <c r="I6" s="34"/>
      <c r="J6" s="35"/>
      <c r="K6" s="34"/>
      <c r="L6" s="36"/>
      <c r="N6" s="38"/>
      <c r="O6" s="38"/>
      <c r="P6" s="38"/>
      <c r="Q6" s="38"/>
      <c r="R6" s="38"/>
      <c r="S6" s="38"/>
    </row>
    <row r="7" spans="1:24" s="37" customFormat="1" ht="16.05" hidden="1" customHeight="1">
      <c r="A7" s="31"/>
      <c r="B7" s="32"/>
      <c r="C7" s="39"/>
      <c r="D7" s="39"/>
      <c r="E7" s="39"/>
      <c r="F7" s="39"/>
      <c r="G7" s="39"/>
      <c r="H7" s="39"/>
      <c r="I7" s="40"/>
      <c r="J7" s="41"/>
      <c r="K7" s="40"/>
      <c r="L7" s="36"/>
      <c r="N7" s="38"/>
      <c r="O7" s="38"/>
      <c r="P7" s="38"/>
      <c r="Q7" s="38"/>
      <c r="R7" s="38"/>
      <c r="S7" s="38"/>
      <c r="X7" s="42"/>
    </row>
    <row r="8" spans="1:24" s="37" customFormat="1" ht="16.05" customHeight="1">
      <c r="A8" s="43"/>
      <c r="B8" s="44"/>
      <c r="C8" s="39"/>
      <c r="D8" s="39"/>
      <c r="E8" s="39"/>
      <c r="F8" s="39"/>
      <c r="G8" s="39"/>
      <c r="H8" s="39"/>
      <c r="I8" s="45"/>
      <c r="J8" s="40"/>
      <c r="K8" s="45"/>
      <c r="L8" s="46"/>
      <c r="N8" s="9"/>
      <c r="O8" s="38"/>
      <c r="P8" s="47"/>
      <c r="Q8" s="38"/>
      <c r="R8" s="38"/>
      <c r="S8" s="38"/>
    </row>
    <row r="9" spans="1:24" s="37" customFormat="1" ht="16.05" customHeight="1">
      <c r="A9" s="43"/>
      <c r="B9" s="48" t="s">
        <v>19</v>
      </c>
      <c r="C9" s="33">
        <v>4327.3703155790336</v>
      </c>
      <c r="D9" s="33">
        <v>38.527794637500001</v>
      </c>
      <c r="E9" s="33">
        <v>40.068000000000005</v>
      </c>
      <c r="F9" s="33">
        <v>0</v>
      </c>
      <c r="G9" s="33">
        <v>0</v>
      </c>
      <c r="H9" s="33">
        <f>SUM(C9:G9)</f>
        <v>4405.9661102165337</v>
      </c>
      <c r="I9" s="34"/>
      <c r="J9" s="35"/>
      <c r="K9" s="49"/>
      <c r="L9" s="36"/>
      <c r="M9" s="50"/>
      <c r="N9" s="50"/>
      <c r="O9" s="38"/>
      <c r="P9" s="47"/>
      <c r="Q9" s="38"/>
      <c r="R9" s="38"/>
      <c r="S9" s="51"/>
    </row>
    <row r="10" spans="1:24" s="37" customFormat="1" ht="16.05" customHeight="1">
      <c r="A10" s="43"/>
      <c r="B10" s="52"/>
      <c r="C10" s="39"/>
      <c r="D10" s="39"/>
      <c r="E10" s="39"/>
      <c r="F10" s="39"/>
      <c r="G10" s="39"/>
      <c r="H10" s="39"/>
      <c r="I10" s="40"/>
      <c r="J10" s="41"/>
      <c r="K10" s="45"/>
      <c r="L10" s="53"/>
      <c r="N10" s="5"/>
      <c r="O10" s="5">
        <f>+E9/H9</f>
        <v>9.0940327269178299E-3</v>
      </c>
      <c r="P10" s="54"/>
      <c r="Q10" s="5"/>
      <c r="R10" s="5"/>
      <c r="S10" s="5"/>
      <c r="X10" s="55"/>
    </row>
    <row r="11" spans="1:24">
      <c r="A11" s="56" t="s">
        <v>20</v>
      </c>
      <c r="B11" s="57" t="s">
        <v>21</v>
      </c>
      <c r="C11" s="39"/>
      <c r="D11" s="39"/>
      <c r="E11" s="39"/>
      <c r="F11" s="39"/>
      <c r="G11" s="58"/>
      <c r="H11" s="39"/>
      <c r="I11" s="59"/>
      <c r="J11" s="60"/>
      <c r="K11" s="61"/>
      <c r="L11" s="57"/>
    </row>
    <row r="12" spans="1:24">
      <c r="A12" s="62" t="s">
        <v>22</v>
      </c>
      <c r="B12" s="63" t="s">
        <v>23</v>
      </c>
      <c r="C12" s="39"/>
      <c r="D12" s="39"/>
      <c r="E12" s="39"/>
      <c r="F12" s="39"/>
      <c r="G12" s="39"/>
      <c r="H12" s="39">
        <f t="shared" ref="H12:H20" si="0">SUM(C12:G12)</f>
        <v>0</v>
      </c>
      <c r="I12" s="64"/>
      <c r="J12" s="60"/>
      <c r="K12" s="61"/>
      <c r="L12" s="65"/>
    </row>
    <row r="13" spans="1:24">
      <c r="A13" s="66">
        <f>SUBTOTAL(103,$B$13:B13)</f>
        <v>1</v>
      </c>
      <c r="B13" s="63" t="s">
        <v>24</v>
      </c>
      <c r="C13" s="39"/>
      <c r="D13" s="39"/>
      <c r="E13" s="39"/>
      <c r="F13" s="39"/>
      <c r="G13" s="39"/>
      <c r="H13" s="39">
        <f t="shared" si="0"/>
        <v>0</v>
      </c>
      <c r="I13" s="67"/>
      <c r="J13" s="39"/>
      <c r="K13" s="39"/>
      <c r="L13" s="65"/>
    </row>
    <row r="14" spans="1:24">
      <c r="A14" s="68" t="str">
        <f>$A$13&amp;"."&amp;SUBTOTAL(103,$B14:B$14)</f>
        <v>1.1</v>
      </c>
      <c r="B14" s="63" t="s">
        <v>25</v>
      </c>
      <c r="C14" s="39"/>
      <c r="D14" s="39"/>
      <c r="E14" s="39"/>
      <c r="F14" s="39"/>
      <c r="G14" s="39">
        <f>+J14*K14/10000</f>
        <v>0</v>
      </c>
      <c r="H14" s="39">
        <f t="shared" si="0"/>
        <v>0</v>
      </c>
      <c r="I14" s="67" t="s">
        <v>26</v>
      </c>
      <c r="J14" s="39"/>
      <c r="K14" s="39"/>
      <c r="L14" s="65"/>
    </row>
    <row r="15" spans="1:24">
      <c r="A15" s="68" t="str">
        <f>$A$13&amp;"."&amp;SUBTOTAL(103,$B$14:B15)</f>
        <v>1.2</v>
      </c>
      <c r="B15" s="63" t="s">
        <v>27</v>
      </c>
      <c r="C15" s="39"/>
      <c r="D15" s="39"/>
      <c r="E15" s="39"/>
      <c r="F15" s="39"/>
      <c r="G15" s="39"/>
      <c r="H15" s="39">
        <f t="shared" si="0"/>
        <v>0</v>
      </c>
      <c r="I15" s="67" t="s">
        <v>26</v>
      </c>
      <c r="J15" s="39"/>
      <c r="K15" s="39"/>
      <c r="L15" s="65"/>
    </row>
    <row r="16" spans="1:24" outlineLevel="1">
      <c r="A16" s="68" t="str">
        <f>$A$13&amp;"."&amp;SUBTOTAL(103,$B$14:B16)</f>
        <v>1.3</v>
      </c>
      <c r="B16" s="63" t="s">
        <v>28</v>
      </c>
      <c r="C16" s="39"/>
      <c r="D16" s="39"/>
      <c r="E16" s="39"/>
      <c r="F16" s="39"/>
      <c r="G16" s="39"/>
      <c r="H16" s="39"/>
      <c r="I16" s="67" t="s">
        <v>26</v>
      </c>
      <c r="J16" s="39"/>
      <c r="K16" s="39"/>
      <c r="L16" s="65"/>
    </row>
    <row r="17" spans="1:19">
      <c r="A17" s="68" t="str">
        <f>$A$13&amp;"."&amp;SUBTOTAL(103,$B$14:B17)</f>
        <v>1.4</v>
      </c>
      <c r="B17" s="63" t="s">
        <v>29</v>
      </c>
      <c r="C17" s="39"/>
      <c r="D17" s="39"/>
      <c r="E17" s="39"/>
      <c r="F17" s="39"/>
      <c r="G17" s="39"/>
      <c r="H17" s="39">
        <f t="shared" si="0"/>
        <v>0</v>
      </c>
      <c r="I17" s="67" t="s">
        <v>26</v>
      </c>
      <c r="J17" s="39"/>
      <c r="K17" s="39"/>
      <c r="L17" s="65"/>
    </row>
    <row r="18" spans="1:19">
      <c r="A18" s="62" t="s">
        <v>30</v>
      </c>
      <c r="B18" s="63" t="s">
        <v>31</v>
      </c>
      <c r="C18" s="39"/>
      <c r="D18" s="39"/>
      <c r="E18" s="39"/>
      <c r="F18" s="39"/>
      <c r="G18" s="39"/>
      <c r="H18" s="39">
        <f t="shared" si="0"/>
        <v>0</v>
      </c>
      <c r="I18" s="59"/>
      <c r="J18" s="60"/>
      <c r="K18" s="61"/>
      <c r="L18" s="65"/>
    </row>
    <row r="19" spans="1:19">
      <c r="A19" s="66">
        <f>SUBTOTAL(103,$B19:B$19)</f>
        <v>1</v>
      </c>
      <c r="B19" s="63" t="s">
        <v>32</v>
      </c>
      <c r="C19" s="39"/>
      <c r="D19" s="39"/>
      <c r="E19" s="39"/>
      <c r="F19" s="39"/>
      <c r="G19" s="39"/>
      <c r="H19" s="39"/>
      <c r="I19" s="59"/>
      <c r="J19" s="60"/>
      <c r="K19" s="61"/>
      <c r="L19" s="65"/>
    </row>
    <row r="20" spans="1:19">
      <c r="A20" s="66" t="str">
        <f>$A$19&amp;"."&amp;SUBTOTAL(103,$B$20:B20)</f>
        <v>1.1</v>
      </c>
      <c r="B20" s="63" t="s">
        <v>33</v>
      </c>
      <c r="C20" s="39"/>
      <c r="D20" s="39"/>
      <c r="E20" s="39"/>
      <c r="F20" s="39"/>
      <c r="G20" s="39">
        <f ca="1">+江苏省其他费用底稿!$D$2</f>
        <v>90.817355853968337</v>
      </c>
      <c r="H20" s="39">
        <f t="shared" ca="1" si="0"/>
        <v>90.817355853968337</v>
      </c>
      <c r="I20" s="59"/>
      <c r="J20" s="60"/>
      <c r="K20" s="61"/>
      <c r="L20" s="65" t="s">
        <v>34</v>
      </c>
    </row>
    <row r="21" spans="1:19">
      <c r="A21" s="66" t="str">
        <f>$A$19&amp;"."&amp;SUBTOTAL(103,$B$20:B21)</f>
        <v>1.2</v>
      </c>
      <c r="B21" s="63" t="s">
        <v>35</v>
      </c>
      <c r="C21" s="39"/>
      <c r="D21" s="39"/>
      <c r="E21" s="39"/>
      <c r="F21" s="39"/>
      <c r="G21" s="39">
        <f>+江苏省其他费用底稿!$D$11</f>
        <v>108.12593097112298</v>
      </c>
      <c r="H21" s="39">
        <f t="shared" ref="H21:H33" si="1">SUM(C21:G21)</f>
        <v>108.12593097112298</v>
      </c>
      <c r="I21" s="59"/>
      <c r="J21" s="60"/>
      <c r="K21" s="61"/>
      <c r="L21" s="65" t="s">
        <v>36</v>
      </c>
      <c r="N21" s="3"/>
      <c r="O21" s="3"/>
      <c r="P21" s="3"/>
      <c r="Q21" s="3"/>
      <c r="R21" s="3"/>
      <c r="S21" s="3"/>
    </row>
    <row r="22" spans="1:19">
      <c r="A22" s="66">
        <f>SUBTOTAL(103,$B$19,$B$22)</f>
        <v>2</v>
      </c>
      <c r="B22" s="63" t="s">
        <v>37</v>
      </c>
      <c r="C22" s="39"/>
      <c r="D22" s="58"/>
      <c r="E22" s="58"/>
      <c r="F22" s="58"/>
      <c r="G22" s="39"/>
      <c r="H22" s="39">
        <f t="shared" si="1"/>
        <v>0</v>
      </c>
      <c r="I22" s="59"/>
      <c r="J22" s="60"/>
      <c r="K22" s="61"/>
      <c r="L22" s="69"/>
      <c r="M22" s="3">
        <v>1</v>
      </c>
      <c r="N22" s="37" t="str">
        <f>INDEX(O22:P22,$M$22)</f>
        <v>苏建价协2022(7)号文</v>
      </c>
      <c r="O22" s="70" t="s">
        <v>38</v>
      </c>
      <c r="P22" s="71" t="s">
        <v>39</v>
      </c>
      <c r="Q22" s="72"/>
      <c r="R22" s="3"/>
      <c r="S22" s="3"/>
    </row>
    <row r="23" spans="1:19">
      <c r="A23" s="68" t="str">
        <f>$A$22&amp;"."&amp;SUBTOTAL(103,$B$23:B23)</f>
        <v>2.1</v>
      </c>
      <c r="B23" s="63" t="s">
        <v>40</v>
      </c>
      <c r="C23" s="39"/>
      <c r="D23" s="58"/>
      <c r="E23" s="58"/>
      <c r="F23" s="58"/>
      <c r="G23" s="39">
        <f ca="1">N23</f>
        <v>3.5169054708071985</v>
      </c>
      <c r="H23" s="39">
        <f t="shared" ca="1" si="1"/>
        <v>3.5169054708071985</v>
      </c>
      <c r="I23" s="59"/>
      <c r="J23" s="60"/>
      <c r="K23" s="61"/>
      <c r="L23" s="73" t="str">
        <f>N22</f>
        <v>苏建价协2022(7)号文</v>
      </c>
      <c r="N23" s="74">
        <f t="shared" ref="N23:N28" ca="1" si="2">INDEX(O23:P23,$M$22)</f>
        <v>3.5169054708071985</v>
      </c>
      <c r="O23" s="75">
        <f ca="1">江苏省其他费用底稿!D205</f>
        <v>3.5169054708071985</v>
      </c>
      <c r="P23" s="75">
        <f ca="1">江苏省其他费用底稿!D314</f>
        <v>2.9575243766457588</v>
      </c>
      <c r="Q23" s="76"/>
      <c r="R23" s="76" t="s">
        <v>38</v>
      </c>
      <c r="S23" s="3"/>
    </row>
    <row r="24" spans="1:19">
      <c r="A24" s="68" t="str">
        <f>$A$22&amp;"."&amp;SUBTOTAL(103,$B$23:B24)</f>
        <v>2.2</v>
      </c>
      <c r="B24" s="63" t="s">
        <v>41</v>
      </c>
      <c r="C24" s="39"/>
      <c r="D24" s="58"/>
      <c r="E24" s="58"/>
      <c r="F24" s="58"/>
      <c r="G24" s="39">
        <f t="shared" ref="G24:G28" ca="1" si="3">N24</f>
        <v>5.3144298474529572</v>
      </c>
      <c r="H24" s="39">
        <f t="shared" ca="1" si="1"/>
        <v>5.3144298474529572</v>
      </c>
      <c r="I24" s="59"/>
      <c r="J24" s="60"/>
      <c r="K24" s="61"/>
      <c r="L24" s="77"/>
      <c r="N24" s="74">
        <f t="shared" ca="1" si="2"/>
        <v>5.3144298474529572</v>
      </c>
      <c r="O24" s="75">
        <f ca="1">江苏省其他费用底稿!D213</f>
        <v>5.3144298474529572</v>
      </c>
      <c r="P24" s="75">
        <f ca="1">江苏省其他费用底稿!D322</f>
        <v>3.436286564968638</v>
      </c>
      <c r="Q24" s="76"/>
      <c r="R24" s="76" t="s">
        <v>42</v>
      </c>
      <c r="S24" s="3"/>
    </row>
    <row r="25" spans="1:19" ht="24">
      <c r="A25" s="68" t="str">
        <f>$A$22&amp;"."&amp;SUBTOTAL(103,$B$23:B25)</f>
        <v>2.3</v>
      </c>
      <c r="B25" s="78" t="s">
        <v>43</v>
      </c>
      <c r="C25" s="39"/>
      <c r="D25" s="58"/>
      <c r="E25" s="58"/>
      <c r="F25" s="58"/>
      <c r="G25" s="39">
        <f t="shared" si="3"/>
        <v>12.936705108606294</v>
      </c>
      <c r="H25" s="39">
        <f t="shared" si="1"/>
        <v>12.936705108606294</v>
      </c>
      <c r="I25" s="59"/>
      <c r="J25" s="60"/>
      <c r="K25" s="61"/>
      <c r="L25" s="77"/>
      <c r="N25" s="74">
        <f t="shared" si="2"/>
        <v>12.936705108606294</v>
      </c>
      <c r="O25" s="75">
        <f>江苏省其他费用底稿!D221</f>
        <v>12.936705108606294</v>
      </c>
      <c r="P25" s="75">
        <f>江苏省其他费用底稿!D330</f>
        <v>11.054318664519682</v>
      </c>
      <c r="Q25" s="76"/>
      <c r="R25" s="3"/>
      <c r="S25" s="3"/>
    </row>
    <row r="26" spans="1:19">
      <c r="A26" s="68" t="str">
        <f>$A$22&amp;"."&amp;SUBTOTAL(103,$B$23:B26)</f>
        <v>2.4</v>
      </c>
      <c r="B26" s="63" t="s">
        <v>44</v>
      </c>
      <c r="C26" s="39"/>
      <c r="D26" s="58"/>
      <c r="E26" s="58"/>
      <c r="F26" s="58"/>
      <c r="G26" s="39">
        <f t="shared" si="3"/>
        <v>7.0245911987118079</v>
      </c>
      <c r="H26" s="39">
        <f t="shared" si="1"/>
        <v>7.0245911987118079</v>
      </c>
      <c r="I26" s="59"/>
      <c r="J26" s="60"/>
      <c r="K26" s="61"/>
      <c r="L26" s="77"/>
      <c r="N26" s="74">
        <f t="shared" si="2"/>
        <v>7.0245911987118079</v>
      </c>
      <c r="O26" s="75">
        <f>江苏省其他费用底稿!D229</f>
        <v>7.0245911987118079</v>
      </c>
      <c r="P26" s="75">
        <f>江苏省其他费用底稿!D338</f>
        <v>4.2772501769905507</v>
      </c>
      <c r="Q26" s="76"/>
      <c r="R26" s="3"/>
      <c r="S26" s="3"/>
    </row>
    <row r="27" spans="1:19" outlineLevel="1">
      <c r="A27" s="68" t="str">
        <f>$A$22&amp;"."&amp;SUBTOTAL(103,$B$23:B27)</f>
        <v>2.5</v>
      </c>
      <c r="B27" s="63" t="s">
        <v>45</v>
      </c>
      <c r="C27" s="39"/>
      <c r="D27" s="58"/>
      <c r="E27" s="58"/>
      <c r="F27" s="58"/>
      <c r="G27" s="39">
        <f t="shared" si="3"/>
        <v>4.8622047546251954</v>
      </c>
      <c r="H27" s="39">
        <f t="shared" si="1"/>
        <v>4.8622047546251954</v>
      </c>
      <c r="I27" s="59"/>
      <c r="J27" s="60"/>
      <c r="K27" s="61"/>
      <c r="L27" s="77"/>
      <c r="N27" s="74">
        <f t="shared" si="2"/>
        <v>4.8622047546251954</v>
      </c>
      <c r="O27" s="75">
        <f>江苏省其他费用底稿!D237</f>
        <v>4.8622047546251954</v>
      </c>
      <c r="P27" s="75"/>
      <c r="Q27" s="76"/>
      <c r="R27" s="3"/>
      <c r="S27" s="3"/>
    </row>
    <row r="28" spans="1:19">
      <c r="A28" s="68" t="str">
        <f>$A$22&amp;"."&amp;SUBTOTAL(103,$B$23:B28)</f>
        <v>2.6</v>
      </c>
      <c r="B28" s="63" t="s">
        <v>46</v>
      </c>
      <c r="C28" s="39"/>
      <c r="D28" s="58"/>
      <c r="E28" s="58"/>
      <c r="F28" s="58"/>
      <c r="G28" s="39">
        <f t="shared" si="3"/>
        <v>38.447728881732274</v>
      </c>
      <c r="H28" s="39">
        <f t="shared" si="1"/>
        <v>38.447728881732274</v>
      </c>
      <c r="I28" s="59"/>
      <c r="J28" s="60"/>
      <c r="K28" s="61"/>
      <c r="L28" s="79"/>
      <c r="N28" s="74">
        <f t="shared" si="2"/>
        <v>38.447728881732274</v>
      </c>
      <c r="O28" s="75">
        <f>江苏省其他费用底稿!D245</f>
        <v>38.447728881732274</v>
      </c>
      <c r="P28" s="75">
        <f>江苏省其他费用底稿!D346</f>
        <v>23.148637329039364</v>
      </c>
      <c r="Q28" s="76"/>
      <c r="R28" s="3"/>
      <c r="S28" s="3"/>
    </row>
    <row r="29" spans="1:19">
      <c r="A29" s="66">
        <f>SUBTOTAL(103,$B$19,$B$22,$B$29)</f>
        <v>3</v>
      </c>
      <c r="B29" s="63" t="s">
        <v>47</v>
      </c>
      <c r="C29" s="80"/>
      <c r="D29" s="80"/>
      <c r="E29" s="80"/>
      <c r="F29" s="80"/>
      <c r="G29" s="39"/>
      <c r="H29" s="39">
        <f t="shared" si="1"/>
        <v>0</v>
      </c>
      <c r="I29" s="59"/>
      <c r="J29" s="60"/>
      <c r="K29" s="81"/>
      <c r="L29" s="69"/>
      <c r="N29" s="3"/>
      <c r="P29" s="3"/>
      <c r="Q29" s="3"/>
      <c r="R29" s="3"/>
      <c r="S29" s="3"/>
    </row>
    <row r="30" spans="1:19">
      <c r="A30" s="68" t="str">
        <f>$A$29&amp;"."&amp;SUBTOTAL(103,$B$30:B30)</f>
        <v>3.1</v>
      </c>
      <c r="B30" s="82" t="s">
        <v>48</v>
      </c>
      <c r="C30" s="80"/>
      <c r="D30" s="80"/>
      <c r="E30" s="80"/>
      <c r="F30" s="80"/>
      <c r="G30" s="39">
        <f ca="1">+江苏省其他费用底稿!G52</f>
        <v>7.9125731299372752</v>
      </c>
      <c r="H30" s="39">
        <f t="shared" ca="1" si="1"/>
        <v>7.9125731299372752</v>
      </c>
      <c r="I30" s="59"/>
      <c r="J30" s="60"/>
      <c r="K30" s="81"/>
      <c r="L30" s="73" t="s">
        <v>49</v>
      </c>
      <c r="N30" s="3"/>
      <c r="O30" s="3"/>
      <c r="P30" s="3"/>
      <c r="Q30" s="3"/>
      <c r="R30" s="3"/>
      <c r="S30" s="3"/>
    </row>
    <row r="31" spans="1:19">
      <c r="A31" s="68" t="str">
        <f>$A$29&amp;"."&amp;SUBTOTAL(103,$B$30:B31)</f>
        <v>3.2</v>
      </c>
      <c r="B31" s="63" t="s">
        <v>50</v>
      </c>
      <c r="C31" s="80"/>
      <c r="D31" s="80"/>
      <c r="E31" s="80"/>
      <c r="F31" s="80"/>
      <c r="G31" s="39">
        <f ca="1">+江苏省其他费用底稿!G59</f>
        <v>15.82514625987455</v>
      </c>
      <c r="H31" s="39">
        <f t="shared" ca="1" si="1"/>
        <v>15.82514625987455</v>
      </c>
      <c r="I31" s="59"/>
      <c r="J31" s="60"/>
      <c r="K31" s="81"/>
      <c r="L31" s="77"/>
      <c r="N31" s="3"/>
      <c r="O31" s="3"/>
      <c r="P31" s="3"/>
      <c r="Q31" s="3"/>
      <c r="R31" s="3"/>
      <c r="S31" s="3"/>
    </row>
    <row r="32" spans="1:19">
      <c r="A32" s="68" t="str">
        <f>$A$29&amp;"."&amp;SUBTOTAL(103,$B$30:B32)</f>
        <v>3.3</v>
      </c>
      <c r="B32" s="82" t="s">
        <v>51</v>
      </c>
      <c r="C32" s="80"/>
      <c r="D32" s="80"/>
      <c r="E32" s="80"/>
      <c r="F32" s="80"/>
      <c r="G32" s="39">
        <f ca="1">+江苏省其他费用底稿!G66</f>
        <v>4.7962865649686375</v>
      </c>
      <c r="H32" s="39">
        <f t="shared" ca="1" si="1"/>
        <v>4.7962865649686375</v>
      </c>
      <c r="I32" s="59"/>
      <c r="J32" s="60"/>
      <c r="K32" s="81"/>
      <c r="L32" s="77"/>
      <c r="N32" s="3"/>
      <c r="O32" s="3"/>
      <c r="P32" s="3"/>
      <c r="Q32" s="3"/>
      <c r="R32" s="3"/>
      <c r="S32" s="3"/>
    </row>
    <row r="33" spans="1:19">
      <c r="A33" s="68" t="str">
        <f>$A$29&amp;"."&amp;SUBTOTAL(103,$B$30:B33)</f>
        <v>3.4</v>
      </c>
      <c r="B33" s="63" t="s">
        <v>52</v>
      </c>
      <c r="C33" s="80"/>
      <c r="D33" s="80"/>
      <c r="E33" s="80"/>
      <c r="F33" s="80"/>
      <c r="G33" s="39">
        <f ca="1">+江苏省其他费用底稿!G73</f>
        <v>5.9953582062107964</v>
      </c>
      <c r="H33" s="39">
        <f t="shared" ca="1" si="1"/>
        <v>5.9953582062107964</v>
      </c>
      <c r="I33" s="59"/>
      <c r="J33" s="60"/>
      <c r="K33" s="81"/>
      <c r="L33" s="79"/>
      <c r="N33" s="3"/>
      <c r="O33" s="3"/>
      <c r="P33" s="3"/>
      <c r="Q33" s="3"/>
      <c r="R33" s="3"/>
      <c r="S33" s="3"/>
    </row>
    <row r="34" spans="1:19">
      <c r="A34" s="66">
        <f>SUBTOTAL(103,$B$19,$B$22,$B$29,$B$34)</f>
        <v>4</v>
      </c>
      <c r="B34" s="63" t="s">
        <v>53</v>
      </c>
      <c r="C34" s="39"/>
      <c r="D34" s="58"/>
      <c r="E34" s="58"/>
      <c r="F34" s="58"/>
      <c r="G34" s="39"/>
      <c r="H34" s="39">
        <f t="shared" ref="H34" si="4">SUM(C34:G34)</f>
        <v>0</v>
      </c>
      <c r="I34" s="59"/>
      <c r="J34" s="60"/>
      <c r="K34" s="81"/>
      <c r="L34" s="65" t="s">
        <v>54</v>
      </c>
    </row>
    <row r="35" spans="1:19" hidden="1" outlineLevel="2">
      <c r="A35" s="68" t="str">
        <f>$A$34&amp;"."&amp;SUBTOTAL(103,$B$35:B35)</f>
        <v>4.0</v>
      </c>
      <c r="B35" s="63" t="s">
        <v>55</v>
      </c>
      <c r="C35" s="39"/>
      <c r="D35" s="58"/>
      <c r="E35" s="58"/>
      <c r="F35" s="58"/>
      <c r="G35" s="83">
        <f ca="1">+江苏省其他费用底稿!D99*0</f>
        <v>0</v>
      </c>
      <c r="H35" s="39">
        <f ca="1">SUM(C35:G35)</f>
        <v>0</v>
      </c>
      <c r="I35" s="59"/>
      <c r="J35" s="60"/>
      <c r="K35" s="81"/>
      <c r="L35" s="65" t="s">
        <v>56</v>
      </c>
    </row>
    <row r="36" spans="1:19" collapsed="1">
      <c r="A36" s="68" t="str">
        <f>$A$34&amp;"."&amp;SUBTOTAL(103,$B$35:B36)</f>
        <v>4.1</v>
      </c>
      <c r="B36" s="63" t="s">
        <v>57</v>
      </c>
      <c r="C36" s="39"/>
      <c r="D36" s="58"/>
      <c r="E36" s="58"/>
      <c r="F36" s="58"/>
      <c r="G36" s="83">
        <f ca="1">+江苏省其他费用底稿!D106</f>
        <v>9.1009675124584906</v>
      </c>
      <c r="H36" s="39">
        <f ca="1">SUM(C36:G36)</f>
        <v>9.1009675124584906</v>
      </c>
      <c r="I36" s="59"/>
      <c r="J36" s="60"/>
      <c r="K36" s="81"/>
      <c r="L36" s="65"/>
    </row>
    <row r="37" spans="1:19" hidden="1" outlineLevel="1">
      <c r="A37" s="68" t="str">
        <f>$A$34&amp;"."&amp;SUBTOTAL(103,$B$35:B37)</f>
        <v>4.1</v>
      </c>
      <c r="B37" s="63" t="s">
        <v>58</v>
      </c>
      <c r="C37" s="39"/>
      <c r="D37" s="58"/>
      <c r="E37" s="58"/>
      <c r="F37" s="58"/>
      <c r="G37" s="83">
        <f ca="1">+江苏省其他费用底稿!D113*0</f>
        <v>0</v>
      </c>
      <c r="H37" s="39">
        <f ca="1">SUM(C37:G37)</f>
        <v>0</v>
      </c>
      <c r="I37" s="59"/>
      <c r="J37" s="60"/>
      <c r="K37" s="81"/>
      <c r="L37" s="65"/>
    </row>
    <row r="38" spans="1:19" collapsed="1">
      <c r="A38" s="68" t="str">
        <f>$A$34&amp;"."&amp;SUBTOTAL(103,$B$35:B38)</f>
        <v>4.2</v>
      </c>
      <c r="B38" s="63" t="s">
        <v>59</v>
      </c>
      <c r="C38" s="39"/>
      <c r="D38" s="58"/>
      <c r="E38" s="58"/>
      <c r="F38" s="58"/>
      <c r="G38" s="83">
        <f ca="1">+江苏省其他费用底稿!D120</f>
        <v>2.1168279187430818</v>
      </c>
      <c r="H38" s="39">
        <f ca="1">SUM(C38:G38)</f>
        <v>2.1168279187430818</v>
      </c>
      <c r="I38" s="59"/>
      <c r="J38" s="60"/>
      <c r="K38" s="81"/>
      <c r="L38" s="65"/>
    </row>
    <row r="39" spans="1:19" hidden="1" outlineLevel="1">
      <c r="A39" s="66">
        <f>SUBTOTAL(103,$B$19,$B$22,$B$29,$B$34,$B$39)</f>
        <v>4</v>
      </c>
      <c r="B39" s="84" t="s">
        <v>60</v>
      </c>
      <c r="C39" s="39"/>
      <c r="D39" s="58"/>
      <c r="E39" s="58"/>
      <c r="F39" s="58"/>
      <c r="G39" s="39"/>
      <c r="H39" s="39"/>
      <c r="I39" s="59"/>
      <c r="J39" s="60"/>
      <c r="K39" s="61"/>
      <c r="L39" s="65"/>
      <c r="N39" s="3"/>
      <c r="O39" s="3"/>
      <c r="P39" s="3"/>
      <c r="Q39" s="3"/>
      <c r="R39" s="3"/>
      <c r="S39" s="3"/>
    </row>
    <row r="40" spans="1:19" hidden="1" outlineLevel="1">
      <c r="A40" s="68" t="str">
        <f>$A$39&amp;"."&amp;SUBTOTAL(103,$B$40:B40)</f>
        <v>4.0</v>
      </c>
      <c r="B40" s="84" t="s">
        <v>61</v>
      </c>
      <c r="C40" s="39"/>
      <c r="D40" s="58"/>
      <c r="E40" s="58"/>
      <c r="F40" s="58"/>
      <c r="G40" s="39"/>
      <c r="H40" s="39"/>
      <c r="I40" s="59"/>
      <c r="J40" s="60"/>
      <c r="K40" s="61"/>
      <c r="L40" s="65"/>
      <c r="N40" s="3"/>
      <c r="O40" s="3"/>
      <c r="P40" s="3"/>
      <c r="Q40" s="3"/>
      <c r="R40" s="3"/>
      <c r="S40" s="3"/>
    </row>
    <row r="41" spans="1:19" hidden="1" outlineLevel="1">
      <c r="A41" s="68" t="str">
        <f>$A$39&amp;"."&amp;SUBTOTAL(103,$B$40:B41)</f>
        <v>4.0</v>
      </c>
      <c r="B41" s="84" t="s">
        <v>62</v>
      </c>
      <c r="C41" s="39"/>
      <c r="D41" s="58"/>
      <c r="E41" s="58"/>
      <c r="F41" s="58"/>
      <c r="G41" s="39"/>
      <c r="H41" s="39"/>
      <c r="I41" s="59"/>
      <c r="J41" s="60"/>
      <c r="K41" s="61"/>
      <c r="L41" s="65"/>
      <c r="N41" s="3"/>
      <c r="O41" s="3"/>
      <c r="P41" s="3"/>
      <c r="Q41" s="3"/>
      <c r="R41" s="3"/>
      <c r="S41" s="3"/>
    </row>
    <row r="42" spans="1:19" hidden="1" outlineLevel="1">
      <c r="A42" s="68" t="str">
        <f>$A$39&amp;"."&amp;SUBTOTAL(103,$B$40:B42)</f>
        <v>4.0</v>
      </c>
      <c r="B42" s="84" t="s">
        <v>63</v>
      </c>
      <c r="C42" s="39"/>
      <c r="D42" s="58"/>
      <c r="E42" s="58"/>
      <c r="F42" s="58"/>
      <c r="G42" s="39"/>
      <c r="H42" s="39"/>
      <c r="I42" s="59"/>
      <c r="J42" s="60"/>
      <c r="K42" s="61"/>
      <c r="L42" s="65"/>
      <c r="N42" s="3"/>
      <c r="O42" s="3"/>
      <c r="P42" s="3"/>
      <c r="Q42" s="3"/>
      <c r="R42" s="3"/>
      <c r="S42" s="3"/>
    </row>
    <row r="43" spans="1:19" hidden="1" outlineLevel="1">
      <c r="A43" s="66">
        <f>SUBTOTAL(103,$B$19,$B$22,$B$29,$B$34,$B$39,$B$43)</f>
        <v>4</v>
      </c>
      <c r="B43" s="84" t="s">
        <v>64</v>
      </c>
      <c r="C43" s="39"/>
      <c r="D43" s="58"/>
      <c r="E43" s="58"/>
      <c r="F43" s="58"/>
      <c r="G43" s="39"/>
      <c r="H43" s="39"/>
      <c r="I43" s="59"/>
      <c r="J43" s="60"/>
      <c r="K43" s="61"/>
      <c r="L43" s="65"/>
      <c r="N43" s="3"/>
      <c r="O43" s="3"/>
      <c r="P43" s="3"/>
      <c r="Q43" s="3"/>
      <c r="R43" s="3"/>
      <c r="S43" s="3"/>
    </row>
    <row r="44" spans="1:19" hidden="1" outlineLevel="1">
      <c r="A44" s="68" t="str">
        <f>$A$43&amp;"."&amp;SUBTOTAL(103,B44)</f>
        <v>4.0</v>
      </c>
      <c r="B44" s="84" t="s">
        <v>64</v>
      </c>
      <c r="C44" s="39"/>
      <c r="D44" s="58"/>
      <c r="E44" s="58"/>
      <c r="F44" s="58"/>
      <c r="G44" s="39"/>
      <c r="H44" s="39"/>
      <c r="I44" s="59"/>
      <c r="J44" s="60"/>
      <c r="K44" s="61"/>
      <c r="L44" s="65"/>
      <c r="N44" s="3"/>
      <c r="O44" s="3"/>
      <c r="P44" s="3"/>
      <c r="Q44" s="3"/>
      <c r="R44" s="3"/>
      <c r="S44" s="3"/>
    </row>
    <row r="45" spans="1:19" collapsed="1">
      <c r="A45" s="66">
        <f>SUBTOTAL(103,$B$19,$B$22,$B$29,$B$34,$B$39,$B$43,$B$45)</f>
        <v>5</v>
      </c>
      <c r="B45" s="63" t="s">
        <v>65</v>
      </c>
      <c r="C45" s="39"/>
      <c r="D45" s="58"/>
      <c r="E45" s="58"/>
      <c r="F45" s="58"/>
      <c r="G45" s="39">
        <f>+H9*M45/100</f>
        <v>35.247728881732272</v>
      </c>
      <c r="H45" s="39">
        <f t="shared" ref="H45:H50" si="5">SUM(C45:G45)</f>
        <v>35.247728881732272</v>
      </c>
      <c r="I45" s="59"/>
      <c r="J45" s="60"/>
      <c r="K45" s="61"/>
      <c r="L45" s="85" t="str">
        <f>"工程费用×"&amp;M45&amp;"%"</f>
        <v>工程费用×0.8%</v>
      </c>
      <c r="M45" s="86">
        <v>0.8</v>
      </c>
      <c r="N45" s="37" t="s">
        <v>66</v>
      </c>
      <c r="O45" s="3"/>
      <c r="P45" s="3"/>
      <c r="Q45" s="3"/>
      <c r="R45" s="3"/>
      <c r="S45" s="3"/>
    </row>
    <row r="46" spans="1:19">
      <c r="A46" s="66">
        <f>SUBTOTAL(103,$B$19,$B$22,$B$29,$B$34,$B$39,$B$43,$B$45,$B$46)</f>
        <v>6</v>
      </c>
      <c r="B46" s="63" t="s">
        <v>67</v>
      </c>
      <c r="C46" s="39"/>
      <c r="D46" s="39"/>
      <c r="E46" s="39"/>
      <c r="F46" s="39"/>
      <c r="G46" s="39"/>
      <c r="H46" s="39">
        <f t="shared" si="5"/>
        <v>0</v>
      </c>
      <c r="I46" s="59"/>
      <c r="J46" s="60"/>
      <c r="K46" s="61"/>
      <c r="L46" s="65"/>
      <c r="N46" s="3"/>
      <c r="O46" s="3"/>
      <c r="P46" s="3"/>
      <c r="Q46" s="3"/>
      <c r="R46" s="3"/>
      <c r="S46" s="3"/>
    </row>
    <row r="47" spans="1:19">
      <c r="A47" s="68" t="str">
        <f>$A$46&amp;"."&amp;SUBTOTAL(103,$B$47:B47)</f>
        <v>6.1</v>
      </c>
      <c r="B47" s="63" t="s">
        <v>68</v>
      </c>
      <c r="C47" s="39"/>
      <c r="D47" s="39"/>
      <c r="E47" s="39"/>
      <c r="F47" s="39"/>
      <c r="G47" s="39">
        <f>+江苏省其他费用底稿!E90</f>
        <v>167.97052035290784</v>
      </c>
      <c r="H47" s="39">
        <f t="shared" si="5"/>
        <v>167.97052035290784</v>
      </c>
      <c r="I47" s="59"/>
      <c r="J47" s="60"/>
      <c r="K47" s="81"/>
      <c r="L47" s="65" t="s">
        <v>69</v>
      </c>
      <c r="N47" s="3"/>
      <c r="O47" s="3"/>
      <c r="P47" s="3"/>
      <c r="Q47" s="3"/>
      <c r="R47" s="3"/>
      <c r="S47" s="3"/>
    </row>
    <row r="48" spans="1:19" hidden="1" outlineLevel="1">
      <c r="A48" s="68" t="str">
        <f>$A$46&amp;"."&amp;SUBTOTAL(103,$B$47:B48)</f>
        <v>6.1</v>
      </c>
      <c r="B48" s="63" t="s">
        <v>70</v>
      </c>
      <c r="C48" s="39"/>
      <c r="D48" s="39"/>
      <c r="E48" s="39"/>
      <c r="F48" s="39"/>
      <c r="G48" s="39">
        <f>+G47*0.1*0</f>
        <v>0</v>
      </c>
      <c r="H48" s="39">
        <f t="shared" si="5"/>
        <v>0</v>
      </c>
      <c r="I48" s="59"/>
      <c r="J48" s="60"/>
      <c r="K48" s="81"/>
      <c r="L48" s="65" t="s">
        <v>71</v>
      </c>
      <c r="N48" s="3"/>
      <c r="O48" s="3"/>
      <c r="P48" s="3"/>
      <c r="Q48" s="3"/>
      <c r="R48" s="3"/>
      <c r="S48" s="3"/>
    </row>
    <row r="49" spans="1:19" collapsed="1">
      <c r="A49" s="68" t="str">
        <f>$A$46&amp;"."&amp;SUBTOTAL(103,$B$47:B49)</f>
        <v>6.2</v>
      </c>
      <c r="B49" s="63" t="s">
        <v>72</v>
      </c>
      <c r="C49" s="39"/>
      <c r="D49" s="39"/>
      <c r="E49" s="39"/>
      <c r="F49" s="39"/>
      <c r="G49" s="39">
        <f>+G47*8%</f>
        <v>13.437641628232628</v>
      </c>
      <c r="H49" s="39">
        <f t="shared" si="5"/>
        <v>13.437641628232628</v>
      </c>
      <c r="I49" s="59"/>
      <c r="J49" s="60"/>
      <c r="K49" s="81"/>
      <c r="L49" s="69" t="s">
        <v>73</v>
      </c>
      <c r="N49" s="3"/>
      <c r="O49" s="3"/>
      <c r="P49" s="3"/>
      <c r="Q49" s="3"/>
      <c r="R49" s="3"/>
      <c r="S49" s="3"/>
    </row>
    <row r="50" spans="1:19" hidden="1" outlineLevel="1">
      <c r="A50" s="68" t="str">
        <f>$A$46&amp;"."&amp;SUBTOTAL(103,$B$47:B50)</f>
        <v>6.2</v>
      </c>
      <c r="B50" s="63" t="s">
        <v>74</v>
      </c>
      <c r="C50" s="39"/>
      <c r="D50" s="39"/>
      <c r="E50" s="39"/>
      <c r="F50" s="39"/>
      <c r="G50" s="39">
        <f>+G47*20%*0</f>
        <v>0</v>
      </c>
      <c r="H50" s="39">
        <f t="shared" si="5"/>
        <v>0</v>
      </c>
      <c r="I50" s="59"/>
      <c r="J50" s="60"/>
      <c r="K50" s="81"/>
      <c r="L50" s="69" t="s">
        <v>75</v>
      </c>
      <c r="N50" s="3"/>
      <c r="O50" s="3"/>
      <c r="P50" s="3"/>
      <c r="Q50" s="3"/>
      <c r="R50" s="3"/>
      <c r="S50" s="3"/>
    </row>
    <row r="51" spans="1:19" collapsed="1">
      <c r="A51" s="66">
        <f>SUBTOTAL(103,$B$19,$B$22,$B$29,$B$34,$B$39,$B$43,$B$45,$B$46,B51)</f>
        <v>7</v>
      </c>
      <c r="B51" s="63" t="s">
        <v>76</v>
      </c>
      <c r="C51" s="39"/>
      <c r="D51" s="39"/>
      <c r="E51" s="39"/>
      <c r="F51" s="39"/>
      <c r="G51" s="39"/>
      <c r="H51" s="39"/>
      <c r="I51" s="59"/>
      <c r="J51" s="60"/>
      <c r="K51" s="81"/>
      <c r="L51" s="65"/>
      <c r="N51" s="3"/>
      <c r="O51" s="3"/>
      <c r="P51" s="3"/>
      <c r="Q51" s="3"/>
      <c r="R51" s="3"/>
      <c r="S51" s="3"/>
    </row>
    <row r="52" spans="1:19">
      <c r="A52" s="68" t="str">
        <f>$A$51&amp;"."&amp;SUBTOTAL(103,$B$52:B52)</f>
        <v>7.1</v>
      </c>
      <c r="B52" s="63" t="s">
        <v>77</v>
      </c>
      <c r="C52" s="39"/>
      <c r="D52" s="39"/>
      <c r="E52" s="39"/>
      <c r="F52" s="39"/>
      <c r="G52" s="39">
        <f>江苏省其他费用底稿!D304</f>
        <v>3.6993410217212594</v>
      </c>
      <c r="H52" s="39">
        <f>SUM(C52:G52)</f>
        <v>3.6993410217212594</v>
      </c>
      <c r="I52" s="59"/>
      <c r="J52" s="60"/>
      <c r="K52" s="81"/>
      <c r="L52" s="65" t="s">
        <v>78</v>
      </c>
      <c r="N52" s="3"/>
      <c r="O52" s="3"/>
      <c r="P52" s="3"/>
      <c r="Q52" s="3"/>
      <c r="R52" s="3"/>
      <c r="S52" s="3"/>
    </row>
    <row r="53" spans="1:19" hidden="1" outlineLevel="1">
      <c r="A53" s="68" t="str">
        <f>$A$51&amp;"."&amp;SUBTOTAL(103,$B$52:B53)</f>
        <v>7.1</v>
      </c>
      <c r="B53" s="63" t="s">
        <v>79</v>
      </c>
      <c r="C53" s="39"/>
      <c r="D53" s="39"/>
      <c r="E53" s="39"/>
      <c r="F53" s="39"/>
      <c r="G53" s="39"/>
      <c r="H53" s="39"/>
      <c r="I53" s="59"/>
      <c r="J53" s="60"/>
      <c r="K53" s="81"/>
      <c r="L53" s="65"/>
      <c r="N53" s="3"/>
      <c r="O53" s="3"/>
      <c r="P53" s="3"/>
      <c r="Q53" s="3"/>
      <c r="R53" s="3"/>
      <c r="S53" s="3"/>
    </row>
    <row r="54" spans="1:19" hidden="1" outlineLevel="1">
      <c r="A54" s="68" t="str">
        <f>$A$51&amp;"."&amp;SUBTOTAL(103,$B$52:B54)</f>
        <v>7.1</v>
      </c>
      <c r="B54" s="63" t="s">
        <v>80</v>
      </c>
      <c r="C54" s="39"/>
      <c r="D54" s="39"/>
      <c r="E54" s="39"/>
      <c r="F54" s="39"/>
      <c r="G54" s="39"/>
      <c r="H54" s="39"/>
      <c r="I54" s="59"/>
      <c r="J54" s="60"/>
      <c r="K54" s="81"/>
      <c r="L54" s="65"/>
      <c r="N54" s="3"/>
      <c r="O54" s="3"/>
      <c r="P54" s="3"/>
      <c r="Q54" s="3"/>
      <c r="R54" s="3"/>
      <c r="S54" s="3"/>
    </row>
    <row r="55" spans="1:19" hidden="1" outlineLevel="1">
      <c r="A55" s="68" t="str">
        <f>$A$51&amp;"."&amp;SUBTOTAL(103,$B$52:B55)</f>
        <v>7.1</v>
      </c>
      <c r="B55" s="63" t="s">
        <v>81</v>
      </c>
      <c r="C55" s="39"/>
      <c r="D55" s="39"/>
      <c r="E55" s="39"/>
      <c r="F55" s="39"/>
      <c r="G55" s="39"/>
      <c r="H55" s="39"/>
      <c r="I55" s="59"/>
      <c r="J55" s="60"/>
      <c r="K55" s="81"/>
      <c r="L55" s="65"/>
      <c r="N55" s="3"/>
      <c r="O55" s="3"/>
      <c r="P55" s="3"/>
      <c r="Q55" s="3"/>
      <c r="R55" s="3"/>
      <c r="S55" s="3"/>
    </row>
    <row r="56" spans="1:19" hidden="1" outlineLevel="1">
      <c r="A56" s="68" t="str">
        <f>$A$51&amp;"."&amp;SUBTOTAL(103,$B$52:B56)</f>
        <v>7.1</v>
      </c>
      <c r="B56" s="63" t="s">
        <v>82</v>
      </c>
      <c r="C56" s="39"/>
      <c r="D56" s="39"/>
      <c r="E56" s="39"/>
      <c r="F56" s="39"/>
      <c r="G56" s="39"/>
      <c r="H56" s="39"/>
      <c r="I56" s="59"/>
      <c r="J56" s="60"/>
      <c r="K56" s="81"/>
      <c r="L56" s="65"/>
      <c r="N56" s="3"/>
      <c r="O56" s="3"/>
      <c r="P56" s="3"/>
      <c r="Q56" s="3"/>
      <c r="R56" s="3"/>
      <c r="S56" s="3"/>
    </row>
    <row r="57" spans="1:19" collapsed="1">
      <c r="A57" s="66">
        <f>SUBTOTAL(103,$B$19,$B$22,$B$29,$B$34,$B$39,$B$43,$B$45,$B$46,B51,B57)</f>
        <v>8</v>
      </c>
      <c r="B57" s="63" t="s">
        <v>83</v>
      </c>
      <c r="C57" s="39"/>
      <c r="D57" s="58"/>
      <c r="E57" s="58"/>
      <c r="F57" s="58"/>
      <c r="G57" s="39">
        <f>+江苏省其他费用底稿!E145*0</f>
        <v>0</v>
      </c>
      <c r="H57" s="39">
        <f>SUM(C57:G57)</f>
        <v>0</v>
      </c>
      <c r="I57" s="59"/>
      <c r="J57" s="60"/>
      <c r="K57" s="61"/>
      <c r="L57" s="69"/>
      <c r="M57" s="3">
        <v>1</v>
      </c>
      <c r="N57" s="87" t="str">
        <f>INDEX(O57:P57,$M$57)</f>
        <v>发改价格[2011]534号文</v>
      </c>
      <c r="O57" s="70" t="s">
        <v>84</v>
      </c>
      <c r="P57" s="71" t="s">
        <v>85</v>
      </c>
      <c r="Q57" s="72"/>
      <c r="R57" s="3"/>
      <c r="S57" s="3"/>
    </row>
    <row r="58" spans="1:19">
      <c r="A58" s="68" t="str">
        <f>$A$57&amp;"."&amp;SUBTOTAL(103,$B$58:B58)</f>
        <v>8.1</v>
      </c>
      <c r="B58" s="84" t="s">
        <v>86</v>
      </c>
      <c r="C58" s="39"/>
      <c r="D58" s="58"/>
      <c r="E58" s="58"/>
      <c r="F58" s="58"/>
      <c r="G58" s="39">
        <f>N58</f>
        <v>18.330643385757867</v>
      </c>
      <c r="H58" s="39">
        <f>SUM(C58:G58)</f>
        <v>18.330643385757867</v>
      </c>
      <c r="I58" s="59"/>
      <c r="J58" s="60"/>
      <c r="K58" s="61"/>
      <c r="L58" s="73" t="str">
        <f>N57</f>
        <v>发改价格[2011]534号文</v>
      </c>
      <c r="N58" s="74">
        <f>INDEX(O58:P58,$M$57)</f>
        <v>18.330643385757867</v>
      </c>
      <c r="O58" s="75">
        <f>江苏省其他费用底稿!E170</f>
        <v>18.330643385757867</v>
      </c>
      <c r="P58" s="75">
        <f>江苏省其他费用底稿!E195</f>
        <v>29.562439606190932</v>
      </c>
      <c r="Q58" s="76"/>
      <c r="R58" s="76" t="s">
        <v>87</v>
      </c>
      <c r="S58" s="3"/>
    </row>
    <row r="59" spans="1:19">
      <c r="A59" s="68" t="str">
        <f>$A$57&amp;"."&amp;SUBTOTAL(103,$B$58:B59)</f>
        <v>8.2</v>
      </c>
      <c r="B59" s="84" t="s">
        <v>88</v>
      </c>
      <c r="C59" s="39"/>
      <c r="D59" s="58"/>
      <c r="E59" s="58"/>
      <c r="F59" s="58"/>
      <c r="G59" s="39">
        <f t="shared" ref="G59:G60" si="6">N59</f>
        <v>0.60102</v>
      </c>
      <c r="H59" s="39">
        <f>SUM(C59:G59)</f>
        <v>0.60102</v>
      </c>
      <c r="I59" s="59"/>
      <c r="J59" s="60"/>
      <c r="K59" s="61"/>
      <c r="L59" s="77"/>
      <c r="N59" s="74">
        <f t="shared" ref="N59:N60" si="7">INDEX(O59:P59,$M$57)</f>
        <v>0.60102</v>
      </c>
      <c r="O59" s="75">
        <f>江苏省其他费用底稿!E154</f>
        <v>0.60102</v>
      </c>
      <c r="P59" s="75">
        <f>江苏省其他费用底稿!E179</f>
        <v>1</v>
      </c>
      <c r="Q59" s="76"/>
      <c r="R59" s="76" t="s">
        <v>89</v>
      </c>
      <c r="S59" s="3"/>
    </row>
    <row r="60" spans="1:19">
      <c r="A60" s="68" t="str">
        <f>$A$57&amp;"."&amp;SUBTOTAL(103,$B$58:B60)</f>
        <v>8.3</v>
      </c>
      <c r="B60" s="84" t="s">
        <v>90</v>
      </c>
      <c r="C60" s="39"/>
      <c r="D60" s="58"/>
      <c r="E60" s="58"/>
      <c r="F60" s="58"/>
      <c r="G60" s="39">
        <f t="shared" si="6"/>
        <v>3.298254574671966</v>
      </c>
      <c r="H60" s="39">
        <f>SUM(C60:G60)</f>
        <v>3.298254574671966</v>
      </c>
      <c r="I60" s="59"/>
      <c r="J60" s="60"/>
      <c r="K60" s="61"/>
      <c r="L60" s="79"/>
      <c r="N60" s="74">
        <f t="shared" si="7"/>
        <v>3.298254574671966</v>
      </c>
      <c r="O60" s="75">
        <f>江苏省其他费用底稿!E162</f>
        <v>3.298254574671966</v>
      </c>
      <c r="P60" s="75">
        <f>江苏省其他费用底稿!E187</f>
        <v>5.1217273275099364</v>
      </c>
      <c r="Q60" s="76"/>
      <c r="R60" s="3"/>
      <c r="S60" s="3"/>
    </row>
    <row r="61" spans="1:19">
      <c r="A61" s="66">
        <f>SUBTOTAL(103,$B$19,$B$22,$B$29,$B$34,$B$39,$B$43,$B$45,$B$46,B51,B57,B61)</f>
        <v>9</v>
      </c>
      <c r="B61" s="63" t="s">
        <v>91</v>
      </c>
      <c r="C61" s="39"/>
      <c r="D61" s="58"/>
      <c r="E61" s="58"/>
      <c r="F61" s="58"/>
      <c r="G61" s="39"/>
      <c r="H61" s="39">
        <f t="shared" ref="H61" si="8">SUM(C61:G61)</f>
        <v>0</v>
      </c>
      <c r="I61" s="59"/>
      <c r="J61" s="60"/>
      <c r="K61" s="61"/>
      <c r="L61" s="65"/>
      <c r="N61" s="3"/>
      <c r="O61" s="75"/>
      <c r="P61" s="75"/>
      <c r="Q61" s="76"/>
      <c r="R61" s="3"/>
      <c r="S61" s="3"/>
    </row>
    <row r="62" spans="1:19">
      <c r="A62" s="66" t="str">
        <f>$A$61&amp;"."&amp;SUBTOTAL(103,$B$62:B62)</f>
        <v>9.1</v>
      </c>
      <c r="B62" s="63" t="s">
        <v>92</v>
      </c>
      <c r="C62" s="39"/>
      <c r="D62" s="58"/>
      <c r="E62" s="58"/>
      <c r="F62" s="58"/>
      <c r="G62" s="39">
        <f>+H9*1%</f>
        <v>44.059661102165336</v>
      </c>
      <c r="H62" s="39">
        <f>SUM(C62:G62)</f>
        <v>44.059661102165336</v>
      </c>
      <c r="I62" s="59"/>
      <c r="J62" s="88"/>
      <c r="K62" s="61"/>
      <c r="L62" s="85" t="str">
        <f>"工程费用×"&amp;M62&amp;"%"</f>
        <v>工程费用×1%</v>
      </c>
      <c r="M62" s="86">
        <v>1</v>
      </c>
      <c r="N62" s="37" t="s">
        <v>93</v>
      </c>
      <c r="O62" s="75"/>
      <c r="P62" s="75"/>
      <c r="Q62" s="76"/>
    </row>
    <row r="63" spans="1:19">
      <c r="A63" s="66" t="str">
        <f>$A$61&amp;"."&amp;SUBTOTAL(103,$B$62:B63)</f>
        <v>9.2</v>
      </c>
      <c r="B63" s="63" t="s">
        <v>94</v>
      </c>
      <c r="C63" s="39"/>
      <c r="D63" s="58"/>
      <c r="E63" s="58"/>
      <c r="F63" s="58"/>
      <c r="G63" s="39">
        <v>0.17499999999999999</v>
      </c>
      <c r="H63" s="39">
        <f>SUM(C63:G63)</f>
        <v>0.17499999999999999</v>
      </c>
      <c r="I63" s="67"/>
      <c r="J63" s="89"/>
      <c r="K63" s="39"/>
      <c r="L63" s="65" t="s">
        <v>95</v>
      </c>
      <c r="M63" s="37" t="s">
        <v>96</v>
      </c>
      <c r="N63" s="3"/>
      <c r="O63" s="75"/>
      <c r="P63" s="75"/>
      <c r="Q63" s="76"/>
      <c r="R63" s="3"/>
      <c r="S63" s="3"/>
    </row>
    <row r="64" spans="1:19" hidden="1" outlineLevel="1">
      <c r="A64" s="66" t="str">
        <f>$A$61&amp;"."&amp;SUBTOTAL(103,$B$62:B64)</f>
        <v>9.2</v>
      </c>
      <c r="B64" s="63" t="s">
        <v>97</v>
      </c>
      <c r="C64" s="39"/>
      <c r="D64" s="58"/>
      <c r="E64" s="58"/>
      <c r="F64" s="58"/>
      <c r="G64" s="39"/>
      <c r="H64" s="39">
        <f t="shared" ref="H64" si="9">SUM(C64:G64)</f>
        <v>0</v>
      </c>
      <c r="I64" s="67"/>
      <c r="J64" s="89"/>
      <c r="K64" s="39"/>
      <c r="L64" s="65"/>
      <c r="N64" s="3"/>
      <c r="P64" s="3"/>
      <c r="Q64" s="3"/>
      <c r="R64" s="3"/>
      <c r="S64" s="3"/>
    </row>
    <row r="65" spans="1:21" collapsed="1">
      <c r="A65" s="66" t="str">
        <f>$A$61&amp;"."&amp;SUBTOTAL(103,$B$62:B65)</f>
        <v>9.3</v>
      </c>
      <c r="B65" s="63" t="s">
        <v>98</v>
      </c>
      <c r="C65" s="39"/>
      <c r="D65" s="58"/>
      <c r="E65" s="58"/>
      <c r="F65" s="58"/>
      <c r="G65" s="39">
        <f>+J65*K65/10000</f>
        <v>27</v>
      </c>
      <c r="H65" s="39">
        <f>SUM(C65:G65)</f>
        <v>27</v>
      </c>
      <c r="I65" s="67" t="s">
        <v>99</v>
      </c>
      <c r="J65" s="90">
        <f>5000*9%</f>
        <v>450</v>
      </c>
      <c r="K65" s="91">
        <v>600</v>
      </c>
      <c r="L65" s="92" t="s">
        <v>100</v>
      </c>
      <c r="M65" s="93" t="s">
        <v>101</v>
      </c>
      <c r="N65" s="94"/>
      <c r="O65" s="95"/>
      <c r="P65" s="95"/>
      <c r="Q65" s="95"/>
      <c r="R65" s="95"/>
      <c r="S65" s="95"/>
      <c r="T65" s="95"/>
      <c r="U65" s="95"/>
    </row>
    <row r="66" spans="1:21">
      <c r="A66" s="66">
        <f>SUBTOTAL(103,$B$19,$B$22,$B$29,$B$34,$B$39,$B$43,$B$45,$B$46,B51,B57,B61,B66)</f>
        <v>10</v>
      </c>
      <c r="B66" s="63" t="s">
        <v>102</v>
      </c>
      <c r="C66" s="39"/>
      <c r="D66" s="58"/>
      <c r="E66" s="58"/>
      <c r="F66" s="58"/>
      <c r="G66" s="39"/>
      <c r="H66" s="39"/>
      <c r="I66" s="67"/>
      <c r="J66" s="89"/>
      <c r="K66" s="39"/>
      <c r="L66" s="65"/>
      <c r="O66" s="96" t="s">
        <v>103</v>
      </c>
      <c r="P66" s="3"/>
      <c r="Q66" s="3"/>
      <c r="R66" s="3"/>
      <c r="S66" s="3"/>
    </row>
    <row r="67" spans="1:21">
      <c r="A67" s="68" t="str">
        <f>$A$66&amp;"."&amp;SUBTOTAL(103,$B$67:B67)</f>
        <v>10.1</v>
      </c>
      <c r="B67" s="97" t="s">
        <v>104</v>
      </c>
      <c r="C67" s="39"/>
      <c r="D67" s="58"/>
      <c r="E67" s="58"/>
      <c r="F67" s="58"/>
      <c r="G67" s="39">
        <f>(C9+D9)*M67/100</f>
        <v>21.829490551082667</v>
      </c>
      <c r="H67" s="39">
        <f t="shared" ref="H67:H70" si="10">SUM(C67:G67)</f>
        <v>21.829490551082667</v>
      </c>
      <c r="I67" s="67"/>
      <c r="J67" s="89"/>
      <c r="K67" s="39"/>
      <c r="L67" s="85" t="str">
        <f>"建安工程费用×"&amp;M67&amp;"%"</f>
        <v>建安工程费用×0.5%</v>
      </c>
      <c r="M67" s="86">
        <v>0.5</v>
      </c>
      <c r="N67" s="37" t="s">
        <v>105</v>
      </c>
      <c r="O67" s="98" t="s">
        <v>106</v>
      </c>
      <c r="P67" s="3"/>
      <c r="Q67" s="37" t="s">
        <v>107</v>
      </c>
      <c r="R67" s="3"/>
      <c r="S67" s="3"/>
    </row>
    <row r="68" spans="1:21" ht="15.6" hidden="1" customHeight="1" outlineLevel="1">
      <c r="A68" s="68" t="str">
        <f>$A$66&amp;"."&amp;SUBTOTAL(103,$B$67:B68)</f>
        <v>10.1</v>
      </c>
      <c r="B68" s="63" t="s">
        <v>108</v>
      </c>
      <c r="C68" s="39"/>
      <c r="D68" s="58"/>
      <c r="E68" s="58"/>
      <c r="F68" s="58"/>
      <c r="G68" s="39"/>
      <c r="H68" s="39">
        <f t="shared" si="10"/>
        <v>0</v>
      </c>
      <c r="I68" s="67"/>
      <c r="J68" s="89"/>
      <c r="K68" s="39"/>
      <c r="L68" s="65"/>
      <c r="O68" s="96" t="s">
        <v>103</v>
      </c>
      <c r="P68" s="3"/>
      <c r="Q68" s="3"/>
      <c r="R68" s="3"/>
      <c r="S68" s="3"/>
    </row>
    <row r="69" spans="1:21" collapsed="1">
      <c r="A69" s="68" t="str">
        <f>$A$66&amp;"."&amp;SUBTOTAL(103,$B$67:B69)</f>
        <v>10.2</v>
      </c>
      <c r="B69" s="97" t="s">
        <v>109</v>
      </c>
      <c r="C69" s="39"/>
      <c r="D69" s="58"/>
      <c r="E69" s="58"/>
      <c r="F69" s="58"/>
      <c r="G69" s="39">
        <v>30</v>
      </c>
      <c r="H69" s="39">
        <f t="shared" si="10"/>
        <v>30</v>
      </c>
      <c r="I69" s="67"/>
      <c r="J69" s="89"/>
      <c r="K69" s="39"/>
      <c r="L69" s="99" t="s">
        <v>110</v>
      </c>
      <c r="O69" s="96" t="s">
        <v>111</v>
      </c>
      <c r="P69" s="3"/>
      <c r="Q69" s="3"/>
      <c r="R69" s="3"/>
      <c r="S69" s="3"/>
    </row>
    <row r="70" spans="1:21">
      <c r="A70" s="68" t="str">
        <f>$A$66&amp;"."&amp;SUBTOTAL(103,$B$67:B70)</f>
        <v>10.3</v>
      </c>
      <c r="B70" s="97" t="s">
        <v>112</v>
      </c>
      <c r="C70" s="39"/>
      <c r="D70" s="58"/>
      <c r="E70" s="58"/>
      <c r="F70" s="58"/>
      <c r="G70" s="39">
        <v>30</v>
      </c>
      <c r="H70" s="39">
        <f t="shared" si="10"/>
        <v>30</v>
      </c>
      <c r="I70" s="67"/>
      <c r="J70" s="89"/>
      <c r="K70" s="39"/>
      <c r="L70" s="99" t="s">
        <v>113</v>
      </c>
      <c r="O70" s="96" t="s">
        <v>114</v>
      </c>
      <c r="P70" s="3"/>
      <c r="Q70" s="3"/>
      <c r="R70" s="3"/>
      <c r="S70" s="3"/>
    </row>
    <row r="71" spans="1:21" ht="15.6" hidden="1" customHeight="1" outlineLevel="1">
      <c r="A71" s="68" t="str">
        <f>$A$66&amp;"."&amp;SUBTOTAL(103,$B$67:B71)</f>
        <v>10.3</v>
      </c>
      <c r="B71" s="63" t="s">
        <v>115</v>
      </c>
      <c r="C71" s="39"/>
      <c r="D71" s="58"/>
      <c r="E71" s="58"/>
      <c r="F71" s="58"/>
      <c r="G71" s="39"/>
      <c r="H71" s="39"/>
      <c r="I71" s="67"/>
      <c r="J71" s="89"/>
      <c r="K71" s="39"/>
      <c r="L71" s="65"/>
      <c r="P71" s="3"/>
      <c r="Q71" s="3"/>
      <c r="R71" s="3"/>
      <c r="S71" s="3"/>
    </row>
    <row r="72" spans="1:21" ht="15.6" hidden="1" customHeight="1" outlineLevel="1">
      <c r="A72" s="68" t="str">
        <f>$A$66&amp;"."&amp;SUBTOTAL(103,$B$67:B72)</f>
        <v>10.3</v>
      </c>
      <c r="B72" s="63" t="s">
        <v>116</v>
      </c>
      <c r="C72" s="39"/>
      <c r="D72" s="58"/>
      <c r="E72" s="58"/>
      <c r="F72" s="58"/>
      <c r="G72" s="39"/>
      <c r="H72" s="39"/>
      <c r="I72" s="67"/>
      <c r="J72" s="89"/>
      <c r="K72" s="39"/>
      <c r="L72" s="65"/>
      <c r="P72" s="3"/>
      <c r="Q72" s="3"/>
      <c r="R72" s="3"/>
      <c r="S72" s="3"/>
    </row>
    <row r="73" spans="1:21" ht="15.6" hidden="1" customHeight="1" outlineLevel="1">
      <c r="A73" s="68" t="str">
        <f>$A$66&amp;"."&amp;SUBTOTAL(103,$B$67:B73)</f>
        <v>10.3</v>
      </c>
      <c r="B73" s="63" t="s">
        <v>117</v>
      </c>
      <c r="C73" s="39"/>
      <c r="D73" s="58"/>
      <c r="E73" s="58"/>
      <c r="F73" s="58"/>
      <c r="G73" s="39"/>
      <c r="H73" s="39"/>
      <c r="I73" s="67"/>
      <c r="J73" s="89"/>
      <c r="K73" s="39"/>
      <c r="L73" s="65"/>
      <c r="P73" s="3"/>
      <c r="Q73" s="3"/>
      <c r="R73" s="3"/>
      <c r="S73" s="3"/>
    </row>
    <row r="74" spans="1:21" collapsed="1">
      <c r="A74" s="68" t="str">
        <f>$A$66&amp;"."&amp;SUBTOTAL(103,$B$67:B74)</f>
        <v>10.4</v>
      </c>
      <c r="B74" s="63" t="s">
        <v>118</v>
      </c>
      <c r="C74" s="39"/>
      <c r="D74" s="58"/>
      <c r="E74" s="58"/>
      <c r="F74" s="58"/>
      <c r="G74" s="39">
        <f>+E9*M74/100</f>
        <v>0.40068000000000004</v>
      </c>
      <c r="H74" s="39">
        <f>SUM(C74:G74)</f>
        <v>0.40068000000000004</v>
      </c>
      <c r="I74" s="59"/>
      <c r="J74" s="60"/>
      <c r="K74" s="61"/>
      <c r="L74" s="85" t="str">
        <f>"设备购置及工器具购置费×"&amp;M74&amp;"%"</f>
        <v>设备购置及工器具购置费×1%</v>
      </c>
      <c r="M74" s="86">
        <v>1</v>
      </c>
      <c r="N74" s="37" t="s">
        <v>119</v>
      </c>
      <c r="O74" s="96" t="s">
        <v>120</v>
      </c>
      <c r="P74" s="3"/>
      <c r="Q74" s="3"/>
      <c r="R74" s="3"/>
      <c r="S74" s="3"/>
    </row>
    <row r="75" spans="1:21">
      <c r="A75" s="68" t="str">
        <f>$A$66&amp;"."&amp;SUBTOTAL(103,$B$67:B75)</f>
        <v>10.5</v>
      </c>
      <c r="B75" s="63" t="s">
        <v>121</v>
      </c>
      <c r="C75" s="39"/>
      <c r="D75" s="58"/>
      <c r="E75" s="58"/>
      <c r="F75" s="58"/>
      <c r="G75" s="39">
        <f>+J75*K75/10000</f>
        <v>6</v>
      </c>
      <c r="H75" s="39">
        <f>SUM(C75:G75)</f>
        <v>6</v>
      </c>
      <c r="I75" s="100" t="s">
        <v>122</v>
      </c>
      <c r="J75" s="89">
        <f>+CEILING(J76*0.6,1)*6</f>
        <v>30</v>
      </c>
      <c r="K75" s="89">
        <v>2000</v>
      </c>
      <c r="L75" s="65"/>
      <c r="O75" s="96" t="s">
        <v>123</v>
      </c>
      <c r="P75" s="3"/>
      <c r="Q75" s="3"/>
      <c r="R75" s="3"/>
      <c r="S75" s="3"/>
    </row>
    <row r="76" spans="1:21">
      <c r="A76" s="68" t="str">
        <f>$A$66&amp;"."&amp;SUBTOTAL(103,$B$67:B76)</f>
        <v>10.6</v>
      </c>
      <c r="B76" s="63" t="s">
        <v>124</v>
      </c>
      <c r="C76" s="39"/>
      <c r="D76" s="58"/>
      <c r="E76" s="58"/>
      <c r="F76" s="58"/>
      <c r="G76" s="39">
        <f>+J76*K76/10000</f>
        <v>1.4</v>
      </c>
      <c r="H76" s="39">
        <f>SUM(C76:G76)</f>
        <v>1.4</v>
      </c>
      <c r="I76" s="40" t="s">
        <v>125</v>
      </c>
      <c r="J76" s="89">
        <v>7</v>
      </c>
      <c r="K76" s="89">
        <v>2000</v>
      </c>
      <c r="L76" s="65"/>
      <c r="O76" s="96" t="s">
        <v>126</v>
      </c>
      <c r="P76" s="3"/>
      <c r="Q76" s="3"/>
      <c r="R76" s="3"/>
      <c r="S76" s="3"/>
    </row>
    <row r="77" spans="1:21">
      <c r="A77" s="66">
        <f>SUBTOTAL(103,$B$19,$B$22,$B$29,$B$34,$B$39,$B$43,$B$45,$B$46,B51,B57,B61,B66,B77)</f>
        <v>11</v>
      </c>
      <c r="B77" s="63" t="s">
        <v>127</v>
      </c>
      <c r="C77" s="39"/>
      <c r="D77" s="58"/>
      <c r="E77" s="58"/>
      <c r="F77" s="58"/>
      <c r="G77" s="39"/>
      <c r="H77" s="39"/>
      <c r="I77" s="67"/>
      <c r="J77" s="89"/>
      <c r="K77" s="39"/>
      <c r="L77" s="65"/>
      <c r="O77" s="96" t="s">
        <v>128</v>
      </c>
      <c r="P77" s="3"/>
      <c r="Q77" s="3"/>
      <c r="R77" s="3"/>
      <c r="S77" s="3"/>
    </row>
    <row r="78" spans="1:21" ht="24" hidden="1" outlineLevel="1">
      <c r="A78" s="68" t="str">
        <f>$A$77&amp;"."&amp;SUBTOTAL(103,$B$78:B78)</f>
        <v>11.0</v>
      </c>
      <c r="B78" s="78" t="s">
        <v>129</v>
      </c>
      <c r="C78" s="39"/>
      <c r="D78" s="58"/>
      <c r="E78" s="58"/>
      <c r="F78" s="58"/>
      <c r="G78" s="39"/>
      <c r="H78" s="39"/>
      <c r="I78" s="67"/>
      <c r="J78" s="89"/>
      <c r="K78" s="39"/>
      <c r="L78" s="65"/>
      <c r="N78" s="96" t="s">
        <v>130</v>
      </c>
      <c r="O78" s="3"/>
      <c r="P78" s="3"/>
      <c r="Q78" s="3"/>
      <c r="R78" s="3"/>
      <c r="S78" s="3"/>
    </row>
    <row r="79" spans="1:21" collapsed="1">
      <c r="A79" s="68" t="str">
        <f>$A$77&amp;"."&amp;SUBTOTAL(103,$B$78:B79)</f>
        <v>11.1</v>
      </c>
      <c r="B79" s="63" t="s">
        <v>131</v>
      </c>
      <c r="C79" s="39"/>
      <c r="D79" s="58"/>
      <c r="E79" s="58"/>
      <c r="F79" s="58"/>
      <c r="G79" s="39"/>
      <c r="H79" s="39">
        <f t="shared" ref="H79:H86" si="11">SUM(C79:G79)</f>
        <v>0</v>
      </c>
      <c r="I79" s="59"/>
      <c r="J79" s="60"/>
      <c r="K79" s="61"/>
      <c r="L79" s="69"/>
      <c r="N79" s="3"/>
      <c r="O79" s="3"/>
      <c r="P79" s="3"/>
      <c r="Q79" s="3"/>
      <c r="R79" s="3"/>
      <c r="S79" s="3"/>
    </row>
    <row r="80" spans="1:21">
      <c r="A80" s="68" t="str">
        <f>$A$79&amp;"."&amp;SUBTOTAL(103,$B$80:B80)</f>
        <v>11.1.1</v>
      </c>
      <c r="B80" s="63" t="s">
        <v>132</v>
      </c>
      <c r="C80" s="39"/>
      <c r="D80" s="58"/>
      <c r="E80" s="58"/>
      <c r="F80" s="58"/>
      <c r="G80" s="39">
        <f>+江苏省其他费用底稿!F271</f>
        <v>25.964221893474203</v>
      </c>
      <c r="H80" s="39">
        <f t="shared" si="11"/>
        <v>25.964221893474203</v>
      </c>
      <c r="I80" s="59"/>
      <c r="J80" s="60"/>
      <c r="K80" s="61"/>
      <c r="L80" s="73" t="s">
        <v>133</v>
      </c>
      <c r="N80" s="3"/>
      <c r="O80" s="3"/>
      <c r="P80" s="3"/>
      <c r="Q80" s="3"/>
      <c r="R80" s="3"/>
      <c r="S80" s="3"/>
    </row>
    <row r="81" spans="1:19">
      <c r="A81" s="68" t="str">
        <f>$A$79&amp;"."&amp;SUBTOTAL(103,$B$80:B81)</f>
        <v>11.1.2</v>
      </c>
      <c r="B81" s="63" t="s">
        <v>134</v>
      </c>
      <c r="C81" s="39"/>
      <c r="D81" s="58"/>
      <c r="E81" s="58"/>
      <c r="F81" s="58"/>
      <c r="G81" s="39">
        <f>+江苏省其他费用底稿!F279</f>
        <v>25.964221893474203</v>
      </c>
      <c r="H81" s="39">
        <f t="shared" si="11"/>
        <v>25.964221893474203</v>
      </c>
      <c r="I81" s="59"/>
      <c r="J81" s="60"/>
      <c r="K81" s="61"/>
      <c r="L81" s="77"/>
      <c r="N81" s="3"/>
      <c r="O81" s="3"/>
      <c r="P81" s="3"/>
      <c r="Q81" s="3"/>
      <c r="R81" s="3"/>
      <c r="S81" s="3"/>
    </row>
    <row r="82" spans="1:19" ht="24">
      <c r="A82" s="68" t="str">
        <f>$A$79&amp;"."&amp;SUBTOTAL(103,$B$80:B82)</f>
        <v>11.1.3</v>
      </c>
      <c r="B82" s="78" t="s">
        <v>135</v>
      </c>
      <c r="C82" s="39"/>
      <c r="D82" s="58"/>
      <c r="E82" s="58"/>
      <c r="F82" s="58"/>
      <c r="G82" s="39">
        <f>+江苏省其他费用底稿!F287</f>
        <v>8.6547406311580666</v>
      </c>
      <c r="H82" s="39">
        <f t="shared" si="11"/>
        <v>8.6547406311580666</v>
      </c>
      <c r="I82" s="59"/>
      <c r="J82" s="60"/>
      <c r="K82" s="61"/>
      <c r="L82" s="77"/>
      <c r="N82" s="3"/>
      <c r="O82" s="3"/>
      <c r="P82" s="3"/>
      <c r="Q82" s="3"/>
      <c r="R82" s="3"/>
      <c r="S82" s="3"/>
    </row>
    <row r="83" spans="1:19">
      <c r="A83" s="68" t="str">
        <f>$A$79&amp;"."&amp;SUBTOTAL(103,$B$80:B83)</f>
        <v>11.1.4</v>
      </c>
      <c r="B83" s="63" t="s">
        <v>136</v>
      </c>
      <c r="C83" s="39"/>
      <c r="D83" s="58"/>
      <c r="E83" s="58"/>
      <c r="F83" s="58"/>
      <c r="G83" s="39">
        <f>+江苏省其他费用底稿!F295</f>
        <v>0.86547406311580677</v>
      </c>
      <c r="H83" s="39">
        <f t="shared" si="11"/>
        <v>0.86547406311580677</v>
      </c>
      <c r="I83" s="59"/>
      <c r="J83" s="60"/>
      <c r="K83" s="61"/>
      <c r="L83" s="79"/>
      <c r="N83" s="3"/>
      <c r="O83" s="3"/>
      <c r="P83" s="3"/>
      <c r="Q83" s="3"/>
      <c r="R83" s="3"/>
      <c r="S83" s="3"/>
    </row>
    <row r="84" spans="1:19" ht="28.2" customHeight="1">
      <c r="A84" s="68" t="str">
        <f>$A$77&amp;"."&amp;SUBTOTAL(103,$B$78:$B$79,$B$84:$B84)</f>
        <v>11.2</v>
      </c>
      <c r="B84" s="63" t="s">
        <v>137</v>
      </c>
      <c r="C84" s="39"/>
      <c r="D84" s="58"/>
      <c r="E84" s="58"/>
      <c r="F84" s="58"/>
      <c r="G84" s="39">
        <f>+J84*K84/10000</f>
        <v>6.0000000000000012E-2</v>
      </c>
      <c r="H84" s="39">
        <f t="shared" si="11"/>
        <v>6.0000000000000012E-2</v>
      </c>
      <c r="I84" s="67" t="s">
        <v>138</v>
      </c>
      <c r="J84" s="90">
        <v>500</v>
      </c>
      <c r="K84" s="101">
        <f>1.5*0.8</f>
        <v>1.2000000000000002</v>
      </c>
      <c r="L84" s="102" t="s">
        <v>139</v>
      </c>
      <c r="N84" s="103" t="s">
        <v>140</v>
      </c>
      <c r="O84" s="103"/>
      <c r="P84" s="103"/>
      <c r="Q84" s="103"/>
      <c r="R84" s="3"/>
      <c r="S84" s="3"/>
    </row>
    <row r="85" spans="1:19">
      <c r="A85" s="68" t="str">
        <f>$A$77&amp;"."&amp;SUBTOTAL(103,$B$78:B80,B85)</f>
        <v>11.3</v>
      </c>
      <c r="B85" s="97" t="s">
        <v>141</v>
      </c>
      <c r="C85" s="39"/>
      <c r="D85" s="58"/>
      <c r="E85" s="58"/>
      <c r="F85" s="58"/>
      <c r="G85" s="39">
        <v>10</v>
      </c>
      <c r="H85" s="39">
        <f t="shared" si="11"/>
        <v>10</v>
      </c>
      <c r="I85" s="59"/>
      <c r="J85" s="60"/>
      <c r="K85" s="81"/>
      <c r="L85" s="99" t="s">
        <v>142</v>
      </c>
      <c r="N85" s="104" t="s">
        <v>143</v>
      </c>
      <c r="O85" s="105"/>
      <c r="P85" s="105"/>
      <c r="Q85" s="105"/>
    </row>
    <row r="86" spans="1:19">
      <c r="A86" s="68" t="str">
        <f>$A$77&amp;"."&amp;SUBTOTAL(103,$B$78:$B$79,$B$84:$B86)</f>
        <v>11.4</v>
      </c>
      <c r="B86" s="97" t="s">
        <v>144</v>
      </c>
      <c r="C86" s="39"/>
      <c r="D86" s="58"/>
      <c r="E86" s="58"/>
      <c r="F86" s="58"/>
      <c r="G86" s="39">
        <v>10</v>
      </c>
      <c r="H86" s="39">
        <f t="shared" si="11"/>
        <v>10</v>
      </c>
      <c r="I86" s="59"/>
      <c r="J86" s="88"/>
      <c r="K86" s="61"/>
      <c r="L86" s="99" t="s">
        <v>145</v>
      </c>
      <c r="N86" s="3"/>
      <c r="O86" s="3"/>
      <c r="P86" s="3"/>
      <c r="Q86" s="3"/>
      <c r="R86" s="3"/>
      <c r="S86" s="3"/>
    </row>
    <row r="87" spans="1:19" ht="24" hidden="1" outlineLevel="1">
      <c r="A87" s="68" t="str">
        <f>$A$77&amp;"."&amp;SUBTOTAL(103,$B$78:$B$79,$B$84:$B87)</f>
        <v>11.4</v>
      </c>
      <c r="B87" s="106" t="s">
        <v>146</v>
      </c>
      <c r="C87" s="39"/>
      <c r="D87" s="58"/>
      <c r="E87" s="58"/>
      <c r="F87" s="58"/>
      <c r="G87" s="39"/>
      <c r="H87" s="39"/>
      <c r="I87" s="67"/>
      <c r="J87" s="89"/>
      <c r="K87" s="39"/>
      <c r="L87" s="99" t="s">
        <v>147</v>
      </c>
      <c r="N87" s="3"/>
      <c r="O87" s="3"/>
      <c r="P87" s="3"/>
      <c r="Q87" s="3"/>
      <c r="R87" s="3"/>
      <c r="S87" s="3"/>
    </row>
    <row r="88" spans="1:19" hidden="1" outlineLevel="1">
      <c r="A88" s="68" t="str">
        <f>$A$77&amp;"."&amp;SUBTOTAL(103,$B$78:$B$79,$B$84:$B88)</f>
        <v>11.4</v>
      </c>
      <c r="B88" s="97" t="s">
        <v>148</v>
      </c>
      <c r="C88" s="39"/>
      <c r="D88" s="58"/>
      <c r="E88" s="58"/>
      <c r="F88" s="58"/>
      <c r="G88" s="39"/>
      <c r="H88" s="39"/>
      <c r="I88" s="67"/>
      <c r="J88" s="89"/>
      <c r="K88" s="39"/>
      <c r="L88" s="99" t="s">
        <v>149</v>
      </c>
      <c r="N88" s="3"/>
      <c r="O88" s="3"/>
      <c r="P88" s="3"/>
      <c r="Q88" s="3"/>
      <c r="R88" s="3"/>
      <c r="S88" s="3"/>
    </row>
    <row r="89" spans="1:19" hidden="1" outlineLevel="1">
      <c r="A89" s="68" t="str">
        <f>$A$77&amp;"."&amp;SUBTOTAL(103,$B$78:$B$79,$B$84:$B89)</f>
        <v>11.4</v>
      </c>
      <c r="B89" s="97" t="s">
        <v>150</v>
      </c>
      <c r="C89" s="39"/>
      <c r="D89" s="58"/>
      <c r="E89" s="58"/>
      <c r="F89" s="58"/>
      <c r="G89" s="39"/>
      <c r="H89" s="39"/>
      <c r="I89" s="67"/>
      <c r="J89" s="89"/>
      <c r="K89" s="39"/>
      <c r="L89" s="99" t="s">
        <v>151</v>
      </c>
      <c r="N89" s="3"/>
      <c r="O89" s="3"/>
      <c r="P89" s="3"/>
      <c r="Q89" s="3"/>
      <c r="R89" s="3"/>
      <c r="S89" s="3"/>
    </row>
    <row r="90" spans="1:19" hidden="1" outlineLevel="1">
      <c r="A90" s="68" t="str">
        <f>$A$77&amp;"."&amp;SUBTOTAL(103,$B$78:$B$79,$B$84:$B90)</f>
        <v>11.4</v>
      </c>
      <c r="B90" s="97" t="s">
        <v>152</v>
      </c>
      <c r="C90" s="39"/>
      <c r="D90" s="58"/>
      <c r="E90" s="58"/>
      <c r="F90" s="58"/>
      <c r="G90" s="39"/>
      <c r="H90" s="39"/>
      <c r="I90" s="67"/>
      <c r="J90" s="89"/>
      <c r="K90" s="39"/>
      <c r="L90" s="99" t="s">
        <v>153</v>
      </c>
      <c r="N90" s="3"/>
      <c r="O90" s="3"/>
      <c r="P90" s="3"/>
      <c r="Q90" s="3"/>
      <c r="R90" s="3"/>
      <c r="S90" s="3"/>
    </row>
    <row r="91" spans="1:19" hidden="1" outlineLevel="1">
      <c r="A91" s="68" t="str">
        <f>$A$77&amp;"."&amp;SUBTOTAL(103,$B$78:$B$79,$B$84:$B91)</f>
        <v>11.4</v>
      </c>
      <c r="B91" s="97" t="s">
        <v>154</v>
      </c>
      <c r="C91" s="39"/>
      <c r="D91" s="58"/>
      <c r="E91" s="58"/>
      <c r="F91" s="58"/>
      <c r="G91" s="39"/>
      <c r="H91" s="39"/>
      <c r="I91" s="59"/>
      <c r="J91" s="60"/>
      <c r="K91" s="81"/>
      <c r="L91" s="99" t="s">
        <v>113</v>
      </c>
    </row>
    <row r="92" spans="1:19" ht="24" collapsed="1">
      <c r="A92" s="68" t="str">
        <f>$A$77&amp;"."&amp;SUBTOTAL(103,$B$78:$B$79,$B$84:$B92)</f>
        <v>11.5</v>
      </c>
      <c r="B92" s="106" t="s">
        <v>155</v>
      </c>
      <c r="C92" s="39"/>
      <c r="D92" s="58"/>
      <c r="E92" s="58"/>
      <c r="F92" s="58"/>
      <c r="G92" s="39">
        <v>10</v>
      </c>
      <c r="H92" s="39">
        <f>SUM(C92:G92)</f>
        <v>10</v>
      </c>
      <c r="I92" s="59"/>
      <c r="J92" s="88"/>
      <c r="K92" s="61"/>
      <c r="L92" s="99" t="s">
        <v>147</v>
      </c>
      <c r="N92" s="3"/>
      <c r="O92" s="3"/>
      <c r="P92" s="3"/>
      <c r="Q92" s="3"/>
      <c r="R92" s="3"/>
      <c r="S92" s="3"/>
    </row>
    <row r="93" spans="1:19">
      <c r="A93" s="68" t="str">
        <f>$A$77&amp;"."&amp;SUBTOTAL(103,$B$78:$B$79,$B$84:$B93)</f>
        <v>11.6</v>
      </c>
      <c r="B93" s="97" t="s">
        <v>156</v>
      </c>
      <c r="C93" s="39"/>
      <c r="D93" s="58"/>
      <c r="E93" s="58"/>
      <c r="F93" s="58"/>
      <c r="G93" s="39">
        <v>10</v>
      </c>
      <c r="H93" s="39">
        <f>SUM(C93:G93)</f>
        <v>10</v>
      </c>
      <c r="I93" s="59"/>
      <c r="J93" s="60"/>
      <c r="K93" s="59"/>
      <c r="L93" s="99" t="s">
        <v>157</v>
      </c>
      <c r="N93" s="3"/>
      <c r="O93" s="3"/>
      <c r="P93" s="3"/>
      <c r="Q93" s="3"/>
      <c r="R93" s="3"/>
      <c r="S93" s="3"/>
    </row>
    <row r="94" spans="1:19">
      <c r="A94" s="68" t="str">
        <f>$A$77&amp;"."&amp;SUBTOTAL(103,$B$78:$B$79,$B$84:$B94)</f>
        <v>11.7</v>
      </c>
      <c r="B94" s="97" t="s">
        <v>158</v>
      </c>
      <c r="C94" s="39"/>
      <c r="D94" s="58"/>
      <c r="E94" s="58"/>
      <c r="F94" s="58"/>
      <c r="G94" s="39"/>
      <c r="H94" s="39">
        <f>SUM(C94:G94)</f>
        <v>0</v>
      </c>
      <c r="I94" s="59"/>
      <c r="J94" s="60"/>
      <c r="K94" s="81"/>
      <c r="L94" s="65"/>
    </row>
    <row r="95" spans="1:19">
      <c r="A95" s="68" t="str">
        <f>$A$77&amp;"."&amp;SUBTOTAL(103,$B$78:$B$79,$B$84:$B95)</f>
        <v>11.8</v>
      </c>
      <c r="B95" s="63" t="s">
        <v>159</v>
      </c>
      <c r="C95" s="39"/>
      <c r="D95" s="58"/>
      <c r="E95" s="58"/>
      <c r="F95" s="58"/>
      <c r="G95" s="39">
        <f>+J95*K95/10000</f>
        <v>27.72</v>
      </c>
      <c r="H95" s="39">
        <f>SUM(C95:G95)</f>
        <v>27.72</v>
      </c>
      <c r="I95" s="67" t="s">
        <v>160</v>
      </c>
      <c r="J95" s="107">
        <v>1260</v>
      </c>
      <c r="K95" s="89">
        <v>220</v>
      </c>
      <c r="L95" s="92" t="s">
        <v>161</v>
      </c>
      <c r="O95" s="3"/>
      <c r="P95" s="3"/>
      <c r="Q95" s="3"/>
      <c r="R95" s="3"/>
      <c r="S95" s="3"/>
    </row>
    <row r="96" spans="1:19">
      <c r="A96" s="68" t="str">
        <f>$A$77&amp;"."&amp;SUBTOTAL(103,$B$78:$B$79,$B$84:$B96)</f>
        <v>11.9</v>
      </c>
      <c r="B96" s="97" t="s">
        <v>162</v>
      </c>
      <c r="C96" s="39"/>
      <c r="D96" s="39"/>
      <c r="E96" s="39"/>
      <c r="F96" s="39"/>
      <c r="G96" s="39"/>
      <c r="H96" s="39">
        <f>SUM(C96:G96)</f>
        <v>0</v>
      </c>
      <c r="I96" s="59"/>
      <c r="J96" s="88"/>
      <c r="K96" s="61"/>
      <c r="L96" s="65"/>
      <c r="N96" s="3"/>
      <c r="O96" s="3"/>
      <c r="P96" s="3"/>
      <c r="Q96" s="3"/>
      <c r="R96" s="3"/>
      <c r="S96" s="3"/>
    </row>
    <row r="97" spans="1:19" ht="24">
      <c r="A97" s="68" t="str">
        <f>$A$77&amp;"."&amp;SUBTOTAL(103,$B$78:$B$79,$B$84:$B97)</f>
        <v>11.10</v>
      </c>
      <c r="B97" s="106" t="s">
        <v>163</v>
      </c>
      <c r="C97" s="39"/>
      <c r="D97" s="58"/>
      <c r="E97" s="58"/>
      <c r="F97" s="58"/>
      <c r="G97" s="39"/>
      <c r="H97" s="39"/>
      <c r="I97" s="59"/>
      <c r="J97" s="60"/>
      <c r="K97" s="81"/>
      <c r="L97" s="65"/>
    </row>
    <row r="98" spans="1:19">
      <c r="A98" s="68" t="str">
        <f>$A$77&amp;"."&amp;SUBTOTAL(103,$B$78:$B$79,$B$84:$B98)</f>
        <v>11.11</v>
      </c>
      <c r="B98" s="63" t="s">
        <v>164</v>
      </c>
      <c r="C98" s="39"/>
      <c r="D98" s="58"/>
      <c r="E98" s="58"/>
      <c r="F98" s="58"/>
      <c r="G98" s="39">
        <f>+H9*0.3%</f>
        <v>13.217898330649602</v>
      </c>
      <c r="H98" s="39">
        <f t="shared" ref="H98:H100" si="12">SUM(C98:G98)</f>
        <v>13.217898330649602</v>
      </c>
      <c r="I98" s="59"/>
      <c r="J98" s="88"/>
      <c r="K98" s="61"/>
      <c r="L98" s="85" t="str">
        <f>"工程费用×"&amp;M98&amp;"%"</f>
        <v>工程费用×0.3%</v>
      </c>
      <c r="M98" s="86">
        <v>0.3</v>
      </c>
      <c r="N98" s="37" t="s">
        <v>66</v>
      </c>
      <c r="O98" s="3"/>
      <c r="P98" s="3"/>
      <c r="Q98" s="3"/>
      <c r="R98" s="3"/>
      <c r="S98" s="3"/>
    </row>
    <row r="99" spans="1:19">
      <c r="A99" s="68" t="str">
        <f>$A$77&amp;"."&amp;SUBTOTAL(103,$B$78:$B$79,$B$84:$B99)</f>
        <v>11.12</v>
      </c>
      <c r="B99" s="63" t="s">
        <v>165</v>
      </c>
      <c r="C99" s="39"/>
      <c r="D99" s="58"/>
      <c r="E99" s="58"/>
      <c r="F99" s="58"/>
      <c r="G99" s="39">
        <f>+H9*0.3%</f>
        <v>13.217898330649602</v>
      </c>
      <c r="H99" s="39">
        <f t="shared" si="12"/>
        <v>13.217898330649602</v>
      </c>
      <c r="I99" s="59"/>
      <c r="J99" s="88"/>
      <c r="K99" s="61"/>
      <c r="L99" s="85" t="str">
        <f t="shared" ref="L99" si="13">"工程费用×"&amp;M99&amp;"%"</f>
        <v>工程费用×0.3%</v>
      </c>
      <c r="M99" s="86">
        <v>0.3</v>
      </c>
      <c r="N99" s="37" t="s">
        <v>119</v>
      </c>
    </row>
    <row r="100" spans="1:19">
      <c r="A100" s="68" t="str">
        <f>$A$77&amp;"."&amp;SUBTOTAL(103,$B$78:$B$79,$B$84:$B100)</f>
        <v>11.13</v>
      </c>
      <c r="B100" s="63" t="s">
        <v>166</v>
      </c>
      <c r="C100" s="39"/>
      <c r="D100" s="58"/>
      <c r="E100" s="58"/>
      <c r="F100" s="58"/>
      <c r="G100" s="39">
        <f>+J100*K100/10000</f>
        <v>75</v>
      </c>
      <c r="H100" s="39">
        <f t="shared" si="12"/>
        <v>75</v>
      </c>
      <c r="I100" s="67" t="s">
        <v>99</v>
      </c>
      <c r="J100" s="90">
        <v>5000</v>
      </c>
      <c r="K100" s="89">
        <v>150</v>
      </c>
      <c r="L100" s="99" t="s">
        <v>167</v>
      </c>
      <c r="M100" s="108" t="s">
        <v>168</v>
      </c>
      <c r="N100" s="95"/>
      <c r="O100" s="3"/>
      <c r="P100" s="3"/>
      <c r="Q100" s="3"/>
      <c r="R100" s="3"/>
      <c r="S100" s="3"/>
    </row>
    <row r="101" spans="1:19">
      <c r="A101" s="68" t="str">
        <f>$A$77&amp;"."&amp;SUBTOTAL(103,$B$78:$B$79,$B$84:$B101)</f>
        <v>11.14</v>
      </c>
      <c r="B101" s="63" t="s">
        <v>169</v>
      </c>
      <c r="C101" s="39"/>
      <c r="D101" s="58"/>
      <c r="E101" s="58"/>
      <c r="F101" s="58"/>
      <c r="G101" s="39">
        <v>100</v>
      </c>
      <c r="H101" s="39">
        <f t="shared" ref="H101:H102" si="14">SUM(C101:G101)</f>
        <v>100</v>
      </c>
      <c r="I101" s="59"/>
      <c r="J101" s="60"/>
      <c r="K101" s="59"/>
      <c r="L101" s="65"/>
      <c r="N101" s="3"/>
      <c r="O101" s="3"/>
      <c r="P101" s="3"/>
      <c r="Q101" s="3"/>
      <c r="R101" s="3"/>
      <c r="S101" s="3"/>
    </row>
    <row r="102" spans="1:19">
      <c r="A102" s="68" t="str">
        <f>$A$77&amp;"."&amp;SUBTOTAL(103,$B$78:$B$79,$B$84:$B102)</f>
        <v>11.15</v>
      </c>
      <c r="B102" s="44" t="s">
        <v>170</v>
      </c>
      <c r="C102" s="39"/>
      <c r="D102" s="58"/>
      <c r="E102" s="58"/>
      <c r="F102" s="58"/>
      <c r="G102" s="58"/>
      <c r="H102" s="39">
        <f t="shared" si="14"/>
        <v>0</v>
      </c>
      <c r="I102" s="59"/>
      <c r="J102" s="60"/>
      <c r="K102" s="61"/>
      <c r="L102" s="99"/>
      <c r="N102" s="3"/>
      <c r="O102" s="3"/>
      <c r="P102" s="3"/>
      <c r="Q102" s="3"/>
      <c r="R102" s="3"/>
      <c r="S102" s="3"/>
    </row>
    <row r="103" spans="1:19" s="113" customFormat="1">
      <c r="A103" s="109"/>
      <c r="B103" s="48" t="s">
        <v>171</v>
      </c>
      <c r="C103" s="33"/>
      <c r="D103" s="33"/>
      <c r="E103" s="33"/>
      <c r="F103" s="33"/>
      <c r="G103" s="33">
        <f ca="1">SUM(G12:G102)</f>
        <v>1050.9074483200134</v>
      </c>
      <c r="H103" s="33">
        <f ca="1">SUM(C103:G103)</f>
        <v>1050.9074483200134</v>
      </c>
      <c r="I103" s="33"/>
      <c r="J103" s="110"/>
      <c r="K103" s="111"/>
      <c r="L103" s="112"/>
    </row>
    <row r="104" spans="1:19" s="113" customFormat="1">
      <c r="A104" s="109"/>
      <c r="B104" s="112" t="s">
        <v>172</v>
      </c>
      <c r="C104" s="33">
        <f>+C103+C9</f>
        <v>4327.3703155790336</v>
      </c>
      <c r="D104" s="33">
        <f>+D103+D9</f>
        <v>38.527794637500001</v>
      </c>
      <c r="E104" s="33">
        <f>+E103+E9</f>
        <v>40.068000000000005</v>
      </c>
      <c r="F104" s="33">
        <f>+F103+F9</f>
        <v>0</v>
      </c>
      <c r="G104" s="33">
        <f ca="1">+G103+G9</f>
        <v>1050.9074483200134</v>
      </c>
      <c r="H104" s="33">
        <f ca="1">SUM(C104:G104)</f>
        <v>5456.8735585365466</v>
      </c>
      <c r="I104" s="33"/>
      <c r="J104" s="110"/>
      <c r="K104" s="111"/>
      <c r="L104" s="112"/>
    </row>
    <row r="105" spans="1:19">
      <c r="A105" s="56" t="s">
        <v>173</v>
      </c>
      <c r="B105" s="112" t="s">
        <v>174</v>
      </c>
      <c r="C105" s="39"/>
      <c r="D105" s="58"/>
      <c r="E105" s="58"/>
      <c r="F105" s="58"/>
      <c r="G105" s="39"/>
      <c r="H105" s="39"/>
      <c r="I105" s="39"/>
      <c r="J105" s="60"/>
      <c r="K105" s="61"/>
      <c r="L105" s="99"/>
      <c r="N105" s="3"/>
      <c r="O105" s="3"/>
      <c r="P105" s="3"/>
      <c r="Q105" s="3"/>
      <c r="R105" s="3"/>
      <c r="S105" s="3"/>
    </row>
    <row r="106" spans="1:19">
      <c r="A106" s="56"/>
      <c r="B106" s="99" t="s">
        <v>175</v>
      </c>
      <c r="C106" s="39"/>
      <c r="D106" s="58"/>
      <c r="E106" s="58"/>
      <c r="F106" s="58"/>
      <c r="G106" s="39">
        <f ca="1">+(H104-SUM($H$12:$H$18))*L106/100</f>
        <v>272.84367792682735</v>
      </c>
      <c r="H106" s="39">
        <f t="shared" ref="H106:H109" ca="1" si="15">SUM(C106:G106)</f>
        <v>272.84367792682735</v>
      </c>
      <c r="I106" s="39"/>
      <c r="J106" s="60"/>
      <c r="K106" s="61"/>
      <c r="L106" s="114">
        <v>5</v>
      </c>
      <c r="N106" s="3"/>
      <c r="O106" s="3"/>
      <c r="P106" s="3"/>
      <c r="Q106" s="3"/>
      <c r="R106" s="3"/>
      <c r="S106" s="3"/>
    </row>
    <row r="107" spans="1:19">
      <c r="A107" s="56"/>
      <c r="B107" s="99"/>
      <c r="C107" s="39"/>
      <c r="D107" s="58"/>
      <c r="E107" s="58"/>
      <c r="F107" s="58"/>
      <c r="G107" s="39"/>
      <c r="H107" s="39"/>
      <c r="I107" s="39"/>
      <c r="J107" s="60"/>
      <c r="K107" s="61"/>
      <c r="L107" s="99"/>
      <c r="N107" s="3"/>
      <c r="O107" s="3"/>
      <c r="P107" s="3"/>
      <c r="Q107" s="3"/>
      <c r="R107" s="3"/>
      <c r="S107" s="3"/>
    </row>
    <row r="108" spans="1:19">
      <c r="A108" s="56"/>
      <c r="B108" s="112"/>
      <c r="C108" s="39"/>
      <c r="D108" s="58"/>
      <c r="E108" s="58"/>
      <c r="F108" s="58"/>
      <c r="G108" s="39"/>
      <c r="H108" s="39"/>
      <c r="I108" s="39"/>
      <c r="J108" s="60"/>
      <c r="K108" s="61"/>
      <c r="L108" s="99"/>
      <c r="N108" s="3"/>
      <c r="O108" s="3"/>
      <c r="P108" s="3"/>
      <c r="Q108" s="3"/>
      <c r="R108" s="3"/>
      <c r="S108" s="3"/>
    </row>
    <row r="109" spans="1:19" s="113" customFormat="1">
      <c r="A109" s="56"/>
      <c r="B109" s="112" t="s">
        <v>176</v>
      </c>
      <c r="C109" s="33"/>
      <c r="D109" s="115"/>
      <c r="E109" s="115"/>
      <c r="F109" s="115"/>
      <c r="G109" s="33">
        <f ca="1">SUM(G106:G108)</f>
        <v>272.84367792682735</v>
      </c>
      <c r="H109" s="33">
        <f t="shared" ca="1" si="15"/>
        <v>272.84367792682735</v>
      </c>
      <c r="I109" s="33"/>
      <c r="J109" s="110"/>
      <c r="K109" s="111"/>
      <c r="L109" s="112"/>
    </row>
    <row r="110" spans="1:19" s="113" customFormat="1">
      <c r="A110" s="56"/>
      <c r="B110" s="112" t="s">
        <v>177</v>
      </c>
      <c r="C110" s="33">
        <f>+C104+C109</f>
        <v>4327.3703155790336</v>
      </c>
      <c r="D110" s="33">
        <f t="shared" ref="D110:G110" si="16">+D104+D109</f>
        <v>38.527794637500001</v>
      </c>
      <c r="E110" s="33">
        <f t="shared" si="16"/>
        <v>40.068000000000005</v>
      </c>
      <c r="F110" s="33">
        <f t="shared" si="16"/>
        <v>0</v>
      </c>
      <c r="G110" s="33">
        <f t="shared" ca="1" si="16"/>
        <v>1323.7511262468406</v>
      </c>
      <c r="H110" s="33">
        <f ca="1">SUM(C110:G110)</f>
        <v>5729.7172364633743</v>
      </c>
      <c r="I110" s="34"/>
      <c r="J110" s="35"/>
      <c r="K110" s="49"/>
      <c r="L110" s="112"/>
    </row>
    <row r="111" spans="1:19" s="113" customFormat="1">
      <c r="A111" s="116"/>
      <c r="B111" s="112"/>
      <c r="C111" s="33"/>
      <c r="D111" s="33"/>
      <c r="E111" s="33"/>
      <c r="F111" s="33"/>
      <c r="G111" s="33"/>
      <c r="H111" s="33"/>
      <c r="I111" s="34"/>
      <c r="J111" s="35"/>
      <c r="K111" s="49"/>
      <c r="L111" s="117"/>
      <c r="N111" s="118" t="s">
        <v>178</v>
      </c>
      <c r="O111" s="119">
        <v>3.5999999999999997E-2</v>
      </c>
    </row>
    <row r="112" spans="1:19" s="113" customFormat="1">
      <c r="A112" s="116" t="s">
        <v>179</v>
      </c>
      <c r="B112" s="112" t="s">
        <v>180</v>
      </c>
      <c r="C112" s="33"/>
      <c r="D112" s="33"/>
      <c r="E112" s="33"/>
      <c r="F112" s="33"/>
      <c r="G112" s="33">
        <f>S115</f>
        <v>2.6532375165591806</v>
      </c>
      <c r="H112" s="33">
        <f>SUM(C112:G112)</f>
        <v>2.6532375165591806</v>
      </c>
      <c r="I112" s="34"/>
      <c r="J112" s="35"/>
      <c r="K112" s="49"/>
      <c r="L112" s="117"/>
      <c r="N112" s="120">
        <v>1</v>
      </c>
      <c r="O112" s="120">
        <v>2</v>
      </c>
      <c r="P112" s="120">
        <v>3</v>
      </c>
      <c r="Q112" s="120">
        <v>4</v>
      </c>
      <c r="R112" s="120"/>
      <c r="S112" s="121">
        <f>H117*0.7</f>
        <v>73.701042126643912</v>
      </c>
    </row>
    <row r="113" spans="1:19" s="113" customFormat="1">
      <c r="A113" s="116"/>
      <c r="B113" s="112"/>
      <c r="C113" s="33"/>
      <c r="D113" s="33"/>
      <c r="E113" s="33"/>
      <c r="F113" s="33"/>
      <c r="G113" s="33"/>
      <c r="H113" s="33"/>
      <c r="I113" s="34"/>
      <c r="J113" s="35"/>
      <c r="K113" s="49"/>
      <c r="L113" s="117"/>
      <c r="N113" s="122">
        <v>0.5</v>
      </c>
      <c r="O113" s="122">
        <v>0.5</v>
      </c>
      <c r="P113" s="122">
        <v>0</v>
      </c>
      <c r="Q113" s="122"/>
      <c r="R113" s="120"/>
      <c r="S113" s="123"/>
    </row>
    <row r="114" spans="1:19" s="113" customFormat="1">
      <c r="A114" s="116" t="s">
        <v>181</v>
      </c>
      <c r="B114" s="112" t="s">
        <v>182</v>
      </c>
      <c r="C114" s="33"/>
      <c r="D114" s="33"/>
      <c r="E114" s="33"/>
      <c r="F114" s="33"/>
      <c r="G114" s="124">
        <v>100</v>
      </c>
      <c r="H114" s="33">
        <f>SUM(C114:G114)</f>
        <v>100</v>
      </c>
      <c r="I114" s="34"/>
      <c r="J114" s="35"/>
      <c r="K114" s="49"/>
      <c r="L114" s="117"/>
      <c r="N114" s="125">
        <f>S112*N113</f>
        <v>36.850521063321956</v>
      </c>
      <c r="O114" s="125">
        <f>O113*S112</f>
        <v>36.850521063321956</v>
      </c>
      <c r="P114" s="125">
        <f>P113*S112</f>
        <v>0</v>
      </c>
      <c r="Q114" s="125">
        <f>Q113*S112</f>
        <v>0</v>
      </c>
      <c r="R114" s="120"/>
      <c r="S114" s="123"/>
    </row>
    <row r="115" spans="1:19" s="113" customFormat="1">
      <c r="A115" s="56"/>
      <c r="B115" s="112"/>
      <c r="C115" s="33"/>
      <c r="D115" s="33"/>
      <c r="E115" s="33"/>
      <c r="F115" s="33"/>
      <c r="G115" s="33"/>
      <c r="H115" s="33"/>
      <c r="I115" s="34"/>
      <c r="J115" s="35"/>
      <c r="K115" s="49"/>
      <c r="L115" s="117"/>
      <c r="N115" s="125">
        <f>N114/2*O111</f>
        <v>0.66330937913979515</v>
      </c>
      <c r="O115" s="125">
        <f>(N114+O114/2)*O111</f>
        <v>1.9899281374193853</v>
      </c>
      <c r="P115" s="126">
        <f>IF(P113=0,0,((N114+O114)*O111+P114/2*O111))</f>
        <v>0</v>
      </c>
      <c r="Q115" s="126">
        <f>IF(Q113=0,0,((N114+O114+P114)*O111%+Q114/2*O111%))</f>
        <v>0</v>
      </c>
      <c r="R115" s="120"/>
      <c r="S115" s="127">
        <f>SUM(N115:P115)</f>
        <v>2.6532375165591806</v>
      </c>
    </row>
    <row r="116" spans="1:19">
      <c r="A116" s="109"/>
      <c r="B116" s="65"/>
      <c r="C116" s="39"/>
      <c r="D116" s="58"/>
      <c r="E116" s="58"/>
      <c r="F116" s="58"/>
      <c r="G116" s="58"/>
      <c r="H116" s="39"/>
      <c r="I116" s="39"/>
      <c r="J116" s="60"/>
      <c r="K116" s="61"/>
      <c r="L116" s="99"/>
      <c r="N116" s="3"/>
      <c r="O116" s="3"/>
      <c r="P116" s="3"/>
      <c r="Q116" s="3"/>
      <c r="R116" s="3"/>
      <c r="S116" s="3"/>
    </row>
    <row r="117" spans="1:19" s="113" customFormat="1" hidden="1">
      <c r="A117" s="56" t="s">
        <v>183</v>
      </c>
      <c r="B117" s="112" t="s">
        <v>184</v>
      </c>
      <c r="C117" s="33"/>
      <c r="D117" s="115"/>
      <c r="E117" s="115"/>
      <c r="F117" s="115"/>
      <c r="G117" s="33">
        <v>105.28720303806274</v>
      </c>
      <c r="H117" s="33">
        <f>SUM(C117:G117)</f>
        <v>105.28720303806274</v>
      </c>
      <c r="I117" s="128"/>
      <c r="J117" s="110"/>
      <c r="K117" s="111"/>
      <c r="L117" s="112"/>
    </row>
    <row r="118" spans="1:19" hidden="1">
      <c r="A118" s="109"/>
      <c r="B118" s="65"/>
      <c r="C118" s="39"/>
      <c r="D118" s="58"/>
      <c r="E118" s="58"/>
      <c r="F118" s="58"/>
      <c r="G118" s="39"/>
      <c r="H118" s="39">
        <f t="shared" ref="H118:H120" si="17">SUM(C118:G118)</f>
        <v>0</v>
      </c>
      <c r="I118" s="59"/>
      <c r="J118" s="60"/>
      <c r="K118" s="61"/>
      <c r="L118" s="99"/>
      <c r="N118" s="3"/>
      <c r="O118" s="3"/>
      <c r="P118" s="3"/>
      <c r="Q118" s="3"/>
      <c r="R118" s="3"/>
      <c r="S118" s="3"/>
    </row>
    <row r="119" spans="1:19" s="113" customFormat="1" hidden="1">
      <c r="A119" s="56" t="s">
        <v>185</v>
      </c>
      <c r="B119" s="48" t="s">
        <v>186</v>
      </c>
      <c r="C119" s="33"/>
      <c r="D119" s="115"/>
      <c r="E119" s="115"/>
      <c r="F119" s="115"/>
      <c r="G119" s="33">
        <v>54.605999999999995</v>
      </c>
      <c r="H119" s="33">
        <f t="shared" si="17"/>
        <v>54.605999999999995</v>
      </c>
      <c r="I119" s="128"/>
      <c r="J119" s="110"/>
      <c r="K119" s="111"/>
      <c r="L119" s="112"/>
    </row>
    <row r="120" spans="1:19" hidden="1">
      <c r="A120" s="129"/>
      <c r="B120" s="130"/>
      <c r="C120" s="39"/>
      <c r="D120" s="58"/>
      <c r="E120" s="58"/>
      <c r="F120" s="58"/>
      <c r="G120" s="39"/>
      <c r="H120" s="39">
        <f t="shared" si="17"/>
        <v>0</v>
      </c>
      <c r="I120" s="59"/>
      <c r="J120" s="60"/>
      <c r="K120" s="61"/>
      <c r="L120" s="99"/>
      <c r="N120" s="3"/>
      <c r="O120" s="3"/>
      <c r="P120" s="3"/>
      <c r="Q120" s="3"/>
      <c r="R120" s="3"/>
      <c r="S120" s="3"/>
    </row>
    <row r="121" spans="1:19" s="113" customFormat="1" collapsed="1">
      <c r="A121" s="56"/>
      <c r="B121" s="57" t="s">
        <v>187</v>
      </c>
      <c r="C121" s="33">
        <f>SUM(C110:C120)</f>
        <v>4327.3703155790336</v>
      </c>
      <c r="D121" s="33">
        <f>SUM(D110:D120)</f>
        <v>38.527794637500001</v>
      </c>
      <c r="E121" s="33">
        <f>SUM(E110:E120)</f>
        <v>40.068000000000005</v>
      </c>
      <c r="F121" s="33">
        <f>SUM(F110:F120)</f>
        <v>0</v>
      </c>
      <c r="G121" s="33">
        <f ca="1">SUM(G110:G120)</f>
        <v>1586.2975668014624</v>
      </c>
      <c r="H121" s="33">
        <f ca="1">SUM(C121:G121)</f>
        <v>5992.2636770179961</v>
      </c>
      <c r="I121" s="34"/>
      <c r="J121" s="35"/>
      <c r="K121" s="49"/>
      <c r="L121" s="131"/>
    </row>
    <row r="122" spans="1:19" ht="16.2" thickBot="1">
      <c r="A122" s="132"/>
      <c r="B122" s="133"/>
      <c r="C122" s="134"/>
      <c r="D122" s="135"/>
      <c r="E122" s="135"/>
      <c r="F122" s="135"/>
      <c r="G122" s="135"/>
      <c r="H122" s="135"/>
      <c r="I122" s="136"/>
      <c r="J122" s="137"/>
      <c r="K122" s="138"/>
      <c r="L122" s="139"/>
      <c r="N122" s="3"/>
      <c r="O122" s="3"/>
      <c r="P122" s="3"/>
      <c r="Q122" s="3"/>
      <c r="R122" s="3"/>
      <c r="S122" s="3"/>
    </row>
  </sheetData>
  <mergeCells count="9">
    <mergeCell ref="L58:L60"/>
    <mergeCell ref="L80:L83"/>
    <mergeCell ref="N84:Q84"/>
    <mergeCell ref="A1:L1"/>
    <mergeCell ref="C4:H4"/>
    <mergeCell ref="I4:K4"/>
    <mergeCell ref="M4:O4"/>
    <mergeCell ref="L23:L28"/>
    <mergeCell ref="L30:L33"/>
  </mergeCells>
  <phoneticPr fontId="7" type="noConversion"/>
  <dataValidations count="2">
    <dataValidation type="list" allowBlank="1" showInputMessage="1" showErrorMessage="1" sqref="D5">
      <formula1>"安装工程,管件、材料及设备安装工程"</formula1>
    </dataValidation>
    <dataValidation type="list" allowBlank="1" showInputMessage="1" showErrorMessage="1" sqref="E5">
      <formula1>"设备及工器具购置,设备购置"</formula1>
    </dataValidation>
  </dataValidations>
  <pageMargins left="0.70866141732283472" right="0.70866141732283472" top="0.74803149606299213" bottom="0.74803149606299213" header="0.31496062992125984" footer="0.31496062992125984"/>
  <pageSetup paperSize="9" scale="9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12</xdr:col>
                    <xdr:colOff>53340</xdr:colOff>
                    <xdr:row>20</xdr:row>
                    <xdr:rowOff>167640</xdr:rowOff>
                  </from>
                  <to>
                    <xdr:col>14</xdr:col>
                    <xdr:colOff>121920</xdr:colOff>
                    <xdr:row>22</xdr:row>
                    <xdr:rowOff>22860</xdr:rowOff>
                  </to>
                </anchor>
              </controlPr>
            </control>
          </mc:Choice>
        </mc:AlternateContent>
        <mc:AlternateContent xmlns:mc="http://schemas.openxmlformats.org/markup-compatibility/2006">
          <mc:Choice Requires="x14">
            <control shapeId="1026" r:id="rId5" name="Drop Down 2">
              <controlPr defaultSize="0" autoLine="0" autoPict="0">
                <anchor moveWithCells="1">
                  <from>
                    <xdr:col>12</xdr:col>
                    <xdr:colOff>38100</xdr:colOff>
                    <xdr:row>51</xdr:row>
                    <xdr:rowOff>167640</xdr:rowOff>
                  </from>
                  <to>
                    <xdr:col>14</xdr:col>
                    <xdr:colOff>106680</xdr:colOff>
                    <xdr:row>57</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8"/>
  <sheetViews>
    <sheetView showGridLines="0" showZeros="0" topLeftCell="D19" zoomScaleNormal="100" workbookViewId="0">
      <selection activeCell="E52" sqref="E52"/>
    </sheetView>
  </sheetViews>
  <sheetFormatPr defaultColWidth="8.19921875" defaultRowHeight="15.6" outlineLevelRow="1"/>
  <cols>
    <col min="1" max="1" width="1.69921875" style="140" customWidth="1"/>
    <col min="2" max="2" width="4.796875" style="140" customWidth="1"/>
    <col min="3" max="3" width="32.69921875" style="140" customWidth="1"/>
    <col min="4" max="4" width="51.296875" style="140" customWidth="1"/>
    <col min="5" max="5" width="8.296875" style="140" customWidth="1"/>
    <col min="6" max="6" width="40.296875" style="140" bestFit="1" customWidth="1"/>
    <col min="7" max="7" width="16" style="140" bestFit="1" customWidth="1"/>
    <col min="8" max="10" width="0" style="140" hidden="1" customWidth="1"/>
    <col min="11" max="11" width="8.19921875" style="140"/>
    <col min="12" max="12" width="9.5" style="140" customWidth="1"/>
    <col min="13" max="15" width="8.19921875" style="140"/>
    <col min="16" max="16" width="16.59765625" style="140" customWidth="1"/>
    <col min="17" max="16384" width="8.19921875" style="140"/>
  </cols>
  <sheetData>
    <row r="1" spans="2:15" ht="5.25" customHeight="1"/>
    <row r="2" spans="2:15" ht="24" customHeight="1">
      <c r="D2" s="141" t="s">
        <v>188</v>
      </c>
    </row>
    <row r="3" spans="2:15" ht="21" customHeight="1" thickBot="1">
      <c r="B3" s="8" t="str">
        <f>+'江苏省工程总表 '!A3</f>
        <v>工程名称：江苏省项目</v>
      </c>
      <c r="C3" s="8"/>
      <c r="D3" s="8"/>
      <c r="E3" s="8"/>
      <c r="F3" s="8"/>
    </row>
    <row r="4" spans="2:15" ht="37.5" customHeight="1">
      <c r="B4" s="10" t="s">
        <v>189</v>
      </c>
      <c r="C4" s="10" t="s">
        <v>190</v>
      </c>
      <c r="D4" s="10" t="s">
        <v>191</v>
      </c>
      <c r="E4" s="142" t="s">
        <v>192</v>
      </c>
      <c r="F4" s="11" t="s">
        <v>193</v>
      </c>
    </row>
    <row r="5" spans="2:15" s="145" customFormat="1">
      <c r="B5" s="66" t="str">
        <f>+'江苏省工程总表 '!A12</f>
        <v>一</v>
      </c>
      <c r="C5" s="63" t="str">
        <f>+'江苏省工程总表 '!B12</f>
        <v>建设用地费</v>
      </c>
      <c r="D5" s="143"/>
      <c r="E5" s="144">
        <f>+'江苏省工程总表 '!H12</f>
        <v>0</v>
      </c>
      <c r="F5" s="99">
        <f>+'江苏省工程总表 '!L12</f>
        <v>0</v>
      </c>
      <c r="H5" s="145" t="s">
        <v>194</v>
      </c>
      <c r="I5" s="145" t="str">
        <f>C5&amp;H5</f>
        <v>建设用地费,</v>
      </c>
      <c r="J5" s="145" t="str">
        <f>I5</f>
        <v>建设用地费,</v>
      </c>
    </row>
    <row r="6" spans="2:15" s="145" customFormat="1" ht="15" customHeight="1">
      <c r="B6" s="66">
        <f>+'江苏省工程总表 '!A13</f>
        <v>1</v>
      </c>
      <c r="C6" s="63" t="str">
        <f>+'江苏省工程总表 '!B13</f>
        <v>以出让等有偿方式取得</v>
      </c>
      <c r="D6" s="143"/>
      <c r="E6" s="144">
        <f>+'江苏省工程总表 '!H13</f>
        <v>0</v>
      </c>
      <c r="F6" s="99">
        <f>+'江苏省工程总表 '!L13</f>
        <v>0</v>
      </c>
      <c r="H6" s="145" t="s">
        <v>194</v>
      </c>
      <c r="I6" s="145" t="str">
        <f t="shared" ref="I6:I51" si="0">C6&amp;H6</f>
        <v>以出让等有偿方式取得,</v>
      </c>
      <c r="J6" s="145" t="str">
        <f>J5&amp;I6</f>
        <v>建设用地费,以出让等有偿方式取得,</v>
      </c>
    </row>
    <row r="7" spans="2:15" s="145" customFormat="1" ht="15" customHeight="1">
      <c r="B7" s="66" t="str">
        <f>+'江苏省工程总表 '!A14</f>
        <v>1.1</v>
      </c>
      <c r="C7" s="63" t="str">
        <f>+'江苏省工程总表 '!B14</f>
        <v>土地征用及迁移补偿费</v>
      </c>
      <c r="D7" s="143" t="str">
        <f>+'江苏省工程总表 '!J14&amp;""&amp;'江苏省工程总表 '!I14&amp;"*"&amp;'江苏省工程总表 '!K14&amp;"元/"&amp;'江苏省工程总表 '!I14&amp;""</f>
        <v>亩*元/亩</v>
      </c>
      <c r="E7" s="144">
        <f>+'江苏省工程总表 '!H14</f>
        <v>0</v>
      </c>
      <c r="F7" s="99">
        <f>+'江苏省工程总表 '!L14</f>
        <v>0</v>
      </c>
      <c r="H7" s="145" t="s">
        <v>194</v>
      </c>
      <c r="I7" s="145" t="str">
        <f t="shared" si="0"/>
        <v>土地征用及迁移补偿费,</v>
      </c>
      <c r="J7" s="145" t="e">
        <f>#REF!&amp;I7</f>
        <v>#REF!</v>
      </c>
    </row>
    <row r="8" spans="2:15" s="145" customFormat="1">
      <c r="B8" s="66" t="str">
        <f>+'江苏省工程总表 '!A15</f>
        <v>1.2</v>
      </c>
      <c r="C8" s="63" t="str">
        <f>+'江苏省工程总表 '!B15</f>
        <v>青苗补偿</v>
      </c>
      <c r="D8" s="143" t="str">
        <f>+'江苏省工程总表 '!J15&amp;""&amp;'江苏省工程总表 '!I15&amp;"*"&amp;'江苏省工程总表 '!K15&amp;"元/"&amp;'江苏省工程总表 '!I15&amp;""</f>
        <v>亩*元/亩</v>
      </c>
      <c r="E8" s="144">
        <f>+'江苏省工程总表 '!H15</f>
        <v>0</v>
      </c>
      <c r="F8" s="99">
        <f>+'江苏省工程总表 '!L15</f>
        <v>0</v>
      </c>
    </row>
    <row r="9" spans="2:15" s="145" customFormat="1" hidden="1">
      <c r="B9" s="66" t="str">
        <f>+'江苏省工程总表 '!A16</f>
        <v>1.3</v>
      </c>
      <c r="C9" s="63" t="str">
        <f>+'江苏省工程总表 '!B16</f>
        <v>被征地农民社会保障补贴</v>
      </c>
      <c r="D9" s="143" t="str">
        <f>+'江苏省工程总表 '!J16&amp;""&amp;'江苏省工程总表 '!I16&amp;"*"&amp;'江苏省工程总表 '!K16&amp;"元/"&amp;'江苏省工程总表 '!I16&amp;""</f>
        <v>亩*元/亩</v>
      </c>
      <c r="E9" s="144">
        <f>+'江苏省工程总表 '!H17</f>
        <v>0</v>
      </c>
      <c r="F9" s="99">
        <f>+'江苏省工程总表 '!L17</f>
        <v>0</v>
      </c>
      <c r="H9" s="145" t="s">
        <v>195</v>
      </c>
      <c r="I9" s="145" t="str">
        <f t="shared" si="0"/>
        <v>被征地农民社会保障补贴,</v>
      </c>
      <c r="J9" s="145" t="e">
        <f>J7&amp;I9</f>
        <v>#REF!</v>
      </c>
    </row>
    <row r="10" spans="2:15" s="145" customFormat="1">
      <c r="B10" s="66" t="str">
        <f>+'江苏省工程总表 '!A17</f>
        <v>1.4</v>
      </c>
      <c r="C10" s="63" t="str">
        <f>+'江苏省工程总表 '!B17</f>
        <v>管线搬迁及补偿费</v>
      </c>
      <c r="D10" s="143" t="str">
        <f>+'江苏省工程总表 '!J17&amp;""&amp;'江苏省工程总表 '!I17&amp;"*"&amp;'江苏省工程总表 '!K17&amp;"元/"&amp;'江苏省工程总表 '!I17&amp;""</f>
        <v>亩*元/亩</v>
      </c>
      <c r="E10" s="144"/>
      <c r="F10" s="99"/>
    </row>
    <row r="11" spans="2:15" s="145" customFormat="1" ht="15" customHeight="1">
      <c r="B11" s="66" t="str">
        <f>+'江苏省工程总表 '!A18</f>
        <v>二</v>
      </c>
      <c r="C11" s="63" t="str">
        <f>+'江苏省工程总表 '!B18</f>
        <v>与整个工程项目建设有关的费用</v>
      </c>
      <c r="D11" s="143"/>
      <c r="E11" s="144">
        <f>+'江苏省工程总表 '!H18</f>
        <v>0</v>
      </c>
      <c r="F11" s="99">
        <f>+'江苏省工程总表 '!L18</f>
        <v>0</v>
      </c>
      <c r="H11" s="145" t="s">
        <v>196</v>
      </c>
      <c r="I11" s="145" t="str">
        <f t="shared" si="0"/>
        <v>与整个工程项目建设有关的费用,</v>
      </c>
      <c r="J11" s="145" t="e">
        <f>#REF!&amp;I11</f>
        <v>#REF!</v>
      </c>
    </row>
    <row r="12" spans="2:15" s="145" customFormat="1" ht="15" customHeight="1">
      <c r="B12" s="66">
        <f>+'江苏省工程总表 '!A19</f>
        <v>1</v>
      </c>
      <c r="C12" s="63" t="str">
        <f>+'江苏省工程总表 '!B19</f>
        <v>建设管理费</v>
      </c>
      <c r="D12" s="143"/>
      <c r="E12" s="144"/>
      <c r="F12" s="99"/>
    </row>
    <row r="13" spans="2:15" s="145" customFormat="1" ht="15" customHeight="1">
      <c r="B13" s="66" t="str">
        <f>+'江苏省工程总表 '!A20</f>
        <v>1.1</v>
      </c>
      <c r="C13" s="63" t="str">
        <f>+'江苏省工程总表 '!B20</f>
        <v>建设项目管理费</v>
      </c>
      <c r="D13" s="143" t="str">
        <f ca="1">+江苏省其他费用底稿!AA4</f>
        <v>80+(5901.45-5000)*1.2%</v>
      </c>
      <c r="E13" s="144">
        <f ca="1">+'江苏省工程总表 '!H20</f>
        <v>90.817355853968337</v>
      </c>
      <c r="F13" s="99" t="str">
        <f>+'江苏省工程总表 '!L20</f>
        <v>财建[2016]504号</v>
      </c>
      <c r="H13" s="145" t="s">
        <v>197</v>
      </c>
      <c r="I13" s="145" t="str">
        <f t="shared" si="0"/>
        <v>建设项目管理费,</v>
      </c>
      <c r="J13" s="145" t="e">
        <f>J11&amp;I13</f>
        <v>#REF!</v>
      </c>
    </row>
    <row r="14" spans="2:15" s="145" customFormat="1">
      <c r="B14" s="66" t="str">
        <f>+'江苏省工程总表 '!A21</f>
        <v>1.2</v>
      </c>
      <c r="C14" s="63" t="str">
        <f>+'江苏省工程总表 '!B21</f>
        <v>建设工程监理费</v>
      </c>
      <c r="D14" s="143" t="str">
        <f>+江苏省其他费用底稿!AA12</f>
        <v>(78.1+(4406.37-3000)/(5000-3000)*(120.8-78.1))*1</v>
      </c>
      <c r="E14" s="144">
        <f>+'江苏省工程总表 '!H21</f>
        <v>108.12593097112298</v>
      </c>
      <c r="F14" s="99" t="str">
        <f>+'江苏省工程总表 '!L21</f>
        <v>发改价[2007]670号</v>
      </c>
    </row>
    <row r="15" spans="2:15" s="145" customFormat="1" ht="15" customHeight="1">
      <c r="B15" s="66">
        <f>+'江苏省工程总表 '!A22</f>
        <v>2</v>
      </c>
      <c r="C15" s="63" t="str">
        <f>+'江苏省工程总表 '!B22</f>
        <v>工程造价咨询服务费</v>
      </c>
      <c r="D15" s="143"/>
      <c r="E15" s="144">
        <f>+'江苏省工程总表 '!H22</f>
        <v>0</v>
      </c>
      <c r="F15" s="99">
        <f>+'江苏省工程总表 '!L22</f>
        <v>0</v>
      </c>
      <c r="G15" s="146" t="str">
        <f>INDEX(K15:L15,'江苏省工程总表 '!$M$22)</f>
        <v>苏建价协2022(7)号文</v>
      </c>
      <c r="H15" s="147" t="s">
        <v>198</v>
      </c>
      <c r="I15" s="147" t="str">
        <f>C15&amp;H15</f>
        <v>工程造价咨询服务费,</v>
      </c>
      <c r="J15" s="147" t="e">
        <f>#REF!&amp;I15</f>
        <v>#REF!</v>
      </c>
      <c r="K15" s="148" t="s">
        <v>199</v>
      </c>
      <c r="L15" s="148" t="str">
        <f>江苏省其他费用底稿!B313</f>
        <v>苏价服2014[383]号文</v>
      </c>
      <c r="M15" s="147"/>
      <c r="N15" s="149"/>
      <c r="O15" s="150"/>
    </row>
    <row r="16" spans="2:15" s="145" customFormat="1">
      <c r="B16" s="66" t="str">
        <f>+'江苏省工程总表 '!A23</f>
        <v>2.1</v>
      </c>
      <c r="C16" s="63" t="str">
        <f>+'江苏省工程总表 '!B23</f>
        <v>投资估算审核</v>
      </c>
      <c r="D16" s="151" t="str">
        <f ca="1">G16</f>
        <v>(3.9+(5992.26-5000)*0.05%）*0.8</v>
      </c>
      <c r="E16" s="144">
        <f ca="1">+'江苏省工程总表 '!H23</f>
        <v>3.5169054708071985</v>
      </c>
      <c r="F16" s="152" t="str">
        <f>+'江苏省工程总表 '!L23</f>
        <v>苏建价协2022(7)号文</v>
      </c>
      <c r="G16" s="146" t="str">
        <f ca="1">INDEX(K16:L16,'江苏省工程总表 '!$M$22)</f>
        <v>(3.9+(5992.26-5000)*0.05%）*0.8</v>
      </c>
      <c r="H16" s="153"/>
      <c r="I16" s="153"/>
      <c r="J16" s="153"/>
      <c r="K16" s="153" t="str">
        <f ca="1">江苏省其他费用底稿!AA207</f>
        <v>(3.9+(5992.26-5000)*0.05%）*0.8</v>
      </c>
      <c r="L16" s="153" t="str">
        <f ca="1">江苏省其他费用底稿!AA316</f>
        <v>(3.3+(5992.26-5000)*0.04%）*0.8</v>
      </c>
      <c r="M16" s="147"/>
      <c r="N16" s="149"/>
      <c r="O16" s="150"/>
    </row>
    <row r="17" spans="2:15" s="145" customFormat="1">
      <c r="B17" s="66" t="str">
        <f>+'江苏省工程总表 '!A24</f>
        <v>2.2</v>
      </c>
      <c r="C17" s="63" t="str">
        <f>+'江苏省工程总表 '!B24</f>
        <v>审核设计概算</v>
      </c>
      <c r="D17" s="151" t="str">
        <f t="shared" ref="D17:D21" ca="1" si="1">G17</f>
        <v>(5.75+(5992.26-5000)*0.09%）*0.8</v>
      </c>
      <c r="E17" s="144">
        <f ca="1">+'江苏省工程总表 '!H24</f>
        <v>5.3144298474529572</v>
      </c>
      <c r="F17" s="154"/>
      <c r="G17" s="146" t="str">
        <f ca="1">INDEX(K17:L17,'江苏省工程总表 '!$M$22)</f>
        <v>(5.75+(5992.26-5000)*0.09%）*0.8</v>
      </c>
      <c r="H17" s="153"/>
      <c r="I17" s="153"/>
      <c r="J17" s="153"/>
      <c r="K17" s="153" t="str">
        <f ca="1">江苏省其他费用底稿!AA215</f>
        <v>(5.75+(5992.26-5000)*0.09%）*0.8</v>
      </c>
      <c r="L17" s="153" t="str">
        <f ca="1">江苏省其他费用底稿!AA324</f>
        <v>(3.7+(5992.26-5000)*0.06%）*0.8</v>
      </c>
      <c r="M17" s="147"/>
      <c r="N17" s="149"/>
      <c r="O17" s="150"/>
    </row>
    <row r="18" spans="2:15" s="145" customFormat="1" ht="16.05" customHeight="1">
      <c r="B18" s="66" t="str">
        <f>+'江苏省工程总表 '!A25</f>
        <v>2.3</v>
      </c>
      <c r="C18" s="63" t="str">
        <f>+'江苏省工程总表 '!B25</f>
        <v>施工图预算、最高投标限价（含编制工程量清单）编制</v>
      </c>
      <c r="D18" s="151" t="str">
        <f t="shared" si="1"/>
        <v>(4.25+(4405.97-1000)*0.35%）*0.8</v>
      </c>
      <c r="E18" s="144">
        <f>+'江苏省工程总表 '!H25</f>
        <v>12.936705108606294</v>
      </c>
      <c r="F18" s="154"/>
      <c r="G18" s="146" t="str">
        <f>INDEX(K18:L18,'江苏省工程总表 '!$M$22)</f>
        <v>(4.25+(4405.97-1000)*0.35%）*0.8</v>
      </c>
      <c r="H18" s="153" t="s">
        <v>194</v>
      </c>
      <c r="I18" s="153" t="str">
        <f>C18&amp;H18</f>
        <v>施工图预算、最高投标限价（含编制工程量清单）编制,</v>
      </c>
      <c r="J18" s="153" t="e">
        <f>#REF!&amp;I18</f>
        <v>#REF!</v>
      </c>
      <c r="K18" s="153" t="str">
        <f>江苏省其他费用底稿!AA223</f>
        <v>(4.25+(4405.97-1000)*0.35%）*0.8</v>
      </c>
      <c r="L18" s="153" t="str">
        <f>江苏省其他费用底稿!AA332</f>
        <v>(3.6+(4405.97-1000)*0.3%）*0.8</v>
      </c>
      <c r="M18" s="147"/>
      <c r="N18" s="149"/>
      <c r="O18" s="150"/>
    </row>
    <row r="19" spans="2:15" s="145" customFormat="1">
      <c r="B19" s="66" t="str">
        <f>+'江苏省工程总表 '!A26</f>
        <v>2.4</v>
      </c>
      <c r="C19" s="63" t="str">
        <f>+'江苏省工程总表 '!B26</f>
        <v>工程结算审核</v>
      </c>
      <c r="D19" s="151" t="str">
        <f t="shared" si="1"/>
        <v>(2.65+(4405.97-1000)*0.18%）*0.8</v>
      </c>
      <c r="E19" s="144">
        <f>+'江苏省工程总表 '!H26</f>
        <v>7.0245911987118079</v>
      </c>
      <c r="F19" s="154"/>
      <c r="G19" s="146" t="str">
        <f>INDEX(K19:L19,'江苏省工程总表 '!$M$22)</f>
        <v>(2.65+(4405.97-1000)*0.18%）*0.8</v>
      </c>
      <c r="H19" s="153"/>
      <c r="I19" s="153"/>
      <c r="J19" s="153"/>
      <c r="K19" s="153" t="str">
        <f>江苏省其他费用底稿!AA231</f>
        <v>(2.65+(4405.97-1000)*0.18%）*0.8</v>
      </c>
      <c r="L19" s="153" t="str">
        <f>江苏省其他费用底稿!AA340</f>
        <v>(1.6+(4405.97-1000)*0.11%）*0.8</v>
      </c>
      <c r="M19" s="147"/>
      <c r="N19" s="149"/>
      <c r="O19" s="150"/>
    </row>
    <row r="20" spans="2:15" s="145" customFormat="1" outlineLevel="1">
      <c r="B20" s="66" t="str">
        <f>+'江苏省工程总表 '!A27</f>
        <v>2.5</v>
      </c>
      <c r="C20" s="63" t="str">
        <f>+'江苏省工程总表 '!B27</f>
        <v>工程竣工决算审核</v>
      </c>
      <c r="D20" s="151" t="str">
        <f t="shared" si="1"/>
        <v>(1.65+(4405.97-1000)*0.13%）*0.8</v>
      </c>
      <c r="E20" s="144">
        <f>+'江苏省工程总表 '!H27</f>
        <v>4.8622047546251954</v>
      </c>
      <c r="F20" s="154"/>
      <c r="G20" s="146" t="str">
        <f>INDEX(K20:L20,'江苏省工程总表 '!$M$22)</f>
        <v>(1.65+(4405.97-1000)*0.13%）*0.8</v>
      </c>
      <c r="H20" s="153"/>
      <c r="I20" s="153"/>
      <c r="J20" s="153"/>
      <c r="K20" s="153" t="str">
        <f>江苏省其他费用底稿!AA239</f>
        <v>(1.65+(4405.97-1000)*0.13%）*0.8</v>
      </c>
      <c r="L20" s="153"/>
      <c r="M20" s="147"/>
      <c r="N20" s="149"/>
      <c r="O20" s="150"/>
    </row>
    <row r="21" spans="2:15" s="145" customFormat="1" ht="15" customHeight="1">
      <c r="B21" s="66" t="str">
        <f>+'江苏省工程总表 '!A28</f>
        <v>2.6</v>
      </c>
      <c r="C21" s="63" t="str">
        <f>+'江苏省工程总表 '!B28</f>
        <v>施工阶段全过程工程造价控制</v>
      </c>
      <c r="D21" s="151" t="str">
        <f t="shared" si="1"/>
        <v>(14+(4405.97-1000)*1%）*0.8</v>
      </c>
      <c r="E21" s="144">
        <f>+'江苏省工程总表 '!H28</f>
        <v>38.447728881732274</v>
      </c>
      <c r="F21" s="155"/>
      <c r="G21" s="146" t="str">
        <f>INDEX(K21:L21,'江苏省工程总表 '!$M$22)</f>
        <v>(14+(4405.97-1000)*1%）*0.8</v>
      </c>
      <c r="H21" s="153" t="s">
        <v>200</v>
      </c>
      <c r="I21" s="153" t="str">
        <f>C21&amp;H21</f>
        <v>施工阶段全过程工程造价控制,</v>
      </c>
      <c r="J21" s="153" t="e">
        <f>J18&amp;I21</f>
        <v>#REF!</v>
      </c>
      <c r="K21" s="153" t="str">
        <f>江苏省其他费用底稿!AA247</f>
        <v>(14+(4405.97-1000)*1%）*0.8</v>
      </c>
      <c r="L21" s="153" t="str">
        <f>江苏省其他费用底稿!AA348</f>
        <v>(8.5+(4405.97-1000)*0.6%）*0.8</v>
      </c>
      <c r="M21" s="147"/>
      <c r="N21" s="149"/>
      <c r="O21" s="150"/>
    </row>
    <row r="22" spans="2:15" s="145" customFormat="1">
      <c r="B22" s="66">
        <f>+'江苏省工程总表 '!A29</f>
        <v>3</v>
      </c>
      <c r="C22" s="63" t="str">
        <f>+'江苏省工程总表 '!B29</f>
        <v>建设项目前期工作咨询费</v>
      </c>
      <c r="D22" s="143"/>
      <c r="E22" s="144">
        <f>+'江苏省工程总表 '!H29</f>
        <v>0</v>
      </c>
      <c r="F22" s="99">
        <f>+'江苏省工程总表 '!L29</f>
        <v>0</v>
      </c>
    </row>
    <row r="23" spans="2:15" s="145" customFormat="1">
      <c r="B23" s="66" t="str">
        <f>+'江苏省工程总表 '!A30</f>
        <v>3.1</v>
      </c>
      <c r="C23" s="63" t="str">
        <f>+'江苏省工程总表 '!B30</f>
        <v>编制项目建议书</v>
      </c>
      <c r="D23" s="143" t="str">
        <f ca="1">IF(E23=0,0,+江苏省其他费用底稿!AA53)</f>
        <v>(6+(5992.26-3000)/(10000-3000)*(14-6))*0.7*1.2</v>
      </c>
      <c r="E23" s="144">
        <f ca="1">+'江苏省工程总表 '!H30</f>
        <v>7.9125731299372752</v>
      </c>
      <c r="F23" s="152" t="str">
        <f>+'江苏省工程总表 '!L30</f>
        <v>计价格[1999]1283号文</v>
      </c>
    </row>
    <row r="24" spans="2:15" s="145" customFormat="1">
      <c r="B24" s="66" t="str">
        <f>+'江苏省工程总表 '!A31</f>
        <v>3.2</v>
      </c>
      <c r="C24" s="63" t="str">
        <f>+'江苏省工程总表 '!B31</f>
        <v>编制可行性研究报告</v>
      </c>
      <c r="D24" s="143" t="str">
        <f ca="1">IF(E24=0,0,江苏省其他费用底稿!AA60)</f>
        <v>(12+(5992.26-3000)/(10000-3000)*(28-12))*0.7*1.2</v>
      </c>
      <c r="E24" s="144">
        <f ca="1">+'江苏省工程总表 '!H31</f>
        <v>15.82514625987455</v>
      </c>
      <c r="F24" s="154"/>
    </row>
    <row r="25" spans="2:15" s="145" customFormat="1">
      <c r="B25" s="66" t="str">
        <f>+'江苏省工程总表 '!A32</f>
        <v>3.3</v>
      </c>
      <c r="C25" s="63" t="str">
        <f>+'江苏省工程总表 '!B32</f>
        <v>评估项目建议书</v>
      </c>
      <c r="D25" s="143" t="str">
        <f ca="1">IF(E25=0,0,江苏省其他费用底稿!AA67)</f>
        <v>(4+(5992.26-3000)/(10000-3000)*(8-4))*0.7*1.2</v>
      </c>
      <c r="E25" s="144">
        <f ca="1">+'江苏省工程总表 '!H32</f>
        <v>4.7962865649686375</v>
      </c>
      <c r="F25" s="154"/>
    </row>
    <row r="26" spans="2:15" s="145" customFormat="1">
      <c r="B26" s="66" t="str">
        <f>+'江苏省工程总表 '!A33</f>
        <v>3.4</v>
      </c>
      <c r="C26" s="63" t="str">
        <f>+'江苏省工程总表 '!B33</f>
        <v>评估可行性研究报告</v>
      </c>
      <c r="D26" s="143" t="str">
        <f ca="1">IF(E26=0,0,江苏省其他费用底稿!AA74)</f>
        <v>(5+(5992.26-3000)/(10000-3000)*(10-5))*0.7*1.2</v>
      </c>
      <c r="E26" s="144">
        <f ca="1">+'江苏省工程总表 '!H33</f>
        <v>5.9953582062107964</v>
      </c>
      <c r="F26" s="155"/>
    </row>
    <row r="27" spans="2:15" s="145" customFormat="1">
      <c r="B27" s="66">
        <f>'江苏省工程总表 '!A34</f>
        <v>4</v>
      </c>
      <c r="C27" s="63" t="str">
        <f>'江苏省工程总表 '!B34</f>
        <v>环境影响咨询服务费</v>
      </c>
      <c r="D27" s="143"/>
      <c r="E27" s="144"/>
      <c r="F27" s="99"/>
    </row>
    <row r="28" spans="2:15" s="145" customFormat="1" hidden="1">
      <c r="B28" s="66" t="str">
        <f>'江苏省工程总表 '!A35</f>
        <v>4.0</v>
      </c>
      <c r="C28" s="63" t="str">
        <f>'江苏省工程总表 '!B35</f>
        <v>编制环境影响报告表</v>
      </c>
      <c r="D28" s="143" t="str">
        <f ca="1">+江苏省其他费用底稿!AA100</f>
        <v>(2+(5992.26-3000)/(20000-3000)*(4-2))*1*1.2</v>
      </c>
      <c r="E28" s="144">
        <f ca="1">'江苏省工程总表 '!G35</f>
        <v>0</v>
      </c>
      <c r="F28" s="99" t="str">
        <f>'江苏省工程总表 '!L35</f>
        <v>计价格【2002】125号</v>
      </c>
    </row>
    <row r="29" spans="2:15" s="145" customFormat="1">
      <c r="B29" s="66" t="str">
        <f>'江苏省工程总表 '!A36</f>
        <v>4.1</v>
      </c>
      <c r="C29" s="63" t="str">
        <f>'江苏省工程总表 '!B36</f>
        <v>编制环境影响报告书（含大纲）</v>
      </c>
      <c r="D29" s="143" t="str">
        <f ca="1">+江苏省其他费用底稿!AA107</f>
        <v>(6+(5992.26-3000)/(20000-3000)*(15-6))*1*1.2</v>
      </c>
      <c r="E29" s="144">
        <f ca="1">'江苏省工程总表 '!G36</f>
        <v>9.1009675124584906</v>
      </c>
      <c r="F29" s="99">
        <f>'江苏省工程总表 '!L36</f>
        <v>0</v>
      </c>
    </row>
    <row r="30" spans="2:15" s="145" customFormat="1" hidden="1">
      <c r="B30" s="66" t="str">
        <f>'江苏省工程总表 '!A37</f>
        <v>4.1</v>
      </c>
      <c r="C30" s="63" t="str">
        <f>'江苏省工程总表 '!B37</f>
        <v>评估环境影响报告表</v>
      </c>
      <c r="D30" s="143" t="str">
        <f ca="1">+江苏省其他费用底稿!AA114</f>
        <v>(0.8+(5992.26-3000)/(20000-3000)*(1.5-0.8))*1*1.2</v>
      </c>
      <c r="E30" s="144">
        <f ca="1">'江苏省工程总表 '!G37</f>
        <v>0</v>
      </c>
      <c r="F30" s="99">
        <f>'江苏省工程总表 '!L37</f>
        <v>0</v>
      </c>
    </row>
    <row r="31" spans="2:15" s="145" customFormat="1">
      <c r="B31" s="66" t="str">
        <f>'江苏省工程总表 '!A38</f>
        <v>4.2</v>
      </c>
      <c r="C31" s="63" t="str">
        <f>'江苏省工程总表 '!B38</f>
        <v>评估环境影响报告书（含大纲）</v>
      </c>
      <c r="D31" s="143" t="str">
        <f ca="1">+江苏省其他费用底稿!AA121</f>
        <v>(1.5+(5992.26-3000)/(20000-3000)*(3-1.5))*1*1.2</v>
      </c>
      <c r="E31" s="144">
        <f ca="1">'江苏省工程总表 '!G38</f>
        <v>2.1168279187430818</v>
      </c>
      <c r="F31" s="99">
        <f>'江苏省工程总表 '!L38</f>
        <v>0</v>
      </c>
    </row>
    <row r="32" spans="2:15" s="145" customFormat="1" hidden="1">
      <c r="B32" s="66">
        <f>'江苏省工程总表 '!A39</f>
        <v>4</v>
      </c>
      <c r="C32" s="63" t="str">
        <f>'江苏省工程总表 '!B39</f>
        <v>建设用地勘测定界费</v>
      </c>
      <c r="D32" s="143"/>
      <c r="E32" s="144"/>
      <c r="F32" s="99"/>
    </row>
    <row r="33" spans="2:6" s="145" customFormat="1" hidden="1">
      <c r="B33" s="66" t="str">
        <f>'江苏省工程总表 '!A40</f>
        <v>4.0</v>
      </c>
      <c r="C33" s="63" t="str">
        <f>'江苏省工程总表 '!B40</f>
        <v>勘丈服务费</v>
      </c>
      <c r="D33" s="143"/>
      <c r="E33" s="144"/>
      <c r="F33" s="99"/>
    </row>
    <row r="34" spans="2:6" s="145" customFormat="1" hidden="1">
      <c r="B34" s="66" t="str">
        <f>'江苏省工程总表 '!A41</f>
        <v>4.0</v>
      </c>
      <c r="C34" s="63" t="str">
        <f>'江苏省工程总表 '!B41</f>
        <v>拔地钉桩费</v>
      </c>
      <c r="D34" s="143"/>
      <c r="E34" s="144"/>
      <c r="F34" s="99"/>
    </row>
    <row r="35" spans="2:6" s="145" customFormat="1" hidden="1">
      <c r="B35" s="66" t="str">
        <f>'江苏省工程总表 '!A42</f>
        <v>4.0</v>
      </c>
      <c r="C35" s="63" t="str">
        <f>'江苏省工程总表 '!B42</f>
        <v>修补测图服务费</v>
      </c>
      <c r="D35" s="143"/>
      <c r="E35" s="144"/>
      <c r="F35" s="99"/>
    </row>
    <row r="36" spans="2:6" s="145" customFormat="1" hidden="1">
      <c r="B36" s="66">
        <f>'江苏省工程总表 '!A43</f>
        <v>4</v>
      </c>
      <c r="C36" s="63" t="str">
        <f>'江苏省工程总表 '!B43</f>
        <v>购买管线图费</v>
      </c>
      <c r="D36" s="143"/>
      <c r="E36" s="144"/>
      <c r="F36" s="99"/>
    </row>
    <row r="37" spans="2:6" s="145" customFormat="1" hidden="1">
      <c r="B37" s="66" t="str">
        <f>'江苏省工程总表 '!A44</f>
        <v>4.0</v>
      </c>
      <c r="C37" s="63" t="str">
        <f>'江苏省工程总表 '!B44</f>
        <v>购买管线图费</v>
      </c>
      <c r="D37" s="143"/>
      <c r="E37" s="144"/>
      <c r="F37" s="99"/>
    </row>
    <row r="38" spans="2:6" s="145" customFormat="1">
      <c r="B38" s="66">
        <f>+'江苏省工程总表 '!A45</f>
        <v>5</v>
      </c>
      <c r="C38" s="63" t="str">
        <f>+'江苏省工程总表 '!B45</f>
        <v xml:space="preserve">工程勘察费   </v>
      </c>
      <c r="D38" s="143" t="str">
        <f>""&amp;ROUND('江苏省工程总表 '!H9,2)&amp;"*"&amp;'江苏省工程总表 '!M45&amp;"%"</f>
        <v>4405.97*0.8%</v>
      </c>
      <c r="E38" s="144">
        <f>+'江苏省工程总表 '!H45</f>
        <v>35.247728881732272</v>
      </c>
      <c r="F38" s="99" t="str">
        <f>+'江苏省工程总表 '!L45</f>
        <v>工程费用×0.8%</v>
      </c>
    </row>
    <row r="39" spans="2:6" s="145" customFormat="1">
      <c r="B39" s="66">
        <f>+'江苏省工程总表 '!A46</f>
        <v>6</v>
      </c>
      <c r="C39" s="63" t="str">
        <f>+'江苏省工程总表 '!B46</f>
        <v xml:space="preserve">工程设计费  </v>
      </c>
      <c r="D39" s="143"/>
      <c r="E39" s="144">
        <f>+'江苏省工程总表 '!H46</f>
        <v>0</v>
      </c>
      <c r="F39" s="99">
        <f>+'江苏省工程总表 '!L46</f>
        <v>0</v>
      </c>
    </row>
    <row r="40" spans="2:6" s="145" customFormat="1">
      <c r="B40" s="66" t="str">
        <f>+'江苏省工程总表 '!A47</f>
        <v>6.1</v>
      </c>
      <c r="C40" s="63" t="str">
        <f>+'江苏省工程总表 '!B47</f>
        <v>基本设计费</v>
      </c>
      <c r="D40" s="143" t="str">
        <f>江苏省其他费用底稿!AA91</f>
        <v>(103.8+(4406.37-3000)/(5000-3000)*(163.9-103.8))*1.15*1*1</v>
      </c>
      <c r="E40" s="144">
        <f>+'江苏省工程总表 '!H47</f>
        <v>167.97052035290784</v>
      </c>
      <c r="F40" s="99" t="str">
        <f>+'江苏省工程总表 '!L47</f>
        <v>计价格[2002]10号</v>
      </c>
    </row>
    <row r="41" spans="2:6" s="145" customFormat="1" hidden="1">
      <c r="B41" s="66" t="str">
        <f>+'江苏省工程总表 '!A48</f>
        <v>6.1</v>
      </c>
      <c r="C41" s="63" t="str">
        <f>+'江苏省工程总表 '!B48</f>
        <v>编制施工图预算</v>
      </c>
      <c r="D41" s="156"/>
      <c r="E41" s="144">
        <f>+'江苏省工程总表 '!H48</f>
        <v>0</v>
      </c>
      <c r="F41" s="99" t="str">
        <f>+'江苏省工程总表 '!L48</f>
        <v>基本设计费*10%</v>
      </c>
    </row>
    <row r="42" spans="2:6" s="145" customFormat="1">
      <c r="B42" s="66" t="str">
        <f>+'江苏省工程总表 '!A49</f>
        <v>6.2</v>
      </c>
      <c r="C42" s="63" t="str">
        <f>+'江苏省工程总表 '!B49</f>
        <v>编制竣工图</v>
      </c>
      <c r="D42" s="156" t="str">
        <f>""&amp;ROUND(E40,2)&amp;"*8%"</f>
        <v>167.97*8%</v>
      </c>
      <c r="E42" s="144">
        <f>+'江苏省工程总表 '!H49</f>
        <v>13.437641628232628</v>
      </c>
      <c r="F42" s="99" t="str">
        <f>+'江苏省工程总表 '!L49</f>
        <v>基本设计费×8%</v>
      </c>
    </row>
    <row r="43" spans="2:6" s="145" customFormat="1">
      <c r="B43" s="66" t="str">
        <f>+'江苏省工程总表 '!A50</f>
        <v>6.2</v>
      </c>
      <c r="C43" s="63" t="str">
        <f>+'江苏省工程总表 '!B50</f>
        <v>BIM设计</v>
      </c>
      <c r="D43" s="156">
        <f>IF('江苏省工程总表 '!G50=0,0,""&amp;ROUND(E40,2)&amp;"*20%")</f>
        <v>0</v>
      </c>
      <c r="E43" s="144">
        <f>+'江苏省工程总表 '!H50</f>
        <v>0</v>
      </c>
      <c r="F43" s="99">
        <v>0</v>
      </c>
    </row>
    <row r="44" spans="2:6" s="145" customFormat="1">
      <c r="B44" s="66">
        <f>+'江苏省工程总表 '!A51</f>
        <v>7</v>
      </c>
      <c r="C44" s="63" t="str">
        <f>+'江苏省工程总表 '!B51</f>
        <v>施工图、勘察文件审查费</v>
      </c>
      <c r="D44" s="143"/>
      <c r="E44" s="144"/>
      <c r="F44" s="99"/>
    </row>
    <row r="45" spans="2:6" s="145" customFormat="1">
      <c r="B45" s="66" t="str">
        <f>+'江苏省工程总表 '!A52</f>
        <v>7.1</v>
      </c>
      <c r="C45" s="63" t="str">
        <f>+'江苏省工程总表 '!B52</f>
        <v>施工图审查费</v>
      </c>
      <c r="D45" s="143" t="str">
        <f>江苏省其他费用底稿!AA306</f>
        <v>(3.1+(4405.97-4000)*0.05%）*1.12</v>
      </c>
      <c r="E45" s="144">
        <f>'江苏省工程总表 '!G52</f>
        <v>3.6993410217212594</v>
      </c>
      <c r="F45" s="99" t="str">
        <f>'江苏省工程总表 '!L52</f>
        <v>苏价服（2015）20号</v>
      </c>
    </row>
    <row r="46" spans="2:6" s="145" customFormat="1" hidden="1">
      <c r="B46" s="66" t="str">
        <f>+'江苏省工程总表 '!A53</f>
        <v>7.1</v>
      </c>
      <c r="C46" s="63" t="str">
        <f>+'江苏省工程总表 '!B53</f>
        <v>勘察文件审查费-建筑工程</v>
      </c>
      <c r="D46" s="143"/>
      <c r="E46" s="144"/>
      <c r="F46" s="99"/>
    </row>
    <row r="47" spans="2:6" s="145" customFormat="1" hidden="1">
      <c r="B47" s="66" t="str">
        <f>+'江苏省工程总表 '!A54</f>
        <v>7.1</v>
      </c>
      <c r="C47" s="63" t="str">
        <f>+'江苏省工程总表 '!B54</f>
        <v>施工图审查费-市政及专项工程</v>
      </c>
      <c r="D47" s="143"/>
      <c r="E47" s="144"/>
      <c r="F47" s="99"/>
    </row>
    <row r="48" spans="2:6" s="145" customFormat="1" hidden="1">
      <c r="B48" s="66" t="str">
        <f>+'江苏省工程总表 '!A55</f>
        <v>7.1</v>
      </c>
      <c r="C48" s="63" t="str">
        <f>+'江苏省工程总表 '!B55</f>
        <v>施工图审查费-建筑工程</v>
      </c>
      <c r="D48" s="143"/>
      <c r="E48" s="144"/>
      <c r="F48" s="99"/>
    </row>
    <row r="49" spans="2:14" s="145" customFormat="1" hidden="1">
      <c r="B49" s="66" t="str">
        <f>+'江苏省工程总表 '!A56</f>
        <v>7.1</v>
      </c>
      <c r="C49" s="63" t="str">
        <f>+'江苏省工程总表 '!B56</f>
        <v>施工图审查费-深基坑工程</v>
      </c>
      <c r="D49" s="143"/>
      <c r="E49" s="144"/>
      <c r="F49" s="99"/>
    </row>
    <row r="50" spans="2:14" s="145" customFormat="1" ht="15" customHeight="1">
      <c r="B50" s="66">
        <f>+'江苏省工程总表 '!A57</f>
        <v>8</v>
      </c>
      <c r="C50" s="63" t="str">
        <f>+'江苏省工程总表 '!B57</f>
        <v>招标代理服务费</v>
      </c>
      <c r="D50" s="143"/>
      <c r="E50" s="144">
        <f>+'江苏省工程总表 '!H57</f>
        <v>0</v>
      </c>
      <c r="F50" s="99"/>
      <c r="G50" s="146" t="str">
        <f>INDEX(K50:L50,'江苏省工程总表 '!$M$57)</f>
        <v>发改价格[2011]534号文</v>
      </c>
      <c r="H50" s="147" t="s">
        <v>201</v>
      </c>
      <c r="I50" s="147" t="str">
        <f t="shared" si="0"/>
        <v>招标代理服务费,</v>
      </c>
      <c r="J50" s="147" t="e">
        <f>#REF!&amp;I50</f>
        <v>#REF!</v>
      </c>
      <c r="K50" s="148" t="s">
        <v>202</v>
      </c>
      <c r="L50" s="148" t="s">
        <v>203</v>
      </c>
      <c r="M50" s="147"/>
      <c r="N50" s="149"/>
    </row>
    <row r="51" spans="2:14" s="145" customFormat="1" ht="15" customHeight="1">
      <c r="B51" s="66" t="str">
        <f>+'江苏省工程总表 '!A59</f>
        <v>8.2</v>
      </c>
      <c r="C51" s="63" t="str">
        <f>+'江苏省工程总表 '!B59</f>
        <v>货物招标</v>
      </c>
      <c r="D51" s="151" t="str">
        <f>G51</f>
        <v>+(40.07-)*1.5%</v>
      </c>
      <c r="E51" s="144">
        <f>+'江苏省工程总表 '!H59</f>
        <v>0.60102</v>
      </c>
      <c r="F51" s="152" t="str">
        <f>'江苏省工程总表 '!L58</f>
        <v>发改价格[2011]534号文</v>
      </c>
      <c r="G51" s="146" t="str">
        <f>INDEX(K51:L51,'江苏省工程总表 '!$M$57)</f>
        <v>+(40.07-)*1.5%</v>
      </c>
      <c r="H51" s="147"/>
      <c r="I51" s="147" t="str">
        <f t="shared" si="0"/>
        <v>货物招标</v>
      </c>
      <c r="J51" s="147" t="e">
        <f t="shared" ref="J51" si="2">J50&amp;I51</f>
        <v>#REF!</v>
      </c>
      <c r="K51" s="148" t="str">
        <f>江苏省其他费用底稿!AA156</f>
        <v>+(40.07-)*1.5%</v>
      </c>
      <c r="L51" s="148">
        <f>江苏省其他费用底稿!AA181</f>
        <v>1</v>
      </c>
      <c r="M51" s="147"/>
      <c r="N51" s="149"/>
    </row>
    <row r="52" spans="2:14" s="145" customFormat="1" ht="15" customHeight="1">
      <c r="B52" s="66" t="str">
        <f>+'江苏省工程总表 '!A60</f>
        <v>8.3</v>
      </c>
      <c r="C52" s="63" t="str">
        <f>+'江苏省工程总表 '!B60</f>
        <v>服务招标</v>
      </c>
      <c r="D52" s="151" t="str">
        <f>G52</f>
        <v>1.5+(324.78-100)*0.8%</v>
      </c>
      <c r="E52" s="144">
        <f>+'江苏省工程总表 '!H60</f>
        <v>3.298254574671966</v>
      </c>
      <c r="F52" s="154"/>
      <c r="G52" s="146" t="str">
        <f>INDEX(K52:L52,'江苏省工程总表 '!$M$57)</f>
        <v>1.5+(324.78-100)*0.8%</v>
      </c>
      <c r="H52" s="153"/>
      <c r="I52" s="153"/>
      <c r="J52" s="153"/>
      <c r="K52" s="153" t="str">
        <f>江苏省其他费用底稿!AA164</f>
        <v>1.5+(324.78-100)*0.8%</v>
      </c>
      <c r="L52" s="153" t="str">
        <f>江苏省其他费用底稿!AA189</f>
        <v>1+(324.78-50)*1.5%</v>
      </c>
      <c r="M52" s="147"/>
      <c r="N52" s="149"/>
    </row>
    <row r="53" spans="2:14" s="145" customFormat="1" ht="15" customHeight="1">
      <c r="B53" s="66" t="str">
        <f>+'江苏省工程总表 '!A58</f>
        <v>8.1</v>
      </c>
      <c r="C53" s="63" t="str">
        <f>+'江苏省工程总表 '!B58</f>
        <v>工程招标</v>
      </c>
      <c r="D53" s="151" t="str">
        <f>G53</f>
        <v>6.55+(4365.9-1000)*0.35%</v>
      </c>
      <c r="E53" s="144">
        <f>+'江苏省工程总表 '!H58</f>
        <v>18.330643385757867</v>
      </c>
      <c r="F53" s="155"/>
      <c r="G53" s="146" t="str">
        <f>INDEX(K53:L53,'江苏省工程总表 '!$M$57)</f>
        <v>6.55+(4365.9-1000)*0.35%</v>
      </c>
      <c r="H53" s="153"/>
      <c r="I53" s="153"/>
      <c r="J53" s="153"/>
      <c r="K53" s="153" t="str">
        <f>江苏省其他费用底稿!AA172</f>
        <v>6.55+(4365.9-1000)*0.35%</v>
      </c>
      <c r="L53" s="153" t="str">
        <f>江苏省其他费用底稿!AA197</f>
        <v>11.05+(4365.9-1000)*0.55%</v>
      </c>
      <c r="M53" s="147"/>
      <c r="N53" s="149"/>
    </row>
    <row r="54" spans="2:14" s="145" customFormat="1" ht="15" customHeight="1">
      <c r="B54" s="66">
        <f>+'江苏省工程总表 '!A61</f>
        <v>9</v>
      </c>
      <c r="C54" s="63" t="str">
        <f>+'江苏省工程总表 '!B61</f>
        <v>专项费用</v>
      </c>
      <c r="D54" s="143"/>
      <c r="E54" s="144">
        <f>+'江苏省工程总表 '!H61</f>
        <v>0</v>
      </c>
      <c r="F54" s="99">
        <f>+'江苏省工程总表 '!L61</f>
        <v>0</v>
      </c>
    </row>
    <row r="55" spans="2:14" s="145" customFormat="1">
      <c r="B55" s="66" t="str">
        <f>+'江苏省工程总表 '!A62</f>
        <v>9.1</v>
      </c>
      <c r="C55" s="63" t="str">
        <f>+'江苏省工程总表 '!B62</f>
        <v>场地准备费及临时设施费</v>
      </c>
      <c r="D55" s="156" t="str">
        <f>""&amp;ROUND('江苏省工程总表 '!H9,2)&amp;"*"&amp;'江苏省工程总表 '!M62&amp;"%"</f>
        <v>4405.97*1%</v>
      </c>
      <c r="E55" s="144">
        <f>+'江苏省工程总表 '!H62</f>
        <v>44.059661102165336</v>
      </c>
      <c r="F55" s="99" t="str">
        <f>+'江苏省工程总表 '!L62</f>
        <v>工程费用×1%</v>
      </c>
    </row>
    <row r="56" spans="2:14" s="145" customFormat="1">
      <c r="B56" s="66" t="str">
        <f>+'江苏省工程总表 '!A63</f>
        <v>9.2</v>
      </c>
      <c r="C56" s="63" t="str">
        <f>+'江苏省工程总表 '!B63</f>
        <v>建设工程交易服务费</v>
      </c>
      <c r="D56" s="143"/>
      <c r="E56" s="144">
        <f>+'江苏省工程总表 '!H63</f>
        <v>0.17499999999999999</v>
      </c>
      <c r="F56" s="99" t="str">
        <f>+'江苏省工程总表 '!L63</f>
        <v>苏发改收费发[2023]851号文</v>
      </c>
    </row>
    <row r="57" spans="2:14" s="145" customFormat="1" hidden="1">
      <c r="B57" s="66" t="str">
        <f>+'江苏省工程总表 '!A64</f>
        <v>9.2</v>
      </c>
      <c r="C57" s="63" t="str">
        <f>+'江苏省工程总表 '!B64</f>
        <v>建设工程交易公证费</v>
      </c>
      <c r="D57" s="143"/>
      <c r="E57" s="144"/>
      <c r="F57" s="99"/>
    </row>
    <row r="58" spans="2:14" s="145" customFormat="1">
      <c r="B58" s="66" t="str">
        <f>+'江苏省工程总表 '!A65</f>
        <v>9.3</v>
      </c>
      <c r="C58" s="63" t="str">
        <f>+'江苏省工程总表 '!B65</f>
        <v>防空地下室易地建设费</v>
      </c>
      <c r="D58" s="143" t="str">
        <f>+'江苏省工程总表 '!J65&amp;""&amp;'江苏省工程总表 '!I65&amp;"*"&amp;'江苏省工程总表 '!K65&amp;"元/"&amp;'江苏省工程总表 '!I65&amp;""</f>
        <v>450m2*600元/m2</v>
      </c>
      <c r="E58" s="144">
        <f>+'江苏省工程总表 '!H65</f>
        <v>27</v>
      </c>
      <c r="F58" s="99" t="str">
        <f>+'江苏省工程总表 '!L65</f>
        <v>苏价服〔2017〕210号文，</v>
      </c>
    </row>
    <row r="59" spans="2:14" s="145" customFormat="1">
      <c r="B59" s="66">
        <f>+'江苏省工程总表 '!A66</f>
        <v>10</v>
      </c>
      <c r="C59" s="63" t="str">
        <f>+'江苏省工程总表 '!B66</f>
        <v>检测实验等相关费</v>
      </c>
      <c r="D59" s="143"/>
      <c r="E59" s="144"/>
      <c r="F59" s="99"/>
    </row>
    <row r="60" spans="2:14" s="145" customFormat="1">
      <c r="B60" s="66" t="str">
        <f>+'江苏省工程总表 '!A67</f>
        <v>10.1</v>
      </c>
      <c r="C60" s="63" t="str">
        <f>+'江苏省工程总表 '!B67</f>
        <v>材料检测实验费用</v>
      </c>
      <c r="D60" s="143" t="str">
        <f>"("&amp;ROUND('江苏省工程总表 '!C9,2)&amp;"+"&amp;ROUND('江苏省工程总表 '!D9,2)&amp;")*"&amp;'江苏省工程总表 '!M67&amp;"%"</f>
        <v>(4327.37+38.53)*0.5%</v>
      </c>
      <c r="E60" s="144">
        <f>+'江苏省工程总表 '!H67</f>
        <v>21.829490551082667</v>
      </c>
      <c r="F60" s="99" t="str">
        <f>+'江苏省工程总表 '!L67</f>
        <v>建安工程费用×0.5%</v>
      </c>
    </row>
    <row r="61" spans="2:14" s="145" customFormat="1" hidden="1">
      <c r="B61" s="66" t="str">
        <f>+'江苏省工程总表 '!A68</f>
        <v>10.1</v>
      </c>
      <c r="C61" s="63" t="str">
        <f>+'江苏省工程总表 '!B68</f>
        <v>消防设施检测合格证明</v>
      </c>
      <c r="D61" s="143"/>
      <c r="E61" s="144">
        <f>+'江苏省工程总表 '!H68</f>
        <v>0</v>
      </c>
      <c r="F61" s="99">
        <f>+'江苏省工程总表 '!L68</f>
        <v>0</v>
      </c>
    </row>
    <row r="62" spans="2:14" s="145" customFormat="1">
      <c r="B62" s="66" t="str">
        <f>+'江苏省工程总表 '!A69</f>
        <v>10.2</v>
      </c>
      <c r="C62" s="63" t="str">
        <f>+'江苏省工程总表 '!B69</f>
        <v>桩基检测费</v>
      </c>
      <c r="D62" s="143"/>
      <c r="E62" s="144">
        <f>+'江苏省工程总表 '!H69</f>
        <v>30</v>
      </c>
      <c r="F62" s="99" t="str">
        <f>+'江苏省工程总表 '!L69</f>
        <v>估列</v>
      </c>
    </row>
    <row r="63" spans="2:14" s="145" customFormat="1">
      <c r="B63" s="66" t="str">
        <f>+'江苏省工程总表 '!A70</f>
        <v>10.3</v>
      </c>
      <c r="C63" s="63" t="str">
        <f>+'江苏省工程总表 '!B70</f>
        <v>工程监测费</v>
      </c>
      <c r="D63" s="143"/>
      <c r="E63" s="144">
        <f>+'江苏省工程总表 '!H70</f>
        <v>30</v>
      </c>
      <c r="F63" s="99" t="str">
        <f>+'江苏省工程总表 '!L70</f>
        <v>估列</v>
      </c>
    </row>
    <row r="64" spans="2:14" s="145" customFormat="1" hidden="1">
      <c r="B64" s="66" t="str">
        <f>+'江苏省工程总表 '!A71</f>
        <v>10.3</v>
      </c>
      <c r="C64" s="63" t="str">
        <f>+'江苏省工程总表 '!B71</f>
        <v>CCTV检测费</v>
      </c>
      <c r="D64" s="143"/>
      <c r="E64" s="144">
        <f>+'江苏省工程总表 '!H71</f>
        <v>0</v>
      </c>
      <c r="F64" s="99">
        <f>+'江苏省工程总表 '!L71</f>
        <v>0</v>
      </c>
    </row>
    <row r="65" spans="2:6" s="145" customFormat="1" hidden="1">
      <c r="B65" s="66" t="str">
        <f>+'江苏省工程总表 '!A72</f>
        <v>10.3</v>
      </c>
      <c r="C65" s="63" t="str">
        <f>+'江苏省工程总表 '!B72</f>
        <v>建设工程放线</v>
      </c>
      <c r="D65" s="143"/>
      <c r="E65" s="144">
        <f>+'江苏省工程总表 '!H72</f>
        <v>0</v>
      </c>
      <c r="F65" s="99">
        <f>+'江苏省工程总表 '!L72</f>
        <v>0</v>
      </c>
    </row>
    <row r="66" spans="2:6" s="145" customFormat="1" hidden="1">
      <c r="B66" s="66" t="str">
        <f>+'江苏省工程总表 '!A73</f>
        <v>10.3</v>
      </c>
      <c r="C66" s="63" t="str">
        <f>+'江苏省工程总表 '!B73</f>
        <v>竣工测量费</v>
      </c>
      <c r="D66" s="143"/>
      <c r="E66" s="144">
        <f>+'江苏省工程总表 '!H73</f>
        <v>0</v>
      </c>
      <c r="F66" s="99">
        <f>+'江苏省工程总表 '!L73</f>
        <v>0</v>
      </c>
    </row>
    <row r="67" spans="2:6" s="145" customFormat="1">
      <c r="B67" s="66" t="str">
        <f>+'江苏省工程总表 '!A74</f>
        <v>10.4</v>
      </c>
      <c r="C67" s="63" t="str">
        <f>+'江苏省工程总表 '!B74</f>
        <v>联合试运转费</v>
      </c>
      <c r="D67" s="156" t="s">
        <v>561</v>
      </c>
      <c r="E67" s="144">
        <f>+'江苏省工程总表 '!H74</f>
        <v>0.40068000000000004</v>
      </c>
      <c r="F67" s="99" t="str">
        <f>+'江苏省工程总表 '!L74</f>
        <v>设备购置及工器具购置费×1%</v>
      </c>
    </row>
    <row r="68" spans="2:6" s="145" customFormat="1">
      <c r="B68" s="66" t="str">
        <f>+'江苏省工程总表 '!A75</f>
        <v>10.5</v>
      </c>
      <c r="C68" s="63" t="str">
        <f>+'江苏省工程总表 '!B75</f>
        <v>生产准备费</v>
      </c>
      <c r="D68" s="143" t="str">
        <f>+'江苏省工程总表 '!J75&amp;""&amp;'江苏省工程总表 '!I75&amp;"*"&amp;'江苏省工程总表 '!K75&amp;"元/"&amp;'江苏省工程总表 '!I75&amp;""</f>
        <v>30人月*2000元/人月</v>
      </c>
      <c r="E68" s="144">
        <f>+'江苏省工程总表 '!H75</f>
        <v>6</v>
      </c>
      <c r="F68" s="99">
        <f>+'江苏省工程总表 '!L75</f>
        <v>0</v>
      </c>
    </row>
    <row r="69" spans="2:6" s="145" customFormat="1">
      <c r="B69" s="66" t="str">
        <f>+'江苏省工程总表 '!A76</f>
        <v>10.6</v>
      </c>
      <c r="C69" s="63" t="str">
        <f>+'江苏省工程总表 '!B76</f>
        <v xml:space="preserve">办公及生活家具购置费  </v>
      </c>
      <c r="D69" s="143" t="str">
        <f>+'江苏省工程总表 '!J76&amp;""&amp;'江苏省工程总表 '!I76&amp;"*"&amp;'江苏省工程总表 '!K76&amp;"元/"&amp;'江苏省工程总表 '!I76&amp;""</f>
        <v>7人*2000元/人</v>
      </c>
      <c r="E69" s="144">
        <f>+'江苏省工程总表 '!H76</f>
        <v>1.4</v>
      </c>
      <c r="F69" s="99">
        <f>+'江苏省工程总表 '!L76</f>
        <v>0</v>
      </c>
    </row>
    <row r="70" spans="2:6" s="145" customFormat="1">
      <c r="B70" s="66">
        <f>+'江苏省工程总表 '!A77</f>
        <v>11</v>
      </c>
      <c r="C70" s="63" t="str">
        <f>+'江苏省工程总表 '!B77</f>
        <v>其他应计费用</v>
      </c>
      <c r="D70" s="143"/>
      <c r="E70" s="144"/>
      <c r="F70" s="99"/>
    </row>
    <row r="71" spans="2:6" s="145" customFormat="1" hidden="1">
      <c r="B71" s="66" t="str">
        <f>+'江苏省工程总表 '!A78</f>
        <v>11.0</v>
      </c>
      <c r="C71" s="63" t="str">
        <f>+'江苏省工程总表 '!B78</f>
        <v>重大工程气候可行性论证、雷击灾害风险评估收费</v>
      </c>
      <c r="D71" s="143"/>
      <c r="E71" s="144"/>
      <c r="F71" s="99"/>
    </row>
    <row r="72" spans="2:6" s="145" customFormat="1">
      <c r="B72" s="66" t="str">
        <f>+'江苏省工程总表 '!A79</f>
        <v>11.1</v>
      </c>
      <c r="C72" s="63" t="str">
        <f>+'江苏省工程总表 '!B79</f>
        <v>水土保持咨询服务费</v>
      </c>
      <c r="D72" s="143"/>
      <c r="E72" s="144">
        <f>+'江苏省工程总表 '!H79</f>
        <v>0</v>
      </c>
      <c r="F72" s="99">
        <f>+'江苏省工程总表 '!L79</f>
        <v>0</v>
      </c>
    </row>
    <row r="73" spans="2:6" s="145" customFormat="1">
      <c r="B73" s="66" t="str">
        <f>+'江苏省工程总表 '!A80</f>
        <v>11.1.1</v>
      </c>
      <c r="C73" s="63" t="str">
        <f>+'江苏省工程总表 '!B80</f>
        <v>水土保持方案编制</v>
      </c>
      <c r="D73" s="143" t="str">
        <f>+江苏省其他费用底稿!AA272</f>
        <v>(0+(4327.37-0)/(5000-0)*(30-0))*1</v>
      </c>
      <c r="E73" s="144">
        <f>+'江苏省工程总表 '!H80</f>
        <v>25.964221893474203</v>
      </c>
      <c r="F73" s="152" t="str">
        <f>+'江苏省工程总表 '!L80</f>
        <v>参保监[2005]22号</v>
      </c>
    </row>
    <row r="74" spans="2:6" s="145" customFormat="1">
      <c r="B74" s="66" t="str">
        <f>+'江苏省工程总表 '!A81</f>
        <v>11.1.2</v>
      </c>
      <c r="C74" s="63" t="str">
        <f>+'江苏省工程总表 '!B81</f>
        <v>水土保持施工期监测费</v>
      </c>
      <c r="D74" s="143" t="str">
        <f>+江苏省其他费用底稿!AA280</f>
        <v>(0+(4327.37-0)/(5000-0)*(30-0))*1</v>
      </c>
      <c r="E74" s="144">
        <f>+'江苏省工程总表 '!H81</f>
        <v>25.964221893474203</v>
      </c>
      <c r="F74" s="154"/>
    </row>
    <row r="75" spans="2:6" s="145" customFormat="1">
      <c r="B75" s="66" t="str">
        <f>+'江苏省工程总表 '!A82</f>
        <v>11.1.3</v>
      </c>
      <c r="C75" s="63" t="str">
        <f>+'江苏省工程总表 '!B82</f>
        <v>水土保持设施竣工验收技术评估报告编制费</v>
      </c>
      <c r="D75" s="143" t="str">
        <f>+江苏省其他费用底稿!AA288</f>
        <v>(0+(4327.37-0)/(5000-0)*(10-0))*1</v>
      </c>
      <c r="E75" s="144">
        <f>+'江苏省工程总表 '!H82</f>
        <v>8.6547406311580666</v>
      </c>
      <c r="F75" s="154"/>
    </row>
    <row r="76" spans="2:6" s="145" customFormat="1">
      <c r="B76" s="66" t="str">
        <f>+'江苏省工程总表 '!A83</f>
        <v>11.1.4</v>
      </c>
      <c r="C76" s="63" t="str">
        <f>+'江苏省工程总表 '!B83</f>
        <v>水土保持技术文件咨询服务费</v>
      </c>
      <c r="D76" s="143" t="str">
        <f>+江苏省其他费用底稿!AA296</f>
        <v>(0+(4327.37-0)/(5000-0)*(1-0))*1</v>
      </c>
      <c r="E76" s="144">
        <f>+'江苏省工程总表 '!H83</f>
        <v>0.86547406311580677</v>
      </c>
      <c r="F76" s="155"/>
    </row>
    <row r="77" spans="2:6" s="145" customFormat="1">
      <c r="B77" s="66" t="str">
        <f>+'江苏省工程总表 '!A84</f>
        <v>11.2</v>
      </c>
      <c r="C77" s="63" t="str">
        <f>+'江苏省工程总表 '!B84</f>
        <v>水土保持补偿费</v>
      </c>
      <c r="D77" s="143" t="str">
        <f>+'江苏省工程总表 '!J84&amp;""&amp;'江苏省工程总表 '!I84&amp;"*"&amp;'江苏省工程总表 '!K84&amp;"元"</f>
        <v>500弃方m3*1.2元</v>
      </c>
      <c r="E77" s="144">
        <f>+'江苏省工程总表 '!H84</f>
        <v>6.0000000000000012E-2</v>
      </c>
      <c r="F77" s="99" t="str">
        <f>+'江苏省工程总表 '!L84</f>
        <v>苏财综[2014]39号文，
苏水农[2022]13号文</v>
      </c>
    </row>
    <row r="78" spans="2:6" s="145" customFormat="1">
      <c r="B78" s="66" t="str">
        <f>+'江苏省工程总表 '!A85</f>
        <v>11.3</v>
      </c>
      <c r="C78" s="63" t="str">
        <f>+'江苏省工程总表 '!B85</f>
        <v>地震安全性评价</v>
      </c>
      <c r="D78" s="143"/>
      <c r="E78" s="144">
        <f>+'江苏省工程总表 '!H85</f>
        <v>10</v>
      </c>
      <c r="F78" s="99" t="str">
        <f>+'江苏省工程总表 '!L85</f>
        <v>估列</v>
      </c>
    </row>
    <row r="79" spans="2:6" s="145" customFormat="1">
      <c r="B79" s="66" t="str">
        <f>+'江苏省工程总表 '!A86</f>
        <v>11.4</v>
      </c>
      <c r="C79" s="63" t="str">
        <f>+'江苏省工程总表 '!B86</f>
        <v>地质灾害危险性评价费</v>
      </c>
      <c r="D79" s="143"/>
      <c r="E79" s="144">
        <f>+'江苏省工程总表 '!H86</f>
        <v>10</v>
      </c>
      <c r="F79" s="99" t="str">
        <f>+'江苏省工程总表 '!L86</f>
        <v>发改办价格[2006]745号文</v>
      </c>
    </row>
    <row r="80" spans="2:6" s="145" customFormat="1" hidden="1">
      <c r="B80" s="66" t="str">
        <f>+'江苏省工程总表 '!A87</f>
        <v>11.4</v>
      </c>
      <c r="C80" s="63" t="str">
        <f>+'江苏省工程总表 '!B87</f>
        <v>绿地临时占用费、树林砍伐、移值、修剪补偿费</v>
      </c>
      <c r="D80" s="143"/>
      <c r="E80" s="144">
        <f>+'江苏省工程总表 '!H87</f>
        <v>0</v>
      </c>
      <c r="F80" s="99" t="str">
        <f>+'江苏省工程总表 '!L87</f>
        <v>估列</v>
      </c>
    </row>
    <row r="81" spans="2:6" s="145" customFormat="1" hidden="1">
      <c r="B81" s="66" t="str">
        <f>+'江苏省工程总表 '!A88</f>
        <v>11.4</v>
      </c>
      <c r="C81" s="63" t="str">
        <f>+'江苏省工程总表 '!B88</f>
        <v>城市道路挖掘修复费</v>
      </c>
      <c r="D81" s="143"/>
      <c r="E81" s="144">
        <f>+'江苏省工程总表 '!H88</f>
        <v>0</v>
      </c>
      <c r="F81" s="99" t="str">
        <f>+'江苏省工程总表 '!L88</f>
        <v>估列</v>
      </c>
    </row>
    <row r="82" spans="2:6" s="145" customFormat="1" hidden="1">
      <c r="B82" s="66" t="str">
        <f>+'江苏省工程总表 '!A89</f>
        <v>11.4</v>
      </c>
      <c r="C82" s="63" t="str">
        <f>+'江苏省工程总表 '!B89</f>
        <v>河道堤防工程占用补偿费</v>
      </c>
      <c r="D82" s="143"/>
      <c r="E82" s="144">
        <f>+'江苏省工程总表 '!H89</f>
        <v>0</v>
      </c>
      <c r="F82" s="99" t="str">
        <f>+'江苏省工程总表 '!L89</f>
        <v>估列</v>
      </c>
    </row>
    <row r="83" spans="2:6" s="145" customFormat="1" hidden="1">
      <c r="B83" s="66" t="str">
        <f>+'江苏省工程总表 '!A90</f>
        <v>11.4</v>
      </c>
      <c r="C83" s="63" t="str">
        <f>+'江苏省工程总表 '!B90</f>
        <v>考古调查勘探经费</v>
      </c>
      <c r="D83" s="143"/>
      <c r="E83" s="144">
        <f>+'江苏省工程总表 '!H90</f>
        <v>0</v>
      </c>
      <c r="F83" s="99" t="str">
        <f>+'江苏省工程总表 '!L90</f>
        <v>估列</v>
      </c>
    </row>
    <row r="84" spans="2:6" s="145" customFormat="1" hidden="1">
      <c r="B84" s="66" t="str">
        <f>+'江苏省工程总表 '!A91</f>
        <v>11.4</v>
      </c>
      <c r="C84" s="63" t="str">
        <f>+'江苏省工程总表 '!B91</f>
        <v>水电燃气接入费</v>
      </c>
      <c r="D84" s="143"/>
      <c r="E84" s="144">
        <f>+'江苏省工程总表 '!H91</f>
        <v>0</v>
      </c>
      <c r="F84" s="99" t="str">
        <f>+'江苏省工程总表 '!L91</f>
        <v>估列</v>
      </c>
    </row>
    <row r="85" spans="2:6" s="145" customFormat="1">
      <c r="B85" s="66" t="str">
        <f>+'江苏省工程总表 '!A92</f>
        <v>11.5</v>
      </c>
      <c r="C85" s="63" t="str">
        <f>+'江苏省工程总表 '!B92</f>
        <v>社会稳定风险分析及评估报告编制费</v>
      </c>
      <c r="D85" s="143"/>
      <c r="E85" s="144">
        <f>+'江苏省工程总表 '!H92</f>
        <v>10</v>
      </c>
      <c r="F85" s="99" t="str">
        <f>+'江苏省工程总表 '!L92</f>
        <v>估列</v>
      </c>
    </row>
    <row r="86" spans="2:6" s="145" customFormat="1">
      <c r="B86" s="66" t="str">
        <f>+'江苏省工程总表 '!A93</f>
        <v>11.6</v>
      </c>
      <c r="C86" s="63" t="str">
        <f>+'江苏省工程总表 '!B93</f>
        <v>防洪影响评价咨询服务费</v>
      </c>
      <c r="D86" s="143"/>
      <c r="E86" s="144">
        <f>+'江苏省工程总表 '!H93</f>
        <v>10</v>
      </c>
      <c r="F86" s="99" t="str">
        <f>+'江苏省工程总表 '!L93</f>
        <v>估列</v>
      </c>
    </row>
    <row r="87" spans="2:6" s="145" customFormat="1">
      <c r="B87" s="66" t="str">
        <f>+'江苏省工程总表 '!A94</f>
        <v>11.7</v>
      </c>
      <c r="C87" s="63" t="str">
        <f>+'江苏省工程总表 '!B94</f>
        <v>交通维护费</v>
      </c>
      <c r="D87" s="143"/>
      <c r="E87" s="144">
        <f>+'江苏省工程总表 '!H94</f>
        <v>0</v>
      </c>
      <c r="F87" s="99"/>
    </row>
    <row r="88" spans="2:6" s="145" customFormat="1">
      <c r="B88" s="66" t="str">
        <f>+'江苏省工程总表 '!A95</f>
        <v>11.8</v>
      </c>
      <c r="C88" s="63" t="str">
        <f>+'江苏省工程总表 '!B95</f>
        <v>高可靠性供电费</v>
      </c>
      <c r="D88" s="143" t="str">
        <f>+'江苏省工程总表 '!J95&amp;""&amp;'江苏省工程总表 '!I95&amp;"*"&amp;'江苏省工程总表 '!K95&amp;"元/"&amp;'江苏省工程总表 '!I95&amp;""</f>
        <v>1260KVA*220元/KVA</v>
      </c>
      <c r="E88" s="144">
        <f>+'江苏省工程总表 '!H95</f>
        <v>27.72</v>
      </c>
      <c r="F88" s="99" t="str">
        <f>'江苏省工程总表 '!L95</f>
        <v>苏价工[2009]213号文</v>
      </c>
    </row>
    <row r="89" spans="2:6" s="145" customFormat="1">
      <c r="B89" s="66" t="str">
        <f>+'江苏省工程总表 '!A96</f>
        <v>11.9</v>
      </c>
      <c r="C89" s="63" t="str">
        <f>+'江苏省工程总表 '!B96</f>
        <v>特殊设备安全监督检测费</v>
      </c>
      <c r="D89" s="143"/>
      <c r="E89" s="144">
        <f>+'江苏省工程总表 '!H96</f>
        <v>0</v>
      </c>
      <c r="F89" s="99"/>
    </row>
    <row r="90" spans="2:6" s="145" customFormat="1">
      <c r="B90" s="66" t="str">
        <f>+'江苏省工程总表 '!A97</f>
        <v>11.10</v>
      </c>
      <c r="C90" s="63" t="str">
        <f>+'江苏省工程总表 '!B97</f>
        <v>城镇垃圾处理费(建筑垃圾和工程渣土)</v>
      </c>
      <c r="D90" s="143"/>
      <c r="E90" s="144">
        <f>+'江苏省工程总表 '!H97</f>
        <v>0</v>
      </c>
      <c r="F90" s="99"/>
    </row>
    <row r="91" spans="2:6" s="145" customFormat="1">
      <c r="B91" s="66" t="str">
        <f>+'江苏省工程总表 '!A98</f>
        <v>11.11</v>
      </c>
      <c r="C91" s="63" t="str">
        <f>+'江苏省工程总表 '!B98</f>
        <v>劳动安全卫生评审费</v>
      </c>
      <c r="D91" s="156"/>
      <c r="E91" s="144">
        <f>+'江苏省工程总表 '!H98</f>
        <v>13.217898330649602</v>
      </c>
      <c r="F91" s="99" t="str">
        <f>+'江苏省工程总表 '!L98</f>
        <v>工程费用×0.3%</v>
      </c>
    </row>
    <row r="92" spans="2:6" s="145" customFormat="1">
      <c r="B92" s="66" t="str">
        <f>+'江苏省工程总表 '!A99</f>
        <v>11.12</v>
      </c>
      <c r="C92" s="63" t="str">
        <f>+'江苏省工程总表 '!B99</f>
        <v>工程保险费</v>
      </c>
      <c r="D92" s="156"/>
      <c r="E92" s="144">
        <f>+'江苏省工程总表 '!H99</f>
        <v>13.217898330649602</v>
      </c>
      <c r="F92" s="99" t="str">
        <f>+'江苏省工程总表 '!L99</f>
        <v>工程费用×0.3%</v>
      </c>
    </row>
    <row r="93" spans="2:6" s="145" customFormat="1">
      <c r="B93" s="66" t="str">
        <f>+'江苏省工程总表 '!A100</f>
        <v>11.13</v>
      </c>
      <c r="C93" s="63" t="str">
        <f>+'江苏省工程总表 '!B100</f>
        <v>基础设施配套费</v>
      </c>
      <c r="D93" s="143" t="str">
        <f>+'江苏省工程总表 '!J100&amp;""&amp;'江苏省工程总表 '!I100&amp;"*"&amp;'江苏省工程总表 '!K100&amp;"元/"&amp;'江苏省工程总表 '!I100&amp;""</f>
        <v>5000m2*150元/m2</v>
      </c>
      <c r="E93" s="144">
        <f>+'江苏省工程总表 '!H100</f>
        <v>75</v>
      </c>
      <c r="F93" s="99" t="str">
        <f>+'江苏省工程总表 '!L100</f>
        <v>按总建筑面积为基数</v>
      </c>
    </row>
    <row r="94" spans="2:6" s="145" customFormat="1">
      <c r="B94" s="66" t="str">
        <f>+'江苏省工程总表 '!A101</f>
        <v>11.14</v>
      </c>
      <c r="C94" s="63" t="str">
        <f>+'江苏省工程总表 '!B101</f>
        <v>供电外线</v>
      </c>
      <c r="D94" s="143"/>
      <c r="E94" s="144">
        <f>+'江苏省工程总表 '!H101</f>
        <v>100</v>
      </c>
      <c r="F94" s="99">
        <f>+'江苏省工程总表 '!L101</f>
        <v>0</v>
      </c>
    </row>
    <row r="95" spans="2:6" s="145" customFormat="1">
      <c r="B95" s="66" t="str">
        <f>+'江苏省工程总表 '!A102</f>
        <v>11.15</v>
      </c>
      <c r="C95" s="63" t="str">
        <f>+'江苏省工程总表 '!B102</f>
        <v>涉铁费用</v>
      </c>
      <c r="D95" s="63"/>
      <c r="E95" s="144">
        <f>+'江苏省工程总表 '!H102</f>
        <v>0</v>
      </c>
      <c r="F95" s="99"/>
    </row>
    <row r="96" spans="2:6" s="145" customFormat="1">
      <c r="B96" s="66">
        <f>+'江苏省工程总表 '!A103</f>
        <v>0</v>
      </c>
      <c r="C96" s="63">
        <f>+'江苏省工程总表 '!B122</f>
        <v>0</v>
      </c>
      <c r="D96" s="63"/>
      <c r="E96" s="144"/>
      <c r="F96" s="99"/>
    </row>
    <row r="97" spans="2:6" s="145" customFormat="1">
      <c r="B97" s="68"/>
      <c r="C97" s="63"/>
      <c r="D97" s="63"/>
      <c r="E97" s="144"/>
      <c r="F97" s="99"/>
    </row>
    <row r="98" spans="2:6" s="145" customFormat="1" ht="15" customHeight="1">
      <c r="B98" s="157"/>
      <c r="C98" s="158" t="s">
        <v>204</v>
      </c>
      <c r="D98" s="159"/>
      <c r="E98" s="160">
        <f ca="1">SUM(E5:E97)</f>
        <v>1050.9074483200134</v>
      </c>
      <c r="F98" s="158"/>
    </row>
  </sheetData>
  <mergeCells count="4">
    <mergeCell ref="F16:F21"/>
    <mergeCell ref="F23:F26"/>
    <mergeCell ref="F51:F53"/>
    <mergeCell ref="F73:F76"/>
  </mergeCells>
  <phoneticPr fontId="11" type="noConversion"/>
  <pageMargins left="0.27559055118110237" right="0" top="0.82677165354330717" bottom="0.59055118110236227" header="0.19685039370078741" footer="0.1574803149606299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2"/>
  <sheetViews>
    <sheetView topLeftCell="A160" zoomScale="85" zoomScaleNormal="85" workbookViewId="0">
      <selection activeCell="J65" sqref="J65"/>
    </sheetView>
  </sheetViews>
  <sheetFormatPr defaultColWidth="8.19921875" defaultRowHeight="15.6"/>
  <cols>
    <col min="1" max="1" width="11" style="161" customWidth="1"/>
    <col min="2" max="2" width="22.69921875" style="161" customWidth="1"/>
    <col min="3" max="3" width="9.19921875" style="161" bestFit="1" customWidth="1"/>
    <col min="4" max="4" width="10.09765625" style="161" customWidth="1"/>
    <col min="5" max="8" width="8.19921875" style="161"/>
    <col min="9" max="9" width="9.19921875" style="161" customWidth="1"/>
    <col min="10" max="10" width="8.19921875" style="161"/>
    <col min="11" max="11" width="8.59765625" style="161" customWidth="1"/>
    <col min="12" max="12" width="11.69921875" style="161" customWidth="1"/>
    <col min="13" max="13" width="11.59765625" style="161" customWidth="1"/>
    <col min="14" max="14" width="7.69921875" style="161" bestFit="1" customWidth="1"/>
    <col min="15" max="17" width="8.19921875" style="161"/>
    <col min="18" max="20" width="9.19921875" style="161" customWidth="1"/>
    <col min="21" max="21" width="9.19921875" style="161" bestFit="1" customWidth="1"/>
    <col min="22" max="25" width="9.19921875" style="161" customWidth="1"/>
    <col min="26" max="16384" width="8.19921875" style="161"/>
  </cols>
  <sheetData>
    <row r="1" spans="1:27">
      <c r="B1" s="161" t="s">
        <v>205</v>
      </c>
    </row>
    <row r="2" spans="1:27">
      <c r="A2" s="161" t="s">
        <v>206</v>
      </c>
      <c r="B2" s="162" t="s">
        <v>207</v>
      </c>
      <c r="C2" s="163"/>
      <c r="D2" s="164">
        <f ca="1">SUM(D8:J8)</f>
        <v>90.817355853968337</v>
      </c>
      <c r="E2" s="164"/>
      <c r="F2" s="163"/>
      <c r="G2" s="163"/>
      <c r="H2" s="163"/>
      <c r="I2" s="165"/>
      <c r="J2" s="166"/>
    </row>
    <row r="3" spans="1:27">
      <c r="B3" s="167" t="s">
        <v>208</v>
      </c>
      <c r="D3" s="168">
        <f ca="1">+'江苏省工程总表 '!H121-D2-SUM('江苏省工程总表 '!H13:H17)</f>
        <v>5901.4463211640277</v>
      </c>
      <c r="E3" s="169"/>
      <c r="F3" s="169"/>
      <c r="G3" s="169"/>
      <c r="H3" s="169"/>
      <c r="J3" s="170"/>
    </row>
    <row r="4" spans="1:27">
      <c r="B4" s="171"/>
      <c r="C4" s="172">
        <v>0</v>
      </c>
      <c r="D4" s="169">
        <v>1000</v>
      </c>
      <c r="E4" s="169">
        <v>5000</v>
      </c>
      <c r="F4" s="169">
        <v>10000</v>
      </c>
      <c r="G4" s="169">
        <v>50000</v>
      </c>
      <c r="H4" s="169">
        <v>100000</v>
      </c>
      <c r="I4" s="169">
        <v>200000</v>
      </c>
      <c r="J4" s="170" t="s">
        <v>209</v>
      </c>
      <c r="Z4" s="173" t="s">
        <v>210</v>
      </c>
      <c r="AA4" s="161" t="str">
        <f t="array" aca="1" ref="AA4" ca="1">IF(J8&lt;&gt;0,J8,LOOKUP(0,0/(B8:Z8&lt;&gt;0),A7:U7)&amp;"+("&amp;ROUND(D3,2)&amp;"-"&amp;LOOKUP(0,0/(B8:Z8&lt;&gt;0),A4:U4)&amp;")*"&amp;LOOKUP(0,0/(B8:Z8&lt;&gt;0),B5:Z5)*100&amp;"%")</f>
        <v>80+(5901.45-5000)*1.2%</v>
      </c>
    </row>
    <row r="5" spans="1:27">
      <c r="B5" s="174" t="s">
        <v>211</v>
      </c>
      <c r="C5" s="172"/>
      <c r="D5" s="175">
        <v>0.02</v>
      </c>
      <c r="E5" s="175">
        <v>1.4999999999999999E-2</v>
      </c>
      <c r="F5" s="175">
        <v>1.2E-2</v>
      </c>
      <c r="G5" s="175">
        <v>0.01</v>
      </c>
      <c r="H5" s="175">
        <v>8.0000000000000002E-3</v>
      </c>
      <c r="I5" s="175">
        <v>4.0000000000000001E-3</v>
      </c>
      <c r="J5" s="176"/>
    </row>
    <row r="6" spans="1:27">
      <c r="B6" s="174" t="s">
        <v>212</v>
      </c>
      <c r="C6" s="172"/>
      <c r="D6" s="177">
        <f>D4*D5</f>
        <v>20</v>
      </c>
      <c r="E6" s="177">
        <f>(E4-D4)*E5</f>
        <v>60</v>
      </c>
      <c r="F6" s="177">
        <f>(F4-E4)*F5</f>
        <v>60</v>
      </c>
      <c r="G6" s="177">
        <f>(G4-F4)*G5</f>
        <v>400</v>
      </c>
      <c r="H6" s="177">
        <f>(H4-G4)*H5</f>
        <v>400</v>
      </c>
      <c r="I6" s="177">
        <f>(I4-H4)*I5</f>
        <v>400</v>
      </c>
      <c r="J6" s="170"/>
    </row>
    <row r="7" spans="1:27">
      <c r="B7" s="174" t="s">
        <v>213</v>
      </c>
      <c r="C7" s="172">
        <v>0</v>
      </c>
      <c r="D7" s="177">
        <f>+D6</f>
        <v>20</v>
      </c>
      <c r="E7" s="177">
        <f>+E6+D7</f>
        <v>80</v>
      </c>
      <c r="F7" s="177">
        <f>+F6+E7</f>
        <v>140</v>
      </c>
      <c r="G7" s="177">
        <f>+G6+F7</f>
        <v>540</v>
      </c>
      <c r="H7" s="177">
        <f>+H6+G7</f>
        <v>940</v>
      </c>
      <c r="I7" s="177">
        <f>+I6+H7</f>
        <v>1340</v>
      </c>
      <c r="J7" s="170"/>
    </row>
    <row r="8" spans="1:27">
      <c r="B8" s="178" t="s">
        <v>214</v>
      </c>
      <c r="C8" s="179"/>
      <c r="D8" s="180">
        <f ca="1">+IF(D3&lt;=D4,D3*D5,0)</f>
        <v>0</v>
      </c>
      <c r="E8" s="180">
        <f ca="1">+IF(AND(D3&lt;=E4,D3&gt;D4),D7+(D3-D4)*E5,0)</f>
        <v>0</v>
      </c>
      <c r="F8" s="180">
        <f ca="1">+IF(AND(D3&lt;=F4,D3&gt;E4),E7+(D3-E4)*F5,0)</f>
        <v>90.817355853968337</v>
      </c>
      <c r="G8" s="180">
        <f ca="1">+IF(AND(D3&lt;=G4,D3&gt;F4),F7+(D3-F4)*G5,0)</f>
        <v>0</v>
      </c>
      <c r="H8" s="180">
        <f ca="1">+IF(AND(D3&lt;=H4,D3&gt;G4),G7+(D3-G4)*H5,0)</f>
        <v>0</v>
      </c>
      <c r="I8" s="180">
        <f ca="1">+IF(AND(D3&lt;=I4,D3&gt;H4),H7+(D3-H4)*I5,0)</f>
        <v>0</v>
      </c>
      <c r="J8" s="181">
        <f ca="1">+IF(D3&gt;I4,I7+(D3-I4)*I5,0)</f>
        <v>0</v>
      </c>
    </row>
    <row r="9" spans="1:27">
      <c r="B9" s="182"/>
      <c r="C9" s="183"/>
      <c r="D9" s="184"/>
      <c r="E9" s="184"/>
      <c r="F9" s="184"/>
      <c r="G9" s="184"/>
      <c r="H9" s="184"/>
      <c r="I9" s="184"/>
      <c r="J9" s="185"/>
    </row>
    <row r="10" spans="1:27">
      <c r="B10" s="161" t="s">
        <v>215</v>
      </c>
    </row>
    <row r="11" spans="1:27">
      <c r="A11" s="161" t="s">
        <v>216</v>
      </c>
      <c r="B11" s="162" t="s">
        <v>217</v>
      </c>
      <c r="C11" s="163"/>
      <c r="D11" s="164">
        <f>SUM(D17:T17)*F11</f>
        <v>108.12593097112298</v>
      </c>
      <c r="E11" s="186" t="s">
        <v>218</v>
      </c>
      <c r="F11" s="187">
        <v>1</v>
      </c>
      <c r="G11" s="186"/>
      <c r="H11" s="187"/>
      <c r="I11" s="163"/>
      <c r="J11" s="163"/>
      <c r="K11" s="163"/>
      <c r="L11" s="163"/>
      <c r="M11" s="163"/>
      <c r="N11" s="163"/>
      <c r="O11" s="163"/>
      <c r="P11" s="163"/>
      <c r="Q11" s="165"/>
      <c r="R11" s="165"/>
      <c r="S11" s="165"/>
      <c r="T11" s="188"/>
    </row>
    <row r="12" spans="1:27">
      <c r="B12" s="167" t="s">
        <v>219</v>
      </c>
      <c r="C12" s="189">
        <f>+IF(('江苏省工程总表 '!E9+'江苏省工程总表 '!G74)/('江苏省工程总表 '!H9+'江苏省工程总表 '!G74)&gt;40%,'江苏省工程总表 '!H9-'江苏省工程总表 '!E9*0.6+'江苏省工程总表 '!G74*0.4,'江苏省工程总表 '!H9+'江苏省工程总表 '!G74)</f>
        <v>4406.3667902165334</v>
      </c>
      <c r="D12" s="190"/>
      <c r="E12" s="169"/>
      <c r="F12" s="169"/>
      <c r="G12" s="169"/>
      <c r="H12" s="169"/>
      <c r="I12" s="169"/>
      <c r="J12" s="37"/>
      <c r="K12" s="37"/>
      <c r="L12" s="37"/>
      <c r="M12" s="37"/>
      <c r="N12" s="37"/>
      <c r="O12" s="37"/>
      <c r="P12" s="37"/>
      <c r="T12" s="191"/>
      <c r="Z12" s="173" t="s">
        <v>210</v>
      </c>
      <c r="AA12" s="161" t="str">
        <f>+IF(T17&lt;&gt;0,T17,"("&amp;LOOKUP(0,0/(B17:Z17&lt;&gt;0),A16:V16)&amp;"+("&amp;ROUND(C12,2)&amp;"-"&amp;LOOKUP(0,0/(B17:Z17&lt;&gt;0),A13:V13)&amp;")/("&amp;LOOKUP(0,0/(B17:Z17&lt;&gt;0),B13:Z13)&amp;"-"&amp;LOOKUP(0,0/(B17:Z17&lt;&gt;0),A13:V13)&amp;")*("&amp;LOOKUP(0,0/(B17:Z17&lt;&gt;0),B16:Z16)&amp;"-"&amp;LOOKUP(0,0/(B17:Z17&lt;&gt;0),A16:V16)&amp;"))")&amp;"*"&amp;F11</f>
        <v>(78.1+(4406.37-3000)/(5000-3000)*(120.8-78.1))*1</v>
      </c>
    </row>
    <row r="13" spans="1:27">
      <c r="B13" s="171"/>
      <c r="C13" s="172">
        <v>0</v>
      </c>
      <c r="D13" s="169">
        <v>500</v>
      </c>
      <c r="E13" s="169">
        <v>1000</v>
      </c>
      <c r="F13" s="169">
        <v>3000</v>
      </c>
      <c r="G13" s="169">
        <v>5000</v>
      </c>
      <c r="H13" s="169">
        <v>8000</v>
      </c>
      <c r="I13" s="169">
        <v>10000</v>
      </c>
      <c r="J13" s="169">
        <v>20000</v>
      </c>
      <c r="K13" s="37">
        <v>40000</v>
      </c>
      <c r="L13" s="37">
        <v>60000</v>
      </c>
      <c r="M13" s="37">
        <v>80000</v>
      </c>
      <c r="N13" s="37">
        <v>100000</v>
      </c>
      <c r="O13" s="37">
        <v>200000</v>
      </c>
      <c r="P13" s="37">
        <v>400000</v>
      </c>
      <c r="Q13" s="37">
        <v>600000</v>
      </c>
      <c r="R13" s="37"/>
      <c r="S13" s="37"/>
      <c r="T13" s="192"/>
    </row>
    <row r="14" spans="1:27">
      <c r="B14" s="174" t="s">
        <v>211</v>
      </c>
      <c r="C14" s="172"/>
      <c r="D14" s="193">
        <f>D15/(D13-C13)</f>
        <v>3.3000000000000002E-2</v>
      </c>
      <c r="E14" s="193">
        <f t="shared" ref="E14:Q14" si="0">E15/(E13-D13)</f>
        <v>2.7200000000000002E-2</v>
      </c>
      <c r="F14" s="193">
        <f t="shared" si="0"/>
        <v>2.3999999999999997E-2</v>
      </c>
      <c r="G14" s="193">
        <f t="shared" si="0"/>
        <v>2.1350000000000001E-2</v>
      </c>
      <c r="H14" s="193">
        <f t="shared" si="0"/>
        <v>2.0066666666666667E-2</v>
      </c>
      <c r="I14" s="193">
        <f t="shared" si="0"/>
        <v>1.8799999999999997E-2</v>
      </c>
      <c r="J14" s="193">
        <f t="shared" si="0"/>
        <v>1.7479999999999999E-2</v>
      </c>
      <c r="K14" s="193">
        <f t="shared" si="0"/>
        <v>1.5740000000000004E-2</v>
      </c>
      <c r="L14" s="193">
        <f t="shared" si="0"/>
        <v>1.4159999999999997E-2</v>
      </c>
      <c r="M14" s="193">
        <f t="shared" si="0"/>
        <v>1.3219999999999999E-2</v>
      </c>
      <c r="N14" s="193">
        <f t="shared" si="0"/>
        <v>1.2560000000000002E-2</v>
      </c>
      <c r="O14" s="193">
        <f t="shared" si="0"/>
        <v>1.2055E-2</v>
      </c>
      <c r="P14" s="193">
        <f t="shared" si="0"/>
        <v>1.0850500000000003E-2</v>
      </c>
      <c r="Q14" s="193">
        <f t="shared" si="0"/>
        <v>9.7649999999999994E-3</v>
      </c>
      <c r="R14" s="193"/>
      <c r="S14" s="193"/>
      <c r="T14" s="194"/>
    </row>
    <row r="15" spans="1:27">
      <c r="B15" s="174" t="s">
        <v>212</v>
      </c>
      <c r="C15" s="172"/>
      <c r="D15" s="195">
        <v>16.5</v>
      </c>
      <c r="E15" s="195">
        <f>+E16-D16</f>
        <v>13.600000000000001</v>
      </c>
      <c r="F15" s="195">
        <f t="shared" ref="F15:Q15" si="1">+F16-E16</f>
        <v>47.999999999999993</v>
      </c>
      <c r="G15" s="195">
        <f t="shared" si="1"/>
        <v>42.7</v>
      </c>
      <c r="H15" s="195">
        <f t="shared" si="1"/>
        <v>60.2</v>
      </c>
      <c r="I15" s="195">
        <f t="shared" si="1"/>
        <v>37.599999999999994</v>
      </c>
      <c r="J15" s="195">
        <f t="shared" si="1"/>
        <v>174.79999999999998</v>
      </c>
      <c r="K15" s="195">
        <f t="shared" si="1"/>
        <v>314.80000000000007</v>
      </c>
      <c r="L15" s="195">
        <f t="shared" si="1"/>
        <v>283.19999999999993</v>
      </c>
      <c r="M15" s="195">
        <f t="shared" si="1"/>
        <v>264.39999999999998</v>
      </c>
      <c r="N15" s="195">
        <f t="shared" si="1"/>
        <v>251.20000000000005</v>
      </c>
      <c r="O15" s="195">
        <f t="shared" si="1"/>
        <v>1205.5</v>
      </c>
      <c r="P15" s="195">
        <f t="shared" si="1"/>
        <v>2170.1000000000004</v>
      </c>
      <c r="Q15" s="195">
        <f t="shared" si="1"/>
        <v>1953</v>
      </c>
      <c r="R15" s="195"/>
      <c r="S15" s="195"/>
      <c r="T15" s="196"/>
    </row>
    <row r="16" spans="1:27">
      <c r="B16" s="174" t="s">
        <v>213</v>
      </c>
      <c r="C16" s="172">
        <v>0</v>
      </c>
      <c r="D16" s="195">
        <f>+D15</f>
        <v>16.5</v>
      </c>
      <c r="E16" s="195">
        <v>30.1</v>
      </c>
      <c r="F16" s="195">
        <v>78.099999999999994</v>
      </c>
      <c r="G16" s="195">
        <v>120.8</v>
      </c>
      <c r="H16" s="195">
        <v>181</v>
      </c>
      <c r="I16" s="195">
        <v>218.6</v>
      </c>
      <c r="J16" s="195">
        <v>393.4</v>
      </c>
      <c r="K16" s="195">
        <v>708.2</v>
      </c>
      <c r="L16" s="195">
        <v>991.4</v>
      </c>
      <c r="M16" s="195">
        <v>1255.8</v>
      </c>
      <c r="N16" s="195">
        <v>1507</v>
      </c>
      <c r="O16" s="195">
        <v>2712.5</v>
      </c>
      <c r="P16" s="195">
        <v>4882.6000000000004</v>
      </c>
      <c r="Q16" s="195">
        <v>6835.6</v>
      </c>
      <c r="R16" s="195"/>
      <c r="S16" s="195"/>
      <c r="T16" s="197"/>
    </row>
    <row r="17" spans="2:20">
      <c r="B17" s="178" t="s">
        <v>220</v>
      </c>
      <c r="C17" s="198"/>
      <c r="D17" s="180">
        <f>+IF(C12&lt;=D13,C12*D14,0)</f>
        <v>0</v>
      </c>
      <c r="E17" s="180">
        <f>+IF(AND(C12&lt;=E13,C12&gt;D13),D16+(C12-D13)*E14,0)</f>
        <v>0</v>
      </c>
      <c r="F17" s="180">
        <f>+IF(AND(C12&lt;=F13,C12&gt;E13),E16+(C12-E13)*F14,0)</f>
        <v>0</v>
      </c>
      <c r="G17" s="180">
        <f>+IF(AND(C12&lt;=G13,C12&gt;F13),F16+(C12-F13)*G14,0)</f>
        <v>108.12593097112298</v>
      </c>
      <c r="H17" s="180">
        <f>+IF(AND(C12&lt;=H13,C12&gt;G13),G16+(C12-G13)*H14,0)</f>
        <v>0</v>
      </c>
      <c r="I17" s="180">
        <f>+IF(AND(C12&lt;=I13,C12&gt;H13),H16+(C12-H13)*I14,0)</f>
        <v>0</v>
      </c>
      <c r="J17" s="180">
        <f>+IF(AND(C12&lt;=J13,C12&gt;I13),I16+(C12-I13)*J14,0)</f>
        <v>0</v>
      </c>
      <c r="K17" s="180">
        <f>+IF(AND(C12&lt;=K13,C12&gt;J13),J16+(C12-J13)*K14,0)</f>
        <v>0</v>
      </c>
      <c r="L17" s="180">
        <f>+IF(AND(C12&lt;=L13,C12&gt;K13),K16+(C12-K13)*L14,0)</f>
        <v>0</v>
      </c>
      <c r="M17" s="180">
        <f>+IF(AND(C12&lt;=M13,C12&gt;L13),L16+(C12-L13)*M14,0)</f>
        <v>0</v>
      </c>
      <c r="N17" s="180">
        <f>+IF(AND(C12&lt;=N13,C12&gt;M13),M16+(C12-M13)*N14,0)</f>
        <v>0</v>
      </c>
      <c r="O17" s="180">
        <f>+IF(AND(C12&lt;=O13,C12&gt;N13),N16+(C12-N13)*O14,0)</f>
        <v>0</v>
      </c>
      <c r="P17" s="180">
        <f>+IF(AND(C12&lt;=P13,C12&gt;O13),O16+(C12-O13)*P14,0)</f>
        <v>0</v>
      </c>
      <c r="Q17" s="180">
        <f>+IF(AND(C12&lt;=Q13,C12&gt;P13),P16+(C12-P13)*Q14,0)</f>
        <v>0</v>
      </c>
      <c r="R17" s="180">
        <f>+IF(C12&gt;Q13,Q16+(C12-Q13)*Q14,0)</f>
        <v>0</v>
      </c>
      <c r="S17" s="180"/>
      <c r="T17" s="180"/>
    </row>
    <row r="19" spans="2:20">
      <c r="O19" s="199" t="str">
        <f>""&amp;LOOKUP(0,0/(B17:Z17&lt;&gt;0),A16:V16)&amp;""</f>
        <v>78.1</v>
      </c>
    </row>
    <row r="20" spans="2:20">
      <c r="O20" s="161" t="str">
        <f>"("&amp;ROUND(C12,2)&amp;"-"&amp;LOOKUP(0,0/(B17:Z17&lt;&gt;0),A13:V13)&amp;")"</f>
        <v>(4406.37-3000)</v>
      </c>
    </row>
    <row r="21" spans="2:20">
      <c r="O21" s="161" t="str">
        <f>"("&amp;LOOKUP(0,0/(B17:Z17&lt;&gt;0),B13:Z13)&amp;"-"&amp;LOOKUP(0,0/(B17:Z17&lt;&gt;0),A13:V13)&amp;")"</f>
        <v>(5000-3000)</v>
      </c>
    </row>
    <row r="22" spans="2:20">
      <c r="O22" s="161" t="str">
        <f>"("&amp;LOOKUP(0,0/(B17:Z17&lt;&gt;0),B16:Z16)&amp;"-"&amp;LOOKUP(0,0/(B17:Z17&lt;&gt;0),A16:V16)&amp;")"</f>
        <v>(120.8-78.1)</v>
      </c>
    </row>
    <row r="23" spans="2:20">
      <c r="O23" s="161" t="str">
        <f>""&amp;F11</f>
        <v>1</v>
      </c>
    </row>
    <row r="25" spans="2:20">
      <c r="C25" s="200"/>
      <c r="O25" s="161" t="str">
        <f>+IF(T17&lt;&gt;0,T17,"("&amp;LOOKUP(0,0/(B17:Z17&lt;&gt;0),A16:V16)&amp;"+("&amp;ROUND(C12,2)&amp;"-"&amp;LOOKUP(0,0/(B17:Z17&lt;&gt;0),A13:V13)&amp;")/("&amp;LOOKUP(0,0/(B17:Z17&lt;&gt;0),B13:Z13)&amp;"-"&amp;LOOKUP(0,0/(B17:Z17&lt;&gt;0),A13:V13)&amp;")*("&amp;LOOKUP(0,0/(B17:Z17&lt;&gt;0),B16:Z16)&amp;"-"&amp;LOOKUP(0,0/(B17:Z17&lt;&gt;0),A16:V16)&amp;"))")&amp;"*"&amp;F11</f>
        <v>(78.1+(4406.37-3000)/(5000-3000)*(120.8-78.1))*1</v>
      </c>
    </row>
    <row r="26" spans="2:20">
      <c r="O26" s="201">
        <f>(78.1+(3434.49-3000)/(5000-3000)*(120.8-78.1))*1</f>
        <v>87.376361499999987</v>
      </c>
    </row>
    <row r="51" spans="2:27">
      <c r="B51" s="202" t="s">
        <v>221</v>
      </c>
      <c r="K51" s="203" t="s">
        <v>222</v>
      </c>
    </row>
    <row r="52" spans="2:27">
      <c r="B52" s="204" t="s">
        <v>223</v>
      </c>
      <c r="C52" s="165"/>
      <c r="D52" s="165"/>
      <c r="E52" s="205"/>
      <c r="F52" s="205"/>
      <c r="G52" s="206">
        <f ca="1">SUM(C58:L58)*I52*K52</f>
        <v>7.9125731299372752</v>
      </c>
      <c r="H52" s="207" t="s">
        <v>224</v>
      </c>
      <c r="I52" s="208">
        <v>0.7</v>
      </c>
      <c r="J52" s="207" t="s">
        <v>225</v>
      </c>
      <c r="K52" s="208">
        <v>1.2</v>
      </c>
      <c r="L52" s="209"/>
      <c r="M52" s="161" t="s">
        <v>226</v>
      </c>
    </row>
    <row r="53" spans="2:27">
      <c r="B53" s="210" t="s">
        <v>214</v>
      </c>
      <c r="F53" s="211">
        <f ca="1">+'江苏省工程总表 '!H121</f>
        <v>5992.2636770179961</v>
      </c>
      <c r="G53" s="212"/>
      <c r="H53" s="212"/>
      <c r="I53" s="212"/>
      <c r="J53" s="212"/>
      <c r="K53" s="212"/>
      <c r="L53" s="213"/>
      <c r="Z53" s="173" t="s">
        <v>227</v>
      </c>
      <c r="AA53" s="161" t="str">
        <f ca="1">+IF(K58&lt;&gt;0,K58,"("&amp;LOOKUP(0,0/(B58:Z58&lt;&gt;0),A57:V57)&amp;"+("&amp;ROUND(F53,2)&amp;"-"&amp;LOOKUP(0,0/(B58:Z58&lt;&gt;0),A54:V54)&amp;")/("&amp;LOOKUP(0,0/(B58:Z58&lt;&gt;0),B54:Z54)&amp;"-"&amp;LOOKUP(0,0/(B58:Z58&lt;&gt;0),A54:V54)&amp;")*("&amp;LOOKUP(0,0/(B58:Z58&lt;&gt;0),B57:Z57)&amp;"-"&amp;LOOKUP(0,0/(B58:Z58&lt;&gt;0),A57:V57)&amp;"))")&amp;"*"&amp;I52&amp;"*"&amp;K52</f>
        <v>(6+(5992.26-3000)/(10000-3000)*(14-6))*0.7*1.2</v>
      </c>
    </row>
    <row r="54" spans="2:27">
      <c r="B54" s="214"/>
      <c r="E54" s="161">
        <v>0</v>
      </c>
      <c r="F54" s="212">
        <v>3000</v>
      </c>
      <c r="G54" s="212">
        <v>10000</v>
      </c>
      <c r="H54" s="212">
        <v>50000</v>
      </c>
      <c r="I54" s="212">
        <v>100000</v>
      </c>
      <c r="J54" s="212">
        <v>500000</v>
      </c>
      <c r="K54" s="212"/>
      <c r="L54" s="213"/>
    </row>
    <row r="55" spans="2:27">
      <c r="B55" s="215" t="s">
        <v>211</v>
      </c>
      <c r="C55" s="216"/>
      <c r="D55" s="216"/>
      <c r="E55" s="216"/>
      <c r="F55" s="216">
        <f t="shared" ref="F55" si="2">F56/(F54-E54)</f>
        <v>2E-3</v>
      </c>
      <c r="G55" s="216">
        <f>G56/(G54-F54)</f>
        <v>1.1428571428571429E-3</v>
      </c>
      <c r="H55" s="216">
        <f>H56/(H54-G54)</f>
        <v>5.7499999999999999E-4</v>
      </c>
      <c r="I55" s="216">
        <f>I56/(I54-H54)</f>
        <v>3.6000000000000002E-4</v>
      </c>
      <c r="J55" s="216">
        <f>J56/(J54-I54)</f>
        <v>1.125E-4</v>
      </c>
      <c r="K55" s="216"/>
      <c r="L55" s="217"/>
    </row>
    <row r="56" spans="2:27">
      <c r="B56" s="215" t="s">
        <v>228</v>
      </c>
      <c r="D56" s="195"/>
      <c r="E56" s="195"/>
      <c r="F56" s="195">
        <f>+F57-E57</f>
        <v>6</v>
      </c>
      <c r="G56" s="195">
        <f>+G57-F57</f>
        <v>8</v>
      </c>
      <c r="H56" s="195">
        <f>+H57-G57</f>
        <v>23</v>
      </c>
      <c r="I56" s="195">
        <f>+I57-H57</f>
        <v>18</v>
      </c>
      <c r="J56" s="195">
        <f>+J57-I57</f>
        <v>45</v>
      </c>
      <c r="K56" s="195"/>
      <c r="L56" s="213"/>
    </row>
    <row r="57" spans="2:27">
      <c r="B57" s="215" t="s">
        <v>229</v>
      </c>
      <c r="E57" s="161">
        <v>0</v>
      </c>
      <c r="F57" s="195">
        <v>6</v>
      </c>
      <c r="G57" s="195">
        <v>14</v>
      </c>
      <c r="H57" s="195">
        <v>37</v>
      </c>
      <c r="I57" s="195">
        <v>55</v>
      </c>
      <c r="J57" s="195">
        <v>100</v>
      </c>
      <c r="K57" s="195">
        <v>125</v>
      </c>
      <c r="L57" s="213"/>
    </row>
    <row r="58" spans="2:27">
      <c r="B58" s="218"/>
      <c r="C58" s="219"/>
      <c r="D58" s="219"/>
      <c r="E58" s="219"/>
      <c r="F58" s="219">
        <f ca="1">+IF(AND($F$53&lt;=F54,$F$53&gt;E54),E57+($F$53-E54)*F55,0)</f>
        <v>0</v>
      </c>
      <c r="G58" s="219">
        <f ca="1">+IF(AND($F$53&lt;=G54,$F$53&gt;F54),F57+($F$53-F54)*G55,0)</f>
        <v>9.4197299165919954</v>
      </c>
      <c r="H58" s="219">
        <f ca="1">+IF(AND(F53&lt;=H54,F53&gt;G54),G57+(F53-G54)*H55,0)</f>
        <v>0</v>
      </c>
      <c r="I58" s="219">
        <f ca="1">+IF(AND(F53&lt;=I54,F53&gt;H54),H57+(F53-H54)*I55,0)</f>
        <v>0</v>
      </c>
      <c r="J58" s="219">
        <f ca="1">+IF(AND(F53&lt;=J54,F53&gt;I54),I57+(F53-I54)*J55,0)</f>
        <v>0</v>
      </c>
      <c r="K58" s="219">
        <f ca="1">+IF(F53&gt;J54,K57,0)</f>
        <v>0</v>
      </c>
      <c r="L58" s="220"/>
    </row>
    <row r="59" spans="2:27">
      <c r="B59" s="204" t="s">
        <v>230</v>
      </c>
      <c r="F59" s="205"/>
      <c r="G59" s="206">
        <f ca="1">SUM(F65:L65)*I59*K59</f>
        <v>15.82514625987455</v>
      </c>
      <c r="H59" s="207" t="s">
        <v>224</v>
      </c>
      <c r="I59" s="208">
        <f>+I52</f>
        <v>0.7</v>
      </c>
      <c r="J59" s="207" t="s">
        <v>225</v>
      </c>
      <c r="K59" s="208">
        <f>+K52</f>
        <v>1.2</v>
      </c>
      <c r="L59" s="209"/>
    </row>
    <row r="60" spans="2:27">
      <c r="B60" s="210" t="s">
        <v>214</v>
      </c>
      <c r="F60" s="211">
        <f ca="1">+F53</f>
        <v>5992.2636770179961</v>
      </c>
      <c r="G60" s="212"/>
      <c r="H60" s="212"/>
      <c r="I60" s="212"/>
      <c r="J60" s="212"/>
      <c r="K60" s="212"/>
      <c r="L60" s="213"/>
      <c r="Z60" s="173" t="s">
        <v>231</v>
      </c>
      <c r="AA60" s="161" t="str">
        <f t="array" aca="1" ref="AA60" ca="1">+IF(K65&lt;&gt;0,K65,"("&amp;LOOKUP(0,0/(B65:Z65&lt;&gt;0),A64:V64)&amp;"+("&amp;ROUND(F60,2)&amp;"-"&amp;LOOKUP(0,0/(B65:Z65&lt;&gt;0),A61:V61)&amp;")/("&amp;LOOKUP(0,0/(B65:Z65&lt;&gt;0),B61:Z61)&amp;"-"&amp;LOOKUP(0,0/(B65:Z65&lt;&gt;0),A61:V61)&amp;")*("&amp;LOOKUP(0,0/(B65:Z65&lt;&gt;0),B64:Z64)&amp;"-"&amp;LOOKUP(0,0/(B65:Z65&lt;&gt;0),A64:V64)&amp;"))")&amp;"*"&amp;I59&amp;"*"&amp;K59</f>
        <v>(12+(5992.26-3000)/(10000-3000)*(28-12))*0.7*1.2</v>
      </c>
    </row>
    <row r="61" spans="2:27">
      <c r="B61" s="214"/>
      <c r="E61" s="161">
        <v>0</v>
      </c>
      <c r="F61" s="212">
        <v>3000</v>
      </c>
      <c r="G61" s="212">
        <v>10000</v>
      </c>
      <c r="H61" s="212">
        <v>50000</v>
      </c>
      <c r="I61" s="212">
        <v>100000</v>
      </c>
      <c r="J61" s="212">
        <v>500000</v>
      </c>
      <c r="K61" s="212"/>
      <c r="L61" s="213"/>
    </row>
    <row r="62" spans="2:27">
      <c r="B62" s="215" t="s">
        <v>211</v>
      </c>
      <c r="C62" s="216"/>
      <c r="D62" s="216"/>
      <c r="E62" s="216"/>
      <c r="F62" s="216">
        <f t="shared" ref="F62" si="3">F63/(F61-E61)</f>
        <v>4.0000000000000001E-3</v>
      </c>
      <c r="G62" s="216">
        <f>G63/(G61-F61)</f>
        <v>2.2857142857142859E-3</v>
      </c>
      <c r="H62" s="216">
        <f>H63/(H61-G61)</f>
        <v>1.175E-3</v>
      </c>
      <c r="I62" s="216">
        <f>I63/(I61-H61)</f>
        <v>6.9999999999999999E-4</v>
      </c>
      <c r="J62" s="216">
        <f>J63/(J61-I61)</f>
        <v>2.2499999999999999E-4</v>
      </c>
      <c r="K62" s="216"/>
      <c r="L62" s="217"/>
    </row>
    <row r="63" spans="2:27">
      <c r="B63" s="215" t="s">
        <v>228</v>
      </c>
      <c r="D63" s="195"/>
      <c r="E63" s="195"/>
      <c r="F63" s="195">
        <f t="shared" ref="F63" si="4">+F64-E64</f>
        <v>12</v>
      </c>
      <c r="G63" s="195">
        <f>+G64-F64</f>
        <v>16</v>
      </c>
      <c r="H63" s="195">
        <f>+H64-G64</f>
        <v>47</v>
      </c>
      <c r="I63" s="195">
        <f>+I64-H64</f>
        <v>35</v>
      </c>
      <c r="J63" s="195">
        <f>+J64-I64</f>
        <v>90</v>
      </c>
      <c r="K63" s="195"/>
      <c r="L63" s="213"/>
    </row>
    <row r="64" spans="2:27">
      <c r="B64" s="215" t="s">
        <v>229</v>
      </c>
      <c r="E64" s="161">
        <v>0</v>
      </c>
      <c r="F64" s="195">
        <v>12</v>
      </c>
      <c r="G64" s="195">
        <v>28</v>
      </c>
      <c r="H64" s="195">
        <v>75</v>
      </c>
      <c r="I64" s="195">
        <v>110</v>
      </c>
      <c r="J64" s="195">
        <v>200</v>
      </c>
      <c r="K64" s="195">
        <v>250</v>
      </c>
      <c r="L64" s="213"/>
    </row>
    <row r="65" spans="2:27">
      <c r="B65" s="218"/>
      <c r="C65" s="219"/>
      <c r="D65" s="219"/>
      <c r="E65" s="219"/>
      <c r="F65" s="219">
        <f ca="1">+IF(AND($F$53&lt;=F61,$F$53&gt;E61),E64+($F$53-E61)*F62,0)</f>
        <v>0</v>
      </c>
      <c r="G65" s="219">
        <f ca="1">+IF(AND($F$53&lt;=G61,$F$53&gt;F61),F64+($F$53-F61)*G62,0)</f>
        <v>18.839459833183991</v>
      </c>
      <c r="H65" s="219">
        <f ca="1">+IF(AND(F60&lt;=H61,F60&gt;G61),G64+(F60-G61)*H62,0)</f>
        <v>0</v>
      </c>
      <c r="I65" s="219">
        <f ca="1">+IF(AND(F60&lt;=I61,F60&gt;H61),H64+(F60-H61)*I62,0)</f>
        <v>0</v>
      </c>
      <c r="J65" s="219">
        <f ca="1">+IF(AND(F60&lt;=J61,F60&gt;I61),I64+(F60-I61)*J62,0)</f>
        <v>0</v>
      </c>
      <c r="K65" s="219">
        <f ca="1">+IF(F60&gt;J61,K64,0)</f>
        <v>0</v>
      </c>
      <c r="L65" s="220"/>
    </row>
    <row r="66" spans="2:27">
      <c r="B66" s="204" t="s">
        <v>232</v>
      </c>
      <c r="F66" s="205"/>
      <c r="G66" s="206">
        <f ca="1">SUM(F72:L72)*I66*K66</f>
        <v>4.7962865649686375</v>
      </c>
      <c r="H66" s="207" t="s">
        <v>224</v>
      </c>
      <c r="I66" s="208">
        <f>+I59</f>
        <v>0.7</v>
      </c>
      <c r="J66" s="207" t="s">
        <v>225</v>
      </c>
      <c r="K66" s="208">
        <f>+K59</f>
        <v>1.2</v>
      </c>
      <c r="L66" s="209"/>
    </row>
    <row r="67" spans="2:27">
      <c r="B67" s="210" t="s">
        <v>214</v>
      </c>
      <c r="F67" s="211">
        <f ca="1">+F60</f>
        <v>5992.2636770179961</v>
      </c>
      <c r="G67" s="212"/>
      <c r="H67" s="212"/>
      <c r="I67" s="212"/>
      <c r="J67" s="212"/>
      <c r="K67" s="212"/>
      <c r="L67" s="213"/>
      <c r="Z67" s="173" t="s">
        <v>227</v>
      </c>
      <c r="AA67" s="161" t="str">
        <f t="array" aca="1" ref="AA67" ca="1">+IF(K72&lt;&gt;0,K72,"("&amp;LOOKUP(0,0/(B72:Z72&lt;&gt;0),A71:V71)&amp;"+("&amp;ROUND(F67,2)&amp;"-"&amp;LOOKUP(0,0/(B72:Z72&lt;&gt;0),A68:V68)&amp;")/("&amp;LOOKUP(0,0/(B72:Z72&lt;&gt;0),B68:Z68)&amp;"-"&amp;LOOKUP(0,0/(B72:Z72&lt;&gt;0),A68:V68)&amp;")*("&amp;LOOKUP(0,0/(B72:Z72&lt;&gt;0),B71:Z71)&amp;"-"&amp;LOOKUP(0,0/(B72:Z72&lt;&gt;0),A71:V71)&amp;"))")&amp;"*"&amp;I66&amp;"*"&amp;K66</f>
        <v>(4+(5992.26-3000)/(10000-3000)*(8-4))*0.7*1.2</v>
      </c>
    </row>
    <row r="68" spans="2:27">
      <c r="B68" s="214"/>
      <c r="E68" s="161">
        <v>0</v>
      </c>
      <c r="F68" s="212">
        <v>3000</v>
      </c>
      <c r="G68" s="212">
        <v>10000</v>
      </c>
      <c r="H68" s="212">
        <v>50000</v>
      </c>
      <c r="I68" s="212">
        <v>100000</v>
      </c>
      <c r="J68" s="212">
        <v>500000</v>
      </c>
      <c r="K68" s="212"/>
      <c r="L68" s="213"/>
    </row>
    <row r="69" spans="2:27">
      <c r="B69" s="215" t="s">
        <v>211</v>
      </c>
      <c r="C69" s="216"/>
      <c r="D69" s="216"/>
      <c r="E69" s="216"/>
      <c r="F69" s="216">
        <f t="shared" ref="F69" si="5">F70/(F68-E68)</f>
        <v>1.3333333333333333E-3</v>
      </c>
      <c r="G69" s="216">
        <f>G70/(G68-F68)</f>
        <v>5.7142857142857147E-4</v>
      </c>
      <c r="H69" s="216">
        <f>H70/(H68-G68)</f>
        <v>1E-4</v>
      </c>
      <c r="I69" s="216">
        <f>I70/(I68-H68)</f>
        <v>6.0000000000000002E-5</v>
      </c>
      <c r="J69" s="216">
        <f>J70/(J68-I68)</f>
        <v>5.0000000000000004E-6</v>
      </c>
      <c r="K69" s="216"/>
      <c r="L69" s="217"/>
    </row>
    <row r="70" spans="2:27">
      <c r="B70" s="215" t="s">
        <v>228</v>
      </c>
      <c r="D70" s="195"/>
      <c r="E70" s="195"/>
      <c r="F70" s="195">
        <f t="shared" ref="F70" si="6">+F71-E71</f>
        <v>4</v>
      </c>
      <c r="G70" s="195">
        <f>+G71-F71</f>
        <v>4</v>
      </c>
      <c r="H70" s="195">
        <f>+H71-G71</f>
        <v>4</v>
      </c>
      <c r="I70" s="195">
        <f>+I71-H71</f>
        <v>3</v>
      </c>
      <c r="J70" s="195">
        <f>+J71-I71</f>
        <v>2</v>
      </c>
      <c r="K70" s="195"/>
      <c r="L70" s="213"/>
    </row>
    <row r="71" spans="2:27">
      <c r="B71" s="215" t="s">
        <v>229</v>
      </c>
      <c r="E71" s="161">
        <v>0</v>
      </c>
      <c r="F71" s="195">
        <v>4</v>
      </c>
      <c r="G71" s="195">
        <v>8</v>
      </c>
      <c r="H71" s="195">
        <v>12</v>
      </c>
      <c r="I71" s="195">
        <v>15</v>
      </c>
      <c r="J71" s="195">
        <v>17</v>
      </c>
      <c r="K71" s="195">
        <v>20</v>
      </c>
      <c r="L71" s="213"/>
    </row>
    <row r="72" spans="2:27">
      <c r="B72" s="218"/>
      <c r="C72" s="219"/>
      <c r="D72" s="219"/>
      <c r="E72" s="219"/>
      <c r="F72" s="219">
        <f ca="1">+IF(AND($F$53&lt;=F68,$F$53&gt;E68),E71+($F$53-E68)*F69,0)</f>
        <v>0</v>
      </c>
      <c r="G72" s="219">
        <f ca="1">+IF(AND($F$53&lt;=G68,$F$53&gt;F68),F71+($F$53-F68)*G69,0)</f>
        <v>5.7098649582959977</v>
      </c>
      <c r="H72" s="219">
        <f ca="1">+IF(AND(F67&lt;=H68,F67&gt;G68),G71+(F67-G68)*H69,0)</f>
        <v>0</v>
      </c>
      <c r="I72" s="219">
        <f ca="1">+IF(AND(F67&lt;=I68,F67&gt;H68),H71+(F67-H68)*I69,0)</f>
        <v>0</v>
      </c>
      <c r="J72" s="219">
        <f ca="1">+IF(AND(F67&lt;=J68,F67&gt;I68),I71+(F67-I68)*J69,0)</f>
        <v>0</v>
      </c>
      <c r="K72" s="219">
        <f ca="1">+IF(F67&gt;J68,K71,0)</f>
        <v>0</v>
      </c>
      <c r="L72" s="220"/>
    </row>
    <row r="73" spans="2:27">
      <c r="B73" s="204" t="s">
        <v>233</v>
      </c>
      <c r="F73" s="205"/>
      <c r="G73" s="206">
        <f ca="1">SUM(F79:L79)*I73*K73</f>
        <v>5.9953582062107964</v>
      </c>
      <c r="H73" s="207" t="s">
        <v>224</v>
      </c>
      <c r="I73" s="208">
        <f>+I66</f>
        <v>0.7</v>
      </c>
      <c r="J73" s="207" t="s">
        <v>225</v>
      </c>
      <c r="K73" s="208">
        <f>+K66</f>
        <v>1.2</v>
      </c>
      <c r="L73" s="209"/>
    </row>
    <row r="74" spans="2:27">
      <c r="B74" s="210" t="s">
        <v>214</v>
      </c>
      <c r="F74" s="211">
        <f ca="1">+F67</f>
        <v>5992.2636770179961</v>
      </c>
      <c r="G74" s="212"/>
      <c r="H74" s="212"/>
      <c r="I74" s="212"/>
      <c r="J74" s="212"/>
      <c r="K74" s="212"/>
      <c r="L74" s="213"/>
      <c r="Z74" s="173" t="s">
        <v>227</v>
      </c>
      <c r="AA74" s="161" t="str">
        <f t="array" aca="1" ref="AA74" ca="1">+IF(K79&lt;&gt;0,K79,"("&amp;LOOKUP(0,0/(B79:Z79&lt;&gt;0),A78:V78)&amp;"+("&amp;ROUND(F74,2)&amp;"-"&amp;LOOKUP(0,0/(B79:Z79&lt;&gt;0),A75:V75)&amp;")/("&amp;LOOKUP(0,0/(B79:Z79&lt;&gt;0),B75:Z75)&amp;"-"&amp;LOOKUP(0,0/(B79:Z79&lt;&gt;0),A75:V75)&amp;")*("&amp;LOOKUP(0,0/(B79:Z79&lt;&gt;0),B78:Z78)&amp;"-"&amp;LOOKUP(0,0/(B79:Z79&lt;&gt;0),A78:V78)&amp;"))")&amp;"*"&amp;I73&amp;"*"&amp;K73</f>
        <v>(5+(5992.26-3000)/(10000-3000)*(10-5))*0.7*1.2</v>
      </c>
    </row>
    <row r="75" spans="2:27">
      <c r="B75" s="214"/>
      <c r="E75" s="161">
        <v>0</v>
      </c>
      <c r="F75" s="212">
        <v>3000</v>
      </c>
      <c r="G75" s="212">
        <v>10000</v>
      </c>
      <c r="H75" s="212">
        <v>50000</v>
      </c>
      <c r="I75" s="212">
        <v>100000</v>
      </c>
      <c r="J75" s="212">
        <v>500000</v>
      </c>
      <c r="K75" s="212"/>
      <c r="L75" s="213"/>
    </row>
    <row r="76" spans="2:27">
      <c r="B76" s="215" t="s">
        <v>211</v>
      </c>
      <c r="C76" s="216"/>
      <c r="D76" s="216"/>
      <c r="E76" s="216"/>
      <c r="F76" s="216">
        <f t="shared" ref="F76" si="7">F77/(F75-E75)</f>
        <v>1.6666666666666668E-3</v>
      </c>
      <c r="G76" s="216">
        <f>G77/(G75-F75)</f>
        <v>7.1428571428571429E-4</v>
      </c>
      <c r="H76" s="216">
        <f>H77/(H75-G75)</f>
        <v>1.25E-4</v>
      </c>
      <c r="I76" s="216">
        <f>I77/(I75-H75)</f>
        <v>1E-4</v>
      </c>
      <c r="J76" s="216">
        <f>J77/(J75-I75)</f>
        <v>1.2500000000000001E-5</v>
      </c>
      <c r="K76" s="216"/>
      <c r="L76" s="217"/>
    </row>
    <row r="77" spans="2:27">
      <c r="B77" s="215" t="s">
        <v>228</v>
      </c>
      <c r="D77" s="195"/>
      <c r="E77" s="195"/>
      <c r="F77" s="195">
        <f t="shared" ref="F77" si="8">+F78-E78</f>
        <v>5</v>
      </c>
      <c r="G77" s="195">
        <f>+G78-F78</f>
        <v>5</v>
      </c>
      <c r="H77" s="195">
        <f>+H78-G78</f>
        <v>5</v>
      </c>
      <c r="I77" s="195">
        <f>+I78-H78</f>
        <v>5</v>
      </c>
      <c r="J77" s="195">
        <f>+J78-I78</f>
        <v>5</v>
      </c>
      <c r="K77" s="195"/>
      <c r="L77" s="213"/>
    </row>
    <row r="78" spans="2:27">
      <c r="B78" s="215" t="s">
        <v>229</v>
      </c>
      <c r="E78" s="161">
        <v>0</v>
      </c>
      <c r="F78" s="195">
        <v>5</v>
      </c>
      <c r="G78" s="195">
        <v>10</v>
      </c>
      <c r="H78" s="195">
        <v>15</v>
      </c>
      <c r="I78" s="195">
        <v>20</v>
      </c>
      <c r="J78" s="195">
        <v>25</v>
      </c>
      <c r="K78" s="195">
        <v>35</v>
      </c>
      <c r="L78" s="213"/>
    </row>
    <row r="79" spans="2:27">
      <c r="B79" s="218"/>
      <c r="C79" s="219"/>
      <c r="D79" s="219"/>
      <c r="E79" s="219"/>
      <c r="F79" s="219">
        <f ca="1">+IF(AND($F$53&lt;=F75,$F$53&gt;E75),E78+($F$53-E75)*F76,0)</f>
        <v>0</v>
      </c>
      <c r="G79" s="219">
        <f ca="1">+IF(AND($F$53&lt;=G75,$F$53&gt;F75),F78+($F$53-F75)*G76,0)</f>
        <v>7.1373311978699974</v>
      </c>
      <c r="H79" s="219">
        <f ca="1">+IF(AND(F74&lt;=H75,F74&gt;G75),G78+(F74-G75)*H76,0)</f>
        <v>0</v>
      </c>
      <c r="I79" s="219">
        <f ca="1">+IF(AND(F74&lt;=I75,F74&gt;H75),H78+(F74-H75)*I76,0)</f>
        <v>0</v>
      </c>
      <c r="J79" s="219">
        <f ca="1">+IF(AND(F74&lt;=J75,F74&gt;I75),I78+(F74-I75)*J76,0)</f>
        <v>0</v>
      </c>
      <c r="K79" s="219">
        <f ca="1">+IF(F74&gt;J75,K78,0)</f>
        <v>0</v>
      </c>
      <c r="L79" s="220"/>
    </row>
    <row r="81" spans="1:33">
      <c r="A81" s="221"/>
      <c r="B81" s="221"/>
      <c r="C81" s="221"/>
      <c r="D81" s="221"/>
      <c r="E81" s="221"/>
      <c r="F81" s="221"/>
      <c r="G81" s="221"/>
      <c r="H81" s="221"/>
      <c r="I81" s="221" t="s">
        <v>234</v>
      </c>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1:33">
      <c r="A82" s="221" t="s">
        <v>235</v>
      </c>
      <c r="B82" s="222" t="s">
        <v>236</v>
      </c>
      <c r="C82" s="223"/>
      <c r="D82" s="223"/>
      <c r="E82" s="224">
        <f>SUM(D88:X88)*G82*I82*K82</f>
        <v>227.88937962349783</v>
      </c>
      <c r="F82" s="225" t="s">
        <v>225</v>
      </c>
      <c r="G82" s="226">
        <v>1.3</v>
      </c>
      <c r="H82" s="225" t="s">
        <v>237</v>
      </c>
      <c r="I82" s="226">
        <v>1</v>
      </c>
      <c r="J82" s="225" t="s">
        <v>238</v>
      </c>
      <c r="K82" s="226">
        <v>1</v>
      </c>
      <c r="L82" s="223"/>
      <c r="M82" s="223"/>
      <c r="N82" s="223"/>
      <c r="O82" s="223"/>
      <c r="P82" s="223"/>
      <c r="Q82" s="223"/>
      <c r="R82" s="223"/>
      <c r="S82" s="223"/>
      <c r="T82" s="223"/>
      <c r="U82" s="223"/>
      <c r="V82" s="227"/>
      <c r="W82" s="221"/>
      <c r="X82" s="221"/>
      <c r="Y82" s="221"/>
      <c r="Z82" s="221"/>
      <c r="AA82" s="221"/>
      <c r="AB82" s="221"/>
      <c r="AC82" s="221"/>
      <c r="AD82" s="221"/>
      <c r="AE82" s="221"/>
      <c r="AF82" s="221"/>
      <c r="AG82" s="221"/>
    </row>
    <row r="83" spans="1:33">
      <c r="A83" s="221"/>
      <c r="B83" s="228" t="s">
        <v>239</v>
      </c>
      <c r="C83" s="221"/>
      <c r="D83" s="229">
        <f>+'江苏省工程总表 '!H9+'江苏省工程总表 '!G74</f>
        <v>4406.3667902165334</v>
      </c>
      <c r="E83" s="230"/>
      <c r="F83" s="230"/>
      <c r="G83" s="230"/>
      <c r="H83" s="230"/>
      <c r="I83" s="230"/>
      <c r="J83" s="230"/>
      <c r="K83" s="231"/>
      <c r="L83" s="231"/>
      <c r="M83" s="231"/>
      <c r="N83" s="231"/>
      <c r="O83" s="231"/>
      <c r="P83" s="231"/>
      <c r="Q83" s="231"/>
      <c r="R83" s="231"/>
      <c r="S83" s="231"/>
      <c r="T83" s="231"/>
      <c r="U83" s="231"/>
      <c r="V83" s="232"/>
      <c r="W83" s="221"/>
      <c r="X83" s="221"/>
      <c r="Y83" s="221"/>
      <c r="Z83" s="233" t="s">
        <v>231</v>
      </c>
      <c r="AA83" s="221" t="str">
        <f t="array" ref="AA83">+IF(X88&lt;&gt;0,X88,"("&amp;LOOKUP(0,0/(B88:Z88&lt;&gt;0),A87:X87)&amp;"+("&amp;ROUND(D83,2)&amp;"-"&amp;LOOKUP(0,0/(B88:Z88&lt;&gt;0),A84:X84)&amp;")/("&amp;LOOKUP(0,0/(B88:Z88&lt;&gt;0),B84:Z84)&amp;"-"&amp;LOOKUP(0,0/(B88:Z88&lt;&gt;0),A84:X84)&amp;")*("&amp;LOOKUP(0,0/(B88:Z88&lt;&gt;0),B87:Z87)&amp;"-"&amp;LOOKUP(0,0/(B88:Z88&lt;&gt;0),A87:X87)&amp;"))")&amp;"*"&amp;G82&amp;"*"&amp;I82&amp;"*"&amp;K82</f>
        <v>(124.6+(4406.37-3000)/(5000-3000)*(196.7-124.6))*1.3*1*1</v>
      </c>
      <c r="AB83" s="221"/>
      <c r="AC83" s="221"/>
      <c r="AD83" s="221"/>
      <c r="AE83" s="221"/>
      <c r="AF83" s="221"/>
      <c r="AG83" s="221"/>
    </row>
    <row r="84" spans="1:33">
      <c r="A84" s="221"/>
      <c r="B84" s="234"/>
      <c r="C84" s="221">
        <v>0</v>
      </c>
      <c r="D84" s="230">
        <v>50</v>
      </c>
      <c r="E84" s="230">
        <v>100</v>
      </c>
      <c r="F84" s="230">
        <v>200</v>
      </c>
      <c r="G84" s="230">
        <v>500</v>
      </c>
      <c r="H84" s="230">
        <v>1000</v>
      </c>
      <c r="I84" s="230">
        <v>3000</v>
      </c>
      <c r="J84" s="230">
        <v>5000</v>
      </c>
      <c r="K84" s="231">
        <v>8000</v>
      </c>
      <c r="L84" s="231">
        <v>10000</v>
      </c>
      <c r="M84" s="231">
        <v>20000</v>
      </c>
      <c r="N84" s="231">
        <v>40000</v>
      </c>
      <c r="O84" s="231">
        <v>60000</v>
      </c>
      <c r="P84" s="231">
        <v>80000</v>
      </c>
      <c r="Q84" s="231">
        <v>100000</v>
      </c>
      <c r="R84" s="231">
        <v>200000</v>
      </c>
      <c r="S84" s="231">
        <v>400000</v>
      </c>
      <c r="T84" s="231">
        <v>600000</v>
      </c>
      <c r="U84" s="231">
        <v>800000</v>
      </c>
      <c r="V84" s="231">
        <v>1000000</v>
      </c>
      <c r="W84" s="231">
        <v>2000000</v>
      </c>
      <c r="X84" s="235" t="s">
        <v>240</v>
      </c>
      <c r="Y84" s="231"/>
      <c r="Z84" s="221"/>
      <c r="AA84" s="221"/>
      <c r="AB84" s="221"/>
      <c r="AC84" s="221"/>
      <c r="AD84" s="221"/>
      <c r="AE84" s="221"/>
      <c r="AF84" s="221"/>
      <c r="AG84" s="221"/>
    </row>
    <row r="85" spans="1:33">
      <c r="A85" s="221"/>
      <c r="B85" s="236" t="s">
        <v>211</v>
      </c>
      <c r="C85" s="221"/>
      <c r="D85" s="237">
        <f>D86/(D84-B84)</f>
        <v>7.5999999999999998E-2</v>
      </c>
      <c r="E85" s="237">
        <f>E86/(E84-D84)</f>
        <v>5.2000000000000011E-2</v>
      </c>
      <c r="F85" s="237">
        <f t="shared" ref="F85:W85" si="9">F86/(F84-E84)</f>
        <v>4.4000000000000004E-2</v>
      </c>
      <c r="G85" s="237">
        <f t="shared" si="9"/>
        <v>4.766666666666667E-2</v>
      </c>
      <c r="H85" s="237">
        <f t="shared" si="9"/>
        <v>4.2999999999999997E-2</v>
      </c>
      <c r="I85" s="237">
        <f t="shared" si="9"/>
        <v>3.9E-2</v>
      </c>
      <c r="J85" s="237">
        <f t="shared" si="9"/>
        <v>3.6049999999999999E-2</v>
      </c>
      <c r="K85" s="237">
        <f t="shared" si="9"/>
        <v>3.4266666666666667E-2</v>
      </c>
      <c r="L85" s="237">
        <f t="shared" si="9"/>
        <v>3.3150000000000006E-2</v>
      </c>
      <c r="M85" s="237">
        <f t="shared" si="9"/>
        <v>3.1440000000000003E-2</v>
      </c>
      <c r="N85" s="237">
        <f t="shared" si="9"/>
        <v>2.9229999999999996E-2</v>
      </c>
      <c r="O85" s="237">
        <f t="shared" si="9"/>
        <v>2.7670000000000004E-2</v>
      </c>
      <c r="P85" s="237">
        <f t="shared" si="9"/>
        <v>2.6694999999999993E-2</v>
      </c>
      <c r="Q85" s="237">
        <f t="shared" si="9"/>
        <v>2.5999999999999999E-2</v>
      </c>
      <c r="R85" s="237">
        <f t="shared" si="9"/>
        <v>2.4689000000000003E-2</v>
      </c>
      <c r="S85" s="237">
        <f t="shared" si="9"/>
        <v>2.2955E-2</v>
      </c>
      <c r="T85" s="237">
        <f t="shared" si="9"/>
        <v>2.1725000000000001E-2</v>
      </c>
      <c r="U85" s="237">
        <f t="shared" si="9"/>
        <v>2.0963500000000003E-2</v>
      </c>
      <c r="V85" s="237">
        <f t="shared" si="9"/>
        <v>2.0414499999999988E-2</v>
      </c>
      <c r="W85" s="237">
        <f t="shared" si="9"/>
        <v>1.93861E-2</v>
      </c>
      <c r="X85" s="238">
        <v>1.9199999999999998E-2</v>
      </c>
      <c r="Y85" s="237"/>
      <c r="Z85" s="221"/>
      <c r="AA85" s="221"/>
      <c r="AB85" s="221"/>
      <c r="AC85" s="221"/>
      <c r="AD85" s="221"/>
      <c r="AE85" s="221"/>
      <c r="AF85" s="221"/>
      <c r="AG85" s="221"/>
    </row>
    <row r="86" spans="1:33">
      <c r="A86" s="221"/>
      <c r="B86" s="236" t="s">
        <v>241</v>
      </c>
      <c r="C86" s="221"/>
      <c r="D86" s="239">
        <f t="shared" ref="D86:W86" si="10">+D87-C87</f>
        <v>3.8</v>
      </c>
      <c r="E86" s="239">
        <f>+E87-D87</f>
        <v>2.6000000000000005</v>
      </c>
      <c r="F86" s="239">
        <f t="shared" si="10"/>
        <v>4.4000000000000004</v>
      </c>
      <c r="G86" s="239">
        <f t="shared" si="10"/>
        <v>14.3</v>
      </c>
      <c r="H86" s="239">
        <f t="shared" si="10"/>
        <v>21.5</v>
      </c>
      <c r="I86" s="239">
        <f t="shared" si="10"/>
        <v>78</v>
      </c>
      <c r="J86" s="239">
        <f t="shared" si="10"/>
        <v>72.099999999999994</v>
      </c>
      <c r="K86" s="239">
        <f t="shared" si="10"/>
        <v>102.80000000000001</v>
      </c>
      <c r="L86" s="239">
        <f t="shared" si="10"/>
        <v>66.300000000000011</v>
      </c>
      <c r="M86" s="239">
        <f t="shared" si="10"/>
        <v>314.40000000000003</v>
      </c>
      <c r="N86" s="239">
        <f t="shared" si="10"/>
        <v>584.59999999999991</v>
      </c>
      <c r="O86" s="239">
        <f t="shared" si="10"/>
        <v>553.40000000000009</v>
      </c>
      <c r="P86" s="239">
        <f t="shared" si="10"/>
        <v>533.89999999999986</v>
      </c>
      <c r="Q86" s="239">
        <f t="shared" si="10"/>
        <v>520</v>
      </c>
      <c r="R86" s="239">
        <f t="shared" si="10"/>
        <v>2468.9</v>
      </c>
      <c r="S86" s="239">
        <f t="shared" si="10"/>
        <v>4591</v>
      </c>
      <c r="T86" s="239">
        <f t="shared" si="10"/>
        <v>4345</v>
      </c>
      <c r="U86" s="239">
        <f t="shared" si="10"/>
        <v>4192.7000000000007</v>
      </c>
      <c r="V86" s="239">
        <f t="shared" si="10"/>
        <v>4082.8999999999978</v>
      </c>
      <c r="W86" s="239">
        <f t="shared" si="10"/>
        <v>19386.099999999999</v>
      </c>
      <c r="X86" s="240"/>
      <c r="Y86" s="239"/>
      <c r="Z86" s="221"/>
      <c r="AA86" s="221"/>
      <c r="AB86" s="221"/>
      <c r="AC86" s="221"/>
      <c r="AD86" s="221"/>
      <c r="AE86" s="221"/>
      <c r="AF86" s="221"/>
      <c r="AG86" s="221"/>
    </row>
    <row r="87" spans="1:33">
      <c r="A87" s="221"/>
      <c r="B87" s="236" t="s">
        <v>242</v>
      </c>
      <c r="C87" s="221">
        <v>0</v>
      </c>
      <c r="D87" s="239">
        <v>3.8</v>
      </c>
      <c r="E87" s="239">
        <v>6.4</v>
      </c>
      <c r="F87" s="239">
        <v>10.8</v>
      </c>
      <c r="G87" s="239">
        <v>25.1</v>
      </c>
      <c r="H87" s="239">
        <v>46.6</v>
      </c>
      <c r="I87" s="239">
        <v>124.6</v>
      </c>
      <c r="J87" s="239">
        <v>196.7</v>
      </c>
      <c r="K87" s="241">
        <v>299.5</v>
      </c>
      <c r="L87" s="241">
        <v>365.8</v>
      </c>
      <c r="M87" s="241">
        <v>680.2</v>
      </c>
      <c r="N87" s="241">
        <v>1264.8</v>
      </c>
      <c r="O87" s="241">
        <v>1818.2</v>
      </c>
      <c r="P87" s="241">
        <v>2352.1</v>
      </c>
      <c r="Q87" s="241">
        <v>2872.1</v>
      </c>
      <c r="R87" s="241">
        <v>5341</v>
      </c>
      <c r="S87" s="241">
        <v>9932</v>
      </c>
      <c r="T87" s="241">
        <v>14277</v>
      </c>
      <c r="U87" s="241">
        <v>18469.7</v>
      </c>
      <c r="V87" s="241">
        <v>22552.6</v>
      </c>
      <c r="W87" s="241">
        <v>41938.699999999997</v>
      </c>
      <c r="X87" s="242"/>
      <c r="Y87" s="241"/>
      <c r="Z87" s="221"/>
      <c r="AA87" s="221"/>
      <c r="AB87" s="221"/>
      <c r="AC87" s="221"/>
      <c r="AD87" s="221"/>
      <c r="AE87" s="221"/>
      <c r="AF87" s="221"/>
      <c r="AG87" s="221"/>
    </row>
    <row r="88" spans="1:33">
      <c r="A88" s="221"/>
      <c r="B88" s="243"/>
      <c r="C88" s="244"/>
      <c r="D88" s="244">
        <f>+IF(D83&lt;=D84,D83*D85,0)</f>
        <v>0</v>
      </c>
      <c r="E88" s="244">
        <f>+IF(AND(D83&lt;=E84,D83&gt;D84),D87+(D83-D84)*E85,0)</f>
        <v>0</v>
      </c>
      <c r="F88" s="244">
        <f>+IF(AND(D83&lt;=F84,D83&gt;E84),E87+(D83-E84)*F85,0)</f>
        <v>0</v>
      </c>
      <c r="G88" s="244">
        <f>+IF(AND(D83&lt;=G84,D83&gt;F84),F87+(D83-F84)*G85,0)</f>
        <v>0</v>
      </c>
      <c r="H88" s="244">
        <f>+IF(AND(D83&lt;=H84,D83&gt;G84),G87+(D83-G84)*H85,0)</f>
        <v>0</v>
      </c>
      <c r="I88" s="244">
        <f>+IF(AND(D83&lt;=I84,D83&gt;H84),H87+(D83-H84)*I85,0)</f>
        <v>0</v>
      </c>
      <c r="J88" s="244">
        <f>+IF(AND(D83&lt;=J84,D83&gt;I84),I87+(D83-I84)*J85,0)</f>
        <v>175.29952278730602</v>
      </c>
      <c r="K88" s="244">
        <f>+IF(AND(D83&lt;=K84,D83&gt;J84),J87+(D83-J84)*K85,0)</f>
        <v>0</v>
      </c>
      <c r="L88" s="244">
        <f>+IF(AND(D83&lt;=L84,D83&gt;K84),K87+(D83-K84)*L85,0)</f>
        <v>0</v>
      </c>
      <c r="M88" s="244">
        <f>+IF(AND(D83&lt;=M84,D83&gt;L84),L87+(D83-L84)*M85,0)</f>
        <v>0</v>
      </c>
      <c r="N88" s="244">
        <f>+IF(AND(D83&lt;=N84,D83&gt;M84),M87+(D83-M84)*N85,0)</f>
        <v>0</v>
      </c>
      <c r="O88" s="244">
        <f>+IF(AND(D83&lt;=O84,D83&gt;N84),N87+(D83-N84)*O85,0)</f>
        <v>0</v>
      </c>
      <c r="P88" s="244">
        <f>+IF(AND(D83&lt;=P84,D83&gt;O84),O87+(D83-O84)*P85,0)</f>
        <v>0</v>
      </c>
      <c r="Q88" s="244">
        <f>+IF(AND(D83&lt;=Q84,D83&gt;P84),P87+(D83-P84)*Q85,0)</f>
        <v>0</v>
      </c>
      <c r="R88" s="244">
        <f>+IF(AND(D83&lt;=R84,D83&gt;Q84),Q87+(D83-Q84)*R85,0)</f>
        <v>0</v>
      </c>
      <c r="S88" s="244">
        <f>+IF(AND(D83&lt;=S84,D83&gt;R84),R87+(D83-R84)*S85,0)</f>
        <v>0</v>
      </c>
      <c r="T88" s="244">
        <f>+IF(AND(D83&lt;=T84,D83&gt;S84),S87+(D83-S84)*T85,0)</f>
        <v>0</v>
      </c>
      <c r="U88" s="244">
        <f>+IF(AND(D83&lt;=U84,D83&gt;T84),T87+(D83-T84)*U85,0)</f>
        <v>0</v>
      </c>
      <c r="V88" s="244">
        <f t="shared" ref="V88:W88" si="11">+IF(AND(E83&lt;=V84,E83&gt;U84),U87+(E83-U84)*V85,0)</f>
        <v>0</v>
      </c>
      <c r="W88" s="244">
        <f t="shared" si="11"/>
        <v>0</v>
      </c>
      <c r="X88" s="245">
        <f>+IF(D83&gt;W84,D83*X85,0)</f>
        <v>0</v>
      </c>
      <c r="Y88" s="246"/>
      <c r="Z88" s="221"/>
      <c r="AA88" s="221"/>
      <c r="AB88" s="221"/>
      <c r="AC88" s="221"/>
      <c r="AD88" s="221"/>
      <c r="AE88" s="221"/>
      <c r="AF88" s="221"/>
      <c r="AG88" s="221"/>
    </row>
    <row r="90" spans="1:33">
      <c r="A90" s="247" t="s">
        <v>243</v>
      </c>
      <c r="B90" s="204" t="s">
        <v>236</v>
      </c>
      <c r="C90" s="205"/>
      <c r="D90" s="205"/>
      <c r="E90" s="206">
        <f>SUM(D96:V96)*G90*I90*K90</f>
        <v>167.97052035290784</v>
      </c>
      <c r="F90" s="207" t="s">
        <v>225</v>
      </c>
      <c r="G90" s="208">
        <v>1.1499999999999999</v>
      </c>
      <c r="H90" s="207" t="s">
        <v>244</v>
      </c>
      <c r="I90" s="208">
        <v>1</v>
      </c>
      <c r="J90" s="207" t="s">
        <v>238</v>
      </c>
      <c r="K90" s="208">
        <v>1</v>
      </c>
      <c r="L90" s="205"/>
      <c r="M90" s="205"/>
      <c r="N90" s="205"/>
      <c r="O90" s="205"/>
      <c r="P90" s="205"/>
      <c r="Q90" s="205"/>
      <c r="R90" s="205"/>
      <c r="S90" s="205"/>
      <c r="T90" s="205"/>
      <c r="U90" s="205"/>
      <c r="V90" s="188"/>
    </row>
    <row r="91" spans="1:33">
      <c r="A91" s="247"/>
      <c r="B91" s="167" t="s">
        <v>239</v>
      </c>
      <c r="D91" s="248">
        <f>+'江苏省工程总表 '!H9+'江苏省工程总表 '!H74</f>
        <v>4406.3667902165334</v>
      </c>
      <c r="E91" s="212"/>
      <c r="F91" s="212"/>
      <c r="G91" s="212"/>
      <c r="H91" s="212"/>
      <c r="I91" s="212"/>
      <c r="J91" s="212"/>
      <c r="K91" s="3"/>
      <c r="L91" s="3"/>
      <c r="M91" s="3"/>
      <c r="N91" s="3"/>
      <c r="O91" s="3"/>
      <c r="P91" s="3"/>
      <c r="Q91" s="3"/>
      <c r="R91" s="3"/>
      <c r="S91" s="3"/>
      <c r="T91" s="3"/>
      <c r="U91" s="3"/>
      <c r="V91" s="191"/>
      <c r="Z91" s="173" t="s">
        <v>231</v>
      </c>
      <c r="AA91" s="161" t="str">
        <f>+IF(V96&lt;&gt;0,V96,"("&amp;LOOKUP(0,0/(B96:W96&lt;&gt;0),A95:V95)&amp;"+("&amp;ROUND(D91,2)&amp;"-"&amp;LOOKUP(0,0/(B96:W96&lt;&gt;0),A92:V92)&amp;")/("&amp;LOOKUP(0,0/(B96:W96&lt;&gt;0),B92:W92)&amp;"-"&amp;LOOKUP(0,0/(B96:W96&lt;&gt;0),A92:V92)&amp;")*("&amp;LOOKUP(0,0/(B96:W96&lt;&gt;0),B95:W95)&amp;"-"&amp;LOOKUP(0,0/(B96:W96&lt;&gt;0),A95:V95)&amp;"))")&amp;"*"&amp;G90&amp;"*"&amp;I90&amp;"*"&amp;K90</f>
        <v>(103.8+(4406.37-3000)/(5000-3000)*(163.9-103.8))*1.15*1*1</v>
      </c>
    </row>
    <row r="92" spans="1:33">
      <c r="A92" s="247"/>
      <c r="B92" s="214"/>
      <c r="C92" s="172">
        <v>0</v>
      </c>
      <c r="D92" s="212">
        <v>200</v>
      </c>
      <c r="E92" s="212">
        <v>500</v>
      </c>
      <c r="F92" s="212">
        <v>1000</v>
      </c>
      <c r="G92" s="212">
        <v>3000</v>
      </c>
      <c r="H92" s="212">
        <v>5000</v>
      </c>
      <c r="I92" s="212">
        <v>8000</v>
      </c>
      <c r="J92" s="212">
        <v>10000</v>
      </c>
      <c r="K92" s="3">
        <v>20000</v>
      </c>
      <c r="L92" s="3">
        <v>40000</v>
      </c>
      <c r="M92" s="3">
        <v>60000</v>
      </c>
      <c r="N92" s="3">
        <v>80000</v>
      </c>
      <c r="O92" s="3">
        <v>100000</v>
      </c>
      <c r="P92" s="3">
        <v>200000</v>
      </c>
      <c r="Q92" s="3">
        <v>400000</v>
      </c>
      <c r="R92" s="3">
        <v>600000</v>
      </c>
      <c r="S92" s="3">
        <v>800000</v>
      </c>
      <c r="T92" s="3">
        <v>1000000</v>
      </c>
      <c r="U92" s="3">
        <v>2000000</v>
      </c>
      <c r="V92" s="249" t="s">
        <v>240</v>
      </c>
    </row>
    <row r="93" spans="1:33">
      <c r="B93" s="215" t="s">
        <v>211</v>
      </c>
      <c r="C93" s="172"/>
      <c r="D93" s="193">
        <f ca="1">D94/(D92-B92)</f>
        <v>4.4999999999999998E-2</v>
      </c>
      <c r="E93" s="193">
        <f t="shared" ref="E93:U93" ca="1" si="12">E94/(E92-D92)</f>
        <v>3.9666666666666663E-2</v>
      </c>
      <c r="F93" s="193">
        <f t="shared" si="12"/>
        <v>3.5799999999999998E-2</v>
      </c>
      <c r="G93" s="193">
        <f t="shared" si="12"/>
        <v>3.2500000000000001E-2</v>
      </c>
      <c r="H93" s="193">
        <f t="shared" si="12"/>
        <v>3.0050000000000004E-2</v>
      </c>
      <c r="I93" s="193">
        <f t="shared" si="12"/>
        <v>2.8566666666666664E-2</v>
      </c>
      <c r="J93" s="193">
        <f t="shared" si="12"/>
        <v>2.760000000000001E-2</v>
      </c>
      <c r="K93" s="193">
        <f t="shared" si="12"/>
        <v>2.6199999999999994E-2</v>
      </c>
      <c r="L93" s="193">
        <f t="shared" si="12"/>
        <v>2.4360000000000003E-2</v>
      </c>
      <c r="M93" s="193">
        <f t="shared" si="12"/>
        <v>2.3060000000000001E-2</v>
      </c>
      <c r="N93" s="193">
        <f t="shared" si="12"/>
        <v>2.2244999999999994E-2</v>
      </c>
      <c r="O93" s="193">
        <f t="shared" si="12"/>
        <v>2.1665000000000011E-2</v>
      </c>
      <c r="P93" s="193">
        <f t="shared" si="12"/>
        <v>2.0574000000000002E-2</v>
      </c>
      <c r="Q93" s="193">
        <f t="shared" si="12"/>
        <v>1.9129500000000004E-2</v>
      </c>
      <c r="R93" s="193">
        <f t="shared" si="12"/>
        <v>1.8103999999999995E-2</v>
      </c>
      <c r="S93" s="193">
        <f t="shared" si="12"/>
        <v>1.7469499999999999E-2</v>
      </c>
      <c r="T93" s="193">
        <f t="shared" si="12"/>
        <v>1.7011999999999999E-2</v>
      </c>
      <c r="U93" s="193">
        <f t="shared" si="12"/>
        <v>1.6155100000000002E-2</v>
      </c>
      <c r="V93" s="250"/>
    </row>
    <row r="94" spans="1:33">
      <c r="B94" s="215" t="s">
        <v>228</v>
      </c>
      <c r="C94" s="172"/>
      <c r="D94" s="195">
        <f ca="1">D92*D93</f>
        <v>9</v>
      </c>
      <c r="E94" s="195">
        <f t="shared" ref="E94:U94" ca="1" si="13">+E95-D95</f>
        <v>11.899999999999999</v>
      </c>
      <c r="F94" s="195">
        <f t="shared" si="13"/>
        <v>17.899999999999999</v>
      </c>
      <c r="G94" s="195">
        <f t="shared" si="13"/>
        <v>65</v>
      </c>
      <c r="H94" s="195">
        <f t="shared" si="13"/>
        <v>60.100000000000009</v>
      </c>
      <c r="I94" s="195">
        <f t="shared" si="13"/>
        <v>85.699999999999989</v>
      </c>
      <c r="J94" s="195">
        <f t="shared" si="13"/>
        <v>55.200000000000017</v>
      </c>
      <c r="K94" s="195">
        <f t="shared" si="13"/>
        <v>261.99999999999994</v>
      </c>
      <c r="L94" s="195">
        <f t="shared" si="13"/>
        <v>487.20000000000005</v>
      </c>
      <c r="M94" s="195">
        <f t="shared" si="13"/>
        <v>461.20000000000005</v>
      </c>
      <c r="N94" s="195">
        <f t="shared" si="13"/>
        <v>444.89999999999986</v>
      </c>
      <c r="O94" s="195">
        <f t="shared" si="13"/>
        <v>433.30000000000018</v>
      </c>
      <c r="P94" s="195">
        <f t="shared" si="13"/>
        <v>2057.4</v>
      </c>
      <c r="Q94" s="195">
        <f t="shared" si="13"/>
        <v>3825.9000000000005</v>
      </c>
      <c r="R94" s="195">
        <f t="shared" si="13"/>
        <v>3620.7999999999993</v>
      </c>
      <c r="S94" s="195">
        <f t="shared" si="13"/>
        <v>3493.8999999999996</v>
      </c>
      <c r="T94" s="195">
        <f t="shared" si="13"/>
        <v>3402.3999999999996</v>
      </c>
      <c r="U94" s="195">
        <f t="shared" si="13"/>
        <v>16155.100000000002</v>
      </c>
      <c r="V94" s="251"/>
    </row>
    <row r="95" spans="1:33">
      <c r="B95" s="215" t="s">
        <v>229</v>
      </c>
      <c r="C95" s="172">
        <v>0</v>
      </c>
      <c r="D95" s="195">
        <f ca="1">+D94</f>
        <v>9</v>
      </c>
      <c r="E95" s="195">
        <v>20.9</v>
      </c>
      <c r="F95" s="195">
        <v>38.799999999999997</v>
      </c>
      <c r="G95" s="195">
        <v>103.8</v>
      </c>
      <c r="H95" s="195">
        <v>163.9</v>
      </c>
      <c r="I95" s="195">
        <v>249.6</v>
      </c>
      <c r="J95" s="195">
        <v>304.8</v>
      </c>
      <c r="K95" s="252">
        <v>566.79999999999995</v>
      </c>
      <c r="L95" s="252">
        <v>1054</v>
      </c>
      <c r="M95" s="252">
        <v>1515.2</v>
      </c>
      <c r="N95" s="252">
        <v>1960.1</v>
      </c>
      <c r="O95" s="252">
        <v>2393.4</v>
      </c>
      <c r="P95" s="252">
        <v>4450.8</v>
      </c>
      <c r="Q95" s="252">
        <v>8276.7000000000007</v>
      </c>
      <c r="R95" s="252">
        <v>11897.5</v>
      </c>
      <c r="S95" s="252">
        <v>15391.4</v>
      </c>
      <c r="T95" s="252">
        <v>18793.8</v>
      </c>
      <c r="U95" s="252">
        <v>34948.9</v>
      </c>
      <c r="V95" s="253"/>
    </row>
    <row r="96" spans="1:33">
      <c r="B96" s="218"/>
      <c r="C96" s="254"/>
      <c r="D96" s="219">
        <f>+IF(D91&lt;=D92,D91*D93,0)</f>
        <v>0</v>
      </c>
      <c r="E96" s="219">
        <f>+IF(AND(D91&lt;=E92,D91&gt;D92),D95+(D91-D92)*E93,0)</f>
        <v>0</v>
      </c>
      <c r="F96" s="219">
        <f>+IF(AND(D91&lt;=F92,D91&gt;E92),E95+(D91-E92)*F93,0)</f>
        <v>0</v>
      </c>
      <c r="G96" s="219">
        <f>+IF(AND(D91&lt;=G92,D91&gt;F92),F95+(D91-F92)*G93,0)</f>
        <v>0</v>
      </c>
      <c r="H96" s="219">
        <f>+IF(AND(D91&lt;=H92,D91&gt;G92),G95+(D91-G92)*H93,0)</f>
        <v>146.06132204600684</v>
      </c>
      <c r="I96" s="219">
        <f>+IF(AND(D91&lt;=I92,D91&gt;H92),H95+(D91-H92)*I93,0)</f>
        <v>0</v>
      </c>
      <c r="J96" s="219">
        <f>+IF(AND(D91&lt;=J92,D91&gt;I92),I95+(D91-I92)*J93,0)</f>
        <v>0</v>
      </c>
      <c r="K96" s="219">
        <f>+IF(AND(D91&lt;=K92,D91&gt;J92),J95+(D91-J92)*K93,0)</f>
        <v>0</v>
      </c>
      <c r="L96" s="219">
        <f>+IF(AND(D91&lt;=L92,D91&gt;K92),K95+(D91-K92)*L93,0)</f>
        <v>0</v>
      </c>
      <c r="M96" s="219">
        <f>+IF(AND(D91&lt;=M92,D91&gt;L92),L95+(D91-L92)*M93,0)</f>
        <v>0</v>
      </c>
      <c r="N96" s="219">
        <f>+IF(AND(D91&lt;=N92,D91&gt;M92),M95+(D91-M92)*N93,0)</f>
        <v>0</v>
      </c>
      <c r="O96" s="219">
        <f>+IF(AND(D91&lt;=O92,D91&gt;N92),N95+(D91-N92)*O93,0)</f>
        <v>0</v>
      </c>
      <c r="P96" s="219">
        <f>+IF(AND(D91&lt;=P92,D91&gt;O92),O95+(D91-O92)*P93,0)</f>
        <v>0</v>
      </c>
      <c r="Q96" s="219">
        <f>+IF(AND(D91&lt;=Q92,D91&gt;P92),P95+(D91-P92)*Q93,0)</f>
        <v>0</v>
      </c>
      <c r="R96" s="219">
        <f>+IF(AND(D91&lt;=R92,D91&gt;Q92),Q95+(D91-Q92)*R93,0)</f>
        <v>0</v>
      </c>
      <c r="S96" s="219">
        <f>+IF(AND(D91&lt;=S92,D91&gt;R92),R95+(D91-R92)*S93,0)</f>
        <v>0</v>
      </c>
      <c r="T96" s="219">
        <f>+IF(AND(D91&lt;=T92,D91&gt;S92),S95+(D91-S92)*T93,0)</f>
        <v>0</v>
      </c>
      <c r="U96" s="219">
        <f>+IF(AND(D91&lt;=U92,D91&gt;T92),T95+(D91-T92)*U93,0)</f>
        <v>0</v>
      </c>
      <c r="V96" s="255">
        <f>+IF(D91&gt;U92,U95+(D91-U92)*U93,0)</f>
        <v>0</v>
      </c>
    </row>
    <row r="98" spans="2:27">
      <c r="B98" s="202" t="s">
        <v>245</v>
      </c>
      <c r="H98" s="161" t="s">
        <v>246</v>
      </c>
    </row>
    <row r="99" spans="2:27">
      <c r="B99" s="204" t="s">
        <v>247</v>
      </c>
      <c r="C99" s="205"/>
      <c r="D99" s="206">
        <f ca="1">SUM(D105:I105)*F99*H99</f>
        <v>2.8224372249907761</v>
      </c>
      <c r="E99" s="207" t="s">
        <v>224</v>
      </c>
      <c r="F99" s="208">
        <v>1</v>
      </c>
      <c r="G99" s="207" t="s">
        <v>248</v>
      </c>
      <c r="H99" s="208">
        <v>1.2</v>
      </c>
      <c r="I99" s="209"/>
    </row>
    <row r="100" spans="2:27">
      <c r="B100" s="210" t="s">
        <v>214</v>
      </c>
      <c r="C100" s="211">
        <f ca="1">+'江苏省工程总表 '!H121</f>
        <v>5992.2636770179961</v>
      </c>
      <c r="D100" s="212"/>
      <c r="E100" s="212"/>
      <c r="F100" s="212"/>
      <c r="G100" s="212"/>
      <c r="H100" s="212"/>
      <c r="I100" s="213"/>
      <c r="Z100" s="173" t="s">
        <v>227</v>
      </c>
      <c r="AA100" s="161" t="str">
        <f t="array" aca="1" ref="AA100" ca="1">+IF(G105&lt;&gt;0,G105,"("&amp;LOOKUP(0,0/(B105:Z105&lt;&gt;0),A104:V104)&amp;"+("&amp;ROUND(C100,2)&amp;"-"&amp;LOOKUP(0,0/(B105:Z105&lt;&gt;0),A101:V101)&amp;")/("&amp;LOOKUP(0,0/(B105:Z105&lt;&gt;0),B101:Z101)&amp;"-"&amp;LOOKUP(0,0/(B105:Z105&lt;&gt;0),A101:V101)&amp;")*("&amp;LOOKUP(0,0/(B105:Z105&lt;&gt;0),B104:Z104)&amp;"-"&amp;LOOKUP(0,0/(B105:Z105&lt;&gt;0),A104:V104)&amp;"))")&amp;"*"&amp;F99&amp;"*"&amp;H99</f>
        <v>(2+(5992.26-3000)/(20000-3000)*(4-2))*1*1.2</v>
      </c>
    </row>
    <row r="101" spans="2:27" ht="25.95" customHeight="1">
      <c r="B101" s="214"/>
      <c r="C101" s="212">
        <v>0</v>
      </c>
      <c r="D101" s="212">
        <v>3000</v>
      </c>
      <c r="E101" s="212">
        <v>20000</v>
      </c>
      <c r="F101" s="212">
        <v>100000</v>
      </c>
      <c r="G101" s="212">
        <v>500000</v>
      </c>
      <c r="H101" s="212">
        <v>1000000</v>
      </c>
      <c r="I101" s="213" t="s">
        <v>249</v>
      </c>
    </row>
    <row r="102" spans="2:27">
      <c r="B102" s="215" t="s">
        <v>211</v>
      </c>
      <c r="C102" s="216"/>
      <c r="D102" s="216">
        <f>D103/(D101-C101)</f>
        <v>3.3333333333333332E-4</v>
      </c>
      <c r="E102" s="216">
        <f>E103/(E101-D101)</f>
        <v>1.1764705882352942E-4</v>
      </c>
      <c r="F102" s="216">
        <f>F103/(F101-E101)</f>
        <v>3.7499999999999997E-5</v>
      </c>
      <c r="G102" s="216"/>
      <c r="H102" s="216"/>
      <c r="I102" s="256"/>
    </row>
    <row r="103" spans="2:27">
      <c r="B103" s="215" t="s">
        <v>228</v>
      </c>
      <c r="C103" s="195"/>
      <c r="D103" s="195">
        <f>+D104-C104</f>
        <v>1</v>
      </c>
      <c r="E103" s="195">
        <f>+E104-D104</f>
        <v>2</v>
      </c>
      <c r="F103" s="195">
        <f>+F104-E104</f>
        <v>3</v>
      </c>
      <c r="G103" s="195"/>
      <c r="H103" s="195"/>
      <c r="I103" s="251"/>
    </row>
    <row r="104" spans="2:27">
      <c r="B104" s="215" t="s">
        <v>229</v>
      </c>
      <c r="C104" s="195">
        <v>1</v>
      </c>
      <c r="D104" s="195">
        <v>2</v>
      </c>
      <c r="E104" s="195">
        <v>4</v>
      </c>
      <c r="F104" s="195">
        <v>7</v>
      </c>
      <c r="G104" s="195"/>
      <c r="H104" s="195"/>
      <c r="I104" s="251"/>
    </row>
    <row r="105" spans="2:27">
      <c r="B105" s="218"/>
      <c r="C105" s="219"/>
      <c r="D105" s="219">
        <f ca="1">+IF(AND(C100&lt;=D101,C100&gt;C101),C104+(C100-C101)*D102,0)</f>
        <v>0</v>
      </c>
      <c r="E105" s="219">
        <f ca="1">+IF(AND(C100&lt;=E101,C100&gt;D101),D104+(C100-D101)*E102,0)</f>
        <v>2.3520310208256467</v>
      </c>
      <c r="F105" s="219">
        <f ca="1">+IF(AND(C100&lt;=F101,C100&gt;E101),E104+(C100-E101)*F102,0)</f>
        <v>0</v>
      </c>
      <c r="G105" s="257">
        <f ca="1">+IF(AND(C100&lt;=G101,C100&gt;F101),F104+(C100-F101)*F102,0)</f>
        <v>0</v>
      </c>
      <c r="H105" s="257">
        <f ca="1">+IF(AND(C100&lt;H101,C100&gt;G101),F104+(C100-G101)*F102,0)</f>
        <v>0</v>
      </c>
      <c r="I105" s="255">
        <f ca="1">+IF(C100&gt;=H101,F104+(C100-H101)*F102,0)</f>
        <v>0</v>
      </c>
    </row>
    <row r="106" spans="2:27">
      <c r="B106" s="204" t="s">
        <v>250</v>
      </c>
      <c r="C106" s="205"/>
      <c r="D106" s="206">
        <f ca="1">SUM(D112:I112)*F106*H106</f>
        <v>9.1009675124584906</v>
      </c>
      <c r="E106" s="207" t="s">
        <v>224</v>
      </c>
      <c r="F106" s="208">
        <v>1</v>
      </c>
      <c r="G106" s="207" t="s">
        <v>248</v>
      </c>
      <c r="H106" s="208">
        <v>1.2</v>
      </c>
      <c r="I106" s="209"/>
    </row>
    <row r="107" spans="2:27">
      <c r="B107" s="210" t="s">
        <v>214</v>
      </c>
      <c r="C107" s="211">
        <f ca="1">C100</f>
        <v>5992.2636770179961</v>
      </c>
      <c r="D107" s="212"/>
      <c r="E107" s="212"/>
      <c r="F107" s="212"/>
      <c r="G107" s="212"/>
      <c r="H107" s="212"/>
      <c r="I107" s="213"/>
      <c r="Z107" s="173" t="s">
        <v>227</v>
      </c>
      <c r="AA107" s="161" t="str">
        <f t="array" aca="1" ref="AA107" ca="1">+IF(H112&lt;&gt;0,H112,"("&amp;LOOKUP(0,0/(B112:Z112&lt;&gt;0),A111:V111)&amp;"+("&amp;ROUND(C107,2)&amp;"-"&amp;LOOKUP(0,0/(B112:Z112&lt;&gt;0),A108:V108)&amp;")/("&amp;LOOKUP(0,0/(B112:Z112&lt;&gt;0),B108:Z108)&amp;"-"&amp;LOOKUP(0,0/(B112:Z112&lt;&gt;0),A108:V108)&amp;")*("&amp;LOOKUP(0,0/(B112:Z112&lt;&gt;0),B111:Z111)&amp;"-"&amp;LOOKUP(0,0/(B112:Z112&lt;&gt;0),A111:V111)&amp;"))")&amp;"*"&amp;F106&amp;"*"&amp;H106</f>
        <v>(6+(5992.26-3000)/(20000-3000)*(15-6))*1*1.2</v>
      </c>
    </row>
    <row r="108" spans="2:27">
      <c r="B108" s="214"/>
      <c r="C108" s="212">
        <v>0</v>
      </c>
      <c r="D108" s="212">
        <v>3000</v>
      </c>
      <c r="E108" s="212">
        <v>20000</v>
      </c>
      <c r="F108" s="212">
        <v>100000</v>
      </c>
      <c r="G108" s="212">
        <v>500000</v>
      </c>
      <c r="H108" s="212">
        <v>1000000</v>
      </c>
      <c r="I108" s="213" t="s">
        <v>249</v>
      </c>
    </row>
    <row r="109" spans="2:27">
      <c r="B109" s="215" t="s">
        <v>211</v>
      </c>
      <c r="C109" s="216"/>
      <c r="D109" s="216">
        <f>D110/(D108-C108)</f>
        <v>3.3333333333333332E-4</v>
      </c>
      <c r="E109" s="216">
        <f>E110/(E108-D108)</f>
        <v>5.2941176470588231E-4</v>
      </c>
      <c r="F109" s="216">
        <f>F110/(F108-E108)</f>
        <v>2.5000000000000001E-4</v>
      </c>
      <c r="G109" s="216">
        <f>G110/(G108-F108)</f>
        <v>1E-4</v>
      </c>
      <c r="H109" s="216">
        <f>H110/(H108-G108)</f>
        <v>6.9999999999999994E-5</v>
      </c>
      <c r="I109" s="256"/>
    </row>
    <row r="110" spans="2:27">
      <c r="B110" s="215" t="s">
        <v>228</v>
      </c>
      <c r="C110" s="195"/>
      <c r="D110" s="195">
        <f>+D111-C111</f>
        <v>1</v>
      </c>
      <c r="E110" s="195">
        <f>+E111-D111</f>
        <v>9</v>
      </c>
      <c r="F110" s="195">
        <f>+F111-E111</f>
        <v>20</v>
      </c>
      <c r="G110" s="195">
        <f>+G111-F111</f>
        <v>40</v>
      </c>
      <c r="H110" s="195">
        <f>+H111-G111</f>
        <v>35</v>
      </c>
      <c r="I110" s="251"/>
    </row>
    <row r="111" spans="2:27">
      <c r="B111" s="215" t="s">
        <v>229</v>
      </c>
      <c r="C111" s="195">
        <v>5</v>
      </c>
      <c r="D111" s="195">
        <v>6</v>
      </c>
      <c r="E111" s="195">
        <v>15</v>
      </c>
      <c r="F111" s="195">
        <v>35</v>
      </c>
      <c r="G111" s="195">
        <v>75</v>
      </c>
      <c r="H111" s="195">
        <v>110</v>
      </c>
      <c r="I111" s="251"/>
    </row>
    <row r="112" spans="2:27">
      <c r="B112" s="218"/>
      <c r="C112" s="219"/>
      <c r="D112" s="219">
        <f ca="1">+IF(AND(C107&lt;=D108,C107&gt;C108),C111+(C107-C108)*D109,0)</f>
        <v>0</v>
      </c>
      <c r="E112" s="219">
        <f ca="1">+IF(AND(C107&lt;=E108,C107&gt;D108),D111+(C107-D108)*E109,0)</f>
        <v>7.5841395937154097</v>
      </c>
      <c r="F112" s="219">
        <f ca="1">+IF(AND(C107&lt;=F108,C107&gt;E108),E111+(C107-E108)*F109,0)</f>
        <v>0</v>
      </c>
      <c r="G112" s="219">
        <f ca="1">+IF(AND(C107&lt;=G108,C107&gt;F108),F111+(C107-F108)*G109,0)</f>
        <v>0</v>
      </c>
      <c r="H112" s="257">
        <f ca="1">+IF(AND(C107&lt;H108,C107&gt;G108),G111+(C107-G108)*H109,0)</f>
        <v>0</v>
      </c>
      <c r="I112" s="255">
        <f ca="1">+IF(C107&gt;=H108,H111,0)</f>
        <v>0</v>
      </c>
    </row>
    <row r="113" spans="1:33">
      <c r="B113" s="204" t="s">
        <v>251</v>
      </c>
      <c r="C113" s="205"/>
      <c r="D113" s="206">
        <f ca="1">SUM(D119:I119)*F113*H113</f>
        <v>1.1078530287467716</v>
      </c>
      <c r="E113" s="207" t="s">
        <v>224</v>
      </c>
      <c r="F113" s="208">
        <v>1</v>
      </c>
      <c r="G113" s="207" t="s">
        <v>248</v>
      </c>
      <c r="H113" s="208">
        <v>1.2</v>
      </c>
      <c r="I113" s="209"/>
    </row>
    <row r="114" spans="1:33">
      <c r="B114" s="210" t="s">
        <v>214</v>
      </c>
      <c r="C114" s="211">
        <f ca="1">C100</f>
        <v>5992.2636770179961</v>
      </c>
      <c r="D114" s="212"/>
      <c r="E114" s="212"/>
      <c r="F114" s="212"/>
      <c r="G114" s="212"/>
      <c r="H114" s="212"/>
      <c r="I114" s="213"/>
      <c r="Z114" s="173" t="s">
        <v>227</v>
      </c>
      <c r="AA114" s="161" t="str">
        <f t="array" aca="1" ref="AA114" ca="1">+IF(G119&lt;&gt;0,G119,"("&amp;LOOKUP(0,0/(B119:Z119&lt;&gt;0),A118:V118)&amp;"+("&amp;ROUND(C114,2)&amp;"-"&amp;LOOKUP(0,0/(B119:Z119&lt;&gt;0),A115:V115)&amp;")/("&amp;LOOKUP(0,0/(B119:Z119&lt;&gt;0),B115:Z115)&amp;"-"&amp;LOOKUP(0,0/(B119:Z119&lt;&gt;0),A115:V115)&amp;")*("&amp;LOOKUP(0,0/(B119:Z119&lt;&gt;0),B118:Z118)&amp;"-"&amp;LOOKUP(0,0/(B119:Z119&lt;&gt;0),A118:V118)&amp;"))")&amp;"*"&amp;F113&amp;"*"&amp;H113</f>
        <v>(0.8+(5992.26-3000)/(20000-3000)*(1.5-0.8))*1*1.2</v>
      </c>
    </row>
    <row r="115" spans="1:33">
      <c r="B115" s="214"/>
      <c r="C115" s="212">
        <v>0</v>
      </c>
      <c r="D115" s="212">
        <v>3000</v>
      </c>
      <c r="E115" s="212">
        <v>20000</v>
      </c>
      <c r="F115" s="212">
        <v>100000</v>
      </c>
      <c r="G115" s="212">
        <v>500000</v>
      </c>
      <c r="H115" s="212">
        <v>1000000</v>
      </c>
      <c r="I115" s="213" t="s">
        <v>249</v>
      </c>
    </row>
    <row r="116" spans="1:33">
      <c r="B116" s="215" t="s">
        <v>211</v>
      </c>
      <c r="C116" s="216"/>
      <c r="D116" s="216">
        <f>D117/(D115-C115)</f>
        <v>1.0000000000000002E-4</v>
      </c>
      <c r="E116" s="216">
        <f>E117/(E115-D115)</f>
        <v>4.1176470588235291E-5</v>
      </c>
      <c r="F116" s="216">
        <f>F117/(F115-E115)</f>
        <v>6.2500000000000003E-6</v>
      </c>
      <c r="G116" s="216"/>
      <c r="H116" s="216"/>
      <c r="I116" s="256"/>
    </row>
    <row r="117" spans="1:33">
      <c r="B117" s="215" t="s">
        <v>228</v>
      </c>
      <c r="C117" s="195"/>
      <c r="D117" s="195">
        <f>+D118-C118</f>
        <v>0.30000000000000004</v>
      </c>
      <c r="E117" s="195">
        <f>+E118-D118</f>
        <v>0.7</v>
      </c>
      <c r="F117" s="195">
        <f>+F118-E118</f>
        <v>0.5</v>
      </c>
      <c r="G117" s="195"/>
      <c r="H117" s="195"/>
      <c r="I117" s="251"/>
    </row>
    <row r="118" spans="1:33">
      <c r="B118" s="215" t="s">
        <v>229</v>
      </c>
      <c r="C118" s="195">
        <v>0.5</v>
      </c>
      <c r="D118" s="195">
        <v>0.8</v>
      </c>
      <c r="E118" s="195">
        <v>1.5</v>
      </c>
      <c r="F118" s="195">
        <v>2</v>
      </c>
      <c r="G118" s="195">
        <v>2</v>
      </c>
      <c r="H118" s="195"/>
      <c r="I118" s="251"/>
    </row>
    <row r="119" spans="1:33">
      <c r="B119" s="218"/>
      <c r="C119" s="219"/>
      <c r="D119" s="219">
        <f ca="1">+IF(AND(C114&lt;=D115,C114&gt;C115),C118+(C114-C115)*D116,0)</f>
        <v>0</v>
      </c>
      <c r="E119" s="219">
        <f ca="1">+IF(AND(C114&lt;=E115,C114&gt;D115),D118+(C114-D115)*E116,0)</f>
        <v>0.92321085728897634</v>
      </c>
      <c r="F119" s="219">
        <f ca="1">+IF(AND(C114&lt;=F115,C114&gt;E115),E118+(C114-E115)*F116,0)</f>
        <v>0</v>
      </c>
      <c r="G119" s="257">
        <f ca="1">+IF(AND(C114&lt;=G115,C114&gt;F115),F118+(C114-F115)*F116,0)</f>
        <v>0</v>
      </c>
      <c r="H119" s="257">
        <f ca="1">+IF(AND(C114&lt;H115,C114&gt;G115),F118+(C114-G115)*F116,0)</f>
        <v>0</v>
      </c>
      <c r="I119" s="255">
        <f ca="1">+IF(C114&gt;=H115,F118+(C114-H115)*F116,0)</f>
        <v>0</v>
      </c>
    </row>
    <row r="120" spans="1:33">
      <c r="B120" s="204" t="s">
        <v>252</v>
      </c>
      <c r="C120" s="205"/>
      <c r="D120" s="206">
        <f ca="1">SUM(D126:I126)*F120*H120</f>
        <v>2.1168279187430818</v>
      </c>
      <c r="E120" s="207" t="s">
        <v>224</v>
      </c>
      <c r="F120" s="208">
        <v>1</v>
      </c>
      <c r="G120" s="207" t="s">
        <v>248</v>
      </c>
      <c r="H120" s="208">
        <v>1.2</v>
      </c>
      <c r="I120" s="209"/>
    </row>
    <row r="121" spans="1:33">
      <c r="B121" s="210" t="s">
        <v>214</v>
      </c>
      <c r="C121" s="211">
        <f ca="1">C100</f>
        <v>5992.2636770179961</v>
      </c>
      <c r="D121" s="212"/>
      <c r="E121" s="212"/>
      <c r="F121" s="212"/>
      <c r="G121" s="212"/>
      <c r="H121" s="212"/>
      <c r="I121" s="213"/>
      <c r="Z121" s="173" t="s">
        <v>227</v>
      </c>
      <c r="AA121" s="161" t="str">
        <f t="array" aca="1" ref="AA121" ca="1">+IF(H126&lt;&gt;0,H126,"("&amp;LOOKUP(0,0/(B126:Z126&lt;&gt;0),A125:V125)&amp;"+("&amp;ROUND(C121,2)&amp;"-"&amp;LOOKUP(0,0/(B126:Z126&lt;&gt;0),A122:V122)&amp;")/("&amp;LOOKUP(0,0/(B126:Z126&lt;&gt;0),B122:Z122)&amp;"-"&amp;LOOKUP(0,0/(B126:Z126&lt;&gt;0),A122:V122)&amp;")*("&amp;LOOKUP(0,0/(B126:Z126&lt;&gt;0),B125:Z125)&amp;"-"&amp;LOOKUP(0,0/(B126:Z126&lt;&gt;0),A125:V125)&amp;"))")&amp;"*"&amp;F120&amp;"*"&amp;H120</f>
        <v>(1.5+(5992.26-3000)/(20000-3000)*(3-1.5))*1*1.2</v>
      </c>
    </row>
    <row r="122" spans="1:33">
      <c r="B122" s="214"/>
      <c r="C122" s="212">
        <v>0</v>
      </c>
      <c r="D122" s="212">
        <v>3000</v>
      </c>
      <c r="E122" s="212">
        <v>20000</v>
      </c>
      <c r="F122" s="212">
        <v>100000</v>
      </c>
      <c r="G122" s="212">
        <v>500000</v>
      </c>
      <c r="H122" s="212">
        <v>1000000</v>
      </c>
      <c r="I122" s="213" t="s">
        <v>249</v>
      </c>
    </row>
    <row r="123" spans="1:33">
      <c r="B123" s="215" t="s">
        <v>211</v>
      </c>
      <c r="C123" s="216"/>
      <c r="D123" s="216">
        <f>D124/(D122-C122)</f>
        <v>2.3333333333333333E-4</v>
      </c>
      <c r="E123" s="216">
        <f>E124/(E122-D122)</f>
        <v>8.8235294117647065E-5</v>
      </c>
      <c r="F123" s="216">
        <f>F124/(F122-E122)</f>
        <v>5.0000000000000002E-5</v>
      </c>
      <c r="G123" s="216">
        <f>G124/(G122-F122)</f>
        <v>5.0000000000000004E-6</v>
      </c>
      <c r="H123" s="216">
        <f>H124/(H122-G122)</f>
        <v>7.9999999999999996E-6</v>
      </c>
      <c r="I123" s="256"/>
    </row>
    <row r="124" spans="1:33">
      <c r="B124" s="215" t="s">
        <v>228</v>
      </c>
      <c r="C124" s="195"/>
      <c r="D124" s="195">
        <f>+D125-C125</f>
        <v>0.7</v>
      </c>
      <c r="E124" s="195">
        <f>+E125-D125</f>
        <v>1.5</v>
      </c>
      <c r="F124" s="195">
        <f>+F125-E125</f>
        <v>4</v>
      </c>
      <c r="G124" s="195">
        <f>+G125-F125</f>
        <v>2</v>
      </c>
      <c r="H124" s="195">
        <f>+H125-G125</f>
        <v>4</v>
      </c>
      <c r="I124" s="251"/>
    </row>
    <row r="125" spans="1:33">
      <c r="B125" s="215" t="s">
        <v>229</v>
      </c>
      <c r="C125" s="195">
        <v>0.8</v>
      </c>
      <c r="D125" s="195">
        <v>1.5</v>
      </c>
      <c r="E125" s="195">
        <v>3</v>
      </c>
      <c r="F125" s="195">
        <v>7</v>
      </c>
      <c r="G125" s="195">
        <v>9</v>
      </c>
      <c r="H125" s="195">
        <v>13</v>
      </c>
      <c r="I125" s="251"/>
    </row>
    <row r="126" spans="1:33">
      <c r="B126" s="218"/>
      <c r="C126" s="219"/>
      <c r="D126" s="219">
        <f ca="1">+IF(AND(C121&lt;=D122,C121&gt;C122),C125+(C121-C122)*D123,0)</f>
        <v>0</v>
      </c>
      <c r="E126" s="219">
        <f ca="1">+IF(AND(C121&lt;=E122,C121&gt;D122),D125+(C121-D122)*E123,0)</f>
        <v>1.7640232656192349</v>
      </c>
      <c r="F126" s="219">
        <f ca="1">+IF(AND(C121&lt;=F122,C121&gt;E122),E125+(C121-E122)*F123,0)</f>
        <v>0</v>
      </c>
      <c r="G126" s="257">
        <f ca="1">+IF(AND(C121&lt;=G122,C121&gt;F122),F125+(C121-F122)*G123,0)</f>
        <v>0</v>
      </c>
      <c r="H126" s="257">
        <f ca="1">+IF(AND(C121&lt;H122,C121&gt;G122),G125+(C121-G122)*H123,0)</f>
        <v>0</v>
      </c>
      <c r="I126" s="255">
        <f ca="1">+IF(C121&gt;=H122,H125+(C121-H122)*H123,0)</f>
        <v>0</v>
      </c>
    </row>
    <row r="128" spans="1:33">
      <c r="A128" s="221" t="s">
        <v>253</v>
      </c>
      <c r="B128" s="222" t="s">
        <v>254</v>
      </c>
      <c r="C128" s="258"/>
      <c r="D128" s="258"/>
      <c r="E128" s="259">
        <f>SUM(D134:N134)</f>
        <v>0.60102</v>
      </c>
      <c r="F128" s="258"/>
      <c r="G128" s="223"/>
      <c r="H128" s="223"/>
      <c r="I128" s="223"/>
      <c r="J128" s="260"/>
      <c r="K128" s="261"/>
      <c r="L128" s="221"/>
      <c r="M128" s="221"/>
      <c r="N128" s="221"/>
      <c r="O128" s="221"/>
      <c r="P128" s="221"/>
      <c r="Q128" s="221"/>
      <c r="R128" s="221"/>
      <c r="S128" s="221"/>
      <c r="T128" s="221"/>
      <c r="U128" s="221"/>
      <c r="V128" s="221"/>
      <c r="W128" s="221"/>
      <c r="X128" s="221"/>
      <c r="Y128" s="221"/>
      <c r="Z128" s="221"/>
      <c r="AA128" s="221"/>
      <c r="AB128" s="221"/>
      <c r="AC128" s="221"/>
      <c r="AD128" s="221"/>
      <c r="AE128" s="221"/>
      <c r="AF128" s="221"/>
      <c r="AG128" s="221"/>
    </row>
    <row r="129" spans="1:33">
      <c r="A129" s="221"/>
      <c r="B129" s="262" t="s">
        <v>255</v>
      </c>
      <c r="C129" s="221"/>
      <c r="D129" s="263">
        <f>+'江苏省工程总表 '!E9</f>
        <v>40.068000000000005</v>
      </c>
      <c r="E129" s="264"/>
      <c r="F129" s="264"/>
      <c r="G129" s="230"/>
      <c r="H129" s="230"/>
      <c r="I129" s="230"/>
      <c r="J129" s="265"/>
      <c r="K129" s="261"/>
      <c r="L129" s="221"/>
      <c r="M129" s="221"/>
      <c r="N129" s="221"/>
      <c r="O129" s="221"/>
      <c r="P129" s="221"/>
      <c r="Q129" s="221"/>
      <c r="R129" s="221"/>
      <c r="S129" s="221"/>
      <c r="T129" s="221"/>
      <c r="U129" s="221"/>
      <c r="V129" s="221"/>
      <c r="W129" s="221"/>
      <c r="X129" s="221"/>
      <c r="Y129" s="221"/>
      <c r="Z129" s="221"/>
      <c r="AA129" s="221"/>
      <c r="AB129" s="221"/>
      <c r="AC129" s="221"/>
      <c r="AD129" s="221"/>
      <c r="AE129" s="221"/>
      <c r="AF129" s="221"/>
      <c r="AG129" s="221"/>
    </row>
    <row r="130" spans="1:33">
      <c r="A130" s="221"/>
      <c r="B130" s="234"/>
      <c r="C130" s="264">
        <v>0</v>
      </c>
      <c r="D130" s="264">
        <v>100</v>
      </c>
      <c r="E130" s="264">
        <v>500</v>
      </c>
      <c r="F130" s="264">
        <v>1000</v>
      </c>
      <c r="G130" s="230">
        <v>5000</v>
      </c>
      <c r="H130" s="230">
        <v>10000</v>
      </c>
      <c r="I130" s="230">
        <v>100000</v>
      </c>
      <c r="J130" s="230" t="s">
        <v>256</v>
      </c>
      <c r="K130" s="221"/>
      <c r="L130" s="230"/>
      <c r="M130" s="230"/>
      <c r="N130" s="221"/>
      <c r="O130" s="221"/>
      <c r="P130" s="221"/>
      <c r="Q130" s="221"/>
      <c r="R130" s="221"/>
      <c r="S130" s="221"/>
      <c r="T130" s="221"/>
      <c r="U130" s="221"/>
      <c r="V130" s="221"/>
      <c r="W130" s="221"/>
      <c r="X130" s="221"/>
      <c r="Y130" s="221"/>
      <c r="Z130" s="233" t="s">
        <v>227</v>
      </c>
      <c r="AA130" s="221" t="str">
        <f t="array" ref="AA130">LOOKUP(0,0/(B134:Z134&lt;&gt;0),A133:V133)&amp;"+("&amp;ROUND(D129,2)&amp;"-"&amp;LOOKUP(0,0/(B134:Z134&lt;&gt;0),A130:V130)&amp;")*"&amp;LOOKUP(0,0/(B134:Z134&lt;&gt;0),B131:Z131)*100&amp;"%"</f>
        <v>0+(40.07-0)*1.5%</v>
      </c>
      <c r="AB130" s="221"/>
      <c r="AC130" s="221"/>
      <c r="AD130" s="221"/>
      <c r="AE130" s="221"/>
      <c r="AF130" s="221"/>
      <c r="AG130" s="221"/>
    </row>
    <row r="131" spans="1:33">
      <c r="A131" s="221"/>
      <c r="B131" s="266" t="s">
        <v>211</v>
      </c>
      <c r="C131" s="267"/>
      <c r="D131" s="267">
        <v>1.4999999999999999E-2</v>
      </c>
      <c r="E131" s="267">
        <v>1.0999999999999999E-2</v>
      </c>
      <c r="F131" s="267">
        <v>8.0000000000000002E-3</v>
      </c>
      <c r="G131" s="237">
        <v>5.0000000000000001E-3</v>
      </c>
      <c r="H131" s="237">
        <v>2.5000000000000001E-3</v>
      </c>
      <c r="I131" s="237">
        <v>5.0000000000000001E-4</v>
      </c>
      <c r="J131" s="268">
        <v>1E-4</v>
      </c>
      <c r="K131" s="221"/>
      <c r="L131" s="268"/>
      <c r="M131" s="268"/>
      <c r="N131" s="221"/>
      <c r="O131" s="221"/>
      <c r="P131" s="221"/>
      <c r="Q131" s="221"/>
      <c r="R131" s="221"/>
      <c r="S131" s="221"/>
      <c r="T131" s="221"/>
      <c r="U131" s="221"/>
      <c r="V131" s="221"/>
      <c r="W131" s="221"/>
      <c r="X131" s="221"/>
      <c r="Y131" s="221"/>
      <c r="Z131" s="221"/>
      <c r="AA131" s="221"/>
      <c r="AB131" s="221"/>
      <c r="AC131" s="221"/>
      <c r="AD131" s="221"/>
      <c r="AE131" s="221"/>
      <c r="AF131" s="221"/>
      <c r="AG131" s="221"/>
    </row>
    <row r="132" spans="1:33">
      <c r="A132" s="221"/>
      <c r="B132" s="266" t="s">
        <v>257</v>
      </c>
      <c r="C132" s="269"/>
      <c r="D132" s="269">
        <f>D130*D131</f>
        <v>1.5</v>
      </c>
      <c r="E132" s="269">
        <f>(E130-D130)*E131</f>
        <v>4.3999999999999995</v>
      </c>
      <c r="F132" s="269">
        <f>(F130-E130)*F131</f>
        <v>4</v>
      </c>
      <c r="G132" s="239">
        <f>(G130-F130)*G131</f>
        <v>20</v>
      </c>
      <c r="H132" s="239">
        <f>(H130-G130)*H131</f>
        <v>12.5</v>
      </c>
      <c r="I132" s="239">
        <f>(I130-G130)*I131</f>
        <v>47.5</v>
      </c>
      <c r="J132" s="239"/>
      <c r="K132" s="221"/>
      <c r="L132" s="239"/>
      <c r="M132" s="239"/>
      <c r="N132" s="221"/>
      <c r="O132" s="221"/>
      <c r="P132" s="221"/>
      <c r="Q132" s="221"/>
      <c r="R132" s="221"/>
      <c r="S132" s="221"/>
      <c r="T132" s="221"/>
      <c r="U132" s="221"/>
      <c r="V132" s="221"/>
      <c r="W132" s="221"/>
      <c r="X132" s="221"/>
      <c r="Y132" s="221"/>
      <c r="Z132" s="221"/>
      <c r="AA132" s="221"/>
      <c r="AB132" s="221"/>
      <c r="AC132" s="221"/>
      <c r="AD132" s="221"/>
      <c r="AE132" s="221"/>
      <c r="AF132" s="221"/>
      <c r="AG132" s="221"/>
    </row>
    <row r="133" spans="1:33">
      <c r="A133" s="221"/>
      <c r="B133" s="266" t="s">
        <v>258</v>
      </c>
      <c r="C133" s="269">
        <v>0</v>
      </c>
      <c r="D133" s="269">
        <f>+D132</f>
        <v>1.5</v>
      </c>
      <c r="E133" s="269">
        <f>+E132+D133</f>
        <v>5.8999999999999995</v>
      </c>
      <c r="F133" s="269">
        <f>+F132+E133</f>
        <v>9.8999999999999986</v>
      </c>
      <c r="G133" s="239">
        <f>+G132+F133</f>
        <v>29.9</v>
      </c>
      <c r="H133" s="239">
        <f>+H132+G133</f>
        <v>42.4</v>
      </c>
      <c r="I133" s="239">
        <f>+I132+G133</f>
        <v>77.400000000000006</v>
      </c>
      <c r="J133" s="239"/>
      <c r="K133" s="221"/>
      <c r="L133" s="239"/>
      <c r="M133" s="239"/>
      <c r="N133" s="221"/>
      <c r="O133" s="221"/>
      <c r="P133" s="221"/>
      <c r="Q133" s="221"/>
      <c r="R133" s="221"/>
      <c r="S133" s="221"/>
      <c r="T133" s="221"/>
      <c r="U133" s="221"/>
      <c r="V133" s="221"/>
      <c r="W133" s="221"/>
      <c r="X133" s="221"/>
      <c r="Y133" s="221"/>
      <c r="Z133" s="221"/>
      <c r="AA133" s="221"/>
      <c r="AB133" s="221"/>
      <c r="AC133" s="221"/>
      <c r="AD133" s="221"/>
      <c r="AE133" s="221"/>
      <c r="AF133" s="221"/>
      <c r="AG133" s="221"/>
    </row>
    <row r="134" spans="1:33">
      <c r="A134" s="221"/>
      <c r="B134" s="243"/>
      <c r="C134" s="270"/>
      <c r="D134" s="271">
        <f>+IF(D129&lt;=D130,D129*D131,0)</f>
        <v>0.60102</v>
      </c>
      <c r="E134" s="271">
        <f>+IF(AND(D129&lt;=E130,D129&gt;D130),D133+(D129-D130)*E131,0)</f>
        <v>0</v>
      </c>
      <c r="F134" s="271">
        <f>+IF(AND(D129&lt;=F130,D129&gt;E130),E133+(D129-E130)*F131,0)</f>
        <v>0</v>
      </c>
      <c r="G134" s="244">
        <f>+IF(AND(D129&lt;=G130,D129&gt;F130),F133+(D129-F130)*G131,0)</f>
        <v>0</v>
      </c>
      <c r="H134" s="244">
        <f>+IF(AND(D129&lt;=H130,D129&gt;G130),G133+(D129-G130)*H131,0)</f>
        <v>0</v>
      </c>
      <c r="I134" s="244">
        <f>+IF(AND(D129&lt;=I130,D129&gt;G130),G133+(D129-G130)*I131,0)</f>
        <v>0</v>
      </c>
      <c r="J134" s="244">
        <f>IF($D$129&gt;I130,I133+($D$129-I130)*J131,0)</f>
        <v>0</v>
      </c>
      <c r="K134" s="221"/>
      <c r="L134" s="246"/>
      <c r="M134" s="246"/>
      <c r="N134" s="221"/>
      <c r="O134" s="221"/>
      <c r="P134" s="221"/>
      <c r="Q134" s="221"/>
      <c r="R134" s="221"/>
      <c r="S134" s="221"/>
      <c r="T134" s="221"/>
      <c r="U134" s="221"/>
      <c r="V134" s="221"/>
      <c r="W134" s="221"/>
      <c r="X134" s="221"/>
      <c r="Y134" s="221"/>
      <c r="Z134" s="221"/>
      <c r="AA134" s="221"/>
      <c r="AB134" s="221"/>
      <c r="AC134" s="221"/>
      <c r="AD134" s="221"/>
      <c r="AE134" s="221"/>
      <c r="AF134" s="221"/>
      <c r="AG134" s="221"/>
    </row>
    <row r="135" spans="1:33">
      <c r="A135" s="221"/>
      <c r="B135" s="221"/>
      <c r="C135" s="258"/>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c r="AA135" s="221"/>
      <c r="AB135" s="221"/>
      <c r="AC135" s="221"/>
      <c r="AD135" s="221"/>
      <c r="AE135" s="221"/>
      <c r="AF135" s="221"/>
      <c r="AG135" s="221"/>
    </row>
    <row r="136" spans="1:33">
      <c r="A136" s="221" t="s">
        <v>235</v>
      </c>
      <c r="B136" s="222" t="s">
        <v>259</v>
      </c>
      <c r="C136" s="258"/>
      <c r="D136" s="258"/>
      <c r="E136" s="259">
        <f>SUM(D142:N142)</f>
        <v>3.298254574671966</v>
      </c>
      <c r="F136" s="258"/>
      <c r="G136" s="223"/>
      <c r="H136" s="223"/>
      <c r="I136" s="223"/>
      <c r="J136" s="260"/>
      <c r="K136" s="261"/>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row>
    <row r="137" spans="1:33">
      <c r="A137" s="221"/>
      <c r="B137" s="262" t="s">
        <v>260</v>
      </c>
      <c r="C137" s="221"/>
      <c r="D137" s="263">
        <f>'江苏省工程总表 '!H21+'江苏省工程总表 '!H45+'江苏省工程总表 '!H47+'江苏省工程总表 '!H48+'江苏省工程总表 '!H49+'江苏省工程总表 '!H50</f>
        <v>324.78182183399576</v>
      </c>
      <c r="E137" s="264"/>
      <c r="F137" s="264"/>
      <c r="G137" s="230"/>
      <c r="H137" s="230"/>
      <c r="I137" s="230"/>
      <c r="J137" s="265"/>
      <c r="K137" s="261"/>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row>
    <row r="138" spans="1:33">
      <c r="A138" s="221"/>
      <c r="B138" s="234"/>
      <c r="C138" s="264">
        <v>0</v>
      </c>
      <c r="D138" s="264">
        <v>100</v>
      </c>
      <c r="E138" s="264">
        <v>500</v>
      </c>
      <c r="F138" s="264">
        <v>1000</v>
      </c>
      <c r="G138" s="230">
        <v>5000</v>
      </c>
      <c r="H138" s="230">
        <v>10000</v>
      </c>
      <c r="I138" s="230">
        <v>100000</v>
      </c>
      <c r="J138" s="230" t="s">
        <v>261</v>
      </c>
      <c r="K138" s="221"/>
      <c r="L138" s="230"/>
      <c r="M138" s="230"/>
      <c r="N138" s="221"/>
      <c r="O138" s="221"/>
      <c r="P138" s="221"/>
      <c r="Q138" s="221"/>
      <c r="R138" s="221"/>
      <c r="S138" s="221"/>
      <c r="T138" s="221"/>
      <c r="U138" s="221"/>
      <c r="V138" s="221"/>
      <c r="W138" s="221"/>
      <c r="X138" s="221"/>
      <c r="Y138" s="221"/>
      <c r="Z138" s="233" t="s">
        <v>231</v>
      </c>
      <c r="AA138" s="221" t="str">
        <f t="array" ref="AA138">LOOKUP(0,0/(B142:Z142&lt;&gt;0),A141:V141)&amp;"+("&amp;ROUND(D137,2)&amp;"-"&amp;LOOKUP(0,0/(B142:Z142&lt;&gt;0),A138:V138)&amp;")*"&amp;LOOKUP(0,0/(B142:Z142&lt;&gt;0),B139:Z139)*100&amp;"%"</f>
        <v>1.5+(324.78-100)*0.8%</v>
      </c>
      <c r="AB138" s="221"/>
      <c r="AC138" s="221"/>
      <c r="AD138" s="221"/>
      <c r="AE138" s="221"/>
      <c r="AF138" s="221"/>
      <c r="AG138" s="221"/>
    </row>
    <row r="139" spans="1:33">
      <c r="A139" s="221"/>
      <c r="B139" s="266" t="s">
        <v>211</v>
      </c>
      <c r="C139" s="267"/>
      <c r="D139" s="267">
        <v>1.4999999999999999E-2</v>
      </c>
      <c r="E139" s="267">
        <v>8.0000000000000002E-3</v>
      </c>
      <c r="F139" s="267">
        <v>4.4999999999999997E-3</v>
      </c>
      <c r="G139" s="237">
        <v>2.5000000000000001E-3</v>
      </c>
      <c r="H139" s="237">
        <v>1E-3</v>
      </c>
      <c r="I139" s="237">
        <v>5.0000000000000001E-4</v>
      </c>
      <c r="J139" s="268">
        <v>1E-4</v>
      </c>
      <c r="K139" s="221"/>
      <c r="L139" s="268"/>
      <c r="M139" s="268"/>
      <c r="N139" s="221"/>
      <c r="O139" s="221"/>
      <c r="P139" s="221"/>
      <c r="Q139" s="221"/>
      <c r="R139" s="221"/>
      <c r="S139" s="221"/>
      <c r="T139" s="221"/>
      <c r="U139" s="221"/>
      <c r="V139" s="221"/>
      <c r="W139" s="221"/>
      <c r="X139" s="221"/>
      <c r="Y139" s="221"/>
      <c r="Z139" s="221"/>
      <c r="AA139" s="221"/>
      <c r="AB139" s="221"/>
      <c r="AC139" s="221"/>
      <c r="AD139" s="221"/>
      <c r="AE139" s="221"/>
      <c r="AF139" s="221"/>
      <c r="AG139" s="221"/>
    </row>
    <row r="140" spans="1:33">
      <c r="A140" s="221"/>
      <c r="B140" s="266" t="s">
        <v>262</v>
      </c>
      <c r="C140" s="269"/>
      <c r="D140" s="269">
        <f>D138*D139</f>
        <v>1.5</v>
      </c>
      <c r="E140" s="269">
        <f>(E138-D138)*E139</f>
        <v>3.2</v>
      </c>
      <c r="F140" s="269">
        <f>(F138-E138)*F139</f>
        <v>2.25</v>
      </c>
      <c r="G140" s="239">
        <f>(G138-F138)*G139</f>
        <v>10</v>
      </c>
      <c r="H140" s="239">
        <f>(H138-G138)*H139</f>
        <v>5</v>
      </c>
      <c r="I140" s="239">
        <f>(I138-G138)*I139</f>
        <v>47.5</v>
      </c>
      <c r="J140" s="239"/>
      <c r="K140" s="221"/>
      <c r="L140" s="239"/>
      <c r="M140" s="239"/>
      <c r="N140" s="221"/>
      <c r="O140" s="221"/>
      <c r="P140" s="221"/>
      <c r="Q140" s="221"/>
      <c r="R140" s="221"/>
      <c r="S140" s="221"/>
      <c r="T140" s="221"/>
      <c r="U140" s="221"/>
      <c r="V140" s="221"/>
      <c r="W140" s="221"/>
      <c r="X140" s="221"/>
      <c r="Y140" s="221"/>
      <c r="Z140" s="221"/>
      <c r="AA140" s="221"/>
      <c r="AB140" s="221"/>
      <c r="AC140" s="221"/>
      <c r="AD140" s="221"/>
      <c r="AE140" s="221"/>
      <c r="AF140" s="221"/>
      <c r="AG140" s="221"/>
    </row>
    <row r="141" spans="1:33">
      <c r="A141" s="221"/>
      <c r="B141" s="266" t="s">
        <v>263</v>
      </c>
      <c r="C141" s="269">
        <v>0</v>
      </c>
      <c r="D141" s="269">
        <f>+D140</f>
        <v>1.5</v>
      </c>
      <c r="E141" s="269">
        <f>+E140+D141</f>
        <v>4.7</v>
      </c>
      <c r="F141" s="269">
        <f>+F140+E141</f>
        <v>6.95</v>
      </c>
      <c r="G141" s="239">
        <f>+G140+F141</f>
        <v>16.95</v>
      </c>
      <c r="H141" s="239">
        <f>+H140+G141</f>
        <v>21.95</v>
      </c>
      <c r="I141" s="239">
        <f>+I140+G141</f>
        <v>64.45</v>
      </c>
      <c r="J141" s="239"/>
      <c r="K141" s="221"/>
      <c r="L141" s="239"/>
      <c r="M141" s="239"/>
      <c r="N141" s="221"/>
      <c r="O141" s="221"/>
      <c r="P141" s="221"/>
      <c r="Q141" s="221"/>
      <c r="R141" s="221"/>
      <c r="S141" s="221"/>
      <c r="T141" s="221"/>
      <c r="U141" s="221"/>
      <c r="V141" s="221"/>
      <c r="W141" s="221"/>
      <c r="X141" s="221"/>
      <c r="Y141" s="221"/>
      <c r="Z141" s="221"/>
      <c r="AA141" s="221"/>
      <c r="AB141" s="221"/>
      <c r="AC141" s="221"/>
      <c r="AD141" s="221"/>
      <c r="AE141" s="221"/>
      <c r="AF141" s="221"/>
      <c r="AG141" s="221"/>
    </row>
    <row r="142" spans="1:33">
      <c r="A142" s="221"/>
      <c r="B142" s="243"/>
      <c r="C142" s="270"/>
      <c r="D142" s="271">
        <f>+IF(D137&lt;=D138,D137*D139,0)</f>
        <v>0</v>
      </c>
      <c r="E142" s="271">
        <f>+IF(AND(D137&lt;=E138,D137&gt;D138),D141+(D137-D138)*E139,0)</f>
        <v>3.298254574671966</v>
      </c>
      <c r="F142" s="271">
        <f>+IF(AND(D137&lt;=F138,D137&gt;E138),E141+(D137-E138)*F139,0)</f>
        <v>0</v>
      </c>
      <c r="G142" s="244">
        <f>+IF(AND(D137&lt;=G138,D137&gt;F138),F141+(D137-F138)*G139,0)</f>
        <v>0</v>
      </c>
      <c r="H142" s="244">
        <f>+IF(AND(D137&lt;=H138,D137&gt;G138),G141+(D137-G138)*H139,0)</f>
        <v>0</v>
      </c>
      <c r="I142" s="244">
        <f>+IF(AND(D137&lt;=I138,D137&gt;G138),G141+(D137-G138)*I139,0)</f>
        <v>0</v>
      </c>
      <c r="J142" s="244">
        <f>IF($D$137&gt;I138,I141+($D$137-I138)*J139,0)</f>
        <v>0</v>
      </c>
      <c r="K142" s="221"/>
      <c r="L142" s="246"/>
      <c r="M142" s="246"/>
      <c r="N142" s="221"/>
      <c r="O142" s="221"/>
      <c r="P142" s="221"/>
      <c r="Q142" s="221"/>
      <c r="R142" s="221"/>
      <c r="S142" s="221"/>
      <c r="T142" s="221"/>
      <c r="U142" s="221"/>
      <c r="V142" s="221"/>
      <c r="W142" s="221"/>
      <c r="X142" s="221"/>
      <c r="Y142" s="221"/>
      <c r="Z142" s="221"/>
      <c r="AA142" s="221"/>
      <c r="AB142" s="221"/>
      <c r="AC142" s="221"/>
      <c r="AD142" s="221"/>
      <c r="AE142" s="221"/>
      <c r="AF142" s="221"/>
      <c r="AG142" s="221"/>
    </row>
    <row r="143" spans="1:33">
      <c r="A143" s="221"/>
      <c r="B143" s="221"/>
      <c r="C143" s="258"/>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c r="AA143" s="221"/>
      <c r="AB143" s="221"/>
      <c r="AC143" s="221"/>
      <c r="AD143" s="221"/>
      <c r="AE143" s="221"/>
      <c r="AF143" s="221"/>
      <c r="AG143" s="221"/>
    </row>
    <row r="144" spans="1:33" s="273" customFormat="1" ht="18" customHeight="1">
      <c r="A144" s="272"/>
      <c r="B144" s="272"/>
      <c r="C144" s="272"/>
      <c r="D144" s="272"/>
      <c r="E144" s="272"/>
      <c r="F144" s="272"/>
      <c r="G144" s="272"/>
      <c r="H144" s="272"/>
      <c r="I144" s="272"/>
      <c r="J144" s="272"/>
      <c r="K144" s="272"/>
      <c r="L144" s="272"/>
      <c r="M144" s="272"/>
      <c r="N144" s="272"/>
      <c r="O144" s="272"/>
      <c r="P144" s="272"/>
      <c r="Q144" s="272"/>
      <c r="R144" s="272"/>
      <c r="S144" s="272"/>
      <c r="T144" s="272"/>
      <c r="U144" s="272"/>
      <c r="V144" s="272"/>
      <c r="W144" s="272"/>
      <c r="X144" s="272"/>
      <c r="Y144" s="272"/>
      <c r="Z144" s="272"/>
      <c r="AA144" s="272"/>
      <c r="AB144" s="272"/>
      <c r="AC144" s="272"/>
      <c r="AD144" s="272"/>
      <c r="AE144" s="272"/>
      <c r="AF144" s="272"/>
      <c r="AG144" s="272"/>
    </row>
    <row r="145" spans="1:33">
      <c r="A145" s="221" t="s">
        <v>253</v>
      </c>
      <c r="B145" s="222" t="s">
        <v>264</v>
      </c>
      <c r="C145" s="258"/>
      <c r="D145" s="258"/>
      <c r="E145" s="259">
        <f>SUM(D151:N151)</f>
        <v>18.330643385757867</v>
      </c>
      <c r="F145" s="258"/>
      <c r="G145" s="223"/>
      <c r="H145" s="223"/>
      <c r="I145" s="223"/>
      <c r="J145" s="260"/>
      <c r="K145" s="261"/>
      <c r="L145" s="221"/>
      <c r="M145" s="221"/>
      <c r="N145" s="221"/>
      <c r="O145" s="221"/>
      <c r="P145" s="221"/>
      <c r="Q145" s="221"/>
      <c r="R145" s="221"/>
      <c r="S145" s="221"/>
      <c r="T145" s="221"/>
      <c r="U145" s="221"/>
      <c r="V145" s="221"/>
      <c r="W145" s="221"/>
      <c r="X145" s="221"/>
      <c r="Y145" s="221"/>
      <c r="Z145" s="221"/>
      <c r="AA145" s="221"/>
      <c r="AB145" s="221"/>
      <c r="AC145" s="221"/>
      <c r="AD145" s="221"/>
      <c r="AE145" s="221"/>
      <c r="AF145" s="221"/>
      <c r="AG145" s="221"/>
    </row>
    <row r="146" spans="1:33">
      <c r="A146" s="221"/>
      <c r="B146" s="262" t="s">
        <v>255</v>
      </c>
      <c r="C146" s="221"/>
      <c r="D146" s="263">
        <f>+'江苏省工程总表 '!C9+'江苏省工程总表 '!D9</f>
        <v>4365.8981102165335</v>
      </c>
      <c r="E146" s="264"/>
      <c r="F146" s="264"/>
      <c r="G146" s="230"/>
      <c r="H146" s="230"/>
      <c r="I146" s="230"/>
      <c r="J146" s="265"/>
      <c r="K146" s="261"/>
      <c r="L146" s="221"/>
      <c r="M146" s="221"/>
      <c r="N146" s="221"/>
      <c r="O146" s="221"/>
      <c r="P146" s="221"/>
      <c r="Q146" s="221"/>
      <c r="R146" s="221"/>
      <c r="S146" s="221"/>
      <c r="T146" s="221"/>
      <c r="U146" s="221"/>
      <c r="V146" s="221"/>
      <c r="W146" s="221"/>
      <c r="X146" s="221"/>
      <c r="Y146" s="221"/>
      <c r="Z146" s="221"/>
      <c r="AA146" s="221"/>
      <c r="AB146" s="221"/>
      <c r="AC146" s="221"/>
      <c r="AD146" s="221"/>
      <c r="AE146" s="221"/>
      <c r="AF146" s="221"/>
      <c r="AG146" s="221"/>
    </row>
    <row r="147" spans="1:33">
      <c r="A147" s="221"/>
      <c r="B147" s="234"/>
      <c r="C147" s="264">
        <v>0</v>
      </c>
      <c r="D147" s="264">
        <v>100</v>
      </c>
      <c r="E147" s="264">
        <v>500</v>
      </c>
      <c r="F147" s="264">
        <v>1000</v>
      </c>
      <c r="G147" s="230">
        <v>5000</v>
      </c>
      <c r="H147" s="230">
        <v>10000</v>
      </c>
      <c r="I147" s="230">
        <v>100000</v>
      </c>
      <c r="J147" s="230" t="s">
        <v>256</v>
      </c>
      <c r="K147" s="221"/>
      <c r="L147" s="230"/>
      <c r="M147" s="230"/>
      <c r="N147" s="221"/>
      <c r="O147" s="221"/>
      <c r="P147" s="221"/>
      <c r="Q147" s="221"/>
      <c r="R147" s="221"/>
      <c r="S147" s="221"/>
      <c r="T147" s="221"/>
      <c r="U147" s="221"/>
      <c r="V147" s="221"/>
      <c r="W147" s="221"/>
      <c r="X147" s="221"/>
      <c r="Y147" s="221"/>
      <c r="Z147" s="233" t="s">
        <v>227</v>
      </c>
      <c r="AA147" s="221" t="str">
        <f t="array" ref="AA147">LOOKUP(0,0/(B151:Z151&lt;&gt;0),A150:V150)&amp;"+("&amp;ROUND(D146,2)&amp;"-"&amp;LOOKUP(0,0/(B151:Z151&lt;&gt;0),A147:V147)&amp;")*"&amp;LOOKUP(0,0/(B151:Z151&lt;&gt;0),B148:Z148)*100&amp;"%"</f>
        <v>6.55+(4365.9-1000)*0.35%</v>
      </c>
      <c r="AB147" s="221"/>
      <c r="AC147" s="221"/>
      <c r="AD147" s="221"/>
      <c r="AE147" s="221"/>
      <c r="AF147" s="221"/>
      <c r="AG147" s="221"/>
    </row>
    <row r="148" spans="1:33">
      <c r="A148" s="221"/>
      <c r="B148" s="266" t="s">
        <v>211</v>
      </c>
      <c r="C148" s="267"/>
      <c r="D148" s="267">
        <v>0.01</v>
      </c>
      <c r="E148" s="267">
        <v>7.0000000000000001E-3</v>
      </c>
      <c r="F148" s="267">
        <v>5.4999999999999997E-3</v>
      </c>
      <c r="G148" s="237">
        <v>3.5000000000000001E-3</v>
      </c>
      <c r="H148" s="237">
        <v>2E-3</v>
      </c>
      <c r="I148" s="237">
        <v>5.0000000000000001E-4</v>
      </c>
      <c r="J148" s="268">
        <v>1E-4</v>
      </c>
      <c r="K148" s="221"/>
      <c r="L148" s="268"/>
      <c r="M148" s="268"/>
      <c r="N148" s="221"/>
      <c r="O148" s="221"/>
      <c r="P148" s="221"/>
      <c r="Q148" s="221"/>
      <c r="R148" s="221"/>
      <c r="S148" s="221"/>
      <c r="T148" s="221"/>
      <c r="U148" s="221"/>
      <c r="V148" s="221"/>
      <c r="W148" s="221"/>
      <c r="X148" s="221"/>
      <c r="Y148" s="221"/>
      <c r="Z148" s="221"/>
      <c r="AA148" s="221"/>
      <c r="AB148" s="221"/>
      <c r="AC148" s="221"/>
      <c r="AD148" s="221"/>
      <c r="AE148" s="221"/>
      <c r="AF148" s="221"/>
      <c r="AG148" s="221"/>
    </row>
    <row r="149" spans="1:33">
      <c r="A149" s="221"/>
      <c r="B149" s="266" t="s">
        <v>257</v>
      </c>
      <c r="C149" s="269"/>
      <c r="D149" s="269">
        <f>D147*D148</f>
        <v>1</v>
      </c>
      <c r="E149" s="269">
        <f>(E147-D147)*E148</f>
        <v>2.8000000000000003</v>
      </c>
      <c r="F149" s="269">
        <f>(F147-E147)*F148</f>
        <v>2.75</v>
      </c>
      <c r="G149" s="239">
        <f>(G147-F147)*G148</f>
        <v>14</v>
      </c>
      <c r="H149" s="239">
        <f>(H147-G147)*H148</f>
        <v>10</v>
      </c>
      <c r="I149" s="239">
        <f>(I147-G147)*I148</f>
        <v>47.5</v>
      </c>
      <c r="J149" s="239"/>
      <c r="K149" s="221"/>
      <c r="L149" s="239"/>
      <c r="M149" s="239"/>
      <c r="N149" s="221"/>
      <c r="O149" s="221"/>
      <c r="P149" s="221"/>
      <c r="Q149" s="221"/>
      <c r="R149" s="221"/>
      <c r="S149" s="221"/>
      <c r="T149" s="221"/>
      <c r="U149" s="221"/>
      <c r="V149" s="221"/>
      <c r="W149" s="221"/>
      <c r="X149" s="221"/>
      <c r="Y149" s="221"/>
      <c r="Z149" s="221"/>
      <c r="AA149" s="221"/>
      <c r="AB149" s="221"/>
      <c r="AC149" s="221"/>
      <c r="AD149" s="221"/>
      <c r="AE149" s="221"/>
      <c r="AF149" s="221"/>
      <c r="AG149" s="221"/>
    </row>
    <row r="150" spans="1:33">
      <c r="A150" s="221"/>
      <c r="B150" s="266" t="s">
        <v>258</v>
      </c>
      <c r="C150" s="269">
        <v>0</v>
      </c>
      <c r="D150" s="269">
        <f>+D149</f>
        <v>1</v>
      </c>
      <c r="E150" s="269">
        <f>+E149+D150</f>
        <v>3.8000000000000003</v>
      </c>
      <c r="F150" s="269">
        <f>+F149+E150</f>
        <v>6.5500000000000007</v>
      </c>
      <c r="G150" s="239">
        <f>+G149+F150</f>
        <v>20.55</v>
      </c>
      <c r="H150" s="239">
        <f>+H149+G150</f>
        <v>30.55</v>
      </c>
      <c r="I150" s="239">
        <f>+I149+G150</f>
        <v>68.05</v>
      </c>
      <c r="J150" s="239"/>
      <c r="K150" s="221"/>
      <c r="L150" s="239"/>
      <c r="M150" s="239"/>
      <c r="N150" s="221"/>
      <c r="O150" s="221"/>
      <c r="P150" s="221"/>
      <c r="Q150" s="221"/>
      <c r="R150" s="221"/>
      <c r="S150" s="221"/>
      <c r="T150" s="221"/>
      <c r="U150" s="221"/>
      <c r="V150" s="221"/>
      <c r="W150" s="221"/>
      <c r="X150" s="221"/>
      <c r="Y150" s="221"/>
      <c r="Z150" s="221"/>
      <c r="AA150" s="221"/>
      <c r="AB150" s="221"/>
      <c r="AC150" s="221"/>
      <c r="AD150" s="221"/>
      <c r="AE150" s="221"/>
      <c r="AF150" s="221"/>
      <c r="AG150" s="221"/>
    </row>
    <row r="151" spans="1:33">
      <c r="A151" s="221"/>
      <c r="B151" s="243"/>
      <c r="C151" s="270"/>
      <c r="D151" s="271">
        <f>+IF(D146&lt;=D147,D146*D148,0)</f>
        <v>0</v>
      </c>
      <c r="E151" s="271">
        <f>+IF(AND(D146&lt;=E147,D146&gt;D147),D150+(D146-D147)*E148,0)</f>
        <v>0</v>
      </c>
      <c r="F151" s="271">
        <f>+IF(AND(D146&lt;=F147,D146&gt;E147),E150+(D146-E147)*F148,0)</f>
        <v>0</v>
      </c>
      <c r="G151" s="244">
        <f>+IF(AND(D146&lt;=G147,D146&gt;F147),F150+(D146-F147)*G148,0)</f>
        <v>18.330643385757867</v>
      </c>
      <c r="H151" s="244">
        <f>+IF(AND(D146&lt;=H147,D146&gt;G147),G150+(D146-G147)*H148,0)</f>
        <v>0</v>
      </c>
      <c r="I151" s="244">
        <f>+IF(AND(D146&lt;=I147,D146&gt;G147),G150+(D146-G147)*I148,0)</f>
        <v>0</v>
      </c>
      <c r="J151" s="244">
        <f>IF($D$146&gt;I147,I150+($D$146-I147)*J148,0)</f>
        <v>0</v>
      </c>
      <c r="K151" s="221"/>
      <c r="L151" s="246"/>
      <c r="M151" s="246"/>
      <c r="N151" s="221"/>
      <c r="O151" s="221"/>
      <c r="P151" s="221"/>
      <c r="Q151" s="221"/>
      <c r="R151" s="221"/>
      <c r="S151" s="221"/>
      <c r="T151" s="221"/>
      <c r="U151" s="221"/>
      <c r="V151" s="221"/>
      <c r="W151" s="221"/>
      <c r="X151" s="221"/>
      <c r="Y151" s="221"/>
      <c r="Z151" s="221"/>
      <c r="AA151" s="221"/>
      <c r="AB151" s="221"/>
      <c r="AC151" s="221"/>
      <c r="AD151" s="221"/>
      <c r="AE151" s="221"/>
      <c r="AF151" s="221"/>
      <c r="AG151" s="221"/>
    </row>
    <row r="152" spans="1:33">
      <c r="A152" s="221"/>
      <c r="B152" s="230"/>
      <c r="C152" s="270"/>
      <c r="D152" s="270"/>
      <c r="E152" s="270"/>
      <c r="F152" s="270"/>
      <c r="G152" s="246"/>
      <c r="H152" s="246"/>
      <c r="I152" s="246"/>
      <c r="J152" s="246"/>
      <c r="K152" s="221"/>
      <c r="L152" s="246"/>
      <c r="M152" s="246"/>
      <c r="N152" s="221"/>
      <c r="O152" s="221"/>
      <c r="P152" s="221"/>
      <c r="Q152" s="221"/>
      <c r="R152" s="221"/>
      <c r="S152" s="221"/>
      <c r="T152" s="221"/>
      <c r="U152" s="221"/>
      <c r="V152" s="221"/>
      <c r="W152" s="221"/>
      <c r="X152" s="221"/>
      <c r="Y152" s="221"/>
      <c r="Z152" s="221"/>
      <c r="AA152" s="221"/>
      <c r="AB152" s="221"/>
      <c r="AC152" s="221"/>
      <c r="AD152" s="221"/>
      <c r="AE152" s="221"/>
      <c r="AF152" s="221"/>
      <c r="AG152" s="221"/>
    </row>
    <row r="153" spans="1:33">
      <c r="B153" s="274" t="s">
        <v>265</v>
      </c>
      <c r="C153" s="275"/>
      <c r="D153" s="276"/>
      <c r="E153" s="276"/>
      <c r="F153" s="276"/>
      <c r="G153" s="277"/>
      <c r="H153" s="277"/>
      <c r="I153" s="277"/>
      <c r="J153" s="277"/>
      <c r="L153" s="277"/>
      <c r="M153" s="277"/>
    </row>
    <row r="154" spans="1:33" s="273" customFormat="1" ht="17.25" customHeight="1">
      <c r="B154" s="273" t="s">
        <v>266</v>
      </c>
      <c r="E154" s="273">
        <f>SUM(D160:J160)</f>
        <v>0.60102</v>
      </c>
    </row>
    <row r="155" spans="1:33" s="273" customFormat="1" ht="18" customHeight="1">
      <c r="B155" s="273" t="s">
        <v>267</v>
      </c>
      <c r="D155" s="278">
        <f>+'江苏省工程总表 '!E9</f>
        <v>40.068000000000005</v>
      </c>
    </row>
    <row r="156" spans="1:33" s="273" customFormat="1" ht="18" customHeight="1">
      <c r="B156" s="279"/>
      <c r="C156" s="280"/>
      <c r="D156" s="280">
        <v>100</v>
      </c>
      <c r="E156" s="280">
        <v>500</v>
      </c>
      <c r="F156" s="280">
        <v>1000</v>
      </c>
      <c r="G156" s="280">
        <v>5000</v>
      </c>
      <c r="H156" s="280">
        <v>10000</v>
      </c>
      <c r="I156" s="280">
        <v>50000</v>
      </c>
      <c r="J156" s="280">
        <v>100000</v>
      </c>
      <c r="K156" s="280">
        <v>500000</v>
      </c>
      <c r="L156" s="280">
        <v>1000000</v>
      </c>
      <c r="M156" s="281">
        <v>100000000</v>
      </c>
      <c r="Z156" s="173" t="s">
        <v>227</v>
      </c>
      <c r="AA156" s="161" t="str">
        <f t="array" ref="AA156">LOOKUP(0,0/(B160:Z160&lt;&gt;0),A159:V159)&amp;"+("&amp;ROUND(D155,2)&amp;"-"&amp;LOOKUP(0,0/(B160:Z160&lt;&gt;0),A156:V156)&amp;")*"&amp;LOOKUP(0,0/(B160:Z160&lt;&gt;0),B157:Z157)*100&amp;"%"</f>
        <v>+(40.07-)*1.5%</v>
      </c>
    </row>
    <row r="157" spans="1:33" s="273" customFormat="1" ht="17.25" customHeight="1">
      <c r="B157" s="282" t="s">
        <v>268</v>
      </c>
      <c r="D157" s="283">
        <v>1.4999999999999999E-2</v>
      </c>
      <c r="E157" s="283">
        <v>1.0999999999999999E-2</v>
      </c>
      <c r="F157" s="283">
        <v>8.0000000000000002E-3</v>
      </c>
      <c r="G157" s="283">
        <v>5.0000000000000001E-3</v>
      </c>
      <c r="H157" s="283">
        <v>2.5000000000000001E-3</v>
      </c>
      <c r="I157" s="283">
        <v>5.0000000000000001E-4</v>
      </c>
      <c r="J157" s="283">
        <v>3.5E-4</v>
      </c>
      <c r="K157" s="283">
        <v>8.0000000000000007E-5</v>
      </c>
      <c r="L157" s="283">
        <v>6.0000000000000002E-5</v>
      </c>
      <c r="M157" s="284">
        <v>4.0000000000000003E-5</v>
      </c>
    </row>
    <row r="158" spans="1:33" s="273" customFormat="1" ht="17.25" customHeight="1">
      <c r="B158" s="282" t="s">
        <v>269</v>
      </c>
      <c r="D158" s="273">
        <f>D156*D157</f>
        <v>1.5</v>
      </c>
      <c r="E158" s="273">
        <f t="shared" ref="E158:L158" si="14">(E156-D156)*E157</f>
        <v>4.3999999999999995</v>
      </c>
      <c r="F158" s="273">
        <f t="shared" si="14"/>
        <v>4</v>
      </c>
      <c r="G158" s="273">
        <f t="shared" si="14"/>
        <v>20</v>
      </c>
      <c r="H158" s="273">
        <f t="shared" si="14"/>
        <v>12.5</v>
      </c>
      <c r="I158" s="273">
        <f t="shared" si="14"/>
        <v>20</v>
      </c>
      <c r="J158" s="273">
        <f t="shared" si="14"/>
        <v>17.5</v>
      </c>
      <c r="K158" s="273">
        <f t="shared" si="14"/>
        <v>32</v>
      </c>
      <c r="L158" s="273">
        <f t="shared" si="14"/>
        <v>30</v>
      </c>
      <c r="M158" s="285"/>
    </row>
    <row r="159" spans="1:33" s="273" customFormat="1" ht="17.25" customHeight="1">
      <c r="B159" s="282" t="s">
        <v>270</v>
      </c>
      <c r="D159" s="273">
        <f>+D158</f>
        <v>1.5</v>
      </c>
      <c r="E159" s="273">
        <f t="shared" ref="E159:L159" si="15">+E158+D159</f>
        <v>5.8999999999999995</v>
      </c>
      <c r="F159" s="273">
        <f t="shared" si="15"/>
        <v>9.8999999999999986</v>
      </c>
      <c r="G159" s="273">
        <f t="shared" si="15"/>
        <v>29.9</v>
      </c>
      <c r="H159" s="273">
        <f t="shared" si="15"/>
        <v>42.4</v>
      </c>
      <c r="I159" s="273">
        <f t="shared" si="15"/>
        <v>62.4</v>
      </c>
      <c r="J159" s="273">
        <f t="shared" si="15"/>
        <v>79.900000000000006</v>
      </c>
      <c r="K159" s="273">
        <f t="shared" si="15"/>
        <v>111.9</v>
      </c>
      <c r="L159" s="273">
        <f t="shared" si="15"/>
        <v>141.9</v>
      </c>
      <c r="M159" s="285"/>
    </row>
    <row r="160" spans="1:33" s="273" customFormat="1" ht="18" customHeight="1">
      <c r="B160" s="286"/>
      <c r="C160" s="287"/>
      <c r="D160" s="287">
        <f>+IF(D155&lt;=D156,D155*D157,0)</f>
        <v>0.60102</v>
      </c>
      <c r="E160" s="287">
        <f>+IF(AND(D155&lt;=E156,D155&gt;D156),D159+(D155-D156)*E157,0)</f>
        <v>0</v>
      </c>
      <c r="F160" s="287">
        <f>+IF(AND(D155&lt;=F156,D155&gt;E156),E159+(D155-E156)*F157,0)</f>
        <v>0</v>
      </c>
      <c r="G160" s="287">
        <f>+IF(AND(D155&lt;=G156,D155&gt;F156),F159+(D155-F156)*G157,0)</f>
        <v>0</v>
      </c>
      <c r="H160" s="287">
        <f>+IF(AND(D155&lt;=H156,D155&gt;G156),G159+(D155-G156)*H157,0)</f>
        <v>0</v>
      </c>
      <c r="I160" s="287">
        <f>+IF(AND(D155&lt;=I156,D155&gt;H156),I159+(D155-I156)*I157,0)</f>
        <v>0</v>
      </c>
      <c r="J160" s="287">
        <f>+IF(AND(D155&lt;=J156,D155&gt;I156),J159+(D155-J156)*J157,0)</f>
        <v>0</v>
      </c>
      <c r="K160" s="287">
        <f>+IF(AND(D155&lt;=K156,D155&gt;J156),K159+(D155-K156)*K157,0)</f>
        <v>0</v>
      </c>
      <c r="L160" s="287">
        <f>+IF(AND(D155&lt;=L156,D155&gt;K156),L159+(D155-L156)*L157,0)</f>
        <v>0</v>
      </c>
      <c r="M160" s="288">
        <f>IF(D155&gt;L156,L159+(D155-L156)*M157,0)</f>
        <v>0</v>
      </c>
    </row>
    <row r="161" spans="2:27" s="273" customFormat="1" ht="18" customHeight="1"/>
    <row r="162" spans="2:27" s="273" customFormat="1" ht="17.25" customHeight="1">
      <c r="B162" s="273" t="s">
        <v>271</v>
      </c>
      <c r="E162" s="273">
        <f>SUM(D168:J168)</f>
        <v>3.298254574671966</v>
      </c>
    </row>
    <row r="163" spans="2:27" s="273" customFormat="1" ht="18" customHeight="1">
      <c r="B163" s="273" t="s">
        <v>267</v>
      </c>
      <c r="D163" s="278">
        <f>'江苏省工程总表 '!H21+'江苏省工程总表 '!H45+'江苏省工程总表 '!H47+'江苏省工程总表 '!H48+'江苏省工程总表 '!H49+'江苏省工程总表 '!H50</f>
        <v>324.78182183399576</v>
      </c>
    </row>
    <row r="164" spans="2:27" s="273" customFormat="1" ht="18" customHeight="1">
      <c r="B164" s="279"/>
      <c r="C164" s="280"/>
      <c r="D164" s="280">
        <v>100</v>
      </c>
      <c r="E164" s="280">
        <v>500</v>
      </c>
      <c r="F164" s="280">
        <v>1000</v>
      </c>
      <c r="G164" s="280">
        <v>5000</v>
      </c>
      <c r="H164" s="280">
        <v>10000</v>
      </c>
      <c r="I164" s="280">
        <v>50000</v>
      </c>
      <c r="J164" s="280">
        <v>100000</v>
      </c>
      <c r="K164" s="280">
        <v>500000</v>
      </c>
      <c r="L164" s="280">
        <v>1000000</v>
      </c>
      <c r="M164" s="281">
        <v>100000000</v>
      </c>
      <c r="Z164" s="173" t="s">
        <v>227</v>
      </c>
      <c r="AA164" s="161" t="str">
        <f t="array" ref="AA164">LOOKUP(0,0/(B168:Z168&lt;&gt;0),A167:V167)&amp;"+("&amp;ROUND(D163,2)&amp;"-"&amp;LOOKUP(0,0/(B168:Z168&lt;&gt;0),A164:V164)&amp;")*"&amp;LOOKUP(0,0/(B168:Z168&lt;&gt;0),B165:Z165)*100&amp;"%"</f>
        <v>1.5+(324.78-100)*0.8%</v>
      </c>
    </row>
    <row r="165" spans="2:27" s="273" customFormat="1" ht="17.25" customHeight="1">
      <c r="B165" s="282" t="s">
        <v>268</v>
      </c>
      <c r="D165" s="283">
        <v>1.4999999999999999E-2</v>
      </c>
      <c r="E165" s="283">
        <v>8.0000000000000002E-3</v>
      </c>
      <c r="F165" s="283">
        <v>4.4999999999999997E-3</v>
      </c>
      <c r="G165" s="283">
        <v>2.5000000000000001E-3</v>
      </c>
      <c r="H165" s="283">
        <v>1E-3</v>
      </c>
      <c r="I165" s="283">
        <v>5.0000000000000001E-4</v>
      </c>
      <c r="J165" s="283">
        <v>3.5E-4</v>
      </c>
      <c r="K165" s="283">
        <v>8.0000000000000007E-5</v>
      </c>
      <c r="L165" s="283">
        <v>6.0000000000000002E-5</v>
      </c>
      <c r="M165" s="284">
        <v>4.0000000000000003E-5</v>
      </c>
    </row>
    <row r="166" spans="2:27" s="273" customFormat="1" ht="17.25" customHeight="1">
      <c r="B166" s="282" t="s">
        <v>269</v>
      </c>
      <c r="D166" s="273">
        <f>D164*D165</f>
        <v>1.5</v>
      </c>
      <c r="E166" s="273">
        <f t="shared" ref="E166:L166" si="16">(E164-D164)*E165</f>
        <v>3.2</v>
      </c>
      <c r="F166" s="273">
        <f t="shared" si="16"/>
        <v>2.25</v>
      </c>
      <c r="G166" s="273">
        <f t="shared" si="16"/>
        <v>10</v>
      </c>
      <c r="H166" s="273">
        <f t="shared" si="16"/>
        <v>5</v>
      </c>
      <c r="I166" s="273">
        <f t="shared" si="16"/>
        <v>20</v>
      </c>
      <c r="J166" s="273">
        <f t="shared" si="16"/>
        <v>17.5</v>
      </c>
      <c r="K166" s="273">
        <f t="shared" si="16"/>
        <v>32</v>
      </c>
      <c r="L166" s="273">
        <f t="shared" si="16"/>
        <v>30</v>
      </c>
      <c r="M166" s="285"/>
    </row>
    <row r="167" spans="2:27" s="273" customFormat="1" ht="17.25" customHeight="1">
      <c r="B167" s="282" t="s">
        <v>270</v>
      </c>
      <c r="D167" s="273">
        <f>+D166</f>
        <v>1.5</v>
      </c>
      <c r="E167" s="273">
        <f t="shared" ref="E167:L167" si="17">+E166+D167</f>
        <v>4.7</v>
      </c>
      <c r="F167" s="273">
        <f t="shared" si="17"/>
        <v>6.95</v>
      </c>
      <c r="G167" s="273">
        <f t="shared" si="17"/>
        <v>16.95</v>
      </c>
      <c r="H167" s="273">
        <f t="shared" si="17"/>
        <v>21.95</v>
      </c>
      <c r="I167" s="273">
        <f t="shared" si="17"/>
        <v>41.95</v>
      </c>
      <c r="J167" s="273">
        <f t="shared" si="17"/>
        <v>59.45</v>
      </c>
      <c r="K167" s="273">
        <f t="shared" si="17"/>
        <v>91.45</v>
      </c>
      <c r="L167" s="273">
        <f t="shared" si="17"/>
        <v>121.45</v>
      </c>
      <c r="M167" s="285"/>
    </row>
    <row r="168" spans="2:27" s="273" customFormat="1" ht="18" customHeight="1">
      <c r="B168" s="286"/>
      <c r="C168" s="287"/>
      <c r="D168" s="287">
        <f>+IF(D163&lt;=D164,D163*D165,0)</f>
        <v>0</v>
      </c>
      <c r="E168" s="287">
        <f>+IF(AND(D163&lt;=E164,D163&gt;D164),D167+(D163-D164)*E165,0)</f>
        <v>3.298254574671966</v>
      </c>
      <c r="F168" s="287">
        <f>+IF(AND(D163&lt;=F164,D163&gt;E164),E167+(D163-E164)*F165,0)</f>
        <v>0</v>
      </c>
      <c r="G168" s="287">
        <f>+IF(AND(D163&lt;=G164,D163&gt;F164),F167+(D163-F164)*G165,0)</f>
        <v>0</v>
      </c>
      <c r="H168" s="287">
        <f>+IF(AND(D163&lt;=H164,D163&gt;G164),G167+(D163-G164)*H165,0)</f>
        <v>0</v>
      </c>
      <c r="I168" s="287">
        <f>+IF(AND(D163&lt;=I164,D163&gt;H164),I167+(D163-I164)*I165,0)</f>
        <v>0</v>
      </c>
      <c r="J168" s="287">
        <f>+IF(AND(D163&lt;=J164,D163&gt;I164),J167+(D163-J164)*J165,0)</f>
        <v>0</v>
      </c>
      <c r="K168" s="287">
        <f>+IF(AND(D163&lt;=K164,D163&gt;J164),K167+(D163-K164)*K165,0)</f>
        <v>0</v>
      </c>
      <c r="L168" s="287">
        <f>+IF(AND(D163&lt;=L164,D163&gt;K164),L167+(D163-L164)*L165,0)</f>
        <v>0</v>
      </c>
      <c r="M168" s="288">
        <f>IF(D163&gt;L164,L167+(D163-L164)*M165,0)</f>
        <v>0</v>
      </c>
    </row>
    <row r="169" spans="2:27" s="273" customFormat="1" ht="18" customHeight="1"/>
    <row r="170" spans="2:27" s="273" customFormat="1" ht="17.25" customHeight="1">
      <c r="B170" s="273" t="s">
        <v>272</v>
      </c>
      <c r="E170" s="273">
        <f>SUM(D176:J176)</f>
        <v>18.330643385757867</v>
      </c>
    </row>
    <row r="171" spans="2:27" s="273" customFormat="1" ht="18" customHeight="1">
      <c r="B171" s="273" t="s">
        <v>267</v>
      </c>
      <c r="D171" s="289">
        <f>+'江苏省工程总表 '!C9+'江苏省工程总表 '!D9</f>
        <v>4365.8981102165335</v>
      </c>
    </row>
    <row r="172" spans="2:27" s="273" customFormat="1" ht="18" customHeight="1">
      <c r="B172" s="279"/>
      <c r="C172" s="280"/>
      <c r="D172" s="280">
        <v>100</v>
      </c>
      <c r="E172" s="280">
        <v>500</v>
      </c>
      <c r="F172" s="280">
        <v>1000</v>
      </c>
      <c r="G172" s="280">
        <v>5000</v>
      </c>
      <c r="H172" s="280">
        <v>10000</v>
      </c>
      <c r="I172" s="280">
        <v>50000</v>
      </c>
      <c r="J172" s="280">
        <v>100000</v>
      </c>
      <c r="K172" s="280">
        <v>500000</v>
      </c>
      <c r="L172" s="280">
        <v>1000000</v>
      </c>
      <c r="M172" s="281">
        <v>100000000</v>
      </c>
      <c r="Z172" s="173" t="s">
        <v>227</v>
      </c>
      <c r="AA172" s="161" t="str">
        <f t="array" ref="AA172">LOOKUP(0,0/(B176:Z176&lt;&gt;0),A175:V175)&amp;"+("&amp;ROUND(D171,2)&amp;"-"&amp;LOOKUP(0,0/(B176:Z176&lt;&gt;0),A172:V172)&amp;")*"&amp;LOOKUP(0,0/(B176:Z176&lt;&gt;0),B173:Z173)*100&amp;"%"</f>
        <v>6.55+(4365.9-1000)*0.35%</v>
      </c>
    </row>
    <row r="173" spans="2:27" s="273" customFormat="1" ht="17.25" customHeight="1">
      <c r="B173" s="282" t="s">
        <v>268</v>
      </c>
      <c r="D173" s="283">
        <v>0.01</v>
      </c>
      <c r="E173" s="283">
        <v>7.0000000000000001E-3</v>
      </c>
      <c r="F173" s="283">
        <v>5.4999999999999997E-3</v>
      </c>
      <c r="G173" s="283">
        <v>3.5000000000000001E-3</v>
      </c>
      <c r="H173" s="283">
        <v>2E-3</v>
      </c>
      <c r="I173" s="283">
        <v>5.0000000000000001E-4</v>
      </c>
      <c r="J173" s="283">
        <v>3.5E-4</v>
      </c>
      <c r="K173" s="283">
        <v>8.0000000000000007E-5</v>
      </c>
      <c r="L173" s="283">
        <v>6.0000000000000002E-5</v>
      </c>
      <c r="M173" s="284">
        <v>4.0000000000000003E-5</v>
      </c>
    </row>
    <row r="174" spans="2:27" s="273" customFormat="1" ht="17.25" customHeight="1">
      <c r="B174" s="282" t="s">
        <v>269</v>
      </c>
      <c r="D174" s="273">
        <f>D172*D173</f>
        <v>1</v>
      </c>
      <c r="E174" s="273">
        <f t="shared" ref="E174:L174" si="18">(E172-D172)*E173</f>
        <v>2.8000000000000003</v>
      </c>
      <c r="F174" s="273">
        <f t="shared" si="18"/>
        <v>2.75</v>
      </c>
      <c r="G174" s="273">
        <f t="shared" si="18"/>
        <v>14</v>
      </c>
      <c r="H174" s="273">
        <f t="shared" si="18"/>
        <v>10</v>
      </c>
      <c r="I174" s="273">
        <f t="shared" si="18"/>
        <v>20</v>
      </c>
      <c r="J174" s="273">
        <f t="shared" si="18"/>
        <v>17.5</v>
      </c>
      <c r="K174" s="273">
        <f t="shared" si="18"/>
        <v>32</v>
      </c>
      <c r="L174" s="273">
        <f t="shared" si="18"/>
        <v>30</v>
      </c>
      <c r="M174" s="285"/>
    </row>
    <row r="175" spans="2:27" s="273" customFormat="1" ht="17.25" customHeight="1">
      <c r="B175" s="282" t="s">
        <v>270</v>
      </c>
      <c r="D175" s="273">
        <f>+D174</f>
        <v>1</v>
      </c>
      <c r="E175" s="273">
        <f t="shared" ref="E175:L175" si="19">+E174+D175</f>
        <v>3.8000000000000003</v>
      </c>
      <c r="F175" s="273">
        <f t="shared" si="19"/>
        <v>6.5500000000000007</v>
      </c>
      <c r="G175" s="273">
        <f t="shared" si="19"/>
        <v>20.55</v>
      </c>
      <c r="H175" s="273">
        <f t="shared" si="19"/>
        <v>30.55</v>
      </c>
      <c r="I175" s="273">
        <f t="shared" si="19"/>
        <v>50.55</v>
      </c>
      <c r="J175" s="273">
        <f t="shared" si="19"/>
        <v>68.05</v>
      </c>
      <c r="K175" s="273">
        <f t="shared" si="19"/>
        <v>100.05</v>
      </c>
      <c r="L175" s="273">
        <f t="shared" si="19"/>
        <v>130.05000000000001</v>
      </c>
      <c r="M175" s="285"/>
    </row>
    <row r="176" spans="2:27" s="273" customFormat="1" ht="18" customHeight="1">
      <c r="B176" s="286"/>
      <c r="C176" s="287"/>
      <c r="D176" s="287">
        <f>+IF(D171&lt;=D172,D171*D173,0)</f>
        <v>0</v>
      </c>
      <c r="E176" s="287">
        <f>+IF(AND(D171&lt;=E172,D171&gt;D172),D175+(D171-D172)*E173,0)</f>
        <v>0</v>
      </c>
      <c r="F176" s="287">
        <f>+IF(AND(D171&lt;=F172,D171&gt;E172),E175+(D171-E172)*F173,0)</f>
        <v>0</v>
      </c>
      <c r="G176" s="287">
        <f>+IF(AND(D171&lt;=G172,D171&gt;F172),F175+(D171-F172)*G173,0)</f>
        <v>18.330643385757867</v>
      </c>
      <c r="H176" s="287">
        <f>+IF(AND(D171&lt;=H172,D171&gt;G172),G175+(D171-G172)*H173,0)</f>
        <v>0</v>
      </c>
      <c r="I176" s="287">
        <f>+IF(AND(D171&lt;=I172,D171&gt;H172),I175+(D171-I172)*I173,0)</f>
        <v>0</v>
      </c>
      <c r="J176" s="287">
        <f>+IF(AND(D171&lt;=J172,D171&gt;I172),J175+(D171-J172)*J173,0)</f>
        <v>0</v>
      </c>
      <c r="K176" s="287">
        <f>+IF(AND(D171&lt;=K172,D171&gt;J172),K175+(D171-K172)*K173,0)</f>
        <v>0</v>
      </c>
      <c r="L176" s="287">
        <f>+IF(AND(D171&lt;=L172,D171&gt;K172),L175+(D171-L172)*L173,0)</f>
        <v>0</v>
      </c>
      <c r="M176" s="288">
        <f>IF(D171&gt;L172,L175+(D171-L172)*M173,0)</f>
        <v>0</v>
      </c>
    </row>
    <row r="177" spans="2:27" s="273" customFormat="1" ht="18" customHeight="1"/>
    <row r="178" spans="2:27" s="273" customFormat="1" ht="18" customHeight="1">
      <c r="B178" s="290" t="s">
        <v>273</v>
      </c>
    </row>
    <row r="179" spans="2:27" s="291" customFormat="1" ht="20.25" customHeight="1">
      <c r="B179" s="291" t="s">
        <v>274</v>
      </c>
      <c r="E179" s="291">
        <f>SUM(D185:J185)</f>
        <v>1</v>
      </c>
    </row>
    <row r="180" spans="2:27" s="291" customFormat="1" ht="20.25" customHeight="1">
      <c r="B180" s="291" t="s">
        <v>275</v>
      </c>
      <c r="D180" s="278">
        <f>+'江苏省工程总表 '!E9</f>
        <v>40.068000000000005</v>
      </c>
    </row>
    <row r="181" spans="2:27" s="291" customFormat="1" ht="20.25" customHeight="1">
      <c r="B181" s="292"/>
      <c r="C181" s="293"/>
      <c r="D181" s="293"/>
      <c r="E181" s="293"/>
      <c r="F181" s="293">
        <v>50</v>
      </c>
      <c r="G181" s="293">
        <v>400</v>
      </c>
      <c r="H181" s="293">
        <v>1000</v>
      </c>
      <c r="I181" s="293">
        <v>5000</v>
      </c>
      <c r="J181" s="293">
        <v>10000</v>
      </c>
      <c r="K181" s="293">
        <v>100000</v>
      </c>
      <c r="L181" s="293">
        <v>500000</v>
      </c>
      <c r="M181" s="294">
        <v>100000000</v>
      </c>
      <c r="Z181" s="173" t="s">
        <v>231</v>
      </c>
      <c r="AA181" s="161">
        <f>IF(D180&lt;F181,F183,LOOKUP(0,0/(B185:Z185&lt;&gt;0),A184:V184)&amp;"+("&amp;ROUND(D180,2)&amp;"-"&amp;LOOKUP(0,0/(B185:Z185&lt;&gt;0),A181:V181)&amp;")*"&amp;LOOKUP(0,0/(B185:Z185&lt;&gt;0),B182:Z182)*100&amp;"%")</f>
        <v>1</v>
      </c>
    </row>
    <row r="182" spans="2:27" s="291" customFormat="1" ht="20.25" customHeight="1">
      <c r="B182" s="295" t="s">
        <v>268</v>
      </c>
      <c r="F182" s="296">
        <v>0.02</v>
      </c>
      <c r="G182" s="296">
        <v>1.4999999999999999E-2</v>
      </c>
      <c r="H182" s="296">
        <v>1.0999999999999999E-2</v>
      </c>
      <c r="I182" s="296">
        <v>8.0000000000000002E-3</v>
      </c>
      <c r="J182" s="296">
        <v>2.5000000000000001E-3</v>
      </c>
      <c r="K182" s="296">
        <v>5.0000000000000001E-4</v>
      </c>
      <c r="L182" s="296">
        <v>1E-4</v>
      </c>
      <c r="M182" s="297">
        <v>5.0000000000000002E-5</v>
      </c>
    </row>
    <row r="183" spans="2:27" s="291" customFormat="1" ht="20.25" customHeight="1">
      <c r="B183" s="295" t="s">
        <v>269</v>
      </c>
      <c r="F183" s="291">
        <f>(F181-E181)*F182</f>
        <v>1</v>
      </c>
      <c r="G183" s="291">
        <f>(G181-F181)*G182</f>
        <v>5.25</v>
      </c>
      <c r="H183" s="291">
        <f>(H181-G181)*H182</f>
        <v>6.6</v>
      </c>
      <c r="I183" s="291">
        <f t="shared" ref="I183:L183" si="20">(I181-H181)*I182</f>
        <v>32</v>
      </c>
      <c r="J183" s="291">
        <f t="shared" si="20"/>
        <v>12.5</v>
      </c>
      <c r="K183" s="291">
        <f t="shared" si="20"/>
        <v>45</v>
      </c>
      <c r="L183" s="291">
        <f t="shared" si="20"/>
        <v>40</v>
      </c>
      <c r="M183" s="298"/>
    </row>
    <row r="184" spans="2:27" s="291" customFormat="1" ht="20.25" customHeight="1">
      <c r="B184" s="295" t="s">
        <v>270</v>
      </c>
      <c r="F184" s="291">
        <v>1</v>
      </c>
      <c r="G184" s="291">
        <f>+G183+F184</f>
        <v>6.25</v>
      </c>
      <c r="H184" s="291">
        <f t="shared" ref="H184:L184" si="21">+H183+G184</f>
        <v>12.85</v>
      </c>
      <c r="I184" s="291">
        <f>+I183+H184</f>
        <v>44.85</v>
      </c>
      <c r="J184" s="291">
        <f t="shared" si="21"/>
        <v>57.35</v>
      </c>
      <c r="K184" s="291">
        <f t="shared" si="21"/>
        <v>102.35</v>
      </c>
      <c r="L184" s="291">
        <f t="shared" si="21"/>
        <v>142.35</v>
      </c>
      <c r="M184" s="298"/>
    </row>
    <row r="185" spans="2:27" s="291" customFormat="1" ht="20.25" customHeight="1">
      <c r="B185" s="299"/>
      <c r="C185" s="300"/>
      <c r="D185" s="300"/>
      <c r="E185" s="300"/>
      <c r="F185" s="300">
        <f>+IF(D180&lt;=F181,F183,0)</f>
        <v>1</v>
      </c>
      <c r="G185" s="300">
        <f>+IF(AND(D180&lt;=G181,D180&gt;F181),F184+(D180-F181)*G182,0)</f>
        <v>0</v>
      </c>
      <c r="H185" s="300">
        <f>+IF(AND(D180&lt;=H181,D180&gt;G181),G184+(D180-G181)*H182,0)</f>
        <v>0</v>
      </c>
      <c r="I185" s="287">
        <f>+IF(AND(D180&lt;=I181,D180&gt;H181),I184+(D180-I181)*I182,0)</f>
        <v>0</v>
      </c>
      <c r="J185" s="287">
        <f>+IF(AND(D180&lt;=J181,D180&gt;I181),J184+(D180-J181)*J182,0)</f>
        <v>0</v>
      </c>
      <c r="K185" s="287">
        <f>+IF(AND(D180&lt;=K181,D180&gt;J181),K184+(D180-K181)*K182,0)</f>
        <v>0</v>
      </c>
      <c r="L185" s="287">
        <f>+IF(AND(D180&lt;=L181,D180&gt;K181),L184+(D180-L181)*L182,0)</f>
        <v>0</v>
      </c>
      <c r="M185" s="288">
        <f>IF(D180&gt;L181,L184+(D180-L181)*M182,0)</f>
        <v>0</v>
      </c>
    </row>
    <row r="186" spans="2:27" s="291" customFormat="1" ht="20.25" customHeight="1"/>
    <row r="187" spans="2:27" s="291" customFormat="1">
      <c r="B187" s="291" t="s">
        <v>276</v>
      </c>
      <c r="E187" s="291">
        <f>SUM(D193:J193)</f>
        <v>5.1217273275099364</v>
      </c>
    </row>
    <row r="188" spans="2:27" s="291" customFormat="1" ht="16.2">
      <c r="B188" s="292" t="s">
        <v>275</v>
      </c>
      <c r="C188" s="293"/>
      <c r="D188" s="301">
        <f>'江苏省工程总表 '!H21+'江苏省工程总表 '!H45+'江苏省工程总表 '!H47+'江苏省工程总表 '!H48+'江苏省工程总表 '!H49+'江苏省工程总表 '!H50</f>
        <v>324.78182183399576</v>
      </c>
      <c r="E188" s="293"/>
      <c r="F188" s="293"/>
      <c r="G188" s="293"/>
      <c r="H188" s="293"/>
      <c r="I188" s="293"/>
      <c r="J188" s="293"/>
      <c r="K188" s="293"/>
      <c r="L188" s="293"/>
      <c r="M188" s="294"/>
    </row>
    <row r="189" spans="2:27" s="291" customFormat="1">
      <c r="B189" s="295"/>
      <c r="F189" s="291">
        <v>50</v>
      </c>
      <c r="G189" s="291">
        <v>400</v>
      </c>
      <c r="H189" s="291">
        <v>1000</v>
      </c>
      <c r="I189" s="291">
        <v>5000</v>
      </c>
      <c r="J189" s="291">
        <v>10000</v>
      </c>
      <c r="K189" s="291">
        <v>100000</v>
      </c>
      <c r="L189" s="291">
        <v>500000</v>
      </c>
      <c r="M189" s="298">
        <v>100000000</v>
      </c>
      <c r="Z189" s="173" t="s">
        <v>231</v>
      </c>
      <c r="AA189" s="161" t="str">
        <f>IF(D188&lt;F189,1,LOOKUP(0,0/(B193:Z193&lt;&gt;0),A192:V192)&amp;"+("&amp;ROUND(D188,2)&amp;"-"&amp;LOOKUP(0,0/(B193:Z193&lt;&gt;0),A189:V189)&amp;")*"&amp;LOOKUP(0,0/(B193:Z193&lt;&gt;0),B190:Z190)*100&amp;"%")</f>
        <v>1+(324.78-50)*1.5%</v>
      </c>
    </row>
    <row r="190" spans="2:27" s="291" customFormat="1">
      <c r="B190" s="295" t="s">
        <v>268</v>
      </c>
      <c r="F190" s="296">
        <v>0.02</v>
      </c>
      <c r="G190" s="296">
        <v>1.4999999999999999E-2</v>
      </c>
      <c r="H190" s="296">
        <v>8.9999999999999993E-3</v>
      </c>
      <c r="I190" s="296">
        <v>4.4999999999999997E-3</v>
      </c>
      <c r="J190" s="296">
        <v>1.5E-3</v>
      </c>
      <c r="K190" s="296">
        <v>5.0000000000000001E-4</v>
      </c>
      <c r="L190" s="296">
        <v>1E-4</v>
      </c>
      <c r="M190" s="297">
        <v>5.0000000000000002E-5</v>
      </c>
    </row>
    <row r="191" spans="2:27" s="291" customFormat="1">
      <c r="B191" s="295" t="s">
        <v>269</v>
      </c>
      <c r="F191" s="291">
        <f>(F189-E189)*F190</f>
        <v>1</v>
      </c>
      <c r="G191" s="291">
        <f>(G189-F189)*G190</f>
        <v>5.25</v>
      </c>
      <c r="H191" s="291">
        <f t="shared" ref="H191:L191" si="22">(H189-G189)*H190</f>
        <v>5.3999999999999995</v>
      </c>
      <c r="I191" s="291">
        <f t="shared" si="22"/>
        <v>18</v>
      </c>
      <c r="J191" s="291">
        <f t="shared" si="22"/>
        <v>7.5</v>
      </c>
      <c r="K191" s="291">
        <f t="shared" si="22"/>
        <v>45</v>
      </c>
      <c r="L191" s="291">
        <f t="shared" si="22"/>
        <v>40</v>
      </c>
      <c r="M191" s="298"/>
    </row>
    <row r="192" spans="2:27" s="291" customFormat="1">
      <c r="B192" s="295" t="s">
        <v>270</v>
      </c>
      <c r="F192" s="291">
        <v>1</v>
      </c>
      <c r="G192" s="291">
        <f t="shared" ref="G192:L192" si="23">+G191+F192</f>
        <v>6.25</v>
      </c>
      <c r="H192" s="291">
        <f t="shared" si="23"/>
        <v>11.649999999999999</v>
      </c>
      <c r="I192" s="291">
        <f t="shared" si="23"/>
        <v>29.65</v>
      </c>
      <c r="J192" s="291">
        <f t="shared" si="23"/>
        <v>37.15</v>
      </c>
      <c r="K192" s="291">
        <f t="shared" si="23"/>
        <v>82.15</v>
      </c>
      <c r="L192" s="291">
        <f t="shared" si="23"/>
        <v>122.15</v>
      </c>
      <c r="M192" s="298"/>
    </row>
    <row r="193" spans="2:27" s="291" customFormat="1" ht="16.2">
      <c r="B193" s="299"/>
      <c r="C193" s="300"/>
      <c r="D193" s="300"/>
      <c r="E193" s="300"/>
      <c r="F193" s="300">
        <f>+IF(D188&lt;=F189,F191,0)</f>
        <v>0</v>
      </c>
      <c r="G193" s="300">
        <f>+IF(AND(D188&lt;=G189,D188&gt;F189),F192+(D188-F189)*G190,0)</f>
        <v>5.1217273275099364</v>
      </c>
      <c r="H193" s="300">
        <f>+IF(AND(D188&lt;=H189,D188&gt;G189),G192+(D188-G189)*H190,0)</f>
        <v>0</v>
      </c>
      <c r="I193" s="287">
        <f>+IF(AND(D188&lt;=I189,D188&gt;H189),I192+(D188-I189)*I190,0)</f>
        <v>0</v>
      </c>
      <c r="J193" s="287">
        <f>+IF(AND(D188&lt;=J189,D188&gt;I189),J192+(D188-J189)*J190,0)</f>
        <v>0</v>
      </c>
      <c r="K193" s="287">
        <f>+IF(AND(D188&lt;=K189,D188&gt;J189),K192+(D188-K189)*K190,0)</f>
        <v>0</v>
      </c>
      <c r="L193" s="287">
        <f>+IF(AND(D188&lt;=L189,D188&gt;K189),L192+(D188-L189)*L190,0)</f>
        <v>0</v>
      </c>
      <c r="M193" s="288">
        <f>IF(D188&gt;L189,L192+(D188-L189)*M190,0)</f>
        <v>0</v>
      </c>
    </row>
    <row r="194" spans="2:27" s="291" customFormat="1"/>
    <row r="195" spans="2:27" s="291" customFormat="1">
      <c r="B195" s="291" t="s">
        <v>277</v>
      </c>
      <c r="E195" s="291">
        <f>SUM(D201:J201)</f>
        <v>29.562439606190932</v>
      </c>
    </row>
    <row r="196" spans="2:27" s="291" customFormat="1" ht="16.2">
      <c r="B196" s="292" t="s">
        <v>275</v>
      </c>
      <c r="C196" s="293"/>
      <c r="D196" s="301">
        <f>+'江苏省工程总表 '!C9+'江苏省工程总表 '!D9</f>
        <v>4365.8981102165335</v>
      </c>
      <c r="E196" s="293"/>
      <c r="F196" s="293"/>
      <c r="G196" s="293"/>
      <c r="H196" s="293"/>
      <c r="I196" s="293"/>
      <c r="J196" s="293"/>
      <c r="K196" s="293"/>
      <c r="L196" s="293"/>
      <c r="M196" s="294"/>
    </row>
    <row r="197" spans="2:27" s="291" customFormat="1">
      <c r="B197" s="295"/>
      <c r="F197" s="291">
        <v>50</v>
      </c>
      <c r="G197" s="291">
        <v>400</v>
      </c>
      <c r="H197" s="291">
        <v>1000</v>
      </c>
      <c r="I197" s="291">
        <v>5000</v>
      </c>
      <c r="J197" s="291">
        <v>10000</v>
      </c>
      <c r="K197" s="291">
        <v>100000</v>
      </c>
      <c r="L197" s="291">
        <v>500000</v>
      </c>
      <c r="M197" s="298">
        <v>100000000</v>
      </c>
      <c r="Z197" s="173" t="s">
        <v>231</v>
      </c>
      <c r="AA197" s="161" t="str">
        <f>IF(D196&lt;F197,F199,LOOKUP(0,0/(B201:Z201&lt;&gt;0),A200:V200)&amp;"+("&amp;ROUND(D196,2)&amp;"-"&amp;LOOKUP(0,0/(B201:Z201&lt;&gt;0),A197:V197)&amp;")*"&amp;LOOKUP(0,0/(B201:Z201&lt;&gt;0),B198:Z198)*100&amp;"%")</f>
        <v>11.05+(4365.9-1000)*0.55%</v>
      </c>
    </row>
    <row r="198" spans="2:27" s="291" customFormat="1">
      <c r="B198" s="295" t="s">
        <v>268</v>
      </c>
      <c r="F198" s="296">
        <v>0.02</v>
      </c>
      <c r="G198" s="296">
        <v>1.4999999999999999E-2</v>
      </c>
      <c r="H198" s="296">
        <v>8.0000000000000002E-3</v>
      </c>
      <c r="I198" s="296">
        <v>5.4999999999999997E-3</v>
      </c>
      <c r="J198" s="296">
        <v>2E-3</v>
      </c>
      <c r="K198" s="296">
        <v>5.0000000000000001E-4</v>
      </c>
      <c r="L198" s="296">
        <v>1E-4</v>
      </c>
      <c r="M198" s="297">
        <v>5.0000000000000002E-5</v>
      </c>
    </row>
    <row r="199" spans="2:27" s="291" customFormat="1">
      <c r="B199" s="295" t="s">
        <v>269</v>
      </c>
      <c r="F199" s="291">
        <f t="shared" ref="F199:L199" si="24">(F197-E197)*F198</f>
        <v>1</v>
      </c>
      <c r="G199" s="291">
        <f t="shared" si="24"/>
        <v>5.25</v>
      </c>
      <c r="H199" s="291">
        <f t="shared" si="24"/>
        <v>4.8</v>
      </c>
      <c r="I199" s="291">
        <f t="shared" si="24"/>
        <v>22</v>
      </c>
      <c r="J199" s="291">
        <f t="shared" si="24"/>
        <v>10</v>
      </c>
      <c r="K199" s="291">
        <f t="shared" si="24"/>
        <v>45</v>
      </c>
      <c r="L199" s="291">
        <f t="shared" si="24"/>
        <v>40</v>
      </c>
      <c r="M199" s="298"/>
    </row>
    <row r="200" spans="2:27" s="291" customFormat="1">
      <c r="B200" s="295" t="s">
        <v>270</v>
      </c>
      <c r="F200" s="291">
        <v>1</v>
      </c>
      <c r="G200" s="291">
        <f t="shared" ref="G200:L200" si="25">+G199+F200</f>
        <v>6.25</v>
      </c>
      <c r="H200" s="291">
        <f t="shared" si="25"/>
        <v>11.05</v>
      </c>
      <c r="I200" s="291">
        <f t="shared" si="25"/>
        <v>33.049999999999997</v>
      </c>
      <c r="J200" s="291">
        <f t="shared" si="25"/>
        <v>43.05</v>
      </c>
      <c r="K200" s="291">
        <f t="shared" si="25"/>
        <v>88.05</v>
      </c>
      <c r="L200" s="291">
        <f t="shared" si="25"/>
        <v>128.05000000000001</v>
      </c>
      <c r="M200" s="298"/>
    </row>
    <row r="201" spans="2:27" s="291" customFormat="1" ht="16.2">
      <c r="B201" s="299"/>
      <c r="C201" s="300"/>
      <c r="D201" s="300"/>
      <c r="E201" s="300"/>
      <c r="F201" s="300">
        <f>+IF(D196&lt;=F197,F199,0)</f>
        <v>0</v>
      </c>
      <c r="G201" s="300">
        <f>+IF(AND(D196&lt;=G197,D196&gt;F197),F200+(D196-F197)*G198,0)</f>
        <v>0</v>
      </c>
      <c r="H201" s="300">
        <f>+IF(AND(D196&lt;=H197,D196&gt;G197),G200+(D196-G197)*H198,0)</f>
        <v>0</v>
      </c>
      <c r="I201" s="287">
        <f>+IF(AND(D196&lt;=I197,D196&gt;H197),I200+(D196-I197)*I198,0)</f>
        <v>29.562439606190932</v>
      </c>
      <c r="J201" s="287">
        <f>+IF(AND(D196&lt;=J197,D196&gt;I197),J200+(D196-J197)*J198,0)</f>
        <v>0</v>
      </c>
      <c r="K201" s="287">
        <f>+IF(AND(D196&lt;=K197,D196&gt;J197),K200+(D196-K197)*K198,0)</f>
        <v>0</v>
      </c>
      <c r="L201" s="287">
        <f>+IF(AND(D196&lt;=L197,D196&gt;K197),L200+(D196-L197)*L198,0)</f>
        <v>0</v>
      </c>
      <c r="M201" s="288">
        <f>IF(D196&gt;L197,L200+(D196-L197)*M198,0)</f>
        <v>0</v>
      </c>
    </row>
    <row r="202" spans="2:27" s="291" customFormat="1"/>
    <row r="203" spans="2:27" s="273" customFormat="1" ht="18" customHeight="1">
      <c r="C203" s="291"/>
    </row>
    <row r="204" spans="2:27">
      <c r="B204" s="290" t="s">
        <v>278</v>
      </c>
      <c r="C204" s="291"/>
    </row>
    <row r="205" spans="2:27">
      <c r="B205" s="162" t="s">
        <v>279</v>
      </c>
      <c r="C205" s="163"/>
      <c r="D205" s="164">
        <f ca="1">SUM(D211:I211)*G205</f>
        <v>3.5169054708071985</v>
      </c>
      <c r="E205" s="164"/>
      <c r="F205" s="302" t="s">
        <v>280</v>
      </c>
      <c r="G205" s="303">
        <v>0.8</v>
      </c>
      <c r="H205" s="163"/>
      <c r="I205" s="166"/>
    </row>
    <row r="206" spans="2:27">
      <c r="B206" s="167" t="s">
        <v>281</v>
      </c>
      <c r="D206" s="168">
        <f ca="1">'江苏省工程总表 '!H121</f>
        <v>5992.2636770179961</v>
      </c>
      <c r="E206" s="169"/>
      <c r="F206" s="169"/>
      <c r="G206" s="169"/>
      <c r="H206" s="169"/>
      <c r="I206" s="170"/>
    </row>
    <row r="207" spans="2:27">
      <c r="B207" s="171"/>
      <c r="C207" s="172">
        <v>0</v>
      </c>
      <c r="D207" s="169">
        <v>500</v>
      </c>
      <c r="E207" s="169">
        <v>1000</v>
      </c>
      <c r="F207" s="169">
        <v>5000</v>
      </c>
      <c r="G207" s="169">
        <v>10000</v>
      </c>
      <c r="H207" s="169">
        <v>50000</v>
      </c>
      <c r="I207" s="170" t="s">
        <v>282</v>
      </c>
      <c r="Z207" s="173" t="s">
        <v>227</v>
      </c>
      <c r="AA207" s="161" t="str">
        <f t="array" aca="1" ref="AA207" ca="1">"("&amp;LOOKUP(0,0/(B211:Z211&lt;&gt;0),A210:U210)&amp;"+("&amp;ROUND(D206,2)&amp;"-"&amp;LOOKUP(0,0/(B211:Z211&lt;&gt;0),A207:U207)&amp;")*"&amp;LOOKUP(0,0/(B211:Z211&lt;&gt;0),B208:Z208)*100&amp;"%）*"&amp;G205</f>
        <v>(3.9+(5992.26-5000)*0.05%）*0.8</v>
      </c>
    </row>
    <row r="208" spans="2:27">
      <c r="B208" s="174" t="s">
        <v>211</v>
      </c>
      <c r="C208" s="172"/>
      <c r="D208" s="175">
        <v>1.1999999999999999E-3</v>
      </c>
      <c r="E208" s="175">
        <v>1E-3</v>
      </c>
      <c r="F208" s="175">
        <v>6.9999999999999999E-4</v>
      </c>
      <c r="G208" s="175">
        <v>5.0000000000000001E-4</v>
      </c>
      <c r="H208" s="175">
        <v>4.0000000000000002E-4</v>
      </c>
      <c r="I208" s="176">
        <v>2.0000000000000001E-4</v>
      </c>
    </row>
    <row r="209" spans="2:27">
      <c r="B209" s="174" t="s">
        <v>212</v>
      </c>
      <c r="C209" s="172"/>
      <c r="D209" s="177">
        <f>D207*D208</f>
        <v>0.6</v>
      </c>
      <c r="E209" s="177">
        <f>(E207-D207)*E208</f>
        <v>0.5</v>
      </c>
      <c r="F209" s="177">
        <f>(F207-E207)*F208</f>
        <v>2.8</v>
      </c>
      <c r="G209" s="177">
        <f>(G207-F207)*G208</f>
        <v>2.5</v>
      </c>
      <c r="H209" s="177">
        <f>(H207-G207)*H208</f>
        <v>16</v>
      </c>
      <c r="I209" s="170"/>
    </row>
    <row r="210" spans="2:27">
      <c r="B210" s="174" t="s">
        <v>213</v>
      </c>
      <c r="C210" s="172">
        <v>0</v>
      </c>
      <c r="D210" s="177">
        <f>+D209</f>
        <v>0.6</v>
      </c>
      <c r="E210" s="177">
        <f>+E209+D210</f>
        <v>1.1000000000000001</v>
      </c>
      <c r="F210" s="177">
        <f>+F209+E210</f>
        <v>3.9</v>
      </c>
      <c r="G210" s="177">
        <f>+G209+F210</f>
        <v>6.4</v>
      </c>
      <c r="H210" s="177">
        <f>+H209+G210</f>
        <v>22.4</v>
      </c>
      <c r="I210" s="170"/>
    </row>
    <row r="211" spans="2:27">
      <c r="B211" s="178" t="s">
        <v>214</v>
      </c>
      <c r="C211" s="179"/>
      <c r="D211" s="180">
        <f ca="1">+IF(D206&lt;=D207,D206*D208,0)</f>
        <v>0</v>
      </c>
      <c r="E211" s="180">
        <f ca="1">+IF(AND(D206&lt;=E207,D206&gt;D207),D210+(D206-D207)*E208,0)</f>
        <v>0</v>
      </c>
      <c r="F211" s="180">
        <f ca="1">+IF(AND(D206&lt;=F207,D206&gt;E207),E210+(D206-E207)*F208,0)</f>
        <v>0</v>
      </c>
      <c r="G211" s="180">
        <f ca="1">+IF(AND(D206&lt;=G207,D206&gt;F207),F210+(D206-F207)*G208,0)</f>
        <v>4.3961318385089978</v>
      </c>
      <c r="H211" s="180">
        <f ca="1">+IF(AND(D206&lt;=H207,D206&gt;G207),G210+(D206-G207)*H208,0)</f>
        <v>0</v>
      </c>
      <c r="I211" s="304">
        <f ca="1">+IF(D206&gt;H207,H210+(D206-H207)*I208,0)</f>
        <v>0</v>
      </c>
    </row>
    <row r="213" spans="2:27">
      <c r="B213" s="162" t="s">
        <v>283</v>
      </c>
      <c r="C213" s="163"/>
      <c r="D213" s="164">
        <f ca="1">SUM(D219:I219)*G213</f>
        <v>5.3144298474529572</v>
      </c>
      <c r="E213" s="164"/>
      <c r="F213" s="302" t="s">
        <v>284</v>
      </c>
      <c r="G213" s="303">
        <v>0.8</v>
      </c>
      <c r="H213" s="163"/>
      <c r="I213" s="166"/>
    </row>
    <row r="214" spans="2:27">
      <c r="B214" s="167" t="s">
        <v>285</v>
      </c>
      <c r="D214" s="168">
        <f ca="1">'江苏省工程总表 '!H121</f>
        <v>5992.2636770179961</v>
      </c>
      <c r="E214" s="169"/>
      <c r="F214" s="169"/>
      <c r="G214" s="169"/>
      <c r="H214" s="169"/>
      <c r="I214" s="170"/>
    </row>
    <row r="215" spans="2:27">
      <c r="B215" s="171"/>
      <c r="C215" s="172">
        <v>0</v>
      </c>
      <c r="D215" s="169">
        <v>500</v>
      </c>
      <c r="E215" s="169">
        <v>1000</v>
      </c>
      <c r="F215" s="169">
        <v>5000</v>
      </c>
      <c r="G215" s="169">
        <v>10000</v>
      </c>
      <c r="H215" s="169">
        <v>50000</v>
      </c>
      <c r="I215" s="170" t="s">
        <v>282</v>
      </c>
      <c r="Z215" s="173" t="s">
        <v>227</v>
      </c>
      <c r="AA215" s="161" t="str">
        <f t="array" aca="1" ref="AA215" ca="1">"("&amp;LOOKUP(0,0/(B219:Z219&lt;&gt;0),A218:U218)&amp;"+("&amp;ROUND(D214,2)&amp;"-"&amp;LOOKUP(0,0/(B219:Z219&lt;&gt;0),A215:U215)&amp;")*"&amp;LOOKUP(0,0/(B219:Z219&lt;&gt;0),B216:Z216)*100&amp;"%）*"&amp;G213</f>
        <v>(5.75+(5992.26-5000)*0.09%）*0.8</v>
      </c>
    </row>
    <row r="216" spans="2:27">
      <c r="B216" s="174" t="s">
        <v>211</v>
      </c>
      <c r="C216" s="172"/>
      <c r="D216" s="175">
        <v>1.5E-3</v>
      </c>
      <c r="E216" s="175">
        <v>1.1999999999999999E-3</v>
      </c>
      <c r="F216" s="175">
        <v>1.1000000000000001E-3</v>
      </c>
      <c r="G216" s="175">
        <v>8.9999999999999998E-4</v>
      </c>
      <c r="H216" s="175">
        <v>6.9999999999999999E-4</v>
      </c>
      <c r="I216" s="176">
        <v>5.9999999999999995E-4</v>
      </c>
    </row>
    <row r="217" spans="2:27">
      <c r="B217" s="174" t="s">
        <v>212</v>
      </c>
      <c r="C217" s="172"/>
      <c r="D217" s="177">
        <f>D215*D216</f>
        <v>0.75</v>
      </c>
      <c r="E217" s="177">
        <f>(E215-D215)*E216</f>
        <v>0.6</v>
      </c>
      <c r="F217" s="177">
        <f>(F215-E215)*F216</f>
        <v>4.4000000000000004</v>
      </c>
      <c r="G217" s="177">
        <f>(G215-F215)*G216</f>
        <v>4.5</v>
      </c>
      <c r="H217" s="177">
        <f>(H215-G215)*H216</f>
        <v>28</v>
      </c>
      <c r="I217" s="170"/>
    </row>
    <row r="218" spans="2:27">
      <c r="B218" s="174" t="s">
        <v>213</v>
      </c>
      <c r="C218" s="172">
        <v>0</v>
      </c>
      <c r="D218" s="177">
        <f>+D217</f>
        <v>0.75</v>
      </c>
      <c r="E218" s="177">
        <f>+E217+D218</f>
        <v>1.35</v>
      </c>
      <c r="F218" s="177">
        <f>+F217+E218</f>
        <v>5.75</v>
      </c>
      <c r="G218" s="177">
        <f>+G217+F218</f>
        <v>10.25</v>
      </c>
      <c r="H218" s="177">
        <f>+H217+G218</f>
        <v>38.25</v>
      </c>
      <c r="I218" s="170"/>
    </row>
    <row r="219" spans="2:27">
      <c r="B219" s="178" t="s">
        <v>214</v>
      </c>
      <c r="C219" s="179"/>
      <c r="D219" s="180">
        <f ca="1">+IF(D214&lt;=D215,D214*D216,0)</f>
        <v>0</v>
      </c>
      <c r="E219" s="180">
        <f ca="1">+IF(AND(D214&lt;=E215,D214&gt;D215),D218+(D214-D215)*E216,0)</f>
        <v>0</v>
      </c>
      <c r="F219" s="180">
        <f ca="1">+IF(AND(D214&lt;=F215,D214&gt;E215),E218+(D214-E215)*F216,0)</f>
        <v>0</v>
      </c>
      <c r="G219" s="180">
        <f ca="1">+IF(AND(D214&lt;=G215,D214&gt;F215),F218+(D214-F215)*G216,0)</f>
        <v>6.6430373093161963</v>
      </c>
      <c r="H219" s="180">
        <f ca="1">+IF(AND(D214&lt;=H215,D214&gt;G215),G218+(D214-G215)*H216,0)</f>
        <v>0</v>
      </c>
      <c r="I219" s="304">
        <f ca="1">+IF(D214&gt;H215,H218+(D214-H215)*I216,0)</f>
        <v>0</v>
      </c>
    </row>
    <row r="221" spans="2:27" ht="24">
      <c r="B221" s="305" t="s">
        <v>286</v>
      </c>
      <c r="C221" s="163"/>
      <c r="D221" s="164">
        <f>SUM(D227:I227)*G221</f>
        <v>12.936705108606294</v>
      </c>
      <c r="E221" s="164"/>
      <c r="F221" s="302" t="s">
        <v>284</v>
      </c>
      <c r="G221" s="303">
        <v>0.8</v>
      </c>
      <c r="H221" s="163"/>
      <c r="I221" s="166"/>
    </row>
    <row r="222" spans="2:27">
      <c r="B222" s="167" t="s">
        <v>285</v>
      </c>
      <c r="D222" s="168">
        <f>+'江苏省工程总表 '!H9</f>
        <v>4405.9661102165337</v>
      </c>
      <c r="E222" s="169"/>
      <c r="F222" s="169"/>
      <c r="G222" s="169"/>
      <c r="H222" s="169"/>
      <c r="I222" s="170"/>
    </row>
    <row r="223" spans="2:27">
      <c r="B223" s="171"/>
      <c r="C223" s="172">
        <v>0</v>
      </c>
      <c r="D223" s="169">
        <v>500</v>
      </c>
      <c r="E223" s="169">
        <v>1000</v>
      </c>
      <c r="F223" s="169">
        <v>5000</v>
      </c>
      <c r="G223" s="169">
        <v>10000</v>
      </c>
      <c r="H223" s="169">
        <v>50000</v>
      </c>
      <c r="I223" s="170" t="s">
        <v>282</v>
      </c>
      <c r="Z223" s="173" t="s">
        <v>227</v>
      </c>
      <c r="AA223" s="161" t="str">
        <f t="array" ref="AA223">"("&amp;LOOKUP(0,0/(B227:Z227&lt;&gt;0),A226:U226)&amp;"+("&amp;ROUND(D222,2)&amp;"-"&amp;LOOKUP(0,0/(B227:Z227&lt;&gt;0),A223:U223)&amp;")*"&amp;LOOKUP(0,0/(B227:Z227&lt;&gt;0),B224:Z224)*100&amp;"%）*"&amp;G221</f>
        <v>(4.25+(4405.97-1000)*0.35%）*0.8</v>
      </c>
    </row>
    <row r="224" spans="2:27">
      <c r="B224" s="174" t="s">
        <v>211</v>
      </c>
      <c r="C224" s="172"/>
      <c r="D224" s="175">
        <v>4.4999999999999997E-3</v>
      </c>
      <c r="E224" s="175">
        <v>4.0000000000000001E-3</v>
      </c>
      <c r="F224" s="175">
        <v>3.5000000000000001E-3</v>
      </c>
      <c r="G224" s="175">
        <v>2.8E-3</v>
      </c>
      <c r="H224" s="175">
        <v>2.3999999999999998E-3</v>
      </c>
      <c r="I224" s="176">
        <v>1.9E-3</v>
      </c>
    </row>
    <row r="225" spans="2:27">
      <c r="B225" s="174" t="s">
        <v>212</v>
      </c>
      <c r="C225" s="172"/>
      <c r="D225" s="177">
        <f>D223*D224</f>
        <v>2.25</v>
      </c>
      <c r="E225" s="177">
        <f>(E223-D223)*E224</f>
        <v>2</v>
      </c>
      <c r="F225" s="177">
        <f>(F223-E223)*F224</f>
        <v>14</v>
      </c>
      <c r="G225" s="177">
        <f>(G223-F223)*G224</f>
        <v>14</v>
      </c>
      <c r="H225" s="177">
        <f>(H223-G223)*H224</f>
        <v>95.999999999999986</v>
      </c>
      <c r="I225" s="170"/>
    </row>
    <row r="226" spans="2:27">
      <c r="B226" s="174" t="s">
        <v>213</v>
      </c>
      <c r="C226" s="172">
        <v>0</v>
      </c>
      <c r="D226" s="177">
        <f>+D225</f>
        <v>2.25</v>
      </c>
      <c r="E226" s="177">
        <f>+E225+D226</f>
        <v>4.25</v>
      </c>
      <c r="F226" s="177">
        <f>+F225+E226</f>
        <v>18.25</v>
      </c>
      <c r="G226" s="177">
        <f>+G225+F226</f>
        <v>32.25</v>
      </c>
      <c r="H226" s="177">
        <f>+H225+G226</f>
        <v>128.25</v>
      </c>
      <c r="I226" s="170"/>
    </row>
    <row r="227" spans="2:27">
      <c r="B227" s="178" t="s">
        <v>214</v>
      </c>
      <c r="C227" s="179"/>
      <c r="D227" s="180">
        <f>+IF(D222&lt;=D223,D222*D224,0)</f>
        <v>0</v>
      </c>
      <c r="E227" s="180">
        <f>+IF(AND(D222&lt;=E223,D222&gt;D223),D226+(D222-D223)*E224,0)</f>
        <v>0</v>
      </c>
      <c r="F227" s="180">
        <f>+IF(AND(D222&lt;=F223,D222&gt;E223),E226+(D222-E223)*F224,0)</f>
        <v>16.170881385757866</v>
      </c>
      <c r="G227" s="180">
        <f>+IF(AND(D222&lt;=G223,D222&gt;F223),F226+(D222-F223)*G224,0)</f>
        <v>0</v>
      </c>
      <c r="H227" s="180">
        <f>+IF(AND(D222&lt;=H223,D222&gt;G223),G226+(D222-G223)*H224,0)</f>
        <v>0</v>
      </c>
      <c r="I227" s="304">
        <f>+IF(D222&gt;H223,H226+(D222-H223)*I224,0)</f>
        <v>0</v>
      </c>
    </row>
    <row r="229" spans="2:27">
      <c r="B229" s="162" t="s">
        <v>287</v>
      </c>
      <c r="C229" s="163"/>
      <c r="D229" s="164">
        <f>SUM(D235:I235)*G229</f>
        <v>7.0245911987118079</v>
      </c>
      <c r="E229" s="164"/>
      <c r="F229" s="302" t="s">
        <v>284</v>
      </c>
      <c r="G229" s="303">
        <v>0.8</v>
      </c>
      <c r="H229" s="163"/>
      <c r="I229" s="166"/>
    </row>
    <row r="230" spans="2:27">
      <c r="B230" s="167" t="s">
        <v>285</v>
      </c>
      <c r="D230" s="168">
        <f>+'江苏省工程总表 '!H9</f>
        <v>4405.9661102165337</v>
      </c>
      <c r="E230" s="169"/>
      <c r="F230" s="169"/>
      <c r="G230" s="169"/>
      <c r="H230" s="169"/>
      <c r="I230" s="170"/>
    </row>
    <row r="231" spans="2:27">
      <c r="B231" s="171"/>
      <c r="C231" s="172">
        <v>0</v>
      </c>
      <c r="D231" s="169">
        <v>500</v>
      </c>
      <c r="E231" s="169">
        <v>1000</v>
      </c>
      <c r="F231" s="169">
        <v>5000</v>
      </c>
      <c r="G231" s="169">
        <v>10000</v>
      </c>
      <c r="H231" s="169">
        <v>50000</v>
      </c>
      <c r="I231" s="170" t="s">
        <v>288</v>
      </c>
      <c r="Z231" s="173" t="s">
        <v>231</v>
      </c>
      <c r="AA231" s="161" t="str">
        <f t="array" ref="AA231">"("&amp;LOOKUP(0,0/(B235:Z235&lt;&gt;0),A234:U234)&amp;"+("&amp;ROUND(D230,2)&amp;"-"&amp;LOOKUP(0,0/(B235:Z235&lt;&gt;0),A231:U231)&amp;")*"&amp;LOOKUP(0,0/(B235:Z235&lt;&gt;0),B232:Z232)*100&amp;"%）*"&amp;G229</f>
        <v>(2.65+(4405.97-1000)*0.18%）*0.8</v>
      </c>
    </row>
    <row r="232" spans="2:27">
      <c r="B232" s="174" t="s">
        <v>211</v>
      </c>
      <c r="C232" s="172"/>
      <c r="D232" s="175">
        <v>3.0000000000000001E-3</v>
      </c>
      <c r="E232" s="175">
        <v>2.3E-3</v>
      </c>
      <c r="F232" s="175">
        <v>1.8E-3</v>
      </c>
      <c r="G232" s="175">
        <v>1.5E-3</v>
      </c>
      <c r="H232" s="175">
        <v>1.1999999999999999E-3</v>
      </c>
      <c r="I232" s="176">
        <v>8.0000000000000004E-4</v>
      </c>
    </row>
    <row r="233" spans="2:27">
      <c r="B233" s="174" t="s">
        <v>212</v>
      </c>
      <c r="C233" s="172"/>
      <c r="D233" s="177">
        <f>D231*D232</f>
        <v>1.5</v>
      </c>
      <c r="E233" s="177">
        <f>(E231-D231)*E232</f>
        <v>1.1499999999999999</v>
      </c>
      <c r="F233" s="177">
        <f>(F231-E231)*F232</f>
        <v>7.2</v>
      </c>
      <c r="G233" s="177">
        <f>(G231-F231)*G232</f>
        <v>7.5</v>
      </c>
      <c r="H233" s="177">
        <f>(H231-G231)*H232</f>
        <v>47.999999999999993</v>
      </c>
      <c r="I233" s="170"/>
    </row>
    <row r="234" spans="2:27">
      <c r="B234" s="174" t="s">
        <v>213</v>
      </c>
      <c r="C234" s="172">
        <v>0</v>
      </c>
      <c r="D234" s="177">
        <f>+D233</f>
        <v>1.5</v>
      </c>
      <c r="E234" s="177">
        <f>+E233+D234</f>
        <v>2.65</v>
      </c>
      <c r="F234" s="177">
        <f>+F233+E234</f>
        <v>9.85</v>
      </c>
      <c r="G234" s="177">
        <f>+G233+F234</f>
        <v>17.350000000000001</v>
      </c>
      <c r="H234" s="177">
        <f>+H233+G234</f>
        <v>65.349999999999994</v>
      </c>
      <c r="I234" s="170"/>
    </row>
    <row r="235" spans="2:27">
      <c r="B235" s="178" t="s">
        <v>214</v>
      </c>
      <c r="C235" s="179"/>
      <c r="D235" s="180">
        <f>+IF(D230&lt;=D231,D230*D232,0)</f>
        <v>0</v>
      </c>
      <c r="E235" s="180">
        <f>+IF(AND(D230&lt;=E231,D230&gt;D231),D234+(D230-D231)*E232,0)</f>
        <v>0</v>
      </c>
      <c r="F235" s="180">
        <f>+IF(AND(D230&lt;=F231,D230&gt;E231),E234+(D230-E231)*F232,0)</f>
        <v>8.7807389983897597</v>
      </c>
      <c r="G235" s="180">
        <f>+IF(AND(D230&lt;=G231,D230&gt;F231),F234+(D230-F231)*G232,0)</f>
        <v>0</v>
      </c>
      <c r="H235" s="180">
        <f>+IF(AND(D230&lt;=H231,D230&gt;G231),G234+(D230-G231)*H232,0)</f>
        <v>0</v>
      </c>
      <c r="I235" s="304">
        <f>+IF(D230&gt;H231,H234+(D230-H231)*I232,0)</f>
        <v>0</v>
      </c>
    </row>
    <row r="237" spans="2:27">
      <c r="B237" s="162" t="s">
        <v>289</v>
      </c>
      <c r="C237" s="163"/>
      <c r="D237" s="164">
        <f>SUM(D243:I243)*G237</f>
        <v>4.8622047546251954</v>
      </c>
      <c r="E237" s="164"/>
      <c r="F237" s="302" t="s">
        <v>284</v>
      </c>
      <c r="G237" s="303">
        <v>0.8</v>
      </c>
      <c r="H237" s="163"/>
      <c r="I237" s="166"/>
    </row>
    <row r="238" spans="2:27">
      <c r="B238" s="167" t="s">
        <v>290</v>
      </c>
      <c r="D238" s="168">
        <f>+'江苏省工程总表 '!H9</f>
        <v>4405.9661102165337</v>
      </c>
      <c r="E238" s="169"/>
      <c r="F238" s="169"/>
      <c r="G238" s="169"/>
      <c r="H238" s="169"/>
      <c r="I238" s="170"/>
    </row>
    <row r="239" spans="2:27">
      <c r="B239" s="171"/>
      <c r="C239" s="172">
        <v>0</v>
      </c>
      <c r="D239" s="169">
        <v>500</v>
      </c>
      <c r="E239" s="169">
        <v>1000</v>
      </c>
      <c r="F239" s="169">
        <v>5000</v>
      </c>
      <c r="G239" s="169">
        <v>10000</v>
      </c>
      <c r="H239" s="169">
        <v>50000</v>
      </c>
      <c r="I239" s="170" t="s">
        <v>282</v>
      </c>
      <c r="Z239" s="173" t="s">
        <v>227</v>
      </c>
      <c r="AA239" s="161" t="str">
        <f>"("&amp;LOOKUP(0,0/(B243:Z243&lt;&gt;0),A242:U242)&amp;"+("&amp;ROUND(D238,2)&amp;"-"&amp;LOOKUP(0,0/(B243:Z243&lt;&gt;0),A239:U239)&amp;")*"&amp;LOOKUP(0,0/(B243:Z243&lt;&gt;0),B240:Z240)*100&amp;"%）*"&amp;G237</f>
        <v>(1.65+(4405.97-1000)*0.13%）*0.8</v>
      </c>
    </row>
    <row r="240" spans="2:27">
      <c r="B240" s="174" t="s">
        <v>211</v>
      </c>
      <c r="C240" s="172"/>
      <c r="D240" s="175">
        <v>1.8E-3</v>
      </c>
      <c r="E240" s="175">
        <v>1.5E-3</v>
      </c>
      <c r="F240" s="175">
        <v>1.2999999999999999E-3</v>
      </c>
      <c r="G240" s="175">
        <v>1.1000000000000001E-3</v>
      </c>
      <c r="H240" s="175">
        <v>8.9999999999999998E-4</v>
      </c>
      <c r="I240" s="176">
        <v>6.9999999999999999E-4</v>
      </c>
    </row>
    <row r="241" spans="1:27">
      <c r="B241" s="174" t="s">
        <v>212</v>
      </c>
      <c r="C241" s="172"/>
      <c r="D241" s="177">
        <f>D239*D240</f>
        <v>0.9</v>
      </c>
      <c r="E241" s="177">
        <f>(E239-D239)*E240</f>
        <v>0.75</v>
      </c>
      <c r="F241" s="177">
        <f>(F239-E239)*F240</f>
        <v>5.2</v>
      </c>
      <c r="G241" s="177">
        <f>(G239-F239)*G240</f>
        <v>5.5</v>
      </c>
      <c r="H241" s="177">
        <f>(H239-G239)*H240</f>
        <v>36</v>
      </c>
      <c r="I241" s="170"/>
    </row>
    <row r="242" spans="1:27">
      <c r="B242" s="174" t="s">
        <v>213</v>
      </c>
      <c r="C242" s="172">
        <v>0</v>
      </c>
      <c r="D242" s="177">
        <f>+D241</f>
        <v>0.9</v>
      </c>
      <c r="E242" s="177">
        <f>+E241+D242</f>
        <v>1.65</v>
      </c>
      <c r="F242" s="177">
        <f>+F241+E242</f>
        <v>6.85</v>
      </c>
      <c r="G242" s="177">
        <f>+G241+F242</f>
        <v>12.35</v>
      </c>
      <c r="H242" s="177">
        <f>+H241+G242</f>
        <v>48.35</v>
      </c>
      <c r="I242" s="170"/>
    </row>
    <row r="243" spans="1:27">
      <c r="B243" s="178" t="s">
        <v>214</v>
      </c>
      <c r="C243" s="179"/>
      <c r="D243" s="180">
        <f>+IF(D238&lt;=D239,D238*D240,0)</f>
        <v>0</v>
      </c>
      <c r="E243" s="180">
        <f>+IF(AND(D238&lt;=E239,D238&gt;D239),D242+(D238-D239)*E240,0)</f>
        <v>0</v>
      </c>
      <c r="F243" s="180">
        <f>+IF(AND(D238&lt;=F239,D238&gt;E239),E242+(D238-E239)*F240,0)</f>
        <v>6.0777559432814936</v>
      </c>
      <c r="G243" s="180">
        <f>+IF(AND(D238&lt;=G239,D238&gt;F239),F242+(D238-F239)*G240,0)</f>
        <v>0</v>
      </c>
      <c r="H243" s="180">
        <f>+IF(AND(D238&lt;=H239,D238&gt;G239),G242+(D238-G239)*H240,0)</f>
        <v>0</v>
      </c>
      <c r="I243" s="304">
        <f>+IF(D238&gt;H239,H242+(D238-H239)*I240,0)</f>
        <v>0</v>
      </c>
    </row>
    <row r="245" spans="1:27">
      <c r="B245" s="162" t="s">
        <v>291</v>
      </c>
      <c r="C245" s="163"/>
      <c r="D245" s="164">
        <f>SUM(D251:H251)*G245</f>
        <v>38.447728881732274</v>
      </c>
      <c r="E245" s="164"/>
      <c r="F245" s="302" t="s">
        <v>284</v>
      </c>
      <c r="G245" s="303">
        <v>0.8</v>
      </c>
      <c r="H245" s="163"/>
      <c r="I245" s="166"/>
    </row>
    <row r="246" spans="1:27">
      <c r="B246" s="167" t="s">
        <v>292</v>
      </c>
      <c r="D246" s="168">
        <f>+'江苏省工程总表 '!H9</f>
        <v>4405.9661102165337</v>
      </c>
      <c r="E246" s="169"/>
      <c r="F246" s="169"/>
      <c r="G246" s="169"/>
      <c r="H246" s="169"/>
      <c r="I246" s="170"/>
    </row>
    <row r="247" spans="1:27">
      <c r="B247" s="171"/>
      <c r="C247" s="172">
        <v>0</v>
      </c>
      <c r="D247" s="169">
        <v>500</v>
      </c>
      <c r="E247" s="169">
        <v>1000</v>
      </c>
      <c r="F247" s="169">
        <v>5000</v>
      </c>
      <c r="G247" s="169">
        <v>10000</v>
      </c>
      <c r="H247" s="169">
        <v>50000</v>
      </c>
      <c r="I247" s="170" t="s">
        <v>282</v>
      </c>
      <c r="K247" s="161">
        <v>15</v>
      </c>
      <c r="L247" s="161">
        <v>13</v>
      </c>
      <c r="M247" s="161">
        <v>10</v>
      </c>
      <c r="N247" s="161">
        <v>7</v>
      </c>
      <c r="O247" s="161">
        <v>6</v>
      </c>
      <c r="P247" s="161">
        <v>5</v>
      </c>
      <c r="Z247" s="173" t="s">
        <v>227</v>
      </c>
      <c r="AA247" s="161" t="str">
        <f>"("&amp;LOOKUP(0,0/(B251:Z251&lt;&gt;0),A250:U250)&amp;"+("&amp;ROUND(D246,2)&amp;"-"&amp;LOOKUP(0,0/(B251:Z251&lt;&gt;0),A247:U247)&amp;")*"&amp;LOOKUP(0,0/(B251:Z251&lt;&gt;0),B248:Z248)*100&amp;"%）*"&amp;G245</f>
        <v>(14+(4405.97-1000)*1%）*0.8</v>
      </c>
    </row>
    <row r="248" spans="1:27">
      <c r="B248" s="174" t="s">
        <v>211</v>
      </c>
      <c r="C248" s="172"/>
      <c r="D248" s="175">
        <v>1.4999999999999999E-2</v>
      </c>
      <c r="E248" s="175">
        <v>1.2999999999999999E-2</v>
      </c>
      <c r="F248" s="175">
        <v>0.01</v>
      </c>
      <c r="G248" s="175">
        <v>7.0000000000000001E-3</v>
      </c>
      <c r="H248" s="175">
        <v>6.0000000000000001E-3</v>
      </c>
      <c r="I248" s="176">
        <v>5.0000000000000001E-3</v>
      </c>
      <c r="K248" s="161">
        <f>K247/10</f>
        <v>1.5</v>
      </c>
      <c r="L248" s="161">
        <f t="shared" ref="L248:P248" si="26">L247/10</f>
        <v>1.3</v>
      </c>
      <c r="M248" s="161">
        <f t="shared" si="26"/>
        <v>1</v>
      </c>
      <c r="N248" s="161">
        <f t="shared" si="26"/>
        <v>0.7</v>
      </c>
      <c r="O248" s="161">
        <f t="shared" si="26"/>
        <v>0.6</v>
      </c>
      <c r="P248" s="161">
        <f t="shared" si="26"/>
        <v>0.5</v>
      </c>
    </row>
    <row r="249" spans="1:27">
      <c r="B249" s="174" t="s">
        <v>212</v>
      </c>
      <c r="C249" s="172"/>
      <c r="D249" s="177">
        <f>D247*D248</f>
        <v>7.5</v>
      </c>
      <c r="E249" s="177">
        <f>(E247-D247)*E248</f>
        <v>6.5</v>
      </c>
      <c r="F249" s="177">
        <f>(F247-E247)*F248</f>
        <v>40</v>
      </c>
      <c r="G249" s="177">
        <f>(G247-F247)*G248</f>
        <v>35</v>
      </c>
      <c r="H249" s="177">
        <f>(H247-G247)*H248</f>
        <v>240</v>
      </c>
      <c r="I249" s="170"/>
    </row>
    <row r="250" spans="1:27">
      <c r="B250" s="174" t="s">
        <v>213</v>
      </c>
      <c r="C250" s="172">
        <v>0</v>
      </c>
      <c r="D250" s="177">
        <f>+D249</f>
        <v>7.5</v>
      </c>
      <c r="E250" s="177">
        <f>+E249+D250</f>
        <v>14</v>
      </c>
      <c r="F250" s="177">
        <f>+F249+E250</f>
        <v>54</v>
      </c>
      <c r="G250" s="177">
        <f>+G249+F250</f>
        <v>89</v>
      </c>
      <c r="H250" s="177">
        <f>+H249+G250</f>
        <v>329</v>
      </c>
      <c r="I250" s="170"/>
    </row>
    <row r="251" spans="1:27">
      <c r="B251" s="178" t="s">
        <v>214</v>
      </c>
      <c r="C251" s="179"/>
      <c r="D251" s="180">
        <f>+IF(D246&lt;=D247,D246*D248,0)</f>
        <v>0</v>
      </c>
      <c r="E251" s="180">
        <f>+IF(AND(D246&lt;=E247,D246&gt;D247),D250+(D246-D247)*E248,0)</f>
        <v>0</v>
      </c>
      <c r="F251" s="180">
        <f>+IF(AND(D246&lt;=F247,D246&gt;E247),E250+(D246-E247)*F248,0)</f>
        <v>48.059661102165336</v>
      </c>
      <c r="G251" s="180">
        <f>+IF(AND(D246&lt;=G247,D246&gt;F247),F250+(D246-F247)*G248,0)</f>
        <v>0</v>
      </c>
      <c r="H251" s="180">
        <f>+IF(AND(D246&lt;=H247,D246&gt;G247),G250+(D246-G247)*H248,0)</f>
        <v>0</v>
      </c>
      <c r="I251" s="304">
        <f>+IF(D246&gt;H247,H250+(D246-H247)*I248,0)</f>
        <v>0</v>
      </c>
    </row>
    <row r="254" spans="1:27" s="221" customFormat="1">
      <c r="A254" s="221" t="s">
        <v>253</v>
      </c>
      <c r="B254" s="222" t="s">
        <v>293</v>
      </c>
      <c r="C254" s="306"/>
      <c r="D254" s="306"/>
      <c r="E254" s="223"/>
      <c r="F254" s="223"/>
      <c r="G254" s="224">
        <f ca="1">SUM(C260:L260)*I254</f>
        <v>8.7938109416143977</v>
      </c>
      <c r="H254" s="225" t="s">
        <v>224</v>
      </c>
      <c r="I254" s="226">
        <v>1</v>
      </c>
      <c r="J254" s="225"/>
      <c r="K254" s="226"/>
      <c r="L254" s="260"/>
    </row>
    <row r="255" spans="1:27" s="221" customFormat="1">
      <c r="B255" s="262" t="s">
        <v>255</v>
      </c>
      <c r="F255" s="307">
        <f ca="1">+'江苏省工程总表 '!H121</f>
        <v>5992.2636770179961</v>
      </c>
      <c r="G255" s="230"/>
      <c r="H255" s="230"/>
      <c r="I255" s="230"/>
      <c r="J255" s="230"/>
      <c r="K255" s="230"/>
      <c r="L255" s="265"/>
      <c r="Z255" s="233" t="s">
        <v>227</v>
      </c>
      <c r="AA255" s="221" t="str">
        <f t="array" aca="1" ref="AA255" ca="1">+IF(K260&lt;&gt;0,K260,"("&amp;LOOKUP(0,0/(B260:Z260&lt;&gt;0),A259:V259)&amp;"+("&amp;ROUND(F255,2)&amp;"-"&amp;LOOKUP(0,0/(B260:Z260&lt;&gt;0),A256:V256)&amp;")/("&amp;LOOKUP(0,0/(B260:Z260&lt;&gt;0),B256:Z256)&amp;"-"&amp;LOOKUP(0,0/(B260:Z260&lt;&gt;0),A256:V256)&amp;")*("&amp;LOOKUP(0,0/(B260:Z260&lt;&gt;0),B259:Z259)&amp;"-"&amp;LOOKUP(0,0/(B260:Z260&lt;&gt;0),A259:V259)&amp;"))")&amp;"*"&amp;I254</f>
        <v>(8+(5992.26-5000)/(10000-5000)*(12-8))*1</v>
      </c>
    </row>
    <row r="256" spans="1:27" s="221" customFormat="1">
      <c r="B256" s="234"/>
      <c r="C256" s="221">
        <v>0</v>
      </c>
      <c r="D256" s="221">
        <v>1000</v>
      </c>
      <c r="E256" s="221">
        <v>5000</v>
      </c>
      <c r="F256" s="230">
        <v>10000</v>
      </c>
      <c r="G256" s="230">
        <v>50000</v>
      </c>
      <c r="H256" s="230">
        <v>100000</v>
      </c>
      <c r="I256" s="230">
        <v>200000</v>
      </c>
      <c r="J256" s="230">
        <v>1000000</v>
      </c>
      <c r="K256" s="230"/>
      <c r="L256" s="265"/>
    </row>
    <row r="257" spans="1:27" s="221" customFormat="1">
      <c r="B257" s="236" t="s">
        <v>211</v>
      </c>
      <c r="C257" s="268"/>
      <c r="D257" s="268">
        <f t="shared" ref="D257:F257" si="27">D258/(D256-C256)</f>
        <v>2E-3</v>
      </c>
      <c r="E257" s="268">
        <f t="shared" si="27"/>
        <v>7.5000000000000002E-4</v>
      </c>
      <c r="F257" s="268">
        <f t="shared" si="27"/>
        <v>8.0000000000000004E-4</v>
      </c>
      <c r="G257" s="268">
        <f>G258/(G256-F256)</f>
        <v>1.4999999999999999E-4</v>
      </c>
      <c r="H257" s="268">
        <f>H258/(H256-G256)</f>
        <v>1E-4</v>
      </c>
      <c r="I257" s="268">
        <f>I258/(I256-H256)</f>
        <v>6.9999999999999994E-5</v>
      </c>
      <c r="J257" s="268">
        <f>J258/(J256-I256)</f>
        <v>2.5000000000000001E-5</v>
      </c>
      <c r="K257" s="268"/>
      <c r="L257" s="308"/>
    </row>
    <row r="258" spans="1:27" s="221" customFormat="1">
      <c r="B258" s="236" t="s">
        <v>241</v>
      </c>
      <c r="C258" s="221">
        <v>0.8</v>
      </c>
      <c r="D258" s="239">
        <f t="shared" ref="D258:F258" si="28">+D259-C259</f>
        <v>2</v>
      </c>
      <c r="E258" s="239">
        <f t="shared" si="28"/>
        <v>3</v>
      </c>
      <c r="F258" s="239">
        <f t="shared" si="28"/>
        <v>4</v>
      </c>
      <c r="G258" s="239">
        <f>+G259-F259</f>
        <v>6</v>
      </c>
      <c r="H258" s="239">
        <f>+H259-G259</f>
        <v>5</v>
      </c>
      <c r="I258" s="239">
        <f>+I259-H259</f>
        <v>7</v>
      </c>
      <c r="J258" s="239">
        <f>+J259-I259</f>
        <v>20</v>
      </c>
      <c r="K258" s="239"/>
      <c r="L258" s="265"/>
    </row>
    <row r="259" spans="1:27" s="221" customFormat="1">
      <c r="B259" s="236" t="s">
        <v>242</v>
      </c>
      <c r="C259" s="221">
        <v>3</v>
      </c>
      <c r="D259" s="221">
        <v>5</v>
      </c>
      <c r="E259" s="221">
        <v>8</v>
      </c>
      <c r="F259" s="239">
        <v>12</v>
      </c>
      <c r="G259" s="239">
        <v>18</v>
      </c>
      <c r="H259" s="239">
        <v>23</v>
      </c>
      <c r="I259" s="239">
        <v>30</v>
      </c>
      <c r="J259" s="239">
        <v>50</v>
      </c>
      <c r="K259" s="239">
        <v>50</v>
      </c>
      <c r="L259" s="265"/>
    </row>
    <row r="260" spans="1:27" s="221" customFormat="1">
      <c r="B260" s="243"/>
      <c r="C260" s="244"/>
      <c r="D260" s="244">
        <f t="shared" ref="D260:F260" ca="1" si="29">+IF(AND($F$53&lt;=D256,$F$53&gt;C256),C259+($F$53-C256)*D257,0)</f>
        <v>0</v>
      </c>
      <c r="E260" s="244">
        <f t="shared" ca="1" si="29"/>
        <v>0</v>
      </c>
      <c r="F260" s="244">
        <f t="shared" ca="1" si="29"/>
        <v>8.7938109416143977</v>
      </c>
      <c r="G260" s="244">
        <f ca="1">+IF(AND($F$53&lt;=G256,$F$53&gt;F256),F259+($F$53-F256)*G257,0)</f>
        <v>0</v>
      </c>
      <c r="H260" s="244">
        <f ca="1">+IF(AND(F255&lt;=H256,F255&gt;G256),G259+(F255-G256)*H257,0)</f>
        <v>0</v>
      </c>
      <c r="I260" s="244">
        <f ca="1">+IF(AND(F255&lt;=I256,F255&gt;H256),H259+(F255-H256)*I257,0)</f>
        <v>0</v>
      </c>
      <c r="J260" s="244">
        <f ca="1">+IF(AND(F255&lt;=J256,F255&gt;I256),I259+(F255-I256)*J257,0)</f>
        <v>0</v>
      </c>
      <c r="K260" s="244">
        <f ca="1">+IF(F255&gt;J256,K259,0)</f>
        <v>0</v>
      </c>
      <c r="L260" s="309"/>
    </row>
    <row r="261" spans="1:27" s="221" customFormat="1"/>
    <row r="262" spans="1:27" s="221" customFormat="1">
      <c r="A262" s="221" t="s">
        <v>253</v>
      </c>
      <c r="B262" s="222" t="s">
        <v>294</v>
      </c>
      <c r="C262" s="306"/>
      <c r="D262" s="306"/>
      <c r="E262" s="223"/>
      <c r="F262" s="223"/>
      <c r="G262" s="224">
        <f ca="1">SUM(C268:L268)*I262</f>
        <v>9.7938109416143977</v>
      </c>
      <c r="H262" s="225" t="s">
        <v>224</v>
      </c>
      <c r="I262" s="226">
        <v>1</v>
      </c>
      <c r="J262" s="225"/>
      <c r="K262" s="226"/>
      <c r="L262" s="260"/>
    </row>
    <row r="263" spans="1:27" s="221" customFormat="1">
      <c r="B263" s="262" t="s">
        <v>255</v>
      </c>
      <c r="F263" s="307">
        <f ca="1">+'江苏省工程总表 '!H121</f>
        <v>5992.2636770179961</v>
      </c>
      <c r="G263" s="230"/>
      <c r="H263" s="230"/>
      <c r="I263" s="230"/>
      <c r="J263" s="230"/>
      <c r="K263" s="230"/>
      <c r="L263" s="265"/>
      <c r="Z263" s="233" t="s">
        <v>210</v>
      </c>
      <c r="AA263" s="221" t="str">
        <f t="array" aca="1" ref="AA263" ca="1">+IF(K268&lt;&gt;0,K268,"("&amp;LOOKUP(0,0/(B268:Z268&lt;&gt;0),A267:V267)&amp;"+("&amp;ROUND(F263,2)&amp;"-"&amp;LOOKUP(0,0/(B268:Z268&lt;&gt;0),A264:V264)&amp;")/("&amp;LOOKUP(0,0/(B268:Z268&lt;&gt;0),B264:Z264)&amp;"-"&amp;LOOKUP(0,0/(B268:Z268&lt;&gt;0),A264:V264)&amp;")*("&amp;LOOKUP(0,0/(B268:Z268&lt;&gt;0),B267:Z267)&amp;"-"&amp;LOOKUP(0,0/(B268:Z268&lt;&gt;0),A267:V267)&amp;"))")&amp;"*"&amp;I262</f>
        <v>(9+(5992.26-5000)/(10000-5000)*(13-9))*1</v>
      </c>
    </row>
    <row r="264" spans="1:27" s="221" customFormat="1">
      <c r="B264" s="234"/>
      <c r="C264" s="221">
        <v>0</v>
      </c>
      <c r="D264" s="221">
        <v>1000</v>
      </c>
      <c r="E264" s="221">
        <v>5000</v>
      </c>
      <c r="F264" s="230">
        <v>10000</v>
      </c>
      <c r="G264" s="230">
        <v>50000</v>
      </c>
      <c r="H264" s="230">
        <v>100000</v>
      </c>
      <c r="I264" s="230">
        <v>200000</v>
      </c>
      <c r="J264" s="230">
        <v>1000000</v>
      </c>
      <c r="K264" s="230"/>
      <c r="L264" s="265"/>
    </row>
    <row r="265" spans="1:27" s="221" customFormat="1">
      <c r="B265" s="236" t="s">
        <v>211</v>
      </c>
      <c r="C265" s="268"/>
      <c r="D265" s="268">
        <f t="shared" ref="D265:F265" si="30">D266/(D264-C264)</f>
        <v>2E-3</v>
      </c>
      <c r="E265" s="268">
        <f t="shared" si="30"/>
        <v>7.5000000000000002E-4</v>
      </c>
      <c r="F265" s="268">
        <f t="shared" si="30"/>
        <v>8.0000000000000004E-4</v>
      </c>
      <c r="G265" s="268">
        <f>G266/(G264-F264)</f>
        <v>1.4999999999999999E-4</v>
      </c>
      <c r="H265" s="268">
        <f>H266/(H264-G264)</f>
        <v>1.2E-4</v>
      </c>
      <c r="I265" s="268">
        <f>I266/(I264-H264)</f>
        <v>1E-4</v>
      </c>
      <c r="J265" s="268">
        <f>J266/(J264-I264)</f>
        <v>3.1250000000000001E-5</v>
      </c>
      <c r="K265" s="268"/>
      <c r="L265" s="308"/>
    </row>
    <row r="266" spans="1:27" s="221" customFormat="1">
      <c r="B266" s="236" t="s">
        <v>241</v>
      </c>
      <c r="C266" s="221">
        <v>0.8</v>
      </c>
      <c r="D266" s="239">
        <f t="shared" ref="D266:F266" si="31">+D267-C267</f>
        <v>2</v>
      </c>
      <c r="E266" s="239">
        <f t="shared" si="31"/>
        <v>3</v>
      </c>
      <c r="F266" s="239">
        <f t="shared" si="31"/>
        <v>4</v>
      </c>
      <c r="G266" s="239">
        <f>+G267-F267</f>
        <v>6</v>
      </c>
      <c r="H266" s="239">
        <f>+H267-G267</f>
        <v>6</v>
      </c>
      <c r="I266" s="239">
        <f>+I267-H267</f>
        <v>10</v>
      </c>
      <c r="J266" s="239">
        <f>+J267-I267</f>
        <v>25</v>
      </c>
      <c r="K266" s="239"/>
      <c r="L266" s="265"/>
    </row>
    <row r="267" spans="1:27" s="221" customFormat="1">
      <c r="B267" s="236" t="s">
        <v>242</v>
      </c>
      <c r="C267" s="221">
        <v>4</v>
      </c>
      <c r="D267" s="221">
        <v>6</v>
      </c>
      <c r="E267" s="221">
        <v>9</v>
      </c>
      <c r="F267" s="239">
        <v>13</v>
      </c>
      <c r="G267" s="239">
        <v>19</v>
      </c>
      <c r="H267" s="239">
        <v>25</v>
      </c>
      <c r="I267" s="239">
        <v>35</v>
      </c>
      <c r="J267" s="239">
        <v>60</v>
      </c>
      <c r="K267" s="239">
        <v>60</v>
      </c>
      <c r="L267" s="265"/>
    </row>
    <row r="268" spans="1:27" s="221" customFormat="1">
      <c r="B268" s="243"/>
      <c r="C268" s="244"/>
      <c r="D268" s="244">
        <f t="shared" ref="D268:F268" ca="1" si="32">+IF(AND($F$53&lt;=D264,$F$53&gt;C264),C267+($F$53-C264)*D265,0)</f>
        <v>0</v>
      </c>
      <c r="E268" s="244">
        <f t="shared" ca="1" si="32"/>
        <v>0</v>
      </c>
      <c r="F268" s="244">
        <f t="shared" ca="1" si="32"/>
        <v>9.7938109416143977</v>
      </c>
      <c r="G268" s="244">
        <f ca="1">+IF(AND($F$53&lt;=G264,$F$53&gt;F264),F267+($F$53-F264)*G265,0)</f>
        <v>0</v>
      </c>
      <c r="H268" s="244">
        <f ca="1">+IF(AND(F263&lt;=H264,F263&gt;G264),G267+(F263-G264)*H265,0)</f>
        <v>0</v>
      </c>
      <c r="I268" s="244">
        <f ca="1">+IF(AND(F263&lt;=I264,F263&gt;H264),H267+(F263-H264)*I265,0)</f>
        <v>0</v>
      </c>
      <c r="J268" s="244">
        <f ca="1">+IF(AND(F263&lt;=J264,F263&gt;I264),I267+(F263-I264)*J265,0)</f>
        <v>0</v>
      </c>
      <c r="K268" s="244">
        <f ca="1">+IF(F263&gt;J264,K267,0)</f>
        <v>0</v>
      </c>
      <c r="L268" s="309"/>
    </row>
    <row r="269" spans="1:27" s="310" customFormat="1">
      <c r="B269" s="311"/>
      <c r="C269" s="312"/>
      <c r="D269" s="312"/>
      <c r="E269" s="312"/>
      <c r="F269" s="312"/>
      <c r="G269" s="312"/>
      <c r="H269" s="312"/>
      <c r="I269" s="312"/>
      <c r="J269" s="312"/>
      <c r="K269" s="312"/>
      <c r="L269" s="313"/>
    </row>
    <row r="270" spans="1:27">
      <c r="B270" s="314" t="s">
        <v>295</v>
      </c>
      <c r="G270" s="161" t="s">
        <v>296</v>
      </c>
      <c r="H270" s="161" t="s">
        <v>297</v>
      </c>
    </row>
    <row r="271" spans="1:27">
      <c r="B271" s="204" t="s">
        <v>298</v>
      </c>
      <c r="C271" s="165"/>
      <c r="D271" s="205"/>
      <c r="E271" s="205"/>
      <c r="F271" s="206">
        <f>SUM(D277:Y277)*H271</f>
        <v>25.964221893474203</v>
      </c>
      <c r="G271" s="207" t="s">
        <v>225</v>
      </c>
      <c r="H271" s="208">
        <v>1</v>
      </c>
      <c r="I271" s="207"/>
      <c r="J271" s="208"/>
      <c r="K271" s="207"/>
      <c r="L271" s="208"/>
      <c r="M271" s="205"/>
      <c r="N271" s="205"/>
      <c r="O271" s="205"/>
      <c r="P271" s="205"/>
      <c r="Q271" s="205"/>
      <c r="R271" s="205"/>
      <c r="S271" s="205"/>
      <c r="T271" s="205"/>
      <c r="U271" s="205"/>
      <c r="V271" s="205"/>
      <c r="W271" s="188"/>
    </row>
    <row r="272" spans="1:27">
      <c r="B272" s="167" t="s">
        <v>299</v>
      </c>
      <c r="E272" s="248">
        <f>+'江苏省工程总表 '!C9</f>
        <v>4327.3703155790336</v>
      </c>
      <c r="F272" s="212"/>
      <c r="G272" s="212"/>
      <c r="H272" s="212"/>
      <c r="I272" s="212"/>
      <c r="J272" s="212"/>
      <c r="K272" s="212"/>
      <c r="L272" s="3"/>
      <c r="M272" s="3"/>
      <c r="N272" s="3"/>
      <c r="O272" s="3"/>
      <c r="P272" s="3"/>
      <c r="Q272" s="3"/>
      <c r="R272" s="3"/>
      <c r="S272" s="3"/>
      <c r="T272" s="3"/>
      <c r="U272" s="3"/>
      <c r="V272" s="3"/>
      <c r="W272" s="191"/>
      <c r="Z272" s="173" t="s">
        <v>300</v>
      </c>
      <c r="AA272" s="161" t="str">
        <f t="array" ref="AA272">+IF(Y277&lt;&gt;0,Y277,"("&amp;LOOKUP(0,0/(B277:Z277&lt;&gt;0),A276:Y276)&amp;"+("&amp;ROUND(E272,2)&amp;"-"&amp;LOOKUP(0,0/(B277:Z277&lt;&gt;0),A273:Y273)&amp;")/("&amp;LOOKUP(0,0/(B277:Z277&lt;&gt;0),B273:Z273)&amp;"-"&amp;LOOKUP(0,0/(B277:Z277&lt;&gt;0),A273:Y273)&amp;")*("&amp;LOOKUP(0,0/(B277:Z277&lt;&gt;0),B276:Z276)&amp;"-"&amp;LOOKUP(0,0/(B277:Z277&lt;&gt;0),A276:Y276)&amp;"))")&amp;"*"&amp;H271</f>
        <v>(0+(4327.37-0)/(5000-0)*(30-0))*1</v>
      </c>
    </row>
    <row r="273" spans="2:27">
      <c r="B273" s="214"/>
      <c r="C273" s="161">
        <v>0</v>
      </c>
      <c r="D273" s="161">
        <v>5000</v>
      </c>
      <c r="E273" s="212">
        <v>10000</v>
      </c>
      <c r="F273" s="212">
        <v>20000</v>
      </c>
      <c r="G273" s="212">
        <v>30000</v>
      </c>
      <c r="H273" s="212">
        <v>40000</v>
      </c>
      <c r="I273" s="212">
        <v>50000</v>
      </c>
      <c r="J273" s="212">
        <v>60000</v>
      </c>
      <c r="K273" s="212">
        <v>70000</v>
      </c>
      <c r="L273" s="3">
        <v>80000</v>
      </c>
      <c r="M273" s="3">
        <v>90000</v>
      </c>
      <c r="N273" s="3">
        <v>100000</v>
      </c>
      <c r="O273" s="3">
        <v>110000</v>
      </c>
      <c r="P273" s="3">
        <v>120000</v>
      </c>
      <c r="Q273" s="3">
        <v>130000</v>
      </c>
      <c r="R273" s="3">
        <v>140000</v>
      </c>
      <c r="S273" s="3">
        <v>150000</v>
      </c>
      <c r="T273" s="3">
        <v>160000</v>
      </c>
      <c r="U273" s="3">
        <v>170000</v>
      </c>
      <c r="V273" s="3">
        <v>180000</v>
      </c>
      <c r="W273" s="3">
        <v>190000</v>
      </c>
      <c r="X273" s="3">
        <v>2000000</v>
      </c>
      <c r="Y273" s="249" t="s">
        <v>301</v>
      </c>
    </row>
    <row r="274" spans="2:27">
      <c r="B274" s="215" t="s">
        <v>211</v>
      </c>
      <c r="D274" s="193">
        <f>D275/(D273-A273)</f>
        <v>6.0000000000000001E-3</v>
      </c>
      <c r="E274" s="193">
        <f>E275/(E273-B273)</f>
        <v>2.2000000000000001E-3</v>
      </c>
      <c r="F274" s="193">
        <f t="shared" ref="F274:X274" si="33">F275/(F273-E273)</f>
        <v>2E-3</v>
      </c>
      <c r="G274" s="193">
        <f t="shared" si="33"/>
        <v>1E-3</v>
      </c>
      <c r="H274" s="193">
        <f t="shared" si="33"/>
        <v>1.2999999999999999E-3</v>
      </c>
      <c r="I274" s="193">
        <f t="shared" si="33"/>
        <v>8.9999999999999998E-4</v>
      </c>
      <c r="J274" s="193">
        <f t="shared" si="33"/>
        <v>1.1999999999999999E-3</v>
      </c>
      <c r="K274" s="193">
        <f t="shared" si="33"/>
        <v>2.9999999999999997E-4</v>
      </c>
      <c r="L274" s="193">
        <f t="shared" si="33"/>
        <v>1.2999999999999999E-3</v>
      </c>
      <c r="M274" s="193">
        <f t="shared" si="33"/>
        <v>2.3999999999999998E-3</v>
      </c>
      <c r="N274" s="193">
        <f t="shared" si="33"/>
        <v>1.5E-3</v>
      </c>
      <c r="O274" s="193">
        <f t="shared" si="33"/>
        <v>1.4E-3</v>
      </c>
      <c r="P274" s="193">
        <f t="shared" si="33"/>
        <v>1.5E-3</v>
      </c>
      <c r="Q274" s="193">
        <f t="shared" si="33"/>
        <v>2E-3</v>
      </c>
      <c r="R274" s="193">
        <f t="shared" si="33"/>
        <v>1E-3</v>
      </c>
      <c r="S274" s="193">
        <f t="shared" si="33"/>
        <v>1.5E-3</v>
      </c>
      <c r="T274" s="193">
        <f t="shared" si="33"/>
        <v>1.4E-3</v>
      </c>
      <c r="U274" s="193">
        <f t="shared" si="33"/>
        <v>1.1000000000000001E-3</v>
      </c>
      <c r="V274" s="193">
        <f t="shared" si="33"/>
        <v>2E-3</v>
      </c>
      <c r="W274" s="193">
        <f t="shared" si="33"/>
        <v>3.0000000000000001E-3</v>
      </c>
      <c r="X274" s="193">
        <f t="shared" si="33"/>
        <v>1.6574585635359117E-5</v>
      </c>
      <c r="Y274" s="250"/>
    </row>
    <row r="275" spans="2:27">
      <c r="B275" s="215" t="s">
        <v>228</v>
      </c>
      <c r="C275" s="161">
        <v>0</v>
      </c>
      <c r="D275" s="315">
        <f>+D276</f>
        <v>30</v>
      </c>
      <c r="E275" s="195">
        <f t="shared" ref="E275:X275" si="34">+E276-D276</f>
        <v>22</v>
      </c>
      <c r="F275" s="195">
        <f t="shared" si="34"/>
        <v>20</v>
      </c>
      <c r="G275" s="195">
        <f t="shared" si="34"/>
        <v>10</v>
      </c>
      <c r="H275" s="195">
        <f t="shared" si="34"/>
        <v>13</v>
      </c>
      <c r="I275" s="195">
        <f t="shared" si="34"/>
        <v>9</v>
      </c>
      <c r="J275" s="195">
        <f t="shared" si="34"/>
        <v>12</v>
      </c>
      <c r="K275" s="195">
        <f t="shared" si="34"/>
        <v>3</v>
      </c>
      <c r="L275" s="195">
        <f t="shared" si="34"/>
        <v>13</v>
      </c>
      <c r="M275" s="195">
        <f t="shared" si="34"/>
        <v>24</v>
      </c>
      <c r="N275" s="195">
        <f t="shared" si="34"/>
        <v>15</v>
      </c>
      <c r="O275" s="195">
        <f t="shared" si="34"/>
        <v>14</v>
      </c>
      <c r="P275" s="195">
        <f t="shared" si="34"/>
        <v>15</v>
      </c>
      <c r="Q275" s="195">
        <f t="shared" si="34"/>
        <v>20</v>
      </c>
      <c r="R275" s="195">
        <f t="shared" si="34"/>
        <v>10</v>
      </c>
      <c r="S275" s="195">
        <f t="shared" si="34"/>
        <v>15</v>
      </c>
      <c r="T275" s="195">
        <f t="shared" si="34"/>
        <v>14</v>
      </c>
      <c r="U275" s="195">
        <f t="shared" si="34"/>
        <v>11</v>
      </c>
      <c r="V275" s="195">
        <f t="shared" si="34"/>
        <v>20</v>
      </c>
      <c r="W275" s="195">
        <f t="shared" si="34"/>
        <v>30</v>
      </c>
      <c r="X275" s="195">
        <f t="shared" si="34"/>
        <v>30</v>
      </c>
      <c r="Y275" s="251"/>
    </row>
    <row r="276" spans="2:27">
      <c r="B276" s="215" t="s">
        <v>229</v>
      </c>
      <c r="C276" s="161">
        <v>0</v>
      </c>
      <c r="D276" s="195">
        <v>30</v>
      </c>
      <c r="E276" s="195">
        <v>52</v>
      </c>
      <c r="F276" s="195">
        <v>72</v>
      </c>
      <c r="G276" s="195">
        <v>82</v>
      </c>
      <c r="H276" s="195">
        <v>95</v>
      </c>
      <c r="I276" s="195">
        <v>104</v>
      </c>
      <c r="J276" s="195">
        <v>116</v>
      </c>
      <c r="K276" s="252">
        <v>119</v>
      </c>
      <c r="L276" s="252">
        <v>132</v>
      </c>
      <c r="M276" s="252">
        <v>156</v>
      </c>
      <c r="N276" s="252">
        <v>171</v>
      </c>
      <c r="O276" s="252">
        <v>185</v>
      </c>
      <c r="P276" s="252">
        <v>200</v>
      </c>
      <c r="Q276" s="252">
        <v>220</v>
      </c>
      <c r="R276" s="252">
        <v>230</v>
      </c>
      <c r="S276" s="252">
        <v>245</v>
      </c>
      <c r="T276" s="252">
        <v>259</v>
      </c>
      <c r="U276" s="252">
        <v>270</v>
      </c>
      <c r="V276" s="252">
        <v>290</v>
      </c>
      <c r="W276" s="252">
        <v>320</v>
      </c>
      <c r="X276" s="252">
        <v>350</v>
      </c>
      <c r="Y276" s="253">
        <v>350</v>
      </c>
    </row>
    <row r="277" spans="2:27">
      <c r="B277" s="218"/>
      <c r="C277" s="219"/>
      <c r="D277" s="219">
        <f>+IF(E272&lt;=D273,E272*D274,0)</f>
        <v>25.964221893474203</v>
      </c>
      <c r="E277" s="219">
        <f>+IF(AND(E272&lt;=E273,E272&gt;D273),D276+(E272-D273)*E274,0)</f>
        <v>0</v>
      </c>
      <c r="F277" s="219">
        <f>+IF(AND(E272&lt;=F273,E272&gt;E273),E276+(E272-E273)*F274,0)</f>
        <v>0</v>
      </c>
      <c r="G277" s="219">
        <f>+IF(AND(E272&lt;=G273,E272&gt;F273),F276+(E272-F273)*G274,0)</f>
        <v>0</v>
      </c>
      <c r="H277" s="219">
        <f>+IF(AND(E272&lt;=H273,E272&gt;G273),G276+(E272-G273)*H274,0)</f>
        <v>0</v>
      </c>
      <c r="I277" s="219">
        <f>+IF(AND(E272&lt;=I273,E272&gt;H273),H276+(E272-H273)*I274,0)</f>
        <v>0</v>
      </c>
      <c r="J277" s="219">
        <f>+IF(AND(E272&lt;=J273,E272&gt;I273),I276+(E272-I273)*J274,0)</f>
        <v>0</v>
      </c>
      <c r="K277" s="219">
        <f>+IF(AND(E272&lt;=K273,E272&gt;J273),J276+(E272-J273)*K274,0)</f>
        <v>0</v>
      </c>
      <c r="L277" s="219">
        <f>+IF(AND(E272&lt;=L273,E272&gt;K273),K276+(E272-K273)*L274,0)</f>
        <v>0</v>
      </c>
      <c r="M277" s="219">
        <f>+IF(AND(E272&lt;=M273,E272&gt;L273),L276+(E272-L273)*M274,0)</f>
        <v>0</v>
      </c>
      <c r="N277" s="219">
        <f>+IF(AND(E272&lt;=N273,E272&gt;M273),M276+(E272-M273)*N274,0)</f>
        <v>0</v>
      </c>
      <c r="O277" s="219">
        <f>+IF(AND(E272&lt;=O273,E272&gt;N273),N276+(E272-N273)*O274,0)</f>
        <v>0</v>
      </c>
      <c r="P277" s="219">
        <f>+IF(AND(E272&lt;=P273,E272&gt;O273),O276+(E272-O273)*P274,0)</f>
        <v>0</v>
      </c>
      <c r="Q277" s="219">
        <f>+IF(AND(E272&lt;=Q273,E272&gt;P273),P276+(E272-P273)*Q274,0)</f>
        <v>0</v>
      </c>
      <c r="R277" s="219">
        <f>+IF(AND(E272&lt;=R273,E272&gt;Q273),Q276+(E272-Q273)*R274,0)</f>
        <v>0</v>
      </c>
      <c r="S277" s="219">
        <f>+IF(AND(E272&lt;=S273,E272&gt;R273),R276+(E272-R273)*S274,0)</f>
        <v>0</v>
      </c>
      <c r="T277" s="219">
        <f>+IF(AND(E272&lt;=T273,E272&gt;S273),S276+(E272-S273)*T274,0)</f>
        <v>0</v>
      </c>
      <c r="U277" s="219">
        <f>+IF(AND(E272&lt;=U273,E272&gt;T273),T276+(E272-T273)*U274,0)</f>
        <v>0</v>
      </c>
      <c r="V277" s="219">
        <f>+IF(AND(E272&lt;=V273,E272&gt;U273),U276+(E272-U273)*V274,0)</f>
        <v>0</v>
      </c>
      <c r="W277" s="219">
        <f t="shared" ref="W277:X277" si="35">+IF(AND(F272&lt;=W273,F272&gt;V273),V276+(F272-V273)*W274,0)</f>
        <v>0</v>
      </c>
      <c r="X277" s="219">
        <f t="shared" si="35"/>
        <v>0</v>
      </c>
      <c r="Y277" s="316">
        <f>+IF(E272&gt;X273,Y276,0)</f>
        <v>0</v>
      </c>
    </row>
    <row r="279" spans="2:27">
      <c r="B279" s="204" t="s">
        <v>302</v>
      </c>
      <c r="C279" s="165"/>
      <c r="D279" s="205"/>
      <c r="E279" s="205"/>
      <c r="F279" s="206">
        <f>SUM(D285:Y285)*H279</f>
        <v>25.964221893474203</v>
      </c>
      <c r="G279" s="207" t="s">
        <v>225</v>
      </c>
      <c r="H279" s="208">
        <v>1</v>
      </c>
      <c r="I279" s="207"/>
      <c r="J279" s="208"/>
      <c r="K279" s="207"/>
      <c r="L279" s="208"/>
      <c r="M279" s="205"/>
      <c r="N279" s="205"/>
      <c r="O279" s="205"/>
      <c r="P279" s="205"/>
      <c r="Q279" s="205"/>
      <c r="R279" s="205"/>
      <c r="S279" s="205"/>
      <c r="T279" s="205"/>
      <c r="U279" s="205"/>
      <c r="V279" s="205"/>
      <c r="W279" s="188"/>
    </row>
    <row r="280" spans="2:27">
      <c r="B280" s="167" t="s">
        <v>303</v>
      </c>
      <c r="E280" s="248">
        <f>+'江苏省工程总表 '!C9</f>
        <v>4327.3703155790336</v>
      </c>
      <c r="F280" s="212"/>
      <c r="G280" s="212"/>
      <c r="H280" s="212"/>
      <c r="I280" s="212"/>
      <c r="J280" s="212"/>
      <c r="K280" s="212"/>
      <c r="L280" s="3"/>
      <c r="M280" s="3"/>
      <c r="N280" s="3"/>
      <c r="O280" s="3"/>
      <c r="P280" s="3"/>
      <c r="Q280" s="3"/>
      <c r="R280" s="3"/>
      <c r="S280" s="3"/>
      <c r="T280" s="3"/>
      <c r="U280" s="3"/>
      <c r="V280" s="3"/>
      <c r="W280" s="191"/>
      <c r="Z280" s="173" t="s">
        <v>304</v>
      </c>
      <c r="AA280" s="161" t="str">
        <f t="array" ref="AA280">+IF(Y285&lt;&gt;0,Y285,"("&amp;LOOKUP(0,0/(B285:Z285&lt;&gt;0),A284:Y284)&amp;"+("&amp;ROUND(E280,2)&amp;"-"&amp;LOOKUP(0,0/(B285:Z285&lt;&gt;0),A281:Y281)&amp;")/("&amp;LOOKUP(0,0/(B285:Z285&lt;&gt;0),B281:Z281)&amp;"-"&amp;LOOKUP(0,0/(B285:Z285&lt;&gt;0),A281:Y281)&amp;")*("&amp;LOOKUP(0,0/(B285:Z285&lt;&gt;0),B284:Z284)&amp;"-"&amp;LOOKUP(0,0/(B285:Z285&lt;&gt;0),A284:Y284)&amp;"))")&amp;"*"&amp;H279</f>
        <v>(0+(4327.37-0)/(5000-0)*(30-0))*1</v>
      </c>
    </row>
    <row r="281" spans="2:27">
      <c r="B281" s="214"/>
      <c r="C281" s="161">
        <v>0</v>
      </c>
      <c r="D281" s="161">
        <v>5000</v>
      </c>
      <c r="E281" s="212">
        <v>10000</v>
      </c>
      <c r="F281" s="212">
        <v>20000</v>
      </c>
      <c r="G281" s="212">
        <v>30000</v>
      </c>
      <c r="H281" s="212">
        <v>40000</v>
      </c>
      <c r="I281" s="212">
        <v>50000</v>
      </c>
      <c r="J281" s="212">
        <v>60000</v>
      </c>
      <c r="K281" s="212">
        <v>70000</v>
      </c>
      <c r="L281" s="3">
        <v>80000</v>
      </c>
      <c r="M281" s="3">
        <v>90000</v>
      </c>
      <c r="N281" s="3">
        <v>100000</v>
      </c>
      <c r="O281" s="3">
        <v>110000</v>
      </c>
      <c r="P281" s="3">
        <v>120000</v>
      </c>
      <c r="Q281" s="3">
        <v>130000</v>
      </c>
      <c r="R281" s="3">
        <v>140000</v>
      </c>
      <c r="S281" s="3">
        <v>150000</v>
      </c>
      <c r="T281" s="3">
        <v>160000</v>
      </c>
      <c r="U281" s="3">
        <v>170000</v>
      </c>
      <c r="V281" s="3">
        <v>180000</v>
      </c>
      <c r="W281" s="3">
        <v>190000</v>
      </c>
      <c r="X281" s="3">
        <v>2000000</v>
      </c>
      <c r="Y281" s="249" t="s">
        <v>305</v>
      </c>
    </row>
    <row r="282" spans="2:27">
      <c r="B282" s="215" t="s">
        <v>211</v>
      </c>
      <c r="D282" s="193">
        <f>D283/(D281-A281)</f>
        <v>6.0000000000000001E-3</v>
      </c>
      <c r="E282" s="193">
        <f>E283/(E281-B281)</f>
        <v>3.0000000000000001E-3</v>
      </c>
      <c r="F282" s="193">
        <f t="shared" ref="F282:X282" si="36">F283/(F281-E281)</f>
        <v>3.0000000000000001E-3</v>
      </c>
      <c r="G282" s="193">
        <f t="shared" si="36"/>
        <v>5.0000000000000001E-3</v>
      </c>
      <c r="H282" s="193">
        <f t="shared" si="36"/>
        <v>4.0000000000000001E-3</v>
      </c>
      <c r="I282" s="193">
        <f t="shared" si="36"/>
        <v>4.0000000000000001E-3</v>
      </c>
      <c r="J282" s="193">
        <f t="shared" si="36"/>
        <v>5.4999999999999997E-3</v>
      </c>
      <c r="K282" s="193">
        <f t="shared" si="36"/>
        <v>3.5000000000000001E-3</v>
      </c>
      <c r="L282" s="193">
        <f t="shared" si="36"/>
        <v>4.0000000000000001E-3</v>
      </c>
      <c r="M282" s="193">
        <f t="shared" si="36"/>
        <v>3.0000000000000001E-3</v>
      </c>
      <c r="N282" s="193">
        <f t="shared" si="36"/>
        <v>4.0000000000000001E-3</v>
      </c>
      <c r="O282" s="193">
        <f t="shared" si="36"/>
        <v>4.0000000000000001E-3</v>
      </c>
      <c r="P282" s="193">
        <f t="shared" si="36"/>
        <v>3.0000000000000001E-3</v>
      </c>
      <c r="Q282" s="193">
        <f t="shared" si="36"/>
        <v>3.5000000000000001E-3</v>
      </c>
      <c r="R282" s="193">
        <f t="shared" si="36"/>
        <v>3.5000000000000001E-3</v>
      </c>
      <c r="S282" s="193">
        <f t="shared" si="36"/>
        <v>4.0000000000000001E-3</v>
      </c>
      <c r="T282" s="193">
        <f t="shared" si="36"/>
        <v>4.0000000000000001E-3</v>
      </c>
      <c r="U282" s="193">
        <f t="shared" si="36"/>
        <v>4.0000000000000001E-3</v>
      </c>
      <c r="V282" s="193">
        <f t="shared" si="36"/>
        <v>3.0000000000000001E-3</v>
      </c>
      <c r="W282" s="193">
        <f t="shared" si="36"/>
        <v>2.5000000000000001E-3</v>
      </c>
      <c r="X282" s="193">
        <f t="shared" si="36"/>
        <v>1.3812154696132597E-5</v>
      </c>
      <c r="Y282" s="250"/>
    </row>
    <row r="283" spans="2:27">
      <c r="B283" s="215" t="s">
        <v>228</v>
      </c>
      <c r="C283" s="161">
        <v>0</v>
      </c>
      <c r="D283" s="315">
        <f>+D284</f>
        <v>30</v>
      </c>
      <c r="E283" s="195">
        <f t="shared" ref="E283:X283" si="37">+E284-D284</f>
        <v>30</v>
      </c>
      <c r="F283" s="195">
        <f t="shared" si="37"/>
        <v>30</v>
      </c>
      <c r="G283" s="195">
        <f t="shared" si="37"/>
        <v>50</v>
      </c>
      <c r="H283" s="195">
        <f t="shared" si="37"/>
        <v>40</v>
      </c>
      <c r="I283" s="195">
        <f t="shared" si="37"/>
        <v>40</v>
      </c>
      <c r="J283" s="195">
        <f t="shared" si="37"/>
        <v>55</v>
      </c>
      <c r="K283" s="195">
        <f t="shared" si="37"/>
        <v>35</v>
      </c>
      <c r="L283" s="195">
        <f t="shared" si="37"/>
        <v>40</v>
      </c>
      <c r="M283" s="195">
        <f t="shared" si="37"/>
        <v>30</v>
      </c>
      <c r="N283" s="195">
        <f t="shared" si="37"/>
        <v>40</v>
      </c>
      <c r="O283" s="195">
        <f t="shared" si="37"/>
        <v>40</v>
      </c>
      <c r="P283" s="195">
        <f t="shared" si="37"/>
        <v>30</v>
      </c>
      <c r="Q283" s="195">
        <f t="shared" si="37"/>
        <v>35</v>
      </c>
      <c r="R283" s="195">
        <f t="shared" si="37"/>
        <v>35</v>
      </c>
      <c r="S283" s="195">
        <f t="shared" si="37"/>
        <v>40</v>
      </c>
      <c r="T283" s="195">
        <f t="shared" si="37"/>
        <v>40</v>
      </c>
      <c r="U283" s="195">
        <f t="shared" si="37"/>
        <v>40</v>
      </c>
      <c r="V283" s="195">
        <f t="shared" si="37"/>
        <v>30</v>
      </c>
      <c r="W283" s="195">
        <f t="shared" si="37"/>
        <v>25</v>
      </c>
      <c r="X283" s="195">
        <f t="shared" si="37"/>
        <v>25</v>
      </c>
      <c r="Y283" s="251"/>
    </row>
    <row r="284" spans="2:27">
      <c r="B284" s="215" t="s">
        <v>229</v>
      </c>
      <c r="C284" s="161">
        <v>0</v>
      </c>
      <c r="D284" s="195">
        <v>30</v>
      </c>
      <c r="E284" s="195">
        <v>60</v>
      </c>
      <c r="F284" s="195">
        <v>90</v>
      </c>
      <c r="G284" s="195">
        <v>140</v>
      </c>
      <c r="H284" s="195">
        <v>180</v>
      </c>
      <c r="I284" s="195">
        <v>220</v>
      </c>
      <c r="J284" s="195">
        <v>275</v>
      </c>
      <c r="K284" s="252">
        <v>310</v>
      </c>
      <c r="L284" s="252">
        <v>350</v>
      </c>
      <c r="M284" s="252">
        <v>380</v>
      </c>
      <c r="N284" s="252">
        <v>420</v>
      </c>
      <c r="O284" s="252">
        <v>460</v>
      </c>
      <c r="P284" s="252">
        <v>490</v>
      </c>
      <c r="Q284" s="252">
        <v>525</v>
      </c>
      <c r="R284" s="252">
        <v>560</v>
      </c>
      <c r="S284" s="252">
        <v>600</v>
      </c>
      <c r="T284" s="252">
        <v>640</v>
      </c>
      <c r="U284" s="252">
        <v>680</v>
      </c>
      <c r="V284" s="252">
        <v>710</v>
      </c>
      <c r="W284" s="252">
        <v>735</v>
      </c>
      <c r="X284" s="252">
        <v>760</v>
      </c>
      <c r="Y284" s="253">
        <v>760</v>
      </c>
    </row>
    <row r="285" spans="2:27">
      <c r="B285" s="218"/>
      <c r="C285" s="219"/>
      <c r="D285" s="219">
        <f>+IF(E280&lt;=D281,E280*D282,0)</f>
        <v>25.964221893474203</v>
      </c>
      <c r="E285" s="219">
        <f>+IF(AND(E280&lt;=E281,E280&gt;D281),D284+(E280-D281)*E282,0)</f>
        <v>0</v>
      </c>
      <c r="F285" s="219">
        <f>+IF(AND(E280&lt;=F281,E280&gt;E281),E284+(E280-E281)*F282,0)</f>
        <v>0</v>
      </c>
      <c r="G285" s="219">
        <f>+IF(AND(E280&lt;=G281,E280&gt;F281),F284+(E280-F281)*G282,0)</f>
        <v>0</v>
      </c>
      <c r="H285" s="219">
        <f>+IF(AND(E280&lt;=H281,E280&gt;G281),G284+(E280-G281)*H282,0)</f>
        <v>0</v>
      </c>
      <c r="I285" s="219">
        <f>+IF(AND(E280&lt;=I281,E280&gt;H281),H284+(E280-H281)*I282,0)</f>
        <v>0</v>
      </c>
      <c r="J285" s="219">
        <f>+IF(AND(E280&lt;=J281,E280&gt;I281),I284+(E280-I281)*J282,0)</f>
        <v>0</v>
      </c>
      <c r="K285" s="219">
        <f>+IF(AND(E280&lt;=K281,E280&gt;J281),J284+(E280-J281)*K282,0)</f>
        <v>0</v>
      </c>
      <c r="L285" s="219">
        <f>+IF(AND(E280&lt;=L281,E280&gt;K281),K284+(E280-K281)*L282,0)</f>
        <v>0</v>
      </c>
      <c r="M285" s="219">
        <f>+IF(AND(E280&lt;=M281,E280&gt;L281),L284+(E280-L281)*M282,0)</f>
        <v>0</v>
      </c>
      <c r="N285" s="219">
        <f>+IF(AND(E280&lt;=N281,E280&gt;M281),M284+(E280-M281)*N282,0)</f>
        <v>0</v>
      </c>
      <c r="O285" s="219">
        <f>+IF(AND(E280&lt;=O281,E280&gt;N281),N284+(E280-N281)*O282,0)</f>
        <v>0</v>
      </c>
      <c r="P285" s="219">
        <f>+IF(AND(E280&lt;=P281,E280&gt;O281),O284+(E280-O281)*P282,0)</f>
        <v>0</v>
      </c>
      <c r="Q285" s="219">
        <f>+IF(AND(E280&lt;=Q281,E280&gt;P281),P284+(E280-P281)*Q282,0)</f>
        <v>0</v>
      </c>
      <c r="R285" s="219">
        <f>+IF(AND(E280&lt;=R281,E280&gt;Q281),Q284+(E280-Q281)*R282,0)</f>
        <v>0</v>
      </c>
      <c r="S285" s="219">
        <f>+IF(AND(E280&lt;=S281,E280&gt;R281),R284+(E280-R281)*S282,0)</f>
        <v>0</v>
      </c>
      <c r="T285" s="219">
        <f>+IF(AND(E280&lt;=T281,E280&gt;S281),S284+(E280-S281)*T282,0)</f>
        <v>0</v>
      </c>
      <c r="U285" s="219">
        <f>+IF(AND(E280&lt;=U281,E280&gt;T281),T284+(E280-T281)*U282,0)</f>
        <v>0</v>
      </c>
      <c r="V285" s="219">
        <f>+IF(AND(E280&lt;=V281,E280&gt;U281),U284+(E280-U281)*V282,0)</f>
        <v>0</v>
      </c>
      <c r="W285" s="219">
        <f t="shared" ref="W285:X285" si="38">+IF(AND(F280&lt;=W281,F280&gt;V281),V284+(F280-V281)*W282,0)</f>
        <v>0</v>
      </c>
      <c r="X285" s="219">
        <f t="shared" si="38"/>
        <v>0</v>
      </c>
      <c r="Y285" s="316">
        <f>+IF(E280&gt;X281,Y284,0)</f>
        <v>0</v>
      </c>
    </row>
    <row r="287" spans="2:27">
      <c r="B287" s="204" t="s">
        <v>306</v>
      </c>
      <c r="C287" s="165"/>
      <c r="D287" s="205"/>
      <c r="E287" s="205"/>
      <c r="F287" s="206">
        <f>SUM(D293:Y293)*H287</f>
        <v>8.6547406311580666</v>
      </c>
      <c r="G287" s="207" t="s">
        <v>225</v>
      </c>
      <c r="H287" s="208">
        <v>1</v>
      </c>
      <c r="I287" s="207"/>
      <c r="J287" s="208"/>
      <c r="K287" s="207"/>
      <c r="L287" s="208"/>
      <c r="M287" s="205"/>
      <c r="N287" s="205"/>
      <c r="O287" s="205"/>
      <c r="P287" s="205"/>
      <c r="Q287" s="205"/>
      <c r="R287" s="205"/>
      <c r="S287" s="205"/>
      <c r="T287" s="205"/>
      <c r="U287" s="205"/>
      <c r="V287" s="205"/>
      <c r="W287" s="188"/>
    </row>
    <row r="288" spans="2:27">
      <c r="B288" s="167" t="s">
        <v>307</v>
      </c>
      <c r="E288" s="248">
        <f>+'江苏省工程总表 '!C9</f>
        <v>4327.3703155790336</v>
      </c>
      <c r="F288" s="212"/>
      <c r="G288" s="212"/>
      <c r="H288" s="212"/>
      <c r="I288" s="212"/>
      <c r="J288" s="212"/>
      <c r="K288" s="212"/>
      <c r="L288" s="3"/>
      <c r="M288" s="3"/>
      <c r="N288" s="3"/>
      <c r="O288" s="3"/>
      <c r="P288" s="3"/>
      <c r="Q288" s="3"/>
      <c r="R288" s="3"/>
      <c r="S288" s="3"/>
      <c r="T288" s="3"/>
      <c r="U288" s="3"/>
      <c r="V288" s="3"/>
      <c r="W288" s="191"/>
      <c r="Z288" s="173" t="s">
        <v>308</v>
      </c>
      <c r="AA288" s="161" t="str">
        <f t="array" ref="AA288">+IF(Y293&lt;&gt;0,Y293,"("&amp;LOOKUP(0,0/(B293:Z293&lt;&gt;0),A292:Y292)&amp;"+("&amp;ROUND(E288,2)&amp;"-"&amp;LOOKUP(0,0/(B293:Z293&lt;&gt;0),A289:Y289)&amp;")/("&amp;LOOKUP(0,0/(B293:Z293&lt;&gt;0),B289:Z289)&amp;"-"&amp;LOOKUP(0,0/(B293:Z293&lt;&gt;0),A289:Y289)&amp;")*("&amp;LOOKUP(0,0/(B293:Z293&lt;&gt;0),B292:Z292)&amp;"-"&amp;LOOKUP(0,0/(B293:Z293&lt;&gt;0),A292:Y292)&amp;"))")&amp;"*"&amp;H287</f>
        <v>(0+(4327.37-0)/(5000-0)*(10-0))*1</v>
      </c>
    </row>
    <row r="289" spans="2:27">
      <c r="B289" s="214"/>
      <c r="C289" s="161">
        <v>0</v>
      </c>
      <c r="D289" s="161">
        <v>5000</v>
      </c>
      <c r="E289" s="212">
        <v>10000</v>
      </c>
      <c r="F289" s="212">
        <v>20000</v>
      </c>
      <c r="G289" s="212">
        <v>30000</v>
      </c>
      <c r="H289" s="212">
        <v>40000</v>
      </c>
      <c r="I289" s="212">
        <v>50000</v>
      </c>
      <c r="J289" s="212">
        <v>60000</v>
      </c>
      <c r="K289" s="212">
        <v>70000</v>
      </c>
      <c r="L289" s="3">
        <v>80000</v>
      </c>
      <c r="M289" s="3">
        <v>90000</v>
      </c>
      <c r="N289" s="3">
        <v>100000</v>
      </c>
      <c r="O289" s="3">
        <v>110000</v>
      </c>
      <c r="P289" s="3">
        <v>120000</v>
      </c>
      <c r="Q289" s="3">
        <v>130000</v>
      </c>
      <c r="R289" s="3">
        <v>140000</v>
      </c>
      <c r="S289" s="3">
        <v>150000</v>
      </c>
      <c r="T289" s="3">
        <v>160000</v>
      </c>
      <c r="U289" s="3">
        <v>170000</v>
      </c>
      <c r="V289" s="3">
        <v>180000</v>
      </c>
      <c r="W289" s="3">
        <v>190000</v>
      </c>
      <c r="X289" s="3">
        <v>2000000</v>
      </c>
      <c r="Y289" s="249" t="s">
        <v>309</v>
      </c>
    </row>
    <row r="290" spans="2:27">
      <c r="B290" s="215" t="s">
        <v>211</v>
      </c>
      <c r="D290" s="193">
        <f>D291/(D289-A289)</f>
        <v>2E-3</v>
      </c>
      <c r="E290" s="193">
        <f>E291/(E289-B289)</f>
        <v>8.0000000000000004E-4</v>
      </c>
      <c r="F290" s="193">
        <f t="shared" ref="F290:X290" si="39">F291/(F289-E289)</f>
        <v>1.1999999999999999E-3</v>
      </c>
      <c r="G290" s="193">
        <f t="shared" si="39"/>
        <v>5.9999999999999995E-4</v>
      </c>
      <c r="H290" s="193">
        <f t="shared" si="39"/>
        <v>5.9999999999999995E-4</v>
      </c>
      <c r="I290" s="193">
        <f t="shared" si="39"/>
        <v>5.9999999999999995E-4</v>
      </c>
      <c r="J290" s="193">
        <f t="shared" si="39"/>
        <v>5.9999999999999995E-4</v>
      </c>
      <c r="K290" s="193">
        <f t="shared" si="39"/>
        <v>5.9999999999999995E-4</v>
      </c>
      <c r="L290" s="193">
        <f t="shared" si="39"/>
        <v>5.9999999999999995E-4</v>
      </c>
      <c r="M290" s="193">
        <f t="shared" si="39"/>
        <v>5.9999999999999995E-4</v>
      </c>
      <c r="N290" s="193">
        <f t="shared" si="39"/>
        <v>5.9999999999999995E-4</v>
      </c>
      <c r="O290" s="193">
        <f t="shared" si="39"/>
        <v>5.9999999999999995E-4</v>
      </c>
      <c r="P290" s="193">
        <f t="shared" si="39"/>
        <v>2.3E-3</v>
      </c>
      <c r="Q290" s="193">
        <f t="shared" si="39"/>
        <v>4.0000000000000002E-4</v>
      </c>
      <c r="R290" s="193">
        <f t="shared" si="39"/>
        <v>5.0000000000000001E-4</v>
      </c>
      <c r="S290" s="193">
        <f t="shared" si="39"/>
        <v>2.9999999999999997E-4</v>
      </c>
      <c r="T290" s="193">
        <f t="shared" si="39"/>
        <v>6.9999999999999999E-4</v>
      </c>
      <c r="U290" s="193">
        <f t="shared" si="39"/>
        <v>4.0000000000000002E-4</v>
      </c>
      <c r="V290" s="193">
        <f t="shared" si="39"/>
        <v>1.4E-3</v>
      </c>
      <c r="W290" s="193">
        <f t="shared" si="39"/>
        <v>5.9999999999999995E-4</v>
      </c>
      <c r="X290" s="193">
        <f t="shared" si="39"/>
        <v>5.5248618784530383E-6</v>
      </c>
      <c r="Y290" s="250"/>
    </row>
    <row r="291" spans="2:27">
      <c r="B291" s="215" t="s">
        <v>228</v>
      </c>
      <c r="C291" s="161">
        <v>0</v>
      </c>
      <c r="D291" s="315">
        <f>+D292</f>
        <v>10</v>
      </c>
      <c r="E291" s="195">
        <f t="shared" ref="E291:X291" si="40">+E292-D292</f>
        <v>8</v>
      </c>
      <c r="F291" s="195">
        <f t="shared" si="40"/>
        <v>12</v>
      </c>
      <c r="G291" s="195">
        <f t="shared" si="40"/>
        <v>6</v>
      </c>
      <c r="H291" s="195">
        <f t="shared" si="40"/>
        <v>6</v>
      </c>
      <c r="I291" s="195">
        <f t="shared" si="40"/>
        <v>6</v>
      </c>
      <c r="J291" s="195">
        <f t="shared" si="40"/>
        <v>6</v>
      </c>
      <c r="K291" s="195">
        <f t="shared" si="40"/>
        <v>6</v>
      </c>
      <c r="L291" s="195">
        <f t="shared" si="40"/>
        <v>6</v>
      </c>
      <c r="M291" s="195">
        <f t="shared" si="40"/>
        <v>6</v>
      </c>
      <c r="N291" s="195">
        <f t="shared" si="40"/>
        <v>6</v>
      </c>
      <c r="O291" s="195">
        <f t="shared" si="40"/>
        <v>6</v>
      </c>
      <c r="P291" s="195">
        <f t="shared" si="40"/>
        <v>23</v>
      </c>
      <c r="Q291" s="195">
        <f t="shared" si="40"/>
        <v>4</v>
      </c>
      <c r="R291" s="195">
        <f t="shared" si="40"/>
        <v>5</v>
      </c>
      <c r="S291" s="195">
        <f t="shared" si="40"/>
        <v>3</v>
      </c>
      <c r="T291" s="195">
        <f t="shared" si="40"/>
        <v>7</v>
      </c>
      <c r="U291" s="195">
        <f t="shared" si="40"/>
        <v>4</v>
      </c>
      <c r="V291" s="195">
        <f t="shared" si="40"/>
        <v>14</v>
      </c>
      <c r="W291" s="195">
        <f t="shared" si="40"/>
        <v>6</v>
      </c>
      <c r="X291" s="195">
        <f t="shared" si="40"/>
        <v>10</v>
      </c>
      <c r="Y291" s="251"/>
    </row>
    <row r="292" spans="2:27">
      <c r="B292" s="215" t="s">
        <v>229</v>
      </c>
      <c r="C292" s="161">
        <v>0</v>
      </c>
      <c r="D292" s="195">
        <v>10</v>
      </c>
      <c r="E292" s="195">
        <v>18</v>
      </c>
      <c r="F292" s="195">
        <v>30</v>
      </c>
      <c r="G292" s="195">
        <v>36</v>
      </c>
      <c r="H292" s="195">
        <v>42</v>
      </c>
      <c r="I292" s="195">
        <v>48</v>
      </c>
      <c r="J292" s="195">
        <v>54</v>
      </c>
      <c r="K292" s="252">
        <v>60</v>
      </c>
      <c r="L292" s="252">
        <v>66</v>
      </c>
      <c r="M292" s="252">
        <v>72</v>
      </c>
      <c r="N292" s="252">
        <v>78</v>
      </c>
      <c r="O292" s="252">
        <v>84</v>
      </c>
      <c r="P292" s="252">
        <v>107</v>
      </c>
      <c r="Q292" s="252">
        <v>111</v>
      </c>
      <c r="R292" s="252">
        <v>116</v>
      </c>
      <c r="S292" s="252">
        <v>119</v>
      </c>
      <c r="T292" s="252">
        <v>126</v>
      </c>
      <c r="U292" s="252">
        <v>130</v>
      </c>
      <c r="V292" s="252">
        <v>144</v>
      </c>
      <c r="W292" s="252">
        <v>150</v>
      </c>
      <c r="X292" s="252">
        <v>160</v>
      </c>
      <c r="Y292" s="253">
        <v>160</v>
      </c>
    </row>
    <row r="293" spans="2:27">
      <c r="B293" s="218"/>
      <c r="C293" s="219"/>
      <c r="D293" s="219">
        <f>+IF(E288&lt;=D289,E288*D290,0)</f>
        <v>8.6547406311580666</v>
      </c>
      <c r="E293" s="219">
        <f>+IF(AND(E288&lt;=E289,E288&gt;D289),D292+(E288-D289)*E290,0)</f>
        <v>0</v>
      </c>
      <c r="F293" s="219">
        <f>+IF(AND(E288&lt;=F289,E288&gt;E289),E292+(E288-E289)*F290,0)</f>
        <v>0</v>
      </c>
      <c r="G293" s="219">
        <f>+IF(AND(E288&lt;=G289,E288&gt;F289),F292+(E288-F289)*G290,0)</f>
        <v>0</v>
      </c>
      <c r="H293" s="219">
        <f>+IF(AND(E288&lt;=H289,E288&gt;G289),G292+(E288-G289)*H290,0)</f>
        <v>0</v>
      </c>
      <c r="I293" s="219">
        <f>+IF(AND(E288&lt;=I289,E288&gt;H289),H292+(E288-H289)*I290,0)</f>
        <v>0</v>
      </c>
      <c r="J293" s="219">
        <f>+IF(AND(E288&lt;=J289,E288&gt;I289),I292+(E288-I289)*J290,0)</f>
        <v>0</v>
      </c>
      <c r="K293" s="219">
        <f>+IF(AND(E288&lt;=K289,E288&gt;J289),J292+(E288-J289)*K290,0)</f>
        <v>0</v>
      </c>
      <c r="L293" s="219">
        <f>+IF(AND(E288&lt;=L289,E288&gt;K289),K292+(E288-K289)*L290,0)</f>
        <v>0</v>
      </c>
      <c r="M293" s="219">
        <f>+IF(AND(E288&lt;=M289,E288&gt;L289),L292+(E288-L289)*M290,0)</f>
        <v>0</v>
      </c>
      <c r="N293" s="219">
        <f>+IF(AND(E288&lt;=N289,E288&gt;M289),M292+(E288-M289)*N290,0)</f>
        <v>0</v>
      </c>
      <c r="O293" s="219">
        <f>+IF(AND(E288&lt;=O289,E288&gt;N289),N292+(E288-N289)*O290,0)</f>
        <v>0</v>
      </c>
      <c r="P293" s="219">
        <f>+IF(AND(E288&lt;=P289,E288&gt;O289),O292+(E288-O289)*P290,0)</f>
        <v>0</v>
      </c>
      <c r="Q293" s="219">
        <f>+IF(AND(E288&lt;=Q289,E288&gt;P289),P292+(E288-P289)*Q290,0)</f>
        <v>0</v>
      </c>
      <c r="R293" s="219">
        <f>+IF(AND(E288&lt;=R289,E288&gt;Q289),Q292+(E288-Q289)*R290,0)</f>
        <v>0</v>
      </c>
      <c r="S293" s="219">
        <f>+IF(AND(E288&lt;=S289,E288&gt;R289),R292+(E288-R289)*S290,0)</f>
        <v>0</v>
      </c>
      <c r="T293" s="219">
        <f>+IF(AND(E288&lt;=T289,E288&gt;S289),S292+(E288-S289)*T290,0)</f>
        <v>0</v>
      </c>
      <c r="U293" s="219">
        <f>+IF(AND(E288&lt;=U289,E288&gt;T289),T292+(E288-T289)*U290,0)</f>
        <v>0</v>
      </c>
      <c r="V293" s="219">
        <f>+IF(AND(E288&lt;=V289,E288&gt;U289),U292+(E288-U289)*V290,0)</f>
        <v>0</v>
      </c>
      <c r="W293" s="219">
        <f t="shared" ref="W293:X293" si="41">+IF(AND(F288&lt;=W289,F288&gt;V289),V292+(F288-V289)*W290,0)</f>
        <v>0</v>
      </c>
      <c r="X293" s="219">
        <f t="shared" si="41"/>
        <v>0</v>
      </c>
      <c r="Y293" s="316">
        <f>+IF(E288&gt;X289,Y292,0)</f>
        <v>0</v>
      </c>
    </row>
    <row r="295" spans="2:27">
      <c r="B295" s="204" t="s">
        <v>310</v>
      </c>
      <c r="C295" s="165"/>
      <c r="D295" s="205"/>
      <c r="E295" s="205"/>
      <c r="F295" s="206">
        <f>SUM(D301:Y301)*H295</f>
        <v>0.86547406311580677</v>
      </c>
      <c r="G295" s="207" t="s">
        <v>225</v>
      </c>
      <c r="H295" s="208">
        <v>1</v>
      </c>
      <c r="I295" s="207"/>
      <c r="J295" s="208"/>
      <c r="K295" s="207"/>
      <c r="L295" s="208"/>
      <c r="M295" s="205"/>
      <c r="N295" s="205"/>
      <c r="O295" s="205"/>
      <c r="P295" s="205"/>
      <c r="Q295" s="205"/>
      <c r="R295" s="205"/>
      <c r="S295" s="205"/>
      <c r="T295" s="205"/>
      <c r="U295" s="205"/>
      <c r="V295" s="205"/>
      <c r="W295" s="188"/>
    </row>
    <row r="296" spans="2:27">
      <c r="B296" s="167" t="s">
        <v>307</v>
      </c>
      <c r="E296" s="248">
        <f>+'江苏省工程总表 '!C9</f>
        <v>4327.3703155790336</v>
      </c>
      <c r="F296" s="212"/>
      <c r="G296" s="212"/>
      <c r="H296" s="212"/>
      <c r="I296" s="212"/>
      <c r="J296" s="212"/>
      <c r="K296" s="212"/>
      <c r="L296" s="3"/>
      <c r="M296" s="3"/>
      <c r="N296" s="3"/>
      <c r="O296" s="3"/>
      <c r="P296" s="3"/>
      <c r="Q296" s="3"/>
      <c r="R296" s="3"/>
      <c r="S296" s="3"/>
      <c r="T296" s="3"/>
      <c r="U296" s="3"/>
      <c r="V296" s="3"/>
      <c r="W296" s="191"/>
      <c r="Z296" s="173" t="s">
        <v>311</v>
      </c>
      <c r="AA296" s="161" t="str">
        <f>+IF(Y301&lt;&gt;0,Y301,"("&amp;LOOKUP(0,0/(B301:Z301&lt;&gt;0),A300:Y300)&amp;"+("&amp;ROUND(E296,2)&amp;"-"&amp;LOOKUP(0,0/(B301:Z301&lt;&gt;0),A297:Y297)&amp;")/("&amp;LOOKUP(0,0/(B301:Z301&lt;&gt;0),B297:Z297)&amp;"-"&amp;LOOKUP(0,0/(B301:Z301&lt;&gt;0),A297:Y297)&amp;")*("&amp;LOOKUP(0,0/(B301:Z301&lt;&gt;0),B300:Z300)&amp;"-"&amp;LOOKUP(0,0/(B301:Z301&lt;&gt;0),A300:Y300)&amp;"))")&amp;"*"&amp;H295</f>
        <v>(0+(4327.37-0)/(5000-0)*(1-0))*1</v>
      </c>
    </row>
    <row r="297" spans="2:27">
      <c r="B297" s="214"/>
      <c r="C297" s="161">
        <v>0</v>
      </c>
      <c r="D297" s="161">
        <v>5000</v>
      </c>
      <c r="E297" s="212">
        <v>10000</v>
      </c>
      <c r="F297" s="212">
        <v>20000</v>
      </c>
      <c r="G297" s="212">
        <v>30000</v>
      </c>
      <c r="H297" s="212">
        <v>40000</v>
      </c>
      <c r="I297" s="212">
        <v>50000</v>
      </c>
      <c r="J297" s="212">
        <v>60000</v>
      </c>
      <c r="K297" s="212">
        <v>70000</v>
      </c>
      <c r="L297" s="3">
        <v>80000</v>
      </c>
      <c r="M297" s="3">
        <v>90000</v>
      </c>
      <c r="N297" s="3">
        <v>100000</v>
      </c>
      <c r="O297" s="3">
        <v>110000</v>
      </c>
      <c r="P297" s="3">
        <v>120000</v>
      </c>
      <c r="Q297" s="3">
        <v>130000</v>
      </c>
      <c r="R297" s="3">
        <v>140000</v>
      </c>
      <c r="S297" s="3">
        <v>150000</v>
      </c>
      <c r="T297" s="3">
        <v>160000</v>
      </c>
      <c r="U297" s="3">
        <v>170000</v>
      </c>
      <c r="V297" s="3">
        <v>180000</v>
      </c>
      <c r="W297" s="3">
        <v>190000</v>
      </c>
      <c r="X297" s="3">
        <v>2000000</v>
      </c>
      <c r="Y297" s="249" t="s">
        <v>312</v>
      </c>
    </row>
    <row r="298" spans="2:27">
      <c r="B298" s="215" t="s">
        <v>211</v>
      </c>
      <c r="D298" s="193">
        <f>D299/(D297-A297)</f>
        <v>2.0000000000000001E-4</v>
      </c>
      <c r="E298" s="193">
        <f>E299/(E297-B297)</f>
        <v>5.0000000000000002E-5</v>
      </c>
      <c r="F298" s="193">
        <f t="shared" ref="F298:X298" si="42">F299/(F297-E297)</f>
        <v>5.0000000000000002E-5</v>
      </c>
      <c r="G298" s="193">
        <f t="shared" si="42"/>
        <v>5.0000000000000002E-5</v>
      </c>
      <c r="H298" s="193">
        <f t="shared" si="42"/>
        <v>3.999999999999999E-5</v>
      </c>
      <c r="I298" s="193">
        <f t="shared" si="42"/>
        <v>3.0000000000000028E-5</v>
      </c>
      <c r="J298" s="193">
        <f t="shared" si="42"/>
        <v>2.9999999999999984E-5</v>
      </c>
      <c r="K298" s="193">
        <f t="shared" si="42"/>
        <v>2.9999999999999984E-5</v>
      </c>
      <c r="L298" s="193">
        <f t="shared" si="42"/>
        <v>2.0000000000000019E-5</v>
      </c>
      <c r="M298" s="193">
        <f t="shared" si="42"/>
        <v>7.9999999999999979E-5</v>
      </c>
      <c r="N298" s="193">
        <f t="shared" si="42"/>
        <v>4.0000000000000037E-5</v>
      </c>
      <c r="O298" s="193">
        <f t="shared" si="42"/>
        <v>3.9999999999999949E-5</v>
      </c>
      <c r="P298" s="193">
        <f t="shared" si="42"/>
        <v>4.0000000000000037E-5</v>
      </c>
      <c r="Q298" s="193">
        <f t="shared" si="42"/>
        <v>5.0000000000000002E-5</v>
      </c>
      <c r="R298" s="193">
        <f t="shared" si="42"/>
        <v>5.0000000000000002E-5</v>
      </c>
      <c r="S298" s="193">
        <f t="shared" si="42"/>
        <v>5.0000000000000002E-5</v>
      </c>
      <c r="T298" s="193">
        <f t="shared" si="42"/>
        <v>2.9999999999999984E-5</v>
      </c>
      <c r="U298" s="193">
        <f t="shared" si="42"/>
        <v>5.000000000000009E-5</v>
      </c>
      <c r="V298" s="193">
        <f t="shared" si="42"/>
        <v>1.999999999999993E-5</v>
      </c>
      <c r="W298" s="193">
        <f t="shared" si="42"/>
        <v>5.0000000000000002E-5</v>
      </c>
      <c r="X298" s="193">
        <f t="shared" si="42"/>
        <v>2.7624309392265196E-7</v>
      </c>
      <c r="Y298" s="250"/>
    </row>
    <row r="299" spans="2:27">
      <c r="B299" s="215" t="s">
        <v>228</v>
      </c>
      <c r="C299" s="161">
        <v>0</v>
      </c>
      <c r="D299" s="315">
        <f>+D300</f>
        <v>1</v>
      </c>
      <c r="E299" s="195">
        <f t="shared" ref="E299:X299" si="43">+E300-D300</f>
        <v>0.5</v>
      </c>
      <c r="F299" s="195">
        <f t="shared" si="43"/>
        <v>0.5</v>
      </c>
      <c r="G299" s="195">
        <f t="shared" si="43"/>
        <v>0.5</v>
      </c>
      <c r="H299" s="195">
        <f t="shared" si="43"/>
        <v>0.39999999999999991</v>
      </c>
      <c r="I299" s="195">
        <f t="shared" si="43"/>
        <v>0.30000000000000027</v>
      </c>
      <c r="J299" s="195">
        <f t="shared" si="43"/>
        <v>0.29999999999999982</v>
      </c>
      <c r="K299" s="195">
        <f t="shared" si="43"/>
        <v>0.29999999999999982</v>
      </c>
      <c r="L299" s="195">
        <f t="shared" si="43"/>
        <v>0.20000000000000018</v>
      </c>
      <c r="M299" s="195">
        <f t="shared" si="43"/>
        <v>0.79999999999999982</v>
      </c>
      <c r="N299" s="195">
        <f t="shared" si="43"/>
        <v>0.40000000000000036</v>
      </c>
      <c r="O299" s="195">
        <f t="shared" si="43"/>
        <v>0.39999999999999947</v>
      </c>
      <c r="P299" s="195">
        <f t="shared" si="43"/>
        <v>0.40000000000000036</v>
      </c>
      <c r="Q299" s="195">
        <f t="shared" si="43"/>
        <v>0.5</v>
      </c>
      <c r="R299" s="195">
        <f t="shared" si="43"/>
        <v>0.5</v>
      </c>
      <c r="S299" s="195">
        <f t="shared" si="43"/>
        <v>0.5</v>
      </c>
      <c r="T299" s="195">
        <f t="shared" si="43"/>
        <v>0.29999999999999982</v>
      </c>
      <c r="U299" s="195">
        <f t="shared" si="43"/>
        <v>0.50000000000000089</v>
      </c>
      <c r="V299" s="195">
        <f t="shared" si="43"/>
        <v>0.19999999999999929</v>
      </c>
      <c r="W299" s="195">
        <f t="shared" si="43"/>
        <v>0.5</v>
      </c>
      <c r="X299" s="195">
        <f t="shared" si="43"/>
        <v>0.5</v>
      </c>
      <c r="Y299" s="251"/>
    </row>
    <row r="300" spans="2:27">
      <c r="B300" s="215" t="s">
        <v>229</v>
      </c>
      <c r="C300" s="161">
        <v>0</v>
      </c>
      <c r="D300" s="195">
        <v>1</v>
      </c>
      <c r="E300" s="195">
        <v>1.5</v>
      </c>
      <c r="F300" s="195">
        <v>2</v>
      </c>
      <c r="G300" s="195">
        <v>2.5</v>
      </c>
      <c r="H300" s="195">
        <v>2.9</v>
      </c>
      <c r="I300" s="195">
        <v>3.2</v>
      </c>
      <c r="J300" s="195">
        <v>3.5</v>
      </c>
      <c r="K300" s="252">
        <v>3.8</v>
      </c>
      <c r="L300" s="252">
        <v>4</v>
      </c>
      <c r="M300" s="252">
        <v>4.8</v>
      </c>
      <c r="N300" s="252">
        <v>5.2</v>
      </c>
      <c r="O300" s="252">
        <v>5.6</v>
      </c>
      <c r="P300" s="252">
        <v>6</v>
      </c>
      <c r="Q300" s="252">
        <v>6.5</v>
      </c>
      <c r="R300" s="252">
        <v>7</v>
      </c>
      <c r="S300" s="252">
        <v>7.5</v>
      </c>
      <c r="T300" s="252">
        <v>7.8</v>
      </c>
      <c r="U300" s="252">
        <v>8.3000000000000007</v>
      </c>
      <c r="V300" s="252">
        <v>8.5</v>
      </c>
      <c r="W300" s="252">
        <v>9</v>
      </c>
      <c r="X300" s="252">
        <v>9.5</v>
      </c>
      <c r="Y300" s="253">
        <v>9.5</v>
      </c>
    </row>
    <row r="301" spans="2:27">
      <c r="B301" s="218"/>
      <c r="C301" s="219"/>
      <c r="D301" s="219">
        <f>+IF(E296&lt;=D297,E296*D298,0)</f>
        <v>0.86547406311580677</v>
      </c>
      <c r="E301" s="219">
        <f>+IF(AND(E296&lt;=E297,E296&gt;D297),D300+(E296-D297)*E298,0)</f>
        <v>0</v>
      </c>
      <c r="F301" s="219">
        <f>+IF(AND(E296&lt;=F297,E296&gt;E297),E300+(E296-E297)*F298,0)</f>
        <v>0</v>
      </c>
      <c r="G301" s="219">
        <f>+IF(AND(E296&lt;=G297,E296&gt;F297),F300+(E296-F297)*G298,0)</f>
        <v>0</v>
      </c>
      <c r="H301" s="219">
        <f>+IF(AND(E296&lt;=H297,E296&gt;G297),G300+(E296-G297)*H298,0)</f>
        <v>0</v>
      </c>
      <c r="I301" s="219">
        <f>+IF(AND(E296&lt;=I297,E296&gt;H297),H300+(E296-H297)*I298,0)</f>
        <v>0</v>
      </c>
      <c r="J301" s="219">
        <f>+IF(AND(E296&lt;=J297,E296&gt;I297),I300+(E296-I297)*J298,0)</f>
        <v>0</v>
      </c>
      <c r="K301" s="219">
        <f>+IF(AND(E296&lt;=K297,E296&gt;J297),J300+(E296-J297)*K298,0)</f>
        <v>0</v>
      </c>
      <c r="L301" s="219">
        <f>+IF(AND(E296&lt;=L297,E296&gt;K297),K300+(E296-K297)*L298,0)</f>
        <v>0</v>
      </c>
      <c r="M301" s="219">
        <f>+IF(AND(E296&lt;=M297,E296&gt;L297),L300+(E296-L297)*M298,0)</f>
        <v>0</v>
      </c>
      <c r="N301" s="219">
        <f>+IF(AND(E296&lt;=N297,E296&gt;M297),M300+(E296-M297)*N298,0)</f>
        <v>0</v>
      </c>
      <c r="O301" s="219">
        <f>+IF(AND(E296&lt;=O297,E296&gt;N297),N300+(E296-N297)*O298,0)</f>
        <v>0</v>
      </c>
      <c r="P301" s="219">
        <f>+IF(AND(E296&lt;=P297,E296&gt;O297),O300+(E296-O297)*P298,0)</f>
        <v>0</v>
      </c>
      <c r="Q301" s="219">
        <f>+IF(AND(E296&lt;=Q297,E296&gt;P297),P300+(E296-P297)*Q298,0)</f>
        <v>0</v>
      </c>
      <c r="R301" s="219">
        <f>+IF(AND(E296&lt;=R297,E296&gt;Q297),Q300+(E296-Q297)*R298,0)</f>
        <v>0</v>
      </c>
      <c r="S301" s="219">
        <f>+IF(AND(E296&lt;=S297,E296&gt;R297),R300+(E296-R297)*S298,0)</f>
        <v>0</v>
      </c>
      <c r="T301" s="219">
        <f>+IF(AND(E296&lt;=T297,E296&gt;S297),S300+(E296-S297)*T298,0)</f>
        <v>0</v>
      </c>
      <c r="U301" s="219">
        <f>+IF(AND(E296&lt;=U297,E296&gt;T297),T300+(E296-T297)*U298,0)</f>
        <v>0</v>
      </c>
      <c r="V301" s="219">
        <f>+IF(AND(E296&lt;=V297,E296&gt;U297),U300+(E296-U297)*V298,0)</f>
        <v>0</v>
      </c>
      <c r="W301" s="219">
        <f t="shared" ref="W301:X301" si="44">+IF(AND(F296&lt;=W297,F296&gt;V297),V300+(F296-V297)*W298,0)</f>
        <v>0</v>
      </c>
      <c r="X301" s="219">
        <f t="shared" si="44"/>
        <v>0</v>
      </c>
      <c r="Y301" s="316">
        <f>+IF(E296&gt;X297,Y300,0)</f>
        <v>0</v>
      </c>
    </row>
    <row r="303" spans="2:27">
      <c r="B303" s="317" t="s">
        <v>313</v>
      </c>
    </row>
    <row r="304" spans="2:27">
      <c r="B304" s="318" t="s">
        <v>314</v>
      </c>
      <c r="C304" s="319"/>
      <c r="D304" s="293">
        <f>SUM(D310:I310)*G304</f>
        <v>3.6993410217212594</v>
      </c>
      <c r="E304" s="293"/>
      <c r="F304" s="320" t="s">
        <v>315</v>
      </c>
      <c r="G304" s="188">
        <v>1.1200000000000001</v>
      </c>
    </row>
    <row r="305" spans="2:27">
      <c r="B305" s="295" t="s">
        <v>316</v>
      </c>
      <c r="C305" s="291"/>
      <c r="D305" s="321">
        <f>'江苏省工程总表 '!H9</f>
        <v>4405.9661102165337</v>
      </c>
      <c r="E305" s="291"/>
      <c r="F305" s="291"/>
      <c r="G305" s="298"/>
      <c r="Z305" s="173"/>
      <c r="AA305" s="173"/>
    </row>
    <row r="306" spans="2:27">
      <c r="B306" s="295"/>
      <c r="C306" s="291"/>
      <c r="D306" s="291">
        <v>1000</v>
      </c>
      <c r="E306" s="291">
        <v>2000</v>
      </c>
      <c r="F306" s="291">
        <v>4000</v>
      </c>
      <c r="G306" s="322"/>
      <c r="Z306" s="173" t="s">
        <v>317</v>
      </c>
      <c r="AA306" s="161" t="str">
        <f>"("&amp;LOOKUP(0,0/(B310:Z310&lt;&gt;0),A309:U309)&amp;"+("&amp;ROUND(D305,2)&amp;"-"&amp;LOOKUP(0,0/(B310:Z310&lt;&gt;0),A306:U306)&amp;")*"&amp;LOOKUP(0,0/(B310:Z310&lt;&gt;0),B307:Z307)*100&amp;"%）*"&amp;G304</f>
        <v>(3.1+(4405.97-4000)*0.05%）*1.12</v>
      </c>
    </row>
    <row r="307" spans="2:27">
      <c r="B307" s="295" t="s">
        <v>268</v>
      </c>
      <c r="C307" s="291"/>
      <c r="D307" s="323">
        <v>8.9999999999999998E-4</v>
      </c>
      <c r="E307" s="323">
        <v>8.0000000000000004E-4</v>
      </c>
      <c r="F307" s="323">
        <v>6.9999999999999999E-4</v>
      </c>
      <c r="G307" s="324">
        <v>5.0000000000000001E-4</v>
      </c>
      <c r="Z307" s="173"/>
    </row>
    <row r="308" spans="2:27">
      <c r="B308" s="295" t="s">
        <v>269</v>
      </c>
      <c r="C308" s="291"/>
      <c r="D308" s="291">
        <f>D306*D307</f>
        <v>0.9</v>
      </c>
      <c r="E308" s="291">
        <f>(E306-D306)*E307</f>
        <v>0.8</v>
      </c>
      <c r="F308" s="291">
        <f>(F306-E306)*F307</f>
        <v>1.4</v>
      </c>
      <c r="G308" s="298"/>
    </row>
    <row r="309" spans="2:27">
      <c r="B309" s="295" t="s">
        <v>270</v>
      </c>
      <c r="C309" s="291"/>
      <c r="D309" s="291">
        <f>+D308</f>
        <v>0.9</v>
      </c>
      <c r="E309" s="291">
        <f>+E308+D309</f>
        <v>1.7000000000000002</v>
      </c>
      <c r="F309" s="291">
        <f>+F308+E309</f>
        <v>3.1</v>
      </c>
      <c r="G309" s="298"/>
    </row>
    <row r="310" spans="2:27">
      <c r="B310" s="299"/>
      <c r="C310" s="300"/>
      <c r="D310" s="325">
        <f>+IF(D305&lt;=D306,D305*D307,0)</f>
        <v>0</v>
      </c>
      <c r="E310" s="325">
        <f>+IF(AND(D305&lt;=E306,D305&gt;D306),D309+(D305-D306)*E307,0)</f>
        <v>0</v>
      </c>
      <c r="F310" s="325">
        <f>+IF(AND(D305&lt;=F306,D305&gt;E306),E309+(D305-E306)*F307,0)</f>
        <v>0</v>
      </c>
      <c r="G310" s="326">
        <f>+IF(D305&gt;F306,F309+(D305-F306)*G307,0)</f>
        <v>3.3029830551082671</v>
      </c>
    </row>
    <row r="313" spans="2:27">
      <c r="B313" s="290" t="s">
        <v>318</v>
      </c>
      <c r="C313" s="291"/>
    </row>
    <row r="314" spans="2:27">
      <c r="B314" s="162" t="s">
        <v>319</v>
      </c>
      <c r="C314" s="163"/>
      <c r="D314" s="164">
        <f ca="1">SUM(D320:I320)*G314</f>
        <v>2.9575243766457588</v>
      </c>
      <c r="E314" s="164"/>
      <c r="F314" s="302" t="s">
        <v>320</v>
      </c>
      <c r="G314" s="303">
        <v>0.8</v>
      </c>
      <c r="H314" s="163"/>
      <c r="I314" s="166"/>
    </row>
    <row r="315" spans="2:27">
      <c r="B315" s="167" t="s">
        <v>321</v>
      </c>
      <c r="D315" s="168">
        <f ca="1">'江苏省工程总表 '!H121</f>
        <v>5992.2636770179961</v>
      </c>
      <c r="E315" s="169"/>
      <c r="F315" s="169"/>
      <c r="G315" s="169"/>
      <c r="H315" s="169"/>
      <c r="I315" s="170"/>
    </row>
    <row r="316" spans="2:27">
      <c r="B316" s="171"/>
      <c r="C316" s="172">
        <v>0</v>
      </c>
      <c r="D316" s="169">
        <v>500</v>
      </c>
      <c r="E316" s="169">
        <v>1000</v>
      </c>
      <c r="F316" s="169">
        <v>5000</v>
      </c>
      <c r="G316" s="169">
        <v>10000</v>
      </c>
      <c r="H316" s="169">
        <v>50000</v>
      </c>
      <c r="I316" s="170" t="s">
        <v>322</v>
      </c>
      <c r="Z316" s="173" t="s">
        <v>323</v>
      </c>
      <c r="AA316" s="161" t="str">
        <f t="array" aca="1" ref="AA316" ca="1">"("&amp;LOOKUP(0,0/(B320:Z320&lt;&gt;0),A319:U319)&amp;"+("&amp;ROUND(D315,2)&amp;"-"&amp;LOOKUP(0,0/(B320:Z320&lt;&gt;0),A316:U316)&amp;")*"&amp;LOOKUP(0,0/(B320:Z320&lt;&gt;0),B317:Z317)*100&amp;"%）*"&amp;G314</f>
        <v>(3.3+(5992.26-5000)*0.04%）*0.8</v>
      </c>
    </row>
    <row r="317" spans="2:27">
      <c r="B317" s="174" t="s">
        <v>211</v>
      </c>
      <c r="C317" s="172"/>
      <c r="D317" s="175">
        <v>1E-3</v>
      </c>
      <c r="E317" s="175">
        <v>8.0000000000000004E-4</v>
      </c>
      <c r="F317" s="175">
        <v>5.9999999999999995E-4</v>
      </c>
      <c r="G317" s="175">
        <v>4.0000000000000002E-4</v>
      </c>
      <c r="H317" s="175">
        <v>2.9999999999999997E-4</v>
      </c>
      <c r="I317" s="176">
        <v>2.0000000000000001E-4</v>
      </c>
    </row>
    <row r="318" spans="2:27">
      <c r="B318" s="174" t="s">
        <v>212</v>
      </c>
      <c r="C318" s="172"/>
      <c r="D318" s="177">
        <f>D316*D317</f>
        <v>0.5</v>
      </c>
      <c r="E318" s="177">
        <f>(E316-D316)*E317</f>
        <v>0.4</v>
      </c>
      <c r="F318" s="177">
        <f>(F316-E316)*F317</f>
        <v>2.4</v>
      </c>
      <c r="G318" s="177">
        <f>(G316-F316)*G317</f>
        <v>2</v>
      </c>
      <c r="H318" s="177">
        <f>(H316-G316)*H317</f>
        <v>11.999999999999998</v>
      </c>
      <c r="I318" s="170"/>
    </row>
    <row r="319" spans="2:27">
      <c r="B319" s="174" t="s">
        <v>213</v>
      </c>
      <c r="C319" s="172">
        <v>0</v>
      </c>
      <c r="D319" s="177">
        <f>+D318</f>
        <v>0.5</v>
      </c>
      <c r="E319" s="177">
        <f>+E318+D319</f>
        <v>0.9</v>
      </c>
      <c r="F319" s="177">
        <f>+F318+E319</f>
        <v>3.3</v>
      </c>
      <c r="G319" s="177">
        <f>+G318+F319</f>
        <v>5.3</v>
      </c>
      <c r="H319" s="177">
        <f>+H318+G319</f>
        <v>17.299999999999997</v>
      </c>
      <c r="I319" s="170"/>
    </row>
    <row r="320" spans="2:27">
      <c r="B320" s="178" t="s">
        <v>214</v>
      </c>
      <c r="C320" s="179"/>
      <c r="D320" s="180">
        <f ca="1">+IF(D315&lt;=D316,D315*D317,0)</f>
        <v>0</v>
      </c>
      <c r="E320" s="180">
        <f ca="1">+IF(AND(D315&lt;=E316,D315&gt;D316),D319+(D315-D316)*E317,0)</f>
        <v>0</v>
      </c>
      <c r="F320" s="180">
        <f ca="1">+IF(AND(D315&lt;=F316,D315&gt;E316),E319+(D315-E316)*F317,0)</f>
        <v>0</v>
      </c>
      <c r="G320" s="180">
        <f ca="1">+IF(AND(D315&lt;=G316,D315&gt;F316),F319+(D315-F316)*G317,0)</f>
        <v>3.6969054708071982</v>
      </c>
      <c r="H320" s="180">
        <f ca="1">+IF(AND(D315&lt;=H316,D315&gt;G316),G319+(D315-G316)*H317,0)</f>
        <v>0</v>
      </c>
      <c r="I320" s="304">
        <f ca="1">+IF(D315&gt;H316,H319+(D315-H316)*I317,0)</f>
        <v>0</v>
      </c>
    </row>
    <row r="322" spans="2:27">
      <c r="B322" s="162" t="s">
        <v>324</v>
      </c>
      <c r="C322" s="163"/>
      <c r="D322" s="164">
        <f ca="1">SUM(D328:I328)*G322</f>
        <v>3.436286564968638</v>
      </c>
      <c r="E322" s="164"/>
      <c r="F322" s="302" t="s">
        <v>325</v>
      </c>
      <c r="G322" s="303">
        <v>0.8</v>
      </c>
      <c r="H322" s="163"/>
      <c r="I322" s="166"/>
    </row>
    <row r="323" spans="2:27">
      <c r="B323" s="167" t="s">
        <v>326</v>
      </c>
      <c r="D323" s="168">
        <f ca="1">'江苏省工程总表 '!H121</f>
        <v>5992.2636770179961</v>
      </c>
      <c r="E323" s="169"/>
      <c r="F323" s="169"/>
      <c r="G323" s="169"/>
      <c r="H323" s="169"/>
      <c r="I323" s="170"/>
    </row>
    <row r="324" spans="2:27">
      <c r="B324" s="171"/>
      <c r="C324" s="172">
        <v>0</v>
      </c>
      <c r="D324" s="169">
        <v>500</v>
      </c>
      <c r="E324" s="169">
        <v>1000</v>
      </c>
      <c r="F324" s="169">
        <v>5000</v>
      </c>
      <c r="G324" s="169">
        <v>10000</v>
      </c>
      <c r="H324" s="169">
        <v>50000</v>
      </c>
      <c r="I324" s="170" t="s">
        <v>322</v>
      </c>
      <c r="Z324" s="173" t="s">
        <v>323</v>
      </c>
      <c r="AA324" s="161" t="str">
        <f t="array" aca="1" ref="AA324" ca="1">"("&amp;LOOKUP(0,0/(B328:Z328&lt;&gt;0),A327:U327)&amp;"+("&amp;ROUND(D323,2)&amp;"-"&amp;LOOKUP(0,0/(B328:Z328&lt;&gt;0),A324:U324)&amp;")*"&amp;LOOKUP(0,0/(B328:Z328&lt;&gt;0),B325:Z325)*100&amp;"%）*"&amp;G322</f>
        <v>(3.7+(5992.26-5000)*0.06%）*0.8</v>
      </c>
    </row>
    <row r="325" spans="2:27">
      <c r="B325" s="174" t="s">
        <v>211</v>
      </c>
      <c r="C325" s="172"/>
      <c r="D325" s="175">
        <v>1E-3</v>
      </c>
      <c r="E325" s="175">
        <v>8.0000000000000004E-4</v>
      </c>
      <c r="F325" s="175">
        <v>6.9999999999999999E-4</v>
      </c>
      <c r="G325" s="175">
        <v>5.9999999999999995E-4</v>
      </c>
      <c r="H325" s="175">
        <v>5.0000000000000001E-4</v>
      </c>
      <c r="I325" s="176">
        <v>4.0000000000000002E-4</v>
      </c>
    </row>
    <row r="326" spans="2:27">
      <c r="B326" s="174" t="s">
        <v>212</v>
      </c>
      <c r="C326" s="172"/>
      <c r="D326" s="177">
        <f>D324*D325</f>
        <v>0.5</v>
      </c>
      <c r="E326" s="177">
        <f>(E324-D324)*E325</f>
        <v>0.4</v>
      </c>
      <c r="F326" s="177">
        <f>(F324-E324)*F325</f>
        <v>2.8</v>
      </c>
      <c r="G326" s="177">
        <f>(G324-F324)*G325</f>
        <v>2.9999999999999996</v>
      </c>
      <c r="H326" s="177">
        <f>(H324-G324)*H325</f>
        <v>20</v>
      </c>
      <c r="I326" s="170"/>
    </row>
    <row r="327" spans="2:27">
      <c r="B327" s="174" t="s">
        <v>213</v>
      </c>
      <c r="C327" s="172">
        <v>0</v>
      </c>
      <c r="D327" s="177">
        <f>+D326</f>
        <v>0.5</v>
      </c>
      <c r="E327" s="177">
        <f>+E326+D327</f>
        <v>0.9</v>
      </c>
      <c r="F327" s="177">
        <f>+F326+E327</f>
        <v>3.6999999999999997</v>
      </c>
      <c r="G327" s="177">
        <f>+G326+F327</f>
        <v>6.6999999999999993</v>
      </c>
      <c r="H327" s="177">
        <f>+H326+G327</f>
        <v>26.7</v>
      </c>
      <c r="I327" s="170"/>
    </row>
    <row r="328" spans="2:27">
      <c r="B328" s="178" t="s">
        <v>214</v>
      </c>
      <c r="C328" s="179"/>
      <c r="D328" s="180">
        <f ca="1">+IF(D323&lt;=D324,D323*D325,0)</f>
        <v>0</v>
      </c>
      <c r="E328" s="180">
        <f ca="1">+IF(AND(D323&lt;=E324,D323&gt;D324),D327+(D323-D324)*E325,0)</f>
        <v>0</v>
      </c>
      <c r="F328" s="180">
        <f ca="1">+IF(AND(D323&lt;=F324,D323&gt;E324),E327+(D323-E324)*F325,0)</f>
        <v>0</v>
      </c>
      <c r="G328" s="180">
        <f ca="1">+IF(AND(D323&lt;=G324,D323&gt;F324),F327+(D323-F324)*G325,0)</f>
        <v>4.2953582062107971</v>
      </c>
      <c r="H328" s="180">
        <f ca="1">+IF(AND(D323&lt;=H324,D323&gt;G324),G327+(D323-G324)*H325,0)</f>
        <v>0</v>
      </c>
      <c r="I328" s="304">
        <f ca="1">+IF(D323&gt;H324,H327+(D323-H324)*I325,0)</f>
        <v>0</v>
      </c>
    </row>
    <row r="330" spans="2:27" ht="24">
      <c r="B330" s="305" t="s">
        <v>327</v>
      </c>
      <c r="C330" s="163"/>
      <c r="D330" s="164">
        <f>SUM(D336:I336)*G330</f>
        <v>11.054318664519682</v>
      </c>
      <c r="E330" s="164"/>
      <c r="F330" s="302" t="s">
        <v>328</v>
      </c>
      <c r="G330" s="303">
        <v>0.8</v>
      </c>
      <c r="H330" s="163"/>
      <c r="I330" s="166"/>
    </row>
    <row r="331" spans="2:27">
      <c r="B331" s="167" t="s">
        <v>329</v>
      </c>
      <c r="D331" s="168">
        <f>'江苏省工程总表 '!H9</f>
        <v>4405.9661102165337</v>
      </c>
      <c r="E331" s="169"/>
      <c r="F331" s="169"/>
      <c r="G331" s="169"/>
      <c r="H331" s="169"/>
      <c r="I331" s="170"/>
    </row>
    <row r="332" spans="2:27">
      <c r="B332" s="171"/>
      <c r="C332" s="172">
        <v>0</v>
      </c>
      <c r="D332" s="169">
        <v>500</v>
      </c>
      <c r="E332" s="169">
        <v>1000</v>
      </c>
      <c r="F332" s="169">
        <v>5000</v>
      </c>
      <c r="G332" s="169">
        <v>10000</v>
      </c>
      <c r="H332" s="169">
        <v>50000</v>
      </c>
      <c r="I332" s="170" t="s">
        <v>330</v>
      </c>
      <c r="Z332" s="173" t="s">
        <v>304</v>
      </c>
      <c r="AA332" s="161" t="str">
        <f t="array" ref="AA332">"("&amp;LOOKUP(0,0/(B336:Z336&lt;&gt;0),A335:U335)&amp;"+("&amp;ROUND(D331,2)&amp;"-"&amp;LOOKUP(0,0/(B336:Z336&lt;&gt;0),A332:U332)&amp;")*"&amp;LOOKUP(0,0/(B336:Z336&lt;&gt;0),B333:Z333)*100&amp;"%）*"&amp;G330</f>
        <v>(3.6+(4405.97-1000)*0.3%）*0.8</v>
      </c>
    </row>
    <row r="333" spans="2:27">
      <c r="B333" s="174" t="s">
        <v>211</v>
      </c>
      <c r="C333" s="172"/>
      <c r="D333" s="175">
        <v>3.8E-3</v>
      </c>
      <c r="E333" s="175">
        <v>3.3999999999999998E-3</v>
      </c>
      <c r="F333" s="175">
        <v>3.0000000000000001E-3</v>
      </c>
      <c r="G333" s="175">
        <v>2.3999999999999998E-3</v>
      </c>
      <c r="H333" s="175">
        <v>2E-3</v>
      </c>
      <c r="I333" s="176">
        <v>1.6000000000000001E-3</v>
      </c>
    </row>
    <row r="334" spans="2:27">
      <c r="B334" s="174" t="s">
        <v>212</v>
      </c>
      <c r="C334" s="172"/>
      <c r="D334" s="177">
        <f>D332*D333</f>
        <v>1.9</v>
      </c>
      <c r="E334" s="177">
        <f>(E332-D332)*E333</f>
        <v>1.7</v>
      </c>
      <c r="F334" s="177">
        <f>(F332-E332)*F333</f>
        <v>12</v>
      </c>
      <c r="G334" s="177">
        <f>(G332-F332)*G333</f>
        <v>11.999999999999998</v>
      </c>
      <c r="H334" s="177">
        <f>(H332-G332)*H333</f>
        <v>80</v>
      </c>
      <c r="I334" s="170"/>
    </row>
    <row r="335" spans="2:27">
      <c r="B335" s="174" t="s">
        <v>213</v>
      </c>
      <c r="C335" s="172">
        <v>0</v>
      </c>
      <c r="D335" s="177">
        <f>+D334</f>
        <v>1.9</v>
      </c>
      <c r="E335" s="177">
        <f>+E334+D335</f>
        <v>3.5999999999999996</v>
      </c>
      <c r="F335" s="177">
        <f>+F334+E335</f>
        <v>15.6</v>
      </c>
      <c r="G335" s="177">
        <f>+G334+F335</f>
        <v>27.599999999999998</v>
      </c>
      <c r="H335" s="177">
        <f>+H334+G335</f>
        <v>107.6</v>
      </c>
      <c r="I335" s="170"/>
    </row>
    <row r="336" spans="2:27">
      <c r="B336" s="178" t="s">
        <v>214</v>
      </c>
      <c r="C336" s="179"/>
      <c r="D336" s="180">
        <f>+IF(D331&lt;=D332,D331*D333,0)</f>
        <v>0</v>
      </c>
      <c r="E336" s="180">
        <f>+IF(AND(D331&lt;=E332,D331&gt;D332),D335+(D331-D332)*E333,0)</f>
        <v>0</v>
      </c>
      <c r="F336" s="180">
        <f>+IF(AND(D331&lt;=F332,D331&gt;E332),E335+(D331-E332)*F333,0)</f>
        <v>13.817898330649601</v>
      </c>
      <c r="G336" s="180">
        <f>+IF(AND(D331&lt;=G332,D331&gt;F332),F335+(D331-F332)*G333,0)</f>
        <v>0</v>
      </c>
      <c r="H336" s="180">
        <f>+IF(AND(D331&lt;=H332,D331&gt;G332),G335+(D331-G332)*H333,0)</f>
        <v>0</v>
      </c>
      <c r="I336" s="304">
        <f>+IF(D331&gt;H332,H335+(D331-H332)*I333,0)</f>
        <v>0</v>
      </c>
    </row>
    <row r="338" spans="2:27">
      <c r="B338" s="162" t="s">
        <v>331</v>
      </c>
      <c r="C338" s="163"/>
      <c r="D338" s="164">
        <f>SUM(D344:I344)*G338</f>
        <v>4.2772501769905507</v>
      </c>
      <c r="E338" s="164"/>
      <c r="F338" s="302" t="s">
        <v>328</v>
      </c>
      <c r="G338" s="303">
        <v>0.8</v>
      </c>
      <c r="H338" s="163"/>
      <c r="I338" s="166"/>
    </row>
    <row r="339" spans="2:27">
      <c r="B339" s="167" t="s">
        <v>332</v>
      </c>
      <c r="D339" s="168">
        <f>'江苏省工程总表 '!H9</f>
        <v>4405.9661102165337</v>
      </c>
      <c r="E339" s="169"/>
      <c r="F339" s="169"/>
      <c r="G339" s="169"/>
      <c r="H339" s="169"/>
      <c r="I339" s="170"/>
    </row>
    <row r="340" spans="2:27">
      <c r="B340" s="171"/>
      <c r="C340" s="172">
        <v>0</v>
      </c>
      <c r="D340" s="169">
        <v>500</v>
      </c>
      <c r="E340" s="169">
        <v>1000</v>
      </c>
      <c r="F340" s="169">
        <v>5000</v>
      </c>
      <c r="G340" s="169">
        <v>10000</v>
      </c>
      <c r="H340" s="169">
        <v>50000</v>
      </c>
      <c r="I340" s="170" t="s">
        <v>322</v>
      </c>
      <c r="Z340" s="173" t="s">
        <v>323</v>
      </c>
      <c r="AA340" s="161" t="str">
        <f>"("&amp;LOOKUP(0,0/(B344:Z344&lt;&gt;0),A343:U343)&amp;"+("&amp;ROUND(D339,2)&amp;"-"&amp;LOOKUP(0,0/(B344:Z344&lt;&gt;0),A340:U340)&amp;")*"&amp;LOOKUP(0,0/(B344:Z344&lt;&gt;0),B341:Z341)*100&amp;"%）*"&amp;G338</f>
        <v>(1.6+(4405.97-1000)*0.11%）*0.8</v>
      </c>
    </row>
    <row r="341" spans="2:27">
      <c r="B341" s="174" t="s">
        <v>211</v>
      </c>
      <c r="C341" s="172"/>
      <c r="D341" s="175">
        <v>1.8E-3</v>
      </c>
      <c r="E341" s="175">
        <v>1.4E-3</v>
      </c>
      <c r="F341" s="175">
        <v>1.1000000000000001E-3</v>
      </c>
      <c r="G341" s="175">
        <v>8.9999999999999998E-4</v>
      </c>
      <c r="H341" s="175">
        <v>6.9999999999999999E-4</v>
      </c>
      <c r="I341" s="176">
        <v>5.0000000000000001E-4</v>
      </c>
    </row>
    <row r="342" spans="2:27">
      <c r="B342" s="174" t="s">
        <v>212</v>
      </c>
      <c r="C342" s="172"/>
      <c r="D342" s="177">
        <f>D340*D341</f>
        <v>0.9</v>
      </c>
      <c r="E342" s="177">
        <f>(E340-D340)*E341</f>
        <v>0.7</v>
      </c>
      <c r="F342" s="177">
        <f>(F340-E340)*F341</f>
        <v>4.4000000000000004</v>
      </c>
      <c r="G342" s="177">
        <f>(G340-F340)*G341</f>
        <v>4.5</v>
      </c>
      <c r="H342" s="177">
        <f>(H340-G340)*H341</f>
        <v>28</v>
      </c>
      <c r="I342" s="170"/>
    </row>
    <row r="343" spans="2:27">
      <c r="B343" s="174" t="s">
        <v>213</v>
      </c>
      <c r="C343" s="172">
        <v>0</v>
      </c>
      <c r="D343" s="177">
        <f>+D342</f>
        <v>0.9</v>
      </c>
      <c r="E343" s="177">
        <f>+E342+D343</f>
        <v>1.6</v>
      </c>
      <c r="F343" s="177">
        <f>+F342+E343</f>
        <v>6</v>
      </c>
      <c r="G343" s="177">
        <f>+G342+F343</f>
        <v>10.5</v>
      </c>
      <c r="H343" s="177">
        <f>+H342+G343</f>
        <v>38.5</v>
      </c>
      <c r="I343" s="170"/>
    </row>
    <row r="344" spans="2:27">
      <c r="B344" s="178" t="s">
        <v>214</v>
      </c>
      <c r="C344" s="179"/>
      <c r="D344" s="180">
        <f>+IF(D339&lt;=D340,D339*D341,0)</f>
        <v>0</v>
      </c>
      <c r="E344" s="180">
        <f>+IF(AND(D339&lt;=E340,D339&gt;D340),D343+(D339-D340)*E341,0)</f>
        <v>0</v>
      </c>
      <c r="F344" s="180">
        <f>+IF(AND(D339&lt;=F340,D339&gt;E340),E343+(D339-E340)*F341,0)</f>
        <v>5.3465627212381879</v>
      </c>
      <c r="G344" s="180">
        <f>+IF(AND(D339&lt;=G340,D339&gt;F340),F343+(D339-F340)*G341,0)</f>
        <v>0</v>
      </c>
      <c r="H344" s="180">
        <f>+IF(AND(D339&lt;=H340,D339&gt;G340),G343+(D339-G340)*H341,0)</f>
        <v>0</v>
      </c>
      <c r="I344" s="304">
        <f>+IF(D339&gt;H340,H343+(D339-H340)*I341,0)</f>
        <v>0</v>
      </c>
    </row>
    <row r="346" spans="2:27">
      <c r="B346" s="162" t="s">
        <v>333</v>
      </c>
      <c r="C346" s="163"/>
      <c r="D346" s="164">
        <f>SUM(D352:H352)*G346</f>
        <v>23.148637329039364</v>
      </c>
      <c r="E346" s="164"/>
      <c r="F346" s="302" t="s">
        <v>328</v>
      </c>
      <c r="G346" s="303">
        <v>0.8</v>
      </c>
      <c r="H346" s="163"/>
      <c r="I346" s="166"/>
    </row>
    <row r="347" spans="2:27">
      <c r="B347" s="167" t="s">
        <v>334</v>
      </c>
      <c r="D347" s="168">
        <f>'江苏省工程总表 '!H9</f>
        <v>4405.9661102165337</v>
      </c>
      <c r="E347" s="169"/>
      <c r="F347" s="169"/>
      <c r="G347" s="169"/>
      <c r="H347" s="169"/>
      <c r="I347" s="170"/>
    </row>
    <row r="348" spans="2:27">
      <c r="B348" s="171"/>
      <c r="C348" s="172">
        <v>0</v>
      </c>
      <c r="D348" s="169">
        <v>500</v>
      </c>
      <c r="E348" s="169">
        <v>1000</v>
      </c>
      <c r="F348" s="169">
        <v>5000</v>
      </c>
      <c r="G348" s="169">
        <v>10000</v>
      </c>
      <c r="H348" s="169">
        <v>50000</v>
      </c>
      <c r="I348" s="170" t="s">
        <v>322</v>
      </c>
      <c r="Z348" s="173" t="s">
        <v>323</v>
      </c>
      <c r="AA348" s="161" t="str">
        <f>"("&amp;LOOKUP(0,0/(B352:Z352&lt;&gt;0),A351:U351)&amp;"+("&amp;ROUND(D347,2)&amp;"-"&amp;LOOKUP(0,0/(B352:Z352&lt;&gt;0),A348:U348)&amp;")*"&amp;LOOKUP(0,0/(B352:Z352&lt;&gt;0),B349:Z349)*100&amp;"%）*"&amp;G346</f>
        <v>(8.5+(4405.97-1000)*0.6%）*0.8</v>
      </c>
    </row>
    <row r="349" spans="2:27">
      <c r="B349" s="174" t="s">
        <v>211</v>
      </c>
      <c r="C349" s="172"/>
      <c r="D349" s="175">
        <v>8.9999999999999993E-3</v>
      </c>
      <c r="E349" s="175">
        <v>8.0000000000000002E-3</v>
      </c>
      <c r="F349" s="175">
        <v>6.0000000000000001E-3</v>
      </c>
      <c r="G349" s="175">
        <v>4.0000000000000001E-3</v>
      </c>
      <c r="H349" s="175">
        <v>3.5000000000000001E-3</v>
      </c>
      <c r="I349" s="176">
        <v>3.0000000000000001E-3</v>
      </c>
    </row>
    <row r="350" spans="2:27">
      <c r="B350" s="174" t="s">
        <v>212</v>
      </c>
      <c r="C350" s="172"/>
      <c r="D350" s="177">
        <f>D348*D349</f>
        <v>4.5</v>
      </c>
      <c r="E350" s="177">
        <f>(E348-D348)*E349</f>
        <v>4</v>
      </c>
      <c r="F350" s="177">
        <f>(F348-E348)*F349</f>
        <v>24</v>
      </c>
      <c r="G350" s="177">
        <f>(G348-F348)*G349</f>
        <v>20</v>
      </c>
      <c r="H350" s="177">
        <f>(H348-G348)*H349</f>
        <v>140</v>
      </c>
      <c r="I350" s="170"/>
    </row>
    <row r="351" spans="2:27">
      <c r="B351" s="174" t="s">
        <v>213</v>
      </c>
      <c r="C351" s="172">
        <v>0</v>
      </c>
      <c r="D351" s="177">
        <f>+D350</f>
        <v>4.5</v>
      </c>
      <c r="E351" s="177">
        <f>+E350+D351</f>
        <v>8.5</v>
      </c>
      <c r="F351" s="177">
        <f>+F350+E351</f>
        <v>32.5</v>
      </c>
      <c r="G351" s="177">
        <f>+G350+F351</f>
        <v>52.5</v>
      </c>
      <c r="H351" s="177">
        <f>+H350+G351</f>
        <v>192.5</v>
      </c>
      <c r="I351" s="170"/>
    </row>
    <row r="352" spans="2:27">
      <c r="B352" s="178" t="s">
        <v>214</v>
      </c>
      <c r="C352" s="179"/>
      <c r="D352" s="180">
        <f>+IF(D347&lt;=D348,D347*D349,0)</f>
        <v>0</v>
      </c>
      <c r="E352" s="180">
        <f>+IF(AND(D347&lt;=E348,D347&gt;D348),D351+(D347-D348)*E349,0)</f>
        <v>0</v>
      </c>
      <c r="F352" s="180">
        <f>+IF(AND(D347&lt;=F348,D347&gt;E348),E351+(D347-E348)*F349,0)</f>
        <v>28.935796661299204</v>
      </c>
      <c r="G352" s="180">
        <f>+IF(AND(D347&lt;=G348,D347&gt;F348),F351+(D347-F348)*G349,0)</f>
        <v>0</v>
      </c>
      <c r="H352" s="180">
        <f>+IF(AND(D347&lt;=H348,D347&gt;G348),G351+(D347-G348)*H349,0)</f>
        <v>0</v>
      </c>
      <c r="I352" s="304">
        <f>+IF(D347&gt;H348,H351+(D347-H348)*I349,0)</f>
        <v>0</v>
      </c>
    </row>
  </sheetData>
  <mergeCells count="1">
    <mergeCell ref="A90:A92"/>
  </mergeCells>
  <phoneticPr fontId="1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Y103"/>
  <sheetViews>
    <sheetView showZeros="0" workbookViewId="0">
      <selection activeCell="J65" sqref="J65"/>
    </sheetView>
  </sheetViews>
  <sheetFormatPr defaultColWidth="8.09765625" defaultRowHeight="15.6"/>
  <cols>
    <col min="1" max="1" width="2.19921875" style="328" customWidth="1"/>
    <col min="2" max="2" width="4.5" style="328" customWidth="1"/>
    <col min="3" max="3" width="9.69921875" style="328" customWidth="1"/>
    <col min="4" max="4" width="10.296875" style="328" customWidth="1"/>
    <col min="5" max="5" width="4.59765625" style="328" customWidth="1"/>
    <col min="6" max="6" width="22.296875" style="328" customWidth="1"/>
    <col min="7" max="7" width="9.296875" style="328" customWidth="1"/>
    <col min="8" max="8" width="11.69921875" style="328" customWidth="1"/>
    <col min="9" max="9" width="10.296875" style="328" customWidth="1"/>
    <col min="10" max="10" width="9.69921875" style="328" customWidth="1"/>
    <col min="11" max="15" width="8.19921875" style="328" bestFit="1" customWidth="1"/>
    <col min="16" max="16" width="8.09765625" style="328"/>
    <col min="17" max="17" width="8.19921875" style="328" bestFit="1" customWidth="1"/>
    <col min="18" max="256" width="8.09765625" style="328"/>
    <col min="257" max="257" width="2.19921875" style="328" customWidth="1"/>
    <col min="258" max="258" width="4.5" style="328" customWidth="1"/>
    <col min="259" max="259" width="9.69921875" style="328" customWidth="1"/>
    <col min="260" max="260" width="10.296875" style="328" customWidth="1"/>
    <col min="261" max="261" width="4.59765625" style="328" customWidth="1"/>
    <col min="262" max="262" width="22.296875" style="328" customWidth="1"/>
    <col min="263" max="263" width="9.296875" style="328" customWidth="1"/>
    <col min="264" max="264" width="11.69921875" style="328" customWidth="1"/>
    <col min="265" max="265" width="10.296875" style="328" customWidth="1"/>
    <col min="266" max="266" width="9.69921875" style="328" customWidth="1"/>
    <col min="267" max="271" width="8.19921875" style="328" bestFit="1" customWidth="1"/>
    <col min="272" max="272" width="8.09765625" style="328"/>
    <col min="273" max="273" width="8.19921875" style="328" bestFit="1" customWidth="1"/>
    <col min="274" max="512" width="8.09765625" style="328"/>
    <col min="513" max="513" width="2.19921875" style="328" customWidth="1"/>
    <col min="514" max="514" width="4.5" style="328" customWidth="1"/>
    <col min="515" max="515" width="9.69921875" style="328" customWidth="1"/>
    <col min="516" max="516" width="10.296875" style="328" customWidth="1"/>
    <col min="517" max="517" width="4.59765625" style="328" customWidth="1"/>
    <col min="518" max="518" width="22.296875" style="328" customWidth="1"/>
    <col min="519" max="519" width="9.296875" style="328" customWidth="1"/>
    <col min="520" max="520" width="11.69921875" style="328" customWidth="1"/>
    <col min="521" max="521" width="10.296875" style="328" customWidth="1"/>
    <col min="522" max="522" width="9.69921875" style="328" customWidth="1"/>
    <col min="523" max="527" width="8.19921875" style="328" bestFit="1" customWidth="1"/>
    <col min="528" max="528" width="8.09765625" style="328"/>
    <col min="529" max="529" width="8.19921875" style="328" bestFit="1" customWidth="1"/>
    <col min="530" max="768" width="8.09765625" style="328"/>
    <col min="769" max="769" width="2.19921875" style="328" customWidth="1"/>
    <col min="770" max="770" width="4.5" style="328" customWidth="1"/>
    <col min="771" max="771" width="9.69921875" style="328" customWidth="1"/>
    <col min="772" max="772" width="10.296875" style="328" customWidth="1"/>
    <col min="773" max="773" width="4.59765625" style="328" customWidth="1"/>
    <col min="774" max="774" width="22.296875" style="328" customWidth="1"/>
    <col min="775" max="775" width="9.296875" style="328" customWidth="1"/>
    <col min="776" max="776" width="11.69921875" style="328" customWidth="1"/>
    <col min="777" max="777" width="10.296875" style="328" customWidth="1"/>
    <col min="778" max="778" width="9.69921875" style="328" customWidth="1"/>
    <col min="779" max="783" width="8.19921875" style="328" bestFit="1" customWidth="1"/>
    <col min="784" max="784" width="8.09765625" style="328"/>
    <col min="785" max="785" width="8.19921875" style="328" bestFit="1" customWidth="1"/>
    <col min="786" max="1024" width="8.09765625" style="328"/>
    <col min="1025" max="1025" width="2.19921875" style="328" customWidth="1"/>
    <col min="1026" max="1026" width="4.5" style="328" customWidth="1"/>
    <col min="1027" max="1027" width="9.69921875" style="328" customWidth="1"/>
    <col min="1028" max="1028" width="10.296875" style="328" customWidth="1"/>
    <col min="1029" max="1029" width="4.59765625" style="328" customWidth="1"/>
    <col min="1030" max="1030" width="22.296875" style="328" customWidth="1"/>
    <col min="1031" max="1031" width="9.296875" style="328" customWidth="1"/>
    <col min="1032" max="1032" width="11.69921875" style="328" customWidth="1"/>
    <col min="1033" max="1033" width="10.296875" style="328" customWidth="1"/>
    <col min="1034" max="1034" width="9.69921875" style="328" customWidth="1"/>
    <col min="1035" max="1039" width="8.19921875" style="328" bestFit="1" customWidth="1"/>
    <col min="1040" max="1040" width="8.09765625" style="328"/>
    <col min="1041" max="1041" width="8.19921875" style="328" bestFit="1" customWidth="1"/>
    <col min="1042" max="1280" width="8.09765625" style="328"/>
    <col min="1281" max="1281" width="2.19921875" style="328" customWidth="1"/>
    <col min="1282" max="1282" width="4.5" style="328" customWidth="1"/>
    <col min="1283" max="1283" width="9.69921875" style="328" customWidth="1"/>
    <col min="1284" max="1284" width="10.296875" style="328" customWidth="1"/>
    <col min="1285" max="1285" width="4.59765625" style="328" customWidth="1"/>
    <col min="1286" max="1286" width="22.296875" style="328" customWidth="1"/>
    <col min="1287" max="1287" width="9.296875" style="328" customWidth="1"/>
    <col min="1288" max="1288" width="11.69921875" style="328" customWidth="1"/>
    <col min="1289" max="1289" width="10.296875" style="328" customWidth="1"/>
    <col min="1290" max="1290" width="9.69921875" style="328" customWidth="1"/>
    <col min="1291" max="1295" width="8.19921875" style="328" bestFit="1" customWidth="1"/>
    <col min="1296" max="1296" width="8.09765625" style="328"/>
    <col min="1297" max="1297" width="8.19921875" style="328" bestFit="1" customWidth="1"/>
    <col min="1298" max="1536" width="8.09765625" style="328"/>
    <col min="1537" max="1537" width="2.19921875" style="328" customWidth="1"/>
    <col min="1538" max="1538" width="4.5" style="328" customWidth="1"/>
    <col min="1539" max="1539" width="9.69921875" style="328" customWidth="1"/>
    <col min="1540" max="1540" width="10.296875" style="328" customWidth="1"/>
    <col min="1541" max="1541" width="4.59765625" style="328" customWidth="1"/>
    <col min="1542" max="1542" width="22.296875" style="328" customWidth="1"/>
    <col min="1543" max="1543" width="9.296875" style="328" customWidth="1"/>
    <col min="1544" max="1544" width="11.69921875" style="328" customWidth="1"/>
    <col min="1545" max="1545" width="10.296875" style="328" customWidth="1"/>
    <col min="1546" max="1546" width="9.69921875" style="328" customWidth="1"/>
    <col min="1547" max="1551" width="8.19921875" style="328" bestFit="1" customWidth="1"/>
    <col min="1552" max="1552" width="8.09765625" style="328"/>
    <col min="1553" max="1553" width="8.19921875" style="328" bestFit="1" customWidth="1"/>
    <col min="1554" max="1792" width="8.09765625" style="328"/>
    <col min="1793" max="1793" width="2.19921875" style="328" customWidth="1"/>
    <col min="1794" max="1794" width="4.5" style="328" customWidth="1"/>
    <col min="1795" max="1795" width="9.69921875" style="328" customWidth="1"/>
    <col min="1796" max="1796" width="10.296875" style="328" customWidth="1"/>
    <col min="1797" max="1797" width="4.59765625" style="328" customWidth="1"/>
    <col min="1798" max="1798" width="22.296875" style="328" customWidth="1"/>
    <col min="1799" max="1799" width="9.296875" style="328" customWidth="1"/>
    <col min="1800" max="1800" width="11.69921875" style="328" customWidth="1"/>
    <col min="1801" max="1801" width="10.296875" style="328" customWidth="1"/>
    <col min="1802" max="1802" width="9.69921875" style="328" customWidth="1"/>
    <col min="1803" max="1807" width="8.19921875" style="328" bestFit="1" customWidth="1"/>
    <col min="1808" max="1808" width="8.09765625" style="328"/>
    <col min="1809" max="1809" width="8.19921875" style="328" bestFit="1" customWidth="1"/>
    <col min="1810" max="2048" width="8.09765625" style="328"/>
    <col min="2049" max="2049" width="2.19921875" style="328" customWidth="1"/>
    <col min="2050" max="2050" width="4.5" style="328" customWidth="1"/>
    <col min="2051" max="2051" width="9.69921875" style="328" customWidth="1"/>
    <col min="2052" max="2052" width="10.296875" style="328" customWidth="1"/>
    <col min="2053" max="2053" width="4.59765625" style="328" customWidth="1"/>
    <col min="2054" max="2054" width="22.296875" style="328" customWidth="1"/>
    <col min="2055" max="2055" width="9.296875" style="328" customWidth="1"/>
    <col min="2056" max="2056" width="11.69921875" style="328" customWidth="1"/>
    <col min="2057" max="2057" width="10.296875" style="328" customWidth="1"/>
    <col min="2058" max="2058" width="9.69921875" style="328" customWidth="1"/>
    <col min="2059" max="2063" width="8.19921875" style="328" bestFit="1" customWidth="1"/>
    <col min="2064" max="2064" width="8.09765625" style="328"/>
    <col min="2065" max="2065" width="8.19921875" style="328" bestFit="1" customWidth="1"/>
    <col min="2066" max="2304" width="8.09765625" style="328"/>
    <col min="2305" max="2305" width="2.19921875" style="328" customWidth="1"/>
    <col min="2306" max="2306" width="4.5" style="328" customWidth="1"/>
    <col min="2307" max="2307" width="9.69921875" style="328" customWidth="1"/>
    <col min="2308" max="2308" width="10.296875" style="328" customWidth="1"/>
    <col min="2309" max="2309" width="4.59765625" style="328" customWidth="1"/>
    <col min="2310" max="2310" width="22.296875" style="328" customWidth="1"/>
    <col min="2311" max="2311" width="9.296875" style="328" customWidth="1"/>
    <col min="2312" max="2312" width="11.69921875" style="328" customWidth="1"/>
    <col min="2313" max="2313" width="10.296875" style="328" customWidth="1"/>
    <col min="2314" max="2314" width="9.69921875" style="328" customWidth="1"/>
    <col min="2315" max="2319" width="8.19921875" style="328" bestFit="1" customWidth="1"/>
    <col min="2320" max="2320" width="8.09765625" style="328"/>
    <col min="2321" max="2321" width="8.19921875" style="328" bestFit="1" customWidth="1"/>
    <col min="2322" max="2560" width="8.09765625" style="328"/>
    <col min="2561" max="2561" width="2.19921875" style="328" customWidth="1"/>
    <col min="2562" max="2562" width="4.5" style="328" customWidth="1"/>
    <col min="2563" max="2563" width="9.69921875" style="328" customWidth="1"/>
    <col min="2564" max="2564" width="10.296875" style="328" customWidth="1"/>
    <col min="2565" max="2565" width="4.59765625" style="328" customWidth="1"/>
    <col min="2566" max="2566" width="22.296875" style="328" customWidth="1"/>
    <col min="2567" max="2567" width="9.296875" style="328" customWidth="1"/>
    <col min="2568" max="2568" width="11.69921875" style="328" customWidth="1"/>
    <col min="2569" max="2569" width="10.296875" style="328" customWidth="1"/>
    <col min="2570" max="2570" width="9.69921875" style="328" customWidth="1"/>
    <col min="2571" max="2575" width="8.19921875" style="328" bestFit="1" customWidth="1"/>
    <col min="2576" max="2576" width="8.09765625" style="328"/>
    <col min="2577" max="2577" width="8.19921875" style="328" bestFit="1" customWidth="1"/>
    <col min="2578" max="2816" width="8.09765625" style="328"/>
    <col min="2817" max="2817" width="2.19921875" style="328" customWidth="1"/>
    <col min="2818" max="2818" width="4.5" style="328" customWidth="1"/>
    <col min="2819" max="2819" width="9.69921875" style="328" customWidth="1"/>
    <col min="2820" max="2820" width="10.296875" style="328" customWidth="1"/>
    <col min="2821" max="2821" width="4.59765625" style="328" customWidth="1"/>
    <col min="2822" max="2822" width="22.296875" style="328" customWidth="1"/>
    <col min="2823" max="2823" width="9.296875" style="328" customWidth="1"/>
    <col min="2824" max="2824" width="11.69921875" style="328" customWidth="1"/>
    <col min="2825" max="2825" width="10.296875" style="328" customWidth="1"/>
    <col min="2826" max="2826" width="9.69921875" style="328" customWidth="1"/>
    <col min="2827" max="2831" width="8.19921875" style="328" bestFit="1" customWidth="1"/>
    <col min="2832" max="2832" width="8.09765625" style="328"/>
    <col min="2833" max="2833" width="8.19921875" style="328" bestFit="1" customWidth="1"/>
    <col min="2834" max="3072" width="8.09765625" style="328"/>
    <col min="3073" max="3073" width="2.19921875" style="328" customWidth="1"/>
    <col min="3074" max="3074" width="4.5" style="328" customWidth="1"/>
    <col min="3075" max="3075" width="9.69921875" style="328" customWidth="1"/>
    <col min="3076" max="3076" width="10.296875" style="328" customWidth="1"/>
    <col min="3077" max="3077" width="4.59765625" style="328" customWidth="1"/>
    <col min="3078" max="3078" width="22.296875" style="328" customWidth="1"/>
    <col min="3079" max="3079" width="9.296875" style="328" customWidth="1"/>
    <col min="3080" max="3080" width="11.69921875" style="328" customWidth="1"/>
    <col min="3081" max="3081" width="10.296875" style="328" customWidth="1"/>
    <col min="3082" max="3082" width="9.69921875" style="328" customWidth="1"/>
    <col min="3083" max="3087" width="8.19921875" style="328" bestFit="1" customWidth="1"/>
    <col min="3088" max="3088" width="8.09765625" style="328"/>
    <col min="3089" max="3089" width="8.19921875" style="328" bestFit="1" customWidth="1"/>
    <col min="3090" max="3328" width="8.09765625" style="328"/>
    <col min="3329" max="3329" width="2.19921875" style="328" customWidth="1"/>
    <col min="3330" max="3330" width="4.5" style="328" customWidth="1"/>
    <col min="3331" max="3331" width="9.69921875" style="328" customWidth="1"/>
    <col min="3332" max="3332" width="10.296875" style="328" customWidth="1"/>
    <col min="3333" max="3333" width="4.59765625" style="328" customWidth="1"/>
    <col min="3334" max="3334" width="22.296875" style="328" customWidth="1"/>
    <col min="3335" max="3335" width="9.296875" style="328" customWidth="1"/>
    <col min="3336" max="3336" width="11.69921875" style="328" customWidth="1"/>
    <col min="3337" max="3337" width="10.296875" style="328" customWidth="1"/>
    <col min="3338" max="3338" width="9.69921875" style="328" customWidth="1"/>
    <col min="3339" max="3343" width="8.19921875" style="328" bestFit="1" customWidth="1"/>
    <col min="3344" max="3344" width="8.09765625" style="328"/>
    <col min="3345" max="3345" width="8.19921875" style="328" bestFit="1" customWidth="1"/>
    <col min="3346" max="3584" width="8.09765625" style="328"/>
    <col min="3585" max="3585" width="2.19921875" style="328" customWidth="1"/>
    <col min="3586" max="3586" width="4.5" style="328" customWidth="1"/>
    <col min="3587" max="3587" width="9.69921875" style="328" customWidth="1"/>
    <col min="3588" max="3588" width="10.296875" style="328" customWidth="1"/>
    <col min="3589" max="3589" width="4.59765625" style="328" customWidth="1"/>
    <col min="3590" max="3590" width="22.296875" style="328" customWidth="1"/>
    <col min="3591" max="3591" width="9.296875" style="328" customWidth="1"/>
    <col min="3592" max="3592" width="11.69921875" style="328" customWidth="1"/>
    <col min="3593" max="3593" width="10.296875" style="328" customWidth="1"/>
    <col min="3594" max="3594" width="9.69921875" style="328" customWidth="1"/>
    <col min="3595" max="3599" width="8.19921875" style="328" bestFit="1" customWidth="1"/>
    <col min="3600" max="3600" width="8.09765625" style="328"/>
    <col min="3601" max="3601" width="8.19921875" style="328" bestFit="1" customWidth="1"/>
    <col min="3602" max="3840" width="8.09765625" style="328"/>
    <col min="3841" max="3841" width="2.19921875" style="328" customWidth="1"/>
    <col min="3842" max="3842" width="4.5" style="328" customWidth="1"/>
    <col min="3843" max="3843" width="9.69921875" style="328" customWidth="1"/>
    <col min="3844" max="3844" width="10.296875" style="328" customWidth="1"/>
    <col min="3845" max="3845" width="4.59765625" style="328" customWidth="1"/>
    <col min="3846" max="3846" width="22.296875" style="328" customWidth="1"/>
    <col min="3847" max="3847" width="9.296875" style="328" customWidth="1"/>
    <col min="3848" max="3848" width="11.69921875" style="328" customWidth="1"/>
    <col min="3849" max="3849" width="10.296875" style="328" customWidth="1"/>
    <col min="3850" max="3850" width="9.69921875" style="328" customWidth="1"/>
    <col min="3851" max="3855" width="8.19921875" style="328" bestFit="1" customWidth="1"/>
    <col min="3856" max="3856" width="8.09765625" style="328"/>
    <col min="3857" max="3857" width="8.19921875" style="328" bestFit="1" customWidth="1"/>
    <col min="3858" max="4096" width="8.09765625" style="328"/>
    <col min="4097" max="4097" width="2.19921875" style="328" customWidth="1"/>
    <col min="4098" max="4098" width="4.5" style="328" customWidth="1"/>
    <col min="4099" max="4099" width="9.69921875" style="328" customWidth="1"/>
    <col min="4100" max="4100" width="10.296875" style="328" customWidth="1"/>
    <col min="4101" max="4101" width="4.59765625" style="328" customWidth="1"/>
    <col min="4102" max="4102" width="22.296875" style="328" customWidth="1"/>
    <col min="4103" max="4103" width="9.296875" style="328" customWidth="1"/>
    <col min="4104" max="4104" width="11.69921875" style="328" customWidth="1"/>
    <col min="4105" max="4105" width="10.296875" style="328" customWidth="1"/>
    <col min="4106" max="4106" width="9.69921875" style="328" customWidth="1"/>
    <col min="4107" max="4111" width="8.19921875" style="328" bestFit="1" customWidth="1"/>
    <col min="4112" max="4112" width="8.09765625" style="328"/>
    <col min="4113" max="4113" width="8.19921875" style="328" bestFit="1" customWidth="1"/>
    <col min="4114" max="4352" width="8.09765625" style="328"/>
    <col min="4353" max="4353" width="2.19921875" style="328" customWidth="1"/>
    <col min="4354" max="4354" width="4.5" style="328" customWidth="1"/>
    <col min="4355" max="4355" width="9.69921875" style="328" customWidth="1"/>
    <col min="4356" max="4356" width="10.296875" style="328" customWidth="1"/>
    <col min="4357" max="4357" width="4.59765625" style="328" customWidth="1"/>
    <col min="4358" max="4358" width="22.296875" style="328" customWidth="1"/>
    <col min="4359" max="4359" width="9.296875" style="328" customWidth="1"/>
    <col min="4360" max="4360" width="11.69921875" style="328" customWidth="1"/>
    <col min="4361" max="4361" width="10.296875" style="328" customWidth="1"/>
    <col min="4362" max="4362" width="9.69921875" style="328" customWidth="1"/>
    <col min="4363" max="4367" width="8.19921875" style="328" bestFit="1" customWidth="1"/>
    <col min="4368" max="4368" width="8.09765625" style="328"/>
    <col min="4369" max="4369" width="8.19921875" style="328" bestFit="1" customWidth="1"/>
    <col min="4370" max="4608" width="8.09765625" style="328"/>
    <col min="4609" max="4609" width="2.19921875" style="328" customWidth="1"/>
    <col min="4610" max="4610" width="4.5" style="328" customWidth="1"/>
    <col min="4611" max="4611" width="9.69921875" style="328" customWidth="1"/>
    <col min="4612" max="4612" width="10.296875" style="328" customWidth="1"/>
    <col min="4613" max="4613" width="4.59765625" style="328" customWidth="1"/>
    <col min="4614" max="4614" width="22.296875" style="328" customWidth="1"/>
    <col min="4615" max="4615" width="9.296875" style="328" customWidth="1"/>
    <col min="4616" max="4616" width="11.69921875" style="328" customWidth="1"/>
    <col min="4617" max="4617" width="10.296875" style="328" customWidth="1"/>
    <col min="4618" max="4618" width="9.69921875" style="328" customWidth="1"/>
    <col min="4619" max="4623" width="8.19921875" style="328" bestFit="1" customWidth="1"/>
    <col min="4624" max="4624" width="8.09765625" style="328"/>
    <col min="4625" max="4625" width="8.19921875" style="328" bestFit="1" customWidth="1"/>
    <col min="4626" max="4864" width="8.09765625" style="328"/>
    <col min="4865" max="4865" width="2.19921875" style="328" customWidth="1"/>
    <col min="4866" max="4866" width="4.5" style="328" customWidth="1"/>
    <col min="4867" max="4867" width="9.69921875" style="328" customWidth="1"/>
    <col min="4868" max="4868" width="10.296875" style="328" customWidth="1"/>
    <col min="4869" max="4869" width="4.59765625" style="328" customWidth="1"/>
    <col min="4870" max="4870" width="22.296875" style="328" customWidth="1"/>
    <col min="4871" max="4871" width="9.296875" style="328" customWidth="1"/>
    <col min="4872" max="4872" width="11.69921875" style="328" customWidth="1"/>
    <col min="4873" max="4873" width="10.296875" style="328" customWidth="1"/>
    <col min="4874" max="4874" width="9.69921875" style="328" customWidth="1"/>
    <col min="4875" max="4879" width="8.19921875" style="328" bestFit="1" customWidth="1"/>
    <col min="4880" max="4880" width="8.09765625" style="328"/>
    <col min="4881" max="4881" width="8.19921875" style="328" bestFit="1" customWidth="1"/>
    <col min="4882" max="5120" width="8.09765625" style="328"/>
    <col min="5121" max="5121" width="2.19921875" style="328" customWidth="1"/>
    <col min="5122" max="5122" width="4.5" style="328" customWidth="1"/>
    <col min="5123" max="5123" width="9.69921875" style="328" customWidth="1"/>
    <col min="5124" max="5124" width="10.296875" style="328" customWidth="1"/>
    <col min="5125" max="5125" width="4.59765625" style="328" customWidth="1"/>
    <col min="5126" max="5126" width="22.296875" style="328" customWidth="1"/>
    <col min="5127" max="5127" width="9.296875" style="328" customWidth="1"/>
    <col min="5128" max="5128" width="11.69921875" style="328" customWidth="1"/>
    <col min="5129" max="5129" width="10.296875" style="328" customWidth="1"/>
    <col min="5130" max="5130" width="9.69921875" style="328" customWidth="1"/>
    <col min="5131" max="5135" width="8.19921875" style="328" bestFit="1" customWidth="1"/>
    <col min="5136" max="5136" width="8.09765625" style="328"/>
    <col min="5137" max="5137" width="8.19921875" style="328" bestFit="1" customWidth="1"/>
    <col min="5138" max="5376" width="8.09765625" style="328"/>
    <col min="5377" max="5377" width="2.19921875" style="328" customWidth="1"/>
    <col min="5378" max="5378" width="4.5" style="328" customWidth="1"/>
    <col min="5379" max="5379" width="9.69921875" style="328" customWidth="1"/>
    <col min="5380" max="5380" width="10.296875" style="328" customWidth="1"/>
    <col min="5381" max="5381" width="4.59765625" style="328" customWidth="1"/>
    <col min="5382" max="5382" width="22.296875" style="328" customWidth="1"/>
    <col min="5383" max="5383" width="9.296875" style="328" customWidth="1"/>
    <col min="5384" max="5384" width="11.69921875" style="328" customWidth="1"/>
    <col min="5385" max="5385" width="10.296875" style="328" customWidth="1"/>
    <col min="5386" max="5386" width="9.69921875" style="328" customWidth="1"/>
    <col min="5387" max="5391" width="8.19921875" style="328" bestFit="1" customWidth="1"/>
    <col min="5392" max="5392" width="8.09765625" style="328"/>
    <col min="5393" max="5393" width="8.19921875" style="328" bestFit="1" customWidth="1"/>
    <col min="5394" max="5632" width="8.09765625" style="328"/>
    <col min="5633" max="5633" width="2.19921875" style="328" customWidth="1"/>
    <col min="5634" max="5634" width="4.5" style="328" customWidth="1"/>
    <col min="5635" max="5635" width="9.69921875" style="328" customWidth="1"/>
    <col min="5636" max="5636" width="10.296875" style="328" customWidth="1"/>
    <col min="5637" max="5637" width="4.59765625" style="328" customWidth="1"/>
    <col min="5638" max="5638" width="22.296875" style="328" customWidth="1"/>
    <col min="5639" max="5639" width="9.296875" style="328" customWidth="1"/>
    <col min="5640" max="5640" width="11.69921875" style="328" customWidth="1"/>
    <col min="5641" max="5641" width="10.296875" style="328" customWidth="1"/>
    <col min="5642" max="5642" width="9.69921875" style="328" customWidth="1"/>
    <col min="5643" max="5647" width="8.19921875" style="328" bestFit="1" customWidth="1"/>
    <col min="5648" max="5648" width="8.09765625" style="328"/>
    <col min="5649" max="5649" width="8.19921875" style="328" bestFit="1" customWidth="1"/>
    <col min="5650" max="5888" width="8.09765625" style="328"/>
    <col min="5889" max="5889" width="2.19921875" style="328" customWidth="1"/>
    <col min="5890" max="5890" width="4.5" style="328" customWidth="1"/>
    <col min="5891" max="5891" width="9.69921875" style="328" customWidth="1"/>
    <col min="5892" max="5892" width="10.296875" style="328" customWidth="1"/>
    <col min="5893" max="5893" width="4.59765625" style="328" customWidth="1"/>
    <col min="5894" max="5894" width="22.296875" style="328" customWidth="1"/>
    <col min="5895" max="5895" width="9.296875" style="328" customWidth="1"/>
    <col min="5896" max="5896" width="11.69921875" style="328" customWidth="1"/>
    <col min="5897" max="5897" width="10.296875" style="328" customWidth="1"/>
    <col min="5898" max="5898" width="9.69921875" style="328" customWidth="1"/>
    <col min="5899" max="5903" width="8.19921875" style="328" bestFit="1" customWidth="1"/>
    <col min="5904" max="5904" width="8.09765625" style="328"/>
    <col min="5905" max="5905" width="8.19921875" style="328" bestFit="1" customWidth="1"/>
    <col min="5906" max="6144" width="8.09765625" style="328"/>
    <col min="6145" max="6145" width="2.19921875" style="328" customWidth="1"/>
    <col min="6146" max="6146" width="4.5" style="328" customWidth="1"/>
    <col min="6147" max="6147" width="9.69921875" style="328" customWidth="1"/>
    <col min="6148" max="6148" width="10.296875" style="328" customWidth="1"/>
    <col min="6149" max="6149" width="4.59765625" style="328" customWidth="1"/>
    <col min="6150" max="6150" width="22.296875" style="328" customWidth="1"/>
    <col min="6151" max="6151" width="9.296875" style="328" customWidth="1"/>
    <col min="6152" max="6152" width="11.69921875" style="328" customWidth="1"/>
    <col min="6153" max="6153" width="10.296875" style="328" customWidth="1"/>
    <col min="6154" max="6154" width="9.69921875" style="328" customWidth="1"/>
    <col min="6155" max="6159" width="8.19921875" style="328" bestFit="1" customWidth="1"/>
    <col min="6160" max="6160" width="8.09765625" style="328"/>
    <col min="6161" max="6161" width="8.19921875" style="328" bestFit="1" customWidth="1"/>
    <col min="6162" max="6400" width="8.09765625" style="328"/>
    <col min="6401" max="6401" width="2.19921875" style="328" customWidth="1"/>
    <col min="6402" max="6402" width="4.5" style="328" customWidth="1"/>
    <col min="6403" max="6403" width="9.69921875" style="328" customWidth="1"/>
    <col min="6404" max="6404" width="10.296875" style="328" customWidth="1"/>
    <col min="6405" max="6405" width="4.59765625" style="328" customWidth="1"/>
    <col min="6406" max="6406" width="22.296875" style="328" customWidth="1"/>
    <col min="6407" max="6407" width="9.296875" style="328" customWidth="1"/>
    <col min="6408" max="6408" width="11.69921875" style="328" customWidth="1"/>
    <col min="6409" max="6409" width="10.296875" style="328" customWidth="1"/>
    <col min="6410" max="6410" width="9.69921875" style="328" customWidth="1"/>
    <col min="6411" max="6415" width="8.19921875" style="328" bestFit="1" customWidth="1"/>
    <col min="6416" max="6416" width="8.09765625" style="328"/>
    <col min="6417" max="6417" width="8.19921875" style="328" bestFit="1" customWidth="1"/>
    <col min="6418" max="6656" width="8.09765625" style="328"/>
    <col min="6657" max="6657" width="2.19921875" style="328" customWidth="1"/>
    <col min="6658" max="6658" width="4.5" style="328" customWidth="1"/>
    <col min="6659" max="6659" width="9.69921875" style="328" customWidth="1"/>
    <col min="6660" max="6660" width="10.296875" style="328" customWidth="1"/>
    <col min="6661" max="6661" width="4.59765625" style="328" customWidth="1"/>
    <col min="6662" max="6662" width="22.296875" style="328" customWidth="1"/>
    <col min="6663" max="6663" width="9.296875" style="328" customWidth="1"/>
    <col min="6664" max="6664" width="11.69921875" style="328" customWidth="1"/>
    <col min="6665" max="6665" width="10.296875" style="328" customWidth="1"/>
    <col min="6666" max="6666" width="9.69921875" style="328" customWidth="1"/>
    <col min="6667" max="6671" width="8.19921875" style="328" bestFit="1" customWidth="1"/>
    <col min="6672" max="6672" width="8.09765625" style="328"/>
    <col min="6673" max="6673" width="8.19921875" style="328" bestFit="1" customWidth="1"/>
    <col min="6674" max="6912" width="8.09765625" style="328"/>
    <col min="6913" max="6913" width="2.19921875" style="328" customWidth="1"/>
    <col min="6914" max="6914" width="4.5" style="328" customWidth="1"/>
    <col min="6915" max="6915" width="9.69921875" style="328" customWidth="1"/>
    <col min="6916" max="6916" width="10.296875" style="328" customWidth="1"/>
    <col min="6917" max="6917" width="4.59765625" style="328" customWidth="1"/>
    <col min="6918" max="6918" width="22.296875" style="328" customWidth="1"/>
    <col min="6919" max="6919" width="9.296875" style="328" customWidth="1"/>
    <col min="6920" max="6920" width="11.69921875" style="328" customWidth="1"/>
    <col min="6921" max="6921" width="10.296875" style="328" customWidth="1"/>
    <col min="6922" max="6922" width="9.69921875" style="328" customWidth="1"/>
    <col min="6923" max="6927" width="8.19921875" style="328" bestFit="1" customWidth="1"/>
    <col min="6928" max="6928" width="8.09765625" style="328"/>
    <col min="6929" max="6929" width="8.19921875" style="328" bestFit="1" customWidth="1"/>
    <col min="6930" max="7168" width="8.09765625" style="328"/>
    <col min="7169" max="7169" width="2.19921875" style="328" customWidth="1"/>
    <col min="7170" max="7170" width="4.5" style="328" customWidth="1"/>
    <col min="7171" max="7171" width="9.69921875" style="328" customWidth="1"/>
    <col min="7172" max="7172" width="10.296875" style="328" customWidth="1"/>
    <col min="7173" max="7173" width="4.59765625" style="328" customWidth="1"/>
    <col min="7174" max="7174" width="22.296875" style="328" customWidth="1"/>
    <col min="7175" max="7175" width="9.296875" style="328" customWidth="1"/>
    <col min="7176" max="7176" width="11.69921875" style="328" customWidth="1"/>
    <col min="7177" max="7177" width="10.296875" style="328" customWidth="1"/>
    <col min="7178" max="7178" width="9.69921875" style="328" customWidth="1"/>
    <col min="7179" max="7183" width="8.19921875" style="328" bestFit="1" customWidth="1"/>
    <col min="7184" max="7184" width="8.09765625" style="328"/>
    <col min="7185" max="7185" width="8.19921875" style="328" bestFit="1" customWidth="1"/>
    <col min="7186" max="7424" width="8.09765625" style="328"/>
    <col min="7425" max="7425" width="2.19921875" style="328" customWidth="1"/>
    <col min="7426" max="7426" width="4.5" style="328" customWidth="1"/>
    <col min="7427" max="7427" width="9.69921875" style="328" customWidth="1"/>
    <col min="7428" max="7428" width="10.296875" style="328" customWidth="1"/>
    <col min="7429" max="7429" width="4.59765625" style="328" customWidth="1"/>
    <col min="7430" max="7430" width="22.296875" style="328" customWidth="1"/>
    <col min="7431" max="7431" width="9.296875" style="328" customWidth="1"/>
    <col min="7432" max="7432" width="11.69921875" style="328" customWidth="1"/>
    <col min="7433" max="7433" width="10.296875" style="328" customWidth="1"/>
    <col min="7434" max="7434" width="9.69921875" style="328" customWidth="1"/>
    <col min="7435" max="7439" width="8.19921875" style="328" bestFit="1" customWidth="1"/>
    <col min="7440" max="7440" width="8.09765625" style="328"/>
    <col min="7441" max="7441" width="8.19921875" style="328" bestFit="1" customWidth="1"/>
    <col min="7442" max="7680" width="8.09765625" style="328"/>
    <col min="7681" max="7681" width="2.19921875" style="328" customWidth="1"/>
    <col min="7682" max="7682" width="4.5" style="328" customWidth="1"/>
    <col min="7683" max="7683" width="9.69921875" style="328" customWidth="1"/>
    <col min="7684" max="7684" width="10.296875" style="328" customWidth="1"/>
    <col min="7685" max="7685" width="4.59765625" style="328" customWidth="1"/>
    <col min="7686" max="7686" width="22.296875" style="328" customWidth="1"/>
    <col min="7687" max="7687" width="9.296875" style="328" customWidth="1"/>
    <col min="7688" max="7688" width="11.69921875" style="328" customWidth="1"/>
    <col min="7689" max="7689" width="10.296875" style="328" customWidth="1"/>
    <col min="7690" max="7690" width="9.69921875" style="328" customWidth="1"/>
    <col min="7691" max="7695" width="8.19921875" style="328" bestFit="1" customWidth="1"/>
    <col min="7696" max="7696" width="8.09765625" style="328"/>
    <col min="7697" max="7697" width="8.19921875" style="328" bestFit="1" customWidth="1"/>
    <col min="7698" max="7936" width="8.09765625" style="328"/>
    <col min="7937" max="7937" width="2.19921875" style="328" customWidth="1"/>
    <col min="7938" max="7938" width="4.5" style="328" customWidth="1"/>
    <col min="7939" max="7939" width="9.69921875" style="328" customWidth="1"/>
    <col min="7940" max="7940" width="10.296875" style="328" customWidth="1"/>
    <col min="7941" max="7941" width="4.59765625" style="328" customWidth="1"/>
    <col min="7942" max="7942" width="22.296875" style="328" customWidth="1"/>
    <col min="7943" max="7943" width="9.296875" style="328" customWidth="1"/>
    <col min="7944" max="7944" width="11.69921875" style="328" customWidth="1"/>
    <col min="7945" max="7945" width="10.296875" style="328" customWidth="1"/>
    <col min="7946" max="7946" width="9.69921875" style="328" customWidth="1"/>
    <col min="7947" max="7951" width="8.19921875" style="328" bestFit="1" customWidth="1"/>
    <col min="7952" max="7952" width="8.09765625" style="328"/>
    <col min="7953" max="7953" width="8.19921875" style="328" bestFit="1" customWidth="1"/>
    <col min="7954" max="8192" width="8.09765625" style="328"/>
    <col min="8193" max="8193" width="2.19921875" style="328" customWidth="1"/>
    <col min="8194" max="8194" width="4.5" style="328" customWidth="1"/>
    <col min="8195" max="8195" width="9.69921875" style="328" customWidth="1"/>
    <col min="8196" max="8196" width="10.296875" style="328" customWidth="1"/>
    <col min="8197" max="8197" width="4.59765625" style="328" customWidth="1"/>
    <col min="8198" max="8198" width="22.296875" style="328" customWidth="1"/>
    <col min="8199" max="8199" width="9.296875" style="328" customWidth="1"/>
    <col min="8200" max="8200" width="11.69921875" style="328" customWidth="1"/>
    <col min="8201" max="8201" width="10.296875" style="328" customWidth="1"/>
    <col min="8202" max="8202" width="9.69921875" style="328" customWidth="1"/>
    <col min="8203" max="8207" width="8.19921875" style="328" bestFit="1" customWidth="1"/>
    <col min="8208" max="8208" width="8.09765625" style="328"/>
    <col min="8209" max="8209" width="8.19921875" style="328" bestFit="1" customWidth="1"/>
    <col min="8210" max="8448" width="8.09765625" style="328"/>
    <col min="8449" max="8449" width="2.19921875" style="328" customWidth="1"/>
    <col min="8450" max="8450" width="4.5" style="328" customWidth="1"/>
    <col min="8451" max="8451" width="9.69921875" style="328" customWidth="1"/>
    <col min="8452" max="8452" width="10.296875" style="328" customWidth="1"/>
    <col min="8453" max="8453" width="4.59765625" style="328" customWidth="1"/>
    <col min="8454" max="8454" width="22.296875" style="328" customWidth="1"/>
    <col min="8455" max="8455" width="9.296875" style="328" customWidth="1"/>
    <col min="8456" max="8456" width="11.69921875" style="328" customWidth="1"/>
    <col min="8457" max="8457" width="10.296875" style="328" customWidth="1"/>
    <col min="8458" max="8458" width="9.69921875" style="328" customWidth="1"/>
    <col min="8459" max="8463" width="8.19921875" style="328" bestFit="1" customWidth="1"/>
    <col min="8464" max="8464" width="8.09765625" style="328"/>
    <col min="8465" max="8465" width="8.19921875" style="328" bestFit="1" customWidth="1"/>
    <col min="8466" max="8704" width="8.09765625" style="328"/>
    <col min="8705" max="8705" width="2.19921875" style="328" customWidth="1"/>
    <col min="8706" max="8706" width="4.5" style="328" customWidth="1"/>
    <col min="8707" max="8707" width="9.69921875" style="328" customWidth="1"/>
    <col min="8708" max="8708" width="10.296875" style="328" customWidth="1"/>
    <col min="8709" max="8709" width="4.59765625" style="328" customWidth="1"/>
    <col min="8710" max="8710" width="22.296875" style="328" customWidth="1"/>
    <col min="8711" max="8711" width="9.296875" style="328" customWidth="1"/>
    <col min="8712" max="8712" width="11.69921875" style="328" customWidth="1"/>
    <col min="8713" max="8713" width="10.296875" style="328" customWidth="1"/>
    <col min="8714" max="8714" width="9.69921875" style="328" customWidth="1"/>
    <col min="8715" max="8719" width="8.19921875" style="328" bestFit="1" customWidth="1"/>
    <col min="8720" max="8720" width="8.09765625" style="328"/>
    <col min="8721" max="8721" width="8.19921875" style="328" bestFit="1" customWidth="1"/>
    <col min="8722" max="8960" width="8.09765625" style="328"/>
    <col min="8961" max="8961" width="2.19921875" style="328" customWidth="1"/>
    <col min="8962" max="8962" width="4.5" style="328" customWidth="1"/>
    <col min="8963" max="8963" width="9.69921875" style="328" customWidth="1"/>
    <col min="8964" max="8964" width="10.296875" style="328" customWidth="1"/>
    <col min="8965" max="8965" width="4.59765625" style="328" customWidth="1"/>
    <col min="8966" max="8966" width="22.296875" style="328" customWidth="1"/>
    <col min="8967" max="8967" width="9.296875" style="328" customWidth="1"/>
    <col min="8968" max="8968" width="11.69921875" style="328" customWidth="1"/>
    <col min="8969" max="8969" width="10.296875" style="328" customWidth="1"/>
    <col min="8970" max="8970" width="9.69921875" style="328" customWidth="1"/>
    <col min="8971" max="8975" width="8.19921875" style="328" bestFit="1" customWidth="1"/>
    <col min="8976" max="8976" width="8.09765625" style="328"/>
    <col min="8977" max="8977" width="8.19921875" style="328" bestFit="1" customWidth="1"/>
    <col min="8978" max="9216" width="8.09765625" style="328"/>
    <col min="9217" max="9217" width="2.19921875" style="328" customWidth="1"/>
    <col min="9218" max="9218" width="4.5" style="328" customWidth="1"/>
    <col min="9219" max="9219" width="9.69921875" style="328" customWidth="1"/>
    <col min="9220" max="9220" width="10.296875" style="328" customWidth="1"/>
    <col min="9221" max="9221" width="4.59765625" style="328" customWidth="1"/>
    <col min="9222" max="9222" width="22.296875" style="328" customWidth="1"/>
    <col min="9223" max="9223" width="9.296875" style="328" customWidth="1"/>
    <col min="9224" max="9224" width="11.69921875" style="328" customWidth="1"/>
    <col min="9225" max="9225" width="10.296875" style="328" customWidth="1"/>
    <col min="9226" max="9226" width="9.69921875" style="328" customWidth="1"/>
    <col min="9227" max="9231" width="8.19921875" style="328" bestFit="1" customWidth="1"/>
    <col min="9232" max="9232" width="8.09765625" style="328"/>
    <col min="9233" max="9233" width="8.19921875" style="328" bestFit="1" customWidth="1"/>
    <col min="9234" max="9472" width="8.09765625" style="328"/>
    <col min="9473" max="9473" width="2.19921875" style="328" customWidth="1"/>
    <col min="9474" max="9474" width="4.5" style="328" customWidth="1"/>
    <col min="9475" max="9475" width="9.69921875" style="328" customWidth="1"/>
    <col min="9476" max="9476" width="10.296875" style="328" customWidth="1"/>
    <col min="9477" max="9477" width="4.59765625" style="328" customWidth="1"/>
    <col min="9478" max="9478" width="22.296875" style="328" customWidth="1"/>
    <col min="9479" max="9479" width="9.296875" style="328" customWidth="1"/>
    <col min="9480" max="9480" width="11.69921875" style="328" customWidth="1"/>
    <col min="9481" max="9481" width="10.296875" style="328" customWidth="1"/>
    <col min="9482" max="9482" width="9.69921875" style="328" customWidth="1"/>
    <col min="9483" max="9487" width="8.19921875" style="328" bestFit="1" customWidth="1"/>
    <col min="9488" max="9488" width="8.09765625" style="328"/>
    <col min="9489" max="9489" width="8.19921875" style="328" bestFit="1" customWidth="1"/>
    <col min="9490" max="9728" width="8.09765625" style="328"/>
    <col min="9729" max="9729" width="2.19921875" style="328" customWidth="1"/>
    <col min="9730" max="9730" width="4.5" style="328" customWidth="1"/>
    <col min="9731" max="9731" width="9.69921875" style="328" customWidth="1"/>
    <col min="9732" max="9732" width="10.296875" style="328" customWidth="1"/>
    <col min="9733" max="9733" width="4.59765625" style="328" customWidth="1"/>
    <col min="9734" max="9734" width="22.296875" style="328" customWidth="1"/>
    <col min="9735" max="9735" width="9.296875" style="328" customWidth="1"/>
    <col min="9736" max="9736" width="11.69921875" style="328" customWidth="1"/>
    <col min="9737" max="9737" width="10.296875" style="328" customWidth="1"/>
    <col min="9738" max="9738" width="9.69921875" style="328" customWidth="1"/>
    <col min="9739" max="9743" width="8.19921875" style="328" bestFit="1" customWidth="1"/>
    <col min="9744" max="9744" width="8.09765625" style="328"/>
    <col min="9745" max="9745" width="8.19921875" style="328" bestFit="1" customWidth="1"/>
    <col min="9746" max="9984" width="8.09765625" style="328"/>
    <col min="9985" max="9985" width="2.19921875" style="328" customWidth="1"/>
    <col min="9986" max="9986" width="4.5" style="328" customWidth="1"/>
    <col min="9987" max="9987" width="9.69921875" style="328" customWidth="1"/>
    <col min="9988" max="9988" width="10.296875" style="328" customWidth="1"/>
    <col min="9989" max="9989" width="4.59765625" style="328" customWidth="1"/>
    <col min="9990" max="9990" width="22.296875" style="328" customWidth="1"/>
    <col min="9991" max="9991" width="9.296875" style="328" customWidth="1"/>
    <col min="9992" max="9992" width="11.69921875" style="328" customWidth="1"/>
    <col min="9993" max="9993" width="10.296875" style="328" customWidth="1"/>
    <col min="9994" max="9994" width="9.69921875" style="328" customWidth="1"/>
    <col min="9995" max="9999" width="8.19921875" style="328" bestFit="1" customWidth="1"/>
    <col min="10000" max="10000" width="8.09765625" style="328"/>
    <col min="10001" max="10001" width="8.19921875" style="328" bestFit="1" customWidth="1"/>
    <col min="10002" max="10240" width="8.09765625" style="328"/>
    <col min="10241" max="10241" width="2.19921875" style="328" customWidth="1"/>
    <col min="10242" max="10242" width="4.5" style="328" customWidth="1"/>
    <col min="10243" max="10243" width="9.69921875" style="328" customWidth="1"/>
    <col min="10244" max="10244" width="10.296875" style="328" customWidth="1"/>
    <col min="10245" max="10245" width="4.59765625" style="328" customWidth="1"/>
    <col min="10246" max="10246" width="22.296875" style="328" customWidth="1"/>
    <col min="10247" max="10247" width="9.296875" style="328" customWidth="1"/>
    <col min="10248" max="10248" width="11.69921875" style="328" customWidth="1"/>
    <col min="10249" max="10249" width="10.296875" style="328" customWidth="1"/>
    <col min="10250" max="10250" width="9.69921875" style="328" customWidth="1"/>
    <col min="10251" max="10255" width="8.19921875" style="328" bestFit="1" customWidth="1"/>
    <col min="10256" max="10256" width="8.09765625" style="328"/>
    <col min="10257" max="10257" width="8.19921875" style="328" bestFit="1" customWidth="1"/>
    <col min="10258" max="10496" width="8.09765625" style="328"/>
    <col min="10497" max="10497" width="2.19921875" style="328" customWidth="1"/>
    <col min="10498" max="10498" width="4.5" style="328" customWidth="1"/>
    <col min="10499" max="10499" width="9.69921875" style="328" customWidth="1"/>
    <col min="10500" max="10500" width="10.296875" style="328" customWidth="1"/>
    <col min="10501" max="10501" width="4.59765625" style="328" customWidth="1"/>
    <col min="10502" max="10502" width="22.296875" style="328" customWidth="1"/>
    <col min="10503" max="10503" width="9.296875" style="328" customWidth="1"/>
    <col min="10504" max="10504" width="11.69921875" style="328" customWidth="1"/>
    <col min="10505" max="10505" width="10.296875" style="328" customWidth="1"/>
    <col min="10506" max="10506" width="9.69921875" style="328" customWidth="1"/>
    <col min="10507" max="10511" width="8.19921875" style="328" bestFit="1" customWidth="1"/>
    <col min="10512" max="10512" width="8.09765625" style="328"/>
    <col min="10513" max="10513" width="8.19921875" style="328" bestFit="1" customWidth="1"/>
    <col min="10514" max="10752" width="8.09765625" style="328"/>
    <col min="10753" max="10753" width="2.19921875" style="328" customWidth="1"/>
    <col min="10754" max="10754" width="4.5" style="328" customWidth="1"/>
    <col min="10755" max="10755" width="9.69921875" style="328" customWidth="1"/>
    <col min="10756" max="10756" width="10.296875" style="328" customWidth="1"/>
    <col min="10757" max="10757" width="4.59765625" style="328" customWidth="1"/>
    <col min="10758" max="10758" width="22.296875" style="328" customWidth="1"/>
    <col min="10759" max="10759" width="9.296875" style="328" customWidth="1"/>
    <col min="10760" max="10760" width="11.69921875" style="328" customWidth="1"/>
    <col min="10761" max="10761" width="10.296875" style="328" customWidth="1"/>
    <col min="10762" max="10762" width="9.69921875" style="328" customWidth="1"/>
    <col min="10763" max="10767" width="8.19921875" style="328" bestFit="1" customWidth="1"/>
    <col min="10768" max="10768" width="8.09765625" style="328"/>
    <col min="10769" max="10769" width="8.19921875" style="328" bestFit="1" customWidth="1"/>
    <col min="10770" max="11008" width="8.09765625" style="328"/>
    <col min="11009" max="11009" width="2.19921875" style="328" customWidth="1"/>
    <col min="11010" max="11010" width="4.5" style="328" customWidth="1"/>
    <col min="11011" max="11011" width="9.69921875" style="328" customWidth="1"/>
    <col min="11012" max="11012" width="10.296875" style="328" customWidth="1"/>
    <col min="11013" max="11013" width="4.59765625" style="328" customWidth="1"/>
    <col min="11014" max="11014" width="22.296875" style="328" customWidth="1"/>
    <col min="11015" max="11015" width="9.296875" style="328" customWidth="1"/>
    <col min="11016" max="11016" width="11.69921875" style="328" customWidth="1"/>
    <col min="11017" max="11017" width="10.296875" style="328" customWidth="1"/>
    <col min="11018" max="11018" width="9.69921875" style="328" customWidth="1"/>
    <col min="11019" max="11023" width="8.19921875" style="328" bestFit="1" customWidth="1"/>
    <col min="11024" max="11024" width="8.09765625" style="328"/>
    <col min="11025" max="11025" width="8.19921875" style="328" bestFit="1" customWidth="1"/>
    <col min="11026" max="11264" width="8.09765625" style="328"/>
    <col min="11265" max="11265" width="2.19921875" style="328" customWidth="1"/>
    <col min="11266" max="11266" width="4.5" style="328" customWidth="1"/>
    <col min="11267" max="11267" width="9.69921875" style="328" customWidth="1"/>
    <col min="11268" max="11268" width="10.296875" style="328" customWidth="1"/>
    <col min="11269" max="11269" width="4.59765625" style="328" customWidth="1"/>
    <col min="11270" max="11270" width="22.296875" style="328" customWidth="1"/>
    <col min="11271" max="11271" width="9.296875" style="328" customWidth="1"/>
    <col min="11272" max="11272" width="11.69921875" style="328" customWidth="1"/>
    <col min="11273" max="11273" width="10.296875" style="328" customWidth="1"/>
    <col min="11274" max="11274" width="9.69921875" style="328" customWidth="1"/>
    <col min="11275" max="11279" width="8.19921875" style="328" bestFit="1" customWidth="1"/>
    <col min="11280" max="11280" width="8.09765625" style="328"/>
    <col min="11281" max="11281" width="8.19921875" style="328" bestFit="1" customWidth="1"/>
    <col min="11282" max="11520" width="8.09765625" style="328"/>
    <col min="11521" max="11521" width="2.19921875" style="328" customWidth="1"/>
    <col min="11522" max="11522" width="4.5" style="328" customWidth="1"/>
    <col min="11523" max="11523" width="9.69921875" style="328" customWidth="1"/>
    <col min="11524" max="11524" width="10.296875" style="328" customWidth="1"/>
    <col min="11525" max="11525" width="4.59765625" style="328" customWidth="1"/>
    <col min="11526" max="11526" width="22.296875" style="328" customWidth="1"/>
    <col min="11527" max="11527" width="9.296875" style="328" customWidth="1"/>
    <col min="11528" max="11528" width="11.69921875" style="328" customWidth="1"/>
    <col min="11529" max="11529" width="10.296875" style="328" customWidth="1"/>
    <col min="11530" max="11530" width="9.69921875" style="328" customWidth="1"/>
    <col min="11531" max="11535" width="8.19921875" style="328" bestFit="1" customWidth="1"/>
    <col min="11536" max="11536" width="8.09765625" style="328"/>
    <col min="11537" max="11537" width="8.19921875" style="328" bestFit="1" customWidth="1"/>
    <col min="11538" max="11776" width="8.09765625" style="328"/>
    <col min="11777" max="11777" width="2.19921875" style="328" customWidth="1"/>
    <col min="11778" max="11778" width="4.5" style="328" customWidth="1"/>
    <col min="11779" max="11779" width="9.69921875" style="328" customWidth="1"/>
    <col min="11780" max="11780" width="10.296875" style="328" customWidth="1"/>
    <col min="11781" max="11781" width="4.59765625" style="328" customWidth="1"/>
    <col min="11782" max="11782" width="22.296875" style="328" customWidth="1"/>
    <col min="11783" max="11783" width="9.296875" style="328" customWidth="1"/>
    <col min="11784" max="11784" width="11.69921875" style="328" customWidth="1"/>
    <col min="11785" max="11785" width="10.296875" style="328" customWidth="1"/>
    <col min="11786" max="11786" width="9.69921875" style="328" customWidth="1"/>
    <col min="11787" max="11791" width="8.19921875" style="328" bestFit="1" customWidth="1"/>
    <col min="11792" max="11792" width="8.09765625" style="328"/>
    <col min="11793" max="11793" width="8.19921875" style="328" bestFit="1" customWidth="1"/>
    <col min="11794" max="12032" width="8.09765625" style="328"/>
    <col min="12033" max="12033" width="2.19921875" style="328" customWidth="1"/>
    <col min="12034" max="12034" width="4.5" style="328" customWidth="1"/>
    <col min="12035" max="12035" width="9.69921875" style="328" customWidth="1"/>
    <col min="12036" max="12036" width="10.296875" style="328" customWidth="1"/>
    <col min="12037" max="12037" width="4.59765625" style="328" customWidth="1"/>
    <col min="12038" max="12038" width="22.296875" style="328" customWidth="1"/>
    <col min="12039" max="12039" width="9.296875" style="328" customWidth="1"/>
    <col min="12040" max="12040" width="11.69921875" style="328" customWidth="1"/>
    <col min="12041" max="12041" width="10.296875" style="328" customWidth="1"/>
    <col min="12042" max="12042" width="9.69921875" style="328" customWidth="1"/>
    <col min="12043" max="12047" width="8.19921875" style="328" bestFit="1" customWidth="1"/>
    <col min="12048" max="12048" width="8.09765625" style="328"/>
    <col min="12049" max="12049" width="8.19921875" style="328" bestFit="1" customWidth="1"/>
    <col min="12050" max="12288" width="8.09765625" style="328"/>
    <col min="12289" max="12289" width="2.19921875" style="328" customWidth="1"/>
    <col min="12290" max="12290" width="4.5" style="328" customWidth="1"/>
    <col min="12291" max="12291" width="9.69921875" style="328" customWidth="1"/>
    <col min="12292" max="12292" width="10.296875" style="328" customWidth="1"/>
    <col min="12293" max="12293" width="4.59765625" style="328" customWidth="1"/>
    <col min="12294" max="12294" width="22.296875" style="328" customWidth="1"/>
    <col min="12295" max="12295" width="9.296875" style="328" customWidth="1"/>
    <col min="12296" max="12296" width="11.69921875" style="328" customWidth="1"/>
    <col min="12297" max="12297" width="10.296875" style="328" customWidth="1"/>
    <col min="12298" max="12298" width="9.69921875" style="328" customWidth="1"/>
    <col min="12299" max="12303" width="8.19921875" style="328" bestFit="1" customWidth="1"/>
    <col min="12304" max="12304" width="8.09765625" style="328"/>
    <col min="12305" max="12305" width="8.19921875" style="328" bestFit="1" customWidth="1"/>
    <col min="12306" max="12544" width="8.09765625" style="328"/>
    <col min="12545" max="12545" width="2.19921875" style="328" customWidth="1"/>
    <col min="12546" max="12546" width="4.5" style="328" customWidth="1"/>
    <col min="12547" max="12547" width="9.69921875" style="328" customWidth="1"/>
    <col min="12548" max="12548" width="10.296875" style="328" customWidth="1"/>
    <col min="12549" max="12549" width="4.59765625" style="328" customWidth="1"/>
    <col min="12550" max="12550" width="22.296875" style="328" customWidth="1"/>
    <col min="12551" max="12551" width="9.296875" style="328" customWidth="1"/>
    <col min="12552" max="12552" width="11.69921875" style="328" customWidth="1"/>
    <col min="12553" max="12553" width="10.296875" style="328" customWidth="1"/>
    <col min="12554" max="12554" width="9.69921875" style="328" customWidth="1"/>
    <col min="12555" max="12559" width="8.19921875" style="328" bestFit="1" customWidth="1"/>
    <col min="12560" max="12560" width="8.09765625" style="328"/>
    <col min="12561" max="12561" width="8.19921875" style="328" bestFit="1" customWidth="1"/>
    <col min="12562" max="12800" width="8.09765625" style="328"/>
    <col min="12801" max="12801" width="2.19921875" style="328" customWidth="1"/>
    <col min="12802" max="12802" width="4.5" style="328" customWidth="1"/>
    <col min="12803" max="12803" width="9.69921875" style="328" customWidth="1"/>
    <col min="12804" max="12804" width="10.296875" style="328" customWidth="1"/>
    <col min="12805" max="12805" width="4.59765625" style="328" customWidth="1"/>
    <col min="12806" max="12806" width="22.296875" style="328" customWidth="1"/>
    <col min="12807" max="12807" width="9.296875" style="328" customWidth="1"/>
    <col min="12808" max="12808" width="11.69921875" style="328" customWidth="1"/>
    <col min="12809" max="12809" width="10.296875" style="328" customWidth="1"/>
    <col min="12810" max="12810" width="9.69921875" style="328" customWidth="1"/>
    <col min="12811" max="12815" width="8.19921875" style="328" bestFit="1" customWidth="1"/>
    <col min="12816" max="12816" width="8.09765625" style="328"/>
    <col min="12817" max="12817" width="8.19921875" style="328" bestFit="1" customWidth="1"/>
    <col min="12818" max="13056" width="8.09765625" style="328"/>
    <col min="13057" max="13057" width="2.19921875" style="328" customWidth="1"/>
    <col min="13058" max="13058" width="4.5" style="328" customWidth="1"/>
    <col min="13059" max="13059" width="9.69921875" style="328" customWidth="1"/>
    <col min="13060" max="13060" width="10.296875" style="328" customWidth="1"/>
    <col min="13061" max="13061" width="4.59765625" style="328" customWidth="1"/>
    <col min="13062" max="13062" width="22.296875" style="328" customWidth="1"/>
    <col min="13063" max="13063" width="9.296875" style="328" customWidth="1"/>
    <col min="13064" max="13064" width="11.69921875" style="328" customWidth="1"/>
    <col min="13065" max="13065" width="10.296875" style="328" customWidth="1"/>
    <col min="13066" max="13066" width="9.69921875" style="328" customWidth="1"/>
    <col min="13067" max="13071" width="8.19921875" style="328" bestFit="1" customWidth="1"/>
    <col min="13072" max="13072" width="8.09765625" style="328"/>
    <col min="13073" max="13073" width="8.19921875" style="328" bestFit="1" customWidth="1"/>
    <col min="13074" max="13312" width="8.09765625" style="328"/>
    <col min="13313" max="13313" width="2.19921875" style="328" customWidth="1"/>
    <col min="13314" max="13314" width="4.5" style="328" customWidth="1"/>
    <col min="13315" max="13315" width="9.69921875" style="328" customWidth="1"/>
    <col min="13316" max="13316" width="10.296875" style="328" customWidth="1"/>
    <col min="13317" max="13317" width="4.59765625" style="328" customWidth="1"/>
    <col min="13318" max="13318" width="22.296875" style="328" customWidth="1"/>
    <col min="13319" max="13319" width="9.296875" style="328" customWidth="1"/>
    <col min="13320" max="13320" width="11.69921875" style="328" customWidth="1"/>
    <col min="13321" max="13321" width="10.296875" style="328" customWidth="1"/>
    <col min="13322" max="13322" width="9.69921875" style="328" customWidth="1"/>
    <col min="13323" max="13327" width="8.19921875" style="328" bestFit="1" customWidth="1"/>
    <col min="13328" max="13328" width="8.09765625" style="328"/>
    <col min="13329" max="13329" width="8.19921875" style="328" bestFit="1" customWidth="1"/>
    <col min="13330" max="13568" width="8.09765625" style="328"/>
    <col min="13569" max="13569" width="2.19921875" style="328" customWidth="1"/>
    <col min="13570" max="13570" width="4.5" style="328" customWidth="1"/>
    <col min="13571" max="13571" width="9.69921875" style="328" customWidth="1"/>
    <col min="13572" max="13572" width="10.296875" style="328" customWidth="1"/>
    <col min="13573" max="13573" width="4.59765625" style="328" customWidth="1"/>
    <col min="13574" max="13574" width="22.296875" style="328" customWidth="1"/>
    <col min="13575" max="13575" width="9.296875" style="328" customWidth="1"/>
    <col min="13576" max="13576" width="11.69921875" style="328" customWidth="1"/>
    <col min="13577" max="13577" width="10.296875" style="328" customWidth="1"/>
    <col min="13578" max="13578" width="9.69921875" style="328" customWidth="1"/>
    <col min="13579" max="13583" width="8.19921875" style="328" bestFit="1" customWidth="1"/>
    <col min="13584" max="13584" width="8.09765625" style="328"/>
    <col min="13585" max="13585" width="8.19921875" style="328" bestFit="1" customWidth="1"/>
    <col min="13586" max="13824" width="8.09765625" style="328"/>
    <col min="13825" max="13825" width="2.19921875" style="328" customWidth="1"/>
    <col min="13826" max="13826" width="4.5" style="328" customWidth="1"/>
    <col min="13827" max="13827" width="9.69921875" style="328" customWidth="1"/>
    <col min="13828" max="13828" width="10.296875" style="328" customWidth="1"/>
    <col min="13829" max="13829" width="4.59765625" style="328" customWidth="1"/>
    <col min="13830" max="13830" width="22.296875" style="328" customWidth="1"/>
    <col min="13831" max="13831" width="9.296875" style="328" customWidth="1"/>
    <col min="13832" max="13832" width="11.69921875" style="328" customWidth="1"/>
    <col min="13833" max="13833" width="10.296875" style="328" customWidth="1"/>
    <col min="13834" max="13834" width="9.69921875" style="328" customWidth="1"/>
    <col min="13835" max="13839" width="8.19921875" style="328" bestFit="1" customWidth="1"/>
    <col min="13840" max="13840" width="8.09765625" style="328"/>
    <col min="13841" max="13841" width="8.19921875" style="328" bestFit="1" customWidth="1"/>
    <col min="13842" max="14080" width="8.09765625" style="328"/>
    <col min="14081" max="14081" width="2.19921875" style="328" customWidth="1"/>
    <col min="14082" max="14082" width="4.5" style="328" customWidth="1"/>
    <col min="14083" max="14083" width="9.69921875" style="328" customWidth="1"/>
    <col min="14084" max="14084" width="10.296875" style="328" customWidth="1"/>
    <col min="14085" max="14085" width="4.59765625" style="328" customWidth="1"/>
    <col min="14086" max="14086" width="22.296875" style="328" customWidth="1"/>
    <col min="14087" max="14087" width="9.296875" style="328" customWidth="1"/>
    <col min="14088" max="14088" width="11.69921875" style="328" customWidth="1"/>
    <col min="14089" max="14089" width="10.296875" style="328" customWidth="1"/>
    <col min="14090" max="14090" width="9.69921875" style="328" customWidth="1"/>
    <col min="14091" max="14095" width="8.19921875" style="328" bestFit="1" customWidth="1"/>
    <col min="14096" max="14096" width="8.09765625" style="328"/>
    <col min="14097" max="14097" width="8.19921875" style="328" bestFit="1" customWidth="1"/>
    <col min="14098" max="14336" width="8.09765625" style="328"/>
    <col min="14337" max="14337" width="2.19921875" style="328" customWidth="1"/>
    <col min="14338" max="14338" width="4.5" style="328" customWidth="1"/>
    <col min="14339" max="14339" width="9.69921875" style="328" customWidth="1"/>
    <col min="14340" max="14340" width="10.296875" style="328" customWidth="1"/>
    <col min="14341" max="14341" width="4.59765625" style="328" customWidth="1"/>
    <col min="14342" max="14342" width="22.296875" style="328" customWidth="1"/>
    <col min="14343" max="14343" width="9.296875" style="328" customWidth="1"/>
    <col min="14344" max="14344" width="11.69921875" style="328" customWidth="1"/>
    <col min="14345" max="14345" width="10.296875" style="328" customWidth="1"/>
    <col min="14346" max="14346" width="9.69921875" style="328" customWidth="1"/>
    <col min="14347" max="14351" width="8.19921875" style="328" bestFit="1" customWidth="1"/>
    <col min="14352" max="14352" width="8.09765625" style="328"/>
    <col min="14353" max="14353" width="8.19921875" style="328" bestFit="1" customWidth="1"/>
    <col min="14354" max="14592" width="8.09765625" style="328"/>
    <col min="14593" max="14593" width="2.19921875" style="328" customWidth="1"/>
    <col min="14594" max="14594" width="4.5" style="328" customWidth="1"/>
    <col min="14595" max="14595" width="9.69921875" style="328" customWidth="1"/>
    <col min="14596" max="14596" width="10.296875" style="328" customWidth="1"/>
    <col min="14597" max="14597" width="4.59765625" style="328" customWidth="1"/>
    <col min="14598" max="14598" width="22.296875" style="328" customWidth="1"/>
    <col min="14599" max="14599" width="9.296875" style="328" customWidth="1"/>
    <col min="14600" max="14600" width="11.69921875" style="328" customWidth="1"/>
    <col min="14601" max="14601" width="10.296875" style="328" customWidth="1"/>
    <col min="14602" max="14602" width="9.69921875" style="328" customWidth="1"/>
    <col min="14603" max="14607" width="8.19921875" style="328" bestFit="1" customWidth="1"/>
    <col min="14608" max="14608" width="8.09765625" style="328"/>
    <col min="14609" max="14609" width="8.19921875" style="328" bestFit="1" customWidth="1"/>
    <col min="14610" max="14848" width="8.09765625" style="328"/>
    <col min="14849" max="14849" width="2.19921875" style="328" customWidth="1"/>
    <col min="14850" max="14850" width="4.5" style="328" customWidth="1"/>
    <col min="14851" max="14851" width="9.69921875" style="328" customWidth="1"/>
    <col min="14852" max="14852" width="10.296875" style="328" customWidth="1"/>
    <col min="14853" max="14853" width="4.59765625" style="328" customWidth="1"/>
    <col min="14854" max="14854" width="22.296875" style="328" customWidth="1"/>
    <col min="14855" max="14855" width="9.296875" style="328" customWidth="1"/>
    <col min="14856" max="14856" width="11.69921875" style="328" customWidth="1"/>
    <col min="14857" max="14857" width="10.296875" style="328" customWidth="1"/>
    <col min="14858" max="14858" width="9.69921875" style="328" customWidth="1"/>
    <col min="14859" max="14863" width="8.19921875" style="328" bestFit="1" customWidth="1"/>
    <col min="14864" max="14864" width="8.09765625" style="328"/>
    <col min="14865" max="14865" width="8.19921875" style="328" bestFit="1" customWidth="1"/>
    <col min="14866" max="15104" width="8.09765625" style="328"/>
    <col min="15105" max="15105" width="2.19921875" style="328" customWidth="1"/>
    <col min="15106" max="15106" width="4.5" style="328" customWidth="1"/>
    <col min="15107" max="15107" width="9.69921875" style="328" customWidth="1"/>
    <col min="15108" max="15108" width="10.296875" style="328" customWidth="1"/>
    <col min="15109" max="15109" width="4.59765625" style="328" customWidth="1"/>
    <col min="15110" max="15110" width="22.296875" style="328" customWidth="1"/>
    <col min="15111" max="15111" width="9.296875" style="328" customWidth="1"/>
    <col min="15112" max="15112" width="11.69921875" style="328" customWidth="1"/>
    <col min="15113" max="15113" width="10.296875" style="328" customWidth="1"/>
    <col min="15114" max="15114" width="9.69921875" style="328" customWidth="1"/>
    <col min="15115" max="15119" width="8.19921875" style="328" bestFit="1" customWidth="1"/>
    <col min="15120" max="15120" width="8.09765625" style="328"/>
    <col min="15121" max="15121" width="8.19921875" style="328" bestFit="1" customWidth="1"/>
    <col min="15122" max="15360" width="8.09765625" style="328"/>
    <col min="15361" max="15361" width="2.19921875" style="328" customWidth="1"/>
    <col min="15362" max="15362" width="4.5" style="328" customWidth="1"/>
    <col min="15363" max="15363" width="9.69921875" style="328" customWidth="1"/>
    <col min="15364" max="15364" width="10.296875" style="328" customWidth="1"/>
    <col min="15365" max="15365" width="4.59765625" style="328" customWidth="1"/>
    <col min="15366" max="15366" width="22.296875" style="328" customWidth="1"/>
    <col min="15367" max="15367" width="9.296875" style="328" customWidth="1"/>
    <col min="15368" max="15368" width="11.69921875" style="328" customWidth="1"/>
    <col min="15369" max="15369" width="10.296875" style="328" customWidth="1"/>
    <col min="15370" max="15370" width="9.69921875" style="328" customWidth="1"/>
    <col min="15371" max="15375" width="8.19921875" style="328" bestFit="1" customWidth="1"/>
    <col min="15376" max="15376" width="8.09765625" style="328"/>
    <col min="15377" max="15377" width="8.19921875" style="328" bestFit="1" customWidth="1"/>
    <col min="15378" max="15616" width="8.09765625" style="328"/>
    <col min="15617" max="15617" width="2.19921875" style="328" customWidth="1"/>
    <col min="15618" max="15618" width="4.5" style="328" customWidth="1"/>
    <col min="15619" max="15619" width="9.69921875" style="328" customWidth="1"/>
    <col min="15620" max="15620" width="10.296875" style="328" customWidth="1"/>
    <col min="15621" max="15621" width="4.59765625" style="328" customWidth="1"/>
    <col min="15622" max="15622" width="22.296875" style="328" customWidth="1"/>
    <col min="15623" max="15623" width="9.296875" style="328" customWidth="1"/>
    <col min="15624" max="15624" width="11.69921875" style="328" customWidth="1"/>
    <col min="15625" max="15625" width="10.296875" style="328" customWidth="1"/>
    <col min="15626" max="15626" width="9.69921875" style="328" customWidth="1"/>
    <col min="15627" max="15631" width="8.19921875" style="328" bestFit="1" customWidth="1"/>
    <col min="15632" max="15632" width="8.09765625" style="328"/>
    <col min="15633" max="15633" width="8.19921875" style="328" bestFit="1" customWidth="1"/>
    <col min="15634" max="15872" width="8.09765625" style="328"/>
    <col min="15873" max="15873" width="2.19921875" style="328" customWidth="1"/>
    <col min="15874" max="15874" width="4.5" style="328" customWidth="1"/>
    <col min="15875" max="15875" width="9.69921875" style="328" customWidth="1"/>
    <col min="15876" max="15876" width="10.296875" style="328" customWidth="1"/>
    <col min="15877" max="15877" width="4.59765625" style="328" customWidth="1"/>
    <col min="15878" max="15878" width="22.296875" style="328" customWidth="1"/>
    <col min="15879" max="15879" width="9.296875" style="328" customWidth="1"/>
    <col min="15880" max="15880" width="11.69921875" style="328" customWidth="1"/>
    <col min="15881" max="15881" width="10.296875" style="328" customWidth="1"/>
    <col min="15882" max="15882" width="9.69921875" style="328" customWidth="1"/>
    <col min="15883" max="15887" width="8.19921875" style="328" bestFit="1" customWidth="1"/>
    <col min="15888" max="15888" width="8.09765625" style="328"/>
    <col min="15889" max="15889" width="8.19921875" style="328" bestFit="1" customWidth="1"/>
    <col min="15890" max="16128" width="8.09765625" style="328"/>
    <col min="16129" max="16129" width="2.19921875" style="328" customWidth="1"/>
    <col min="16130" max="16130" width="4.5" style="328" customWidth="1"/>
    <col min="16131" max="16131" width="9.69921875" style="328" customWidth="1"/>
    <col min="16132" max="16132" width="10.296875" style="328" customWidth="1"/>
    <col min="16133" max="16133" width="4.59765625" style="328" customWidth="1"/>
    <col min="16134" max="16134" width="22.296875" style="328" customWidth="1"/>
    <col min="16135" max="16135" width="9.296875" style="328" customWidth="1"/>
    <col min="16136" max="16136" width="11.69921875" style="328" customWidth="1"/>
    <col min="16137" max="16137" width="10.296875" style="328" customWidth="1"/>
    <col min="16138" max="16138" width="9.69921875" style="328" customWidth="1"/>
    <col min="16139" max="16143" width="8.19921875" style="328" bestFit="1" customWidth="1"/>
    <col min="16144" max="16144" width="8.09765625" style="328"/>
    <col min="16145" max="16145" width="8.19921875" style="328" bestFit="1" customWidth="1"/>
    <col min="16146" max="16384" width="8.09765625" style="328"/>
  </cols>
  <sheetData>
    <row r="2" spans="2:13">
      <c r="B2" s="327" t="s">
        <v>335</v>
      </c>
      <c r="C2" s="327"/>
      <c r="D2" s="327"/>
      <c r="E2" s="327"/>
      <c r="F2" s="327"/>
      <c r="G2" s="327"/>
      <c r="H2" s="327"/>
      <c r="I2" s="327"/>
      <c r="J2" s="327"/>
      <c r="K2" s="327"/>
      <c r="L2" s="327"/>
      <c r="M2" s="327"/>
    </row>
    <row r="3" spans="2:13" ht="16.2" thickBot="1">
      <c r="L3" s="329" t="s">
        <v>336</v>
      </c>
      <c r="M3" s="329" t="s">
        <v>337</v>
      </c>
    </row>
    <row r="4" spans="2:13" ht="23.25" customHeight="1" thickBot="1">
      <c r="B4" s="330" t="s">
        <v>338</v>
      </c>
      <c r="C4" s="331"/>
      <c r="D4" s="332" t="s">
        <v>339</v>
      </c>
      <c r="E4" s="332"/>
      <c r="F4" s="333"/>
      <c r="G4" s="334" t="s">
        <v>340</v>
      </c>
      <c r="H4" s="335" t="s">
        <v>341</v>
      </c>
      <c r="I4" s="336"/>
      <c r="J4" s="336"/>
      <c r="K4" s="336"/>
      <c r="L4" s="336"/>
      <c r="M4" s="337"/>
    </row>
    <row r="5" spans="2:13" ht="22.8" thickBot="1">
      <c r="B5" s="338" t="s">
        <v>342</v>
      </c>
      <c r="C5" s="339"/>
      <c r="D5" s="340"/>
      <c r="E5" s="340"/>
      <c r="F5" s="341"/>
      <c r="G5" s="342"/>
      <c r="H5" s="343" t="s">
        <v>343</v>
      </c>
      <c r="I5" s="343" t="s">
        <v>344</v>
      </c>
      <c r="J5" s="343" t="s">
        <v>345</v>
      </c>
      <c r="K5" s="343" t="s">
        <v>346</v>
      </c>
      <c r="L5" s="343" t="s">
        <v>347</v>
      </c>
      <c r="M5" s="343" t="s">
        <v>348</v>
      </c>
    </row>
    <row r="6" spans="2:13" ht="18" customHeight="1" thickBot="1">
      <c r="B6" s="344">
        <v>1</v>
      </c>
      <c r="C6" s="345" t="s">
        <v>349</v>
      </c>
      <c r="D6" s="346" t="s">
        <v>350</v>
      </c>
      <c r="E6" s="346"/>
      <c r="F6" s="347"/>
      <c r="G6" s="348" t="s">
        <v>351</v>
      </c>
      <c r="H6" s="348">
        <v>1</v>
      </c>
      <c r="I6" s="348">
        <v>0.8</v>
      </c>
      <c r="J6" s="348">
        <v>0.6</v>
      </c>
      <c r="K6" s="348">
        <v>0.4</v>
      </c>
      <c r="L6" s="348">
        <v>0.3</v>
      </c>
      <c r="M6" s="348">
        <v>0.2</v>
      </c>
    </row>
    <row r="7" spans="2:13" ht="18" customHeight="1" thickBot="1">
      <c r="B7" s="344">
        <v>2</v>
      </c>
      <c r="C7" s="349" t="s">
        <v>352</v>
      </c>
      <c r="D7" s="350" t="s">
        <v>353</v>
      </c>
      <c r="E7" s="346"/>
      <c r="F7" s="347"/>
      <c r="G7" s="348" t="s">
        <v>354</v>
      </c>
      <c r="H7" s="348">
        <v>1.5</v>
      </c>
      <c r="I7" s="348">
        <v>1.3</v>
      </c>
      <c r="J7" s="348">
        <v>1</v>
      </c>
      <c r="K7" s="348">
        <v>0.9</v>
      </c>
      <c r="L7" s="348">
        <v>0.8</v>
      </c>
      <c r="M7" s="348">
        <v>0.7</v>
      </c>
    </row>
    <row r="8" spans="2:13" ht="18" customHeight="1" thickBot="1">
      <c r="B8" s="344">
        <v>3</v>
      </c>
      <c r="C8" s="351"/>
      <c r="D8" s="352" t="s">
        <v>355</v>
      </c>
      <c r="E8" s="352"/>
      <c r="F8" s="353"/>
      <c r="G8" s="348" t="s">
        <v>354</v>
      </c>
      <c r="H8" s="348">
        <v>1</v>
      </c>
      <c r="I8" s="354">
        <v>0.8</v>
      </c>
      <c r="J8" s="354">
        <v>0.7</v>
      </c>
      <c r="K8" s="354">
        <v>0.6</v>
      </c>
      <c r="L8" s="354">
        <v>0.5</v>
      </c>
      <c r="M8" s="354">
        <v>0.4</v>
      </c>
    </row>
    <row r="9" spans="2:13" ht="22.2" thickBot="1">
      <c r="B9" s="344">
        <v>4</v>
      </c>
      <c r="C9" s="355" t="s">
        <v>356</v>
      </c>
      <c r="D9" s="355"/>
      <c r="E9" s="356"/>
      <c r="F9" s="345" t="s">
        <v>357</v>
      </c>
      <c r="G9" s="345" t="s">
        <v>358</v>
      </c>
      <c r="H9" s="345">
        <v>2.7</v>
      </c>
      <c r="I9" s="357">
        <v>2.5</v>
      </c>
      <c r="J9" s="357">
        <v>2.1</v>
      </c>
      <c r="K9" s="357">
        <v>1.9</v>
      </c>
      <c r="L9" s="357">
        <v>1.7</v>
      </c>
      <c r="M9" s="357">
        <v>1.5</v>
      </c>
    </row>
    <row r="10" spans="2:13" ht="24" customHeight="1" thickBot="1">
      <c r="B10" s="344"/>
      <c r="C10" s="349"/>
      <c r="D10" s="349"/>
      <c r="E10" s="356"/>
      <c r="F10" s="345" t="s">
        <v>359</v>
      </c>
      <c r="G10" s="345" t="s">
        <v>358</v>
      </c>
      <c r="H10" s="345">
        <v>1.9</v>
      </c>
      <c r="I10" s="357">
        <v>1.8</v>
      </c>
      <c r="J10" s="357">
        <v>1.5</v>
      </c>
      <c r="K10" s="357">
        <v>1.3</v>
      </c>
      <c r="L10" s="357">
        <v>1.2</v>
      </c>
      <c r="M10" s="357">
        <v>1.1000000000000001</v>
      </c>
    </row>
    <row r="11" spans="2:13" ht="25.05" customHeight="1" thickBot="1">
      <c r="B11" s="344">
        <v>5</v>
      </c>
      <c r="C11" s="349"/>
      <c r="D11" s="349"/>
      <c r="E11" s="356"/>
      <c r="F11" s="345" t="s">
        <v>360</v>
      </c>
      <c r="G11" s="345" t="s">
        <v>361</v>
      </c>
      <c r="H11" s="345">
        <v>1.5</v>
      </c>
      <c r="I11" s="357">
        <v>1.2</v>
      </c>
      <c r="J11" s="357">
        <v>1</v>
      </c>
      <c r="K11" s="357">
        <v>0.8</v>
      </c>
      <c r="L11" s="357">
        <v>0.6</v>
      </c>
      <c r="M11" s="357">
        <v>0.4</v>
      </c>
    </row>
    <row r="12" spans="2:13" ht="25.05" customHeight="1" thickBot="1">
      <c r="B12" s="344">
        <v>6</v>
      </c>
      <c r="C12" s="349"/>
      <c r="D12" s="349"/>
      <c r="E12" s="356"/>
      <c r="F12" s="345" t="s">
        <v>362</v>
      </c>
      <c r="G12" s="345" t="s">
        <v>361</v>
      </c>
      <c r="H12" s="345">
        <v>1</v>
      </c>
      <c r="I12" s="357">
        <v>0.8</v>
      </c>
      <c r="J12" s="357">
        <v>0.6</v>
      </c>
      <c r="K12" s="357">
        <v>0.5</v>
      </c>
      <c r="L12" s="357">
        <v>0.4</v>
      </c>
      <c r="M12" s="357">
        <v>0.3</v>
      </c>
    </row>
    <row r="13" spans="2:13" ht="25.05" customHeight="1" thickBot="1">
      <c r="B13" s="344">
        <v>7</v>
      </c>
      <c r="C13" s="349"/>
      <c r="D13" s="349"/>
      <c r="E13" s="358"/>
      <c r="F13" s="359" t="s">
        <v>363</v>
      </c>
      <c r="G13" s="345" t="s">
        <v>361</v>
      </c>
      <c r="H13" s="357">
        <v>3.8</v>
      </c>
      <c r="I13" s="357">
        <v>3.4</v>
      </c>
      <c r="J13" s="357">
        <v>3</v>
      </c>
      <c r="K13" s="357">
        <v>2.4</v>
      </c>
      <c r="L13" s="357">
        <v>2</v>
      </c>
      <c r="M13" s="357">
        <v>1.6</v>
      </c>
    </row>
    <row r="14" spans="2:13" ht="25.05" customHeight="1" thickBot="1">
      <c r="B14" s="344">
        <v>8</v>
      </c>
      <c r="C14" s="349"/>
      <c r="D14" s="351"/>
      <c r="E14" s="360"/>
      <c r="F14" s="345" t="s">
        <v>364</v>
      </c>
      <c r="G14" s="361" t="s">
        <v>361</v>
      </c>
      <c r="H14" s="362">
        <v>2.7</v>
      </c>
      <c r="I14" s="362">
        <v>2.4</v>
      </c>
      <c r="J14" s="362">
        <v>2.1</v>
      </c>
      <c r="K14" s="362">
        <v>1.7</v>
      </c>
      <c r="L14" s="362">
        <v>1.4</v>
      </c>
      <c r="M14" s="362">
        <v>1.1000000000000001</v>
      </c>
    </row>
    <row r="15" spans="2:13" ht="22.2" thickBot="1">
      <c r="B15" s="355">
        <v>9</v>
      </c>
      <c r="C15" s="363" t="s">
        <v>365</v>
      </c>
      <c r="D15" s="355" t="s">
        <v>366</v>
      </c>
      <c r="E15" s="364"/>
      <c r="F15" s="365" t="s">
        <v>367</v>
      </c>
      <c r="G15" s="348" t="s">
        <v>368</v>
      </c>
      <c r="H15" s="366">
        <v>9</v>
      </c>
      <c r="I15" s="367">
        <v>8</v>
      </c>
      <c r="J15" s="366">
        <v>6</v>
      </c>
      <c r="K15" s="366">
        <v>4</v>
      </c>
      <c r="L15" s="366">
        <v>3.5</v>
      </c>
      <c r="M15" s="366">
        <v>3</v>
      </c>
    </row>
    <row r="16" spans="2:13" ht="18" customHeight="1" thickBot="1">
      <c r="B16" s="349"/>
      <c r="C16" s="368"/>
      <c r="D16" s="349"/>
      <c r="E16" s="369"/>
      <c r="F16" s="370" t="s">
        <v>369</v>
      </c>
      <c r="G16" s="348" t="s">
        <v>370</v>
      </c>
      <c r="H16" s="371">
        <v>0.04</v>
      </c>
      <c r="I16" s="372"/>
      <c r="J16" s="372"/>
      <c r="K16" s="372"/>
      <c r="L16" s="372"/>
      <c r="M16" s="373"/>
    </row>
    <row r="17" spans="2:25" ht="22.2" thickBot="1">
      <c r="B17" s="351"/>
      <c r="C17" s="374"/>
      <c r="D17" s="351"/>
      <c r="E17" s="365"/>
      <c r="F17" s="375" t="s">
        <v>371</v>
      </c>
      <c r="G17" s="348" t="s">
        <v>368</v>
      </c>
      <c r="H17" s="376">
        <v>5.8</v>
      </c>
      <c r="I17" s="377">
        <v>5.4</v>
      </c>
      <c r="J17" s="376">
        <v>4.3</v>
      </c>
      <c r="K17" s="376">
        <v>3</v>
      </c>
      <c r="L17" s="376">
        <v>2.5</v>
      </c>
      <c r="M17" s="376">
        <v>2</v>
      </c>
    </row>
    <row r="18" spans="2:25" ht="18" customHeight="1" thickBot="1">
      <c r="B18" s="344">
        <v>10</v>
      </c>
      <c r="C18" s="355" t="s">
        <v>372</v>
      </c>
      <c r="D18" s="346" t="s">
        <v>373</v>
      </c>
      <c r="E18" s="346"/>
      <c r="F18" s="347"/>
      <c r="G18" s="361" t="s">
        <v>361</v>
      </c>
      <c r="H18" s="378">
        <v>1.8</v>
      </c>
      <c r="I18" s="378">
        <v>1.4</v>
      </c>
      <c r="J18" s="378">
        <v>1.1000000000000001</v>
      </c>
      <c r="K18" s="378">
        <v>0.9</v>
      </c>
      <c r="L18" s="378">
        <v>0.7</v>
      </c>
      <c r="M18" s="378">
        <v>0.5</v>
      </c>
    </row>
    <row r="19" spans="2:25" ht="21.75" customHeight="1" thickBot="1">
      <c r="B19" s="344">
        <v>11</v>
      </c>
      <c r="C19" s="349"/>
      <c r="D19" s="379" t="s">
        <v>374</v>
      </c>
      <c r="E19" s="380"/>
      <c r="F19" s="358" t="s">
        <v>367</v>
      </c>
      <c r="G19" s="348" t="s">
        <v>368</v>
      </c>
      <c r="H19" s="354">
        <v>1.8</v>
      </c>
      <c r="I19" s="354">
        <v>1.4</v>
      </c>
      <c r="J19" s="354">
        <v>1.1000000000000001</v>
      </c>
      <c r="K19" s="354">
        <v>0.9</v>
      </c>
      <c r="L19" s="354">
        <v>0.7</v>
      </c>
      <c r="M19" s="354">
        <v>0.5</v>
      </c>
    </row>
    <row r="20" spans="2:25" ht="18" customHeight="1" thickBot="1">
      <c r="B20" s="344">
        <v>12</v>
      </c>
      <c r="C20" s="351"/>
      <c r="D20" s="381"/>
      <c r="E20" s="382"/>
      <c r="F20" s="370" t="s">
        <v>369</v>
      </c>
      <c r="G20" s="348" t="s">
        <v>370</v>
      </c>
      <c r="H20" s="371">
        <v>0.06</v>
      </c>
      <c r="I20" s="372"/>
      <c r="J20" s="372"/>
      <c r="K20" s="372"/>
      <c r="L20" s="372"/>
      <c r="M20" s="373"/>
    </row>
    <row r="21" spans="2:25" ht="24" customHeight="1">
      <c r="B21" s="383" t="s">
        <v>375</v>
      </c>
      <c r="C21" s="384"/>
      <c r="D21" s="384"/>
      <c r="E21" s="384"/>
      <c r="F21" s="384"/>
      <c r="G21" s="384"/>
      <c r="H21" s="384"/>
      <c r="I21" s="384"/>
      <c r="J21" s="384"/>
      <c r="K21" s="384"/>
      <c r="L21" s="384"/>
      <c r="M21" s="385"/>
    </row>
    <row r="22" spans="2:25" ht="24" customHeight="1">
      <c r="B22" s="386"/>
      <c r="C22" s="387"/>
      <c r="D22" s="387"/>
      <c r="E22" s="387"/>
      <c r="F22" s="387"/>
      <c r="G22" s="387"/>
      <c r="H22" s="387"/>
      <c r="I22" s="387"/>
      <c r="J22" s="387"/>
      <c r="K22" s="387"/>
      <c r="L22" s="387"/>
      <c r="M22" s="388"/>
    </row>
    <row r="23" spans="2:25">
      <c r="B23" s="389"/>
      <c r="C23" s="390"/>
      <c r="D23" s="390"/>
      <c r="E23" s="390"/>
      <c r="F23" s="390"/>
      <c r="G23" s="390"/>
      <c r="H23" s="390"/>
      <c r="I23" s="390"/>
      <c r="J23" s="390"/>
      <c r="K23" s="390"/>
      <c r="L23" s="390"/>
      <c r="M23" s="391"/>
    </row>
    <row r="24" spans="2:25">
      <c r="B24" s="389"/>
      <c r="C24" s="390"/>
      <c r="D24" s="390"/>
      <c r="E24" s="390"/>
      <c r="F24" s="390"/>
      <c r="G24" s="390"/>
      <c r="H24" s="390"/>
      <c r="I24" s="390"/>
      <c r="J24" s="390"/>
      <c r="K24" s="390"/>
      <c r="L24" s="390"/>
      <c r="M24" s="391"/>
    </row>
    <row r="25" spans="2:25">
      <c r="B25" s="389"/>
      <c r="C25" s="390"/>
      <c r="D25" s="390"/>
      <c r="E25" s="390"/>
      <c r="F25" s="390"/>
      <c r="G25" s="390"/>
      <c r="H25" s="390"/>
      <c r="I25" s="390"/>
      <c r="J25" s="390"/>
      <c r="K25" s="390"/>
      <c r="L25" s="390"/>
      <c r="M25" s="391"/>
    </row>
    <row r="26" spans="2:25" ht="16.2" thickBot="1">
      <c r="B26" s="392"/>
      <c r="C26" s="393"/>
      <c r="D26" s="393"/>
      <c r="E26" s="393"/>
      <c r="F26" s="393"/>
      <c r="G26" s="393"/>
      <c r="H26" s="393"/>
      <c r="I26" s="393"/>
      <c r="J26" s="393"/>
      <c r="K26" s="393"/>
      <c r="L26" s="393"/>
      <c r="M26" s="394"/>
    </row>
    <row r="28" spans="2:25">
      <c r="C28" s="328" t="s">
        <v>376</v>
      </c>
      <c r="F28" s="395">
        <v>40052.82</v>
      </c>
      <c r="H28" s="396" t="s">
        <v>377</v>
      </c>
      <c r="I28" s="396"/>
      <c r="J28" s="397"/>
    </row>
    <row r="29" spans="2:25">
      <c r="C29" s="328" t="s">
        <v>378</v>
      </c>
      <c r="F29" s="395">
        <v>48983.93</v>
      </c>
    </row>
    <row r="31" spans="2:25" ht="18" customHeight="1">
      <c r="D31" s="398" t="str">
        <f t="shared" ref="D31:D45" si="0">IF($G31=FALSE,0,F31)</f>
        <v>投资估算审核</v>
      </c>
      <c r="F31" s="399" t="s">
        <v>379</v>
      </c>
      <c r="G31" s="400" t="b">
        <v>1</v>
      </c>
      <c r="H31" s="401" t="s">
        <v>214</v>
      </c>
      <c r="I31" s="402">
        <f>F29</f>
        <v>48983.93</v>
      </c>
      <c r="J31" s="403">
        <f t="shared" ref="J31:J37" si="1">IF($G31=FALSE,0,IF($I31&lt;=500,$I31*H6/1000,500*H6/1000))</f>
        <v>0.5</v>
      </c>
      <c r="K31" s="403">
        <f t="shared" ref="K31:K38" si="2">IF(OR($G31=FALSE,I31&lt;=500),0,IF(AND($I31&gt;500,$I31&lt;=1000),($I31-500)*I6/1000,(1000-500)*I6/1000))</f>
        <v>0.4</v>
      </c>
      <c r="L31" s="403">
        <f t="shared" ref="L31:L38" si="3">IF(OR($G31=FALSE,I31&lt;=1000),0,IF(AND($I31&gt;1000,$I31&lt;=5000),($I31-1000)*J6/1000,(5000-1000)*J6/1000))</f>
        <v>2.4</v>
      </c>
      <c r="M31" s="403">
        <f t="shared" ref="M31:M38" si="4">IF(OR($G31=FALSE,I31&lt;=5000),0,IF(AND($I31&gt;5000,$I31&lt;=10000),($I31-5000)*K6/1000,(10000-5000)*K6/1000))</f>
        <v>2</v>
      </c>
      <c r="N31" s="403">
        <f t="shared" ref="N31:N38" si="5">IF(OR($G31=FALSE,I31&lt;=10000),0,IF(AND($I31&gt;10000,$I31&lt;=50000),($I31-10000)*L6/1000,(50000-10000)*L6/1000))</f>
        <v>11.695179</v>
      </c>
      <c r="O31" s="403">
        <f t="shared" ref="O31:O38" si="6">IF(OR($G31=FALSE,I31&lt;=50000),0,IF($I31&gt;50000,($I31-10000)*M6/1000))</f>
        <v>0</v>
      </c>
      <c r="P31" s="404"/>
      <c r="Q31" s="404">
        <f t="shared" ref="Q31:Q37" si="7">IF($G31=FALSE,0,IF(SUM(J31:O31)&lt;0.3,0.3,SUM(J31:O31)))</f>
        <v>16.995179</v>
      </c>
      <c r="R31" s="396"/>
      <c r="S31" s="396"/>
      <c r="T31" s="396"/>
      <c r="U31" s="396"/>
      <c r="V31" s="396"/>
      <c r="W31" s="396"/>
      <c r="X31" s="396"/>
      <c r="Y31" s="396"/>
    </row>
    <row r="32" spans="2:25" ht="18" customHeight="1">
      <c r="D32" s="405">
        <f t="shared" si="0"/>
        <v>0</v>
      </c>
      <c r="F32" s="399" t="s">
        <v>380</v>
      </c>
      <c r="G32" s="400" t="b">
        <v>0</v>
      </c>
      <c r="H32" s="401" t="s">
        <v>381</v>
      </c>
      <c r="I32" s="402">
        <f>I31</f>
        <v>48983.93</v>
      </c>
      <c r="J32" s="403">
        <f t="shared" si="1"/>
        <v>0</v>
      </c>
      <c r="K32" s="403">
        <f t="shared" si="2"/>
        <v>0</v>
      </c>
      <c r="L32" s="403">
        <f t="shared" si="3"/>
        <v>0</v>
      </c>
      <c r="M32" s="403">
        <f t="shared" si="4"/>
        <v>0</v>
      </c>
      <c r="N32" s="403">
        <f t="shared" si="5"/>
        <v>0</v>
      </c>
      <c r="O32" s="403">
        <f t="shared" si="6"/>
        <v>0</v>
      </c>
      <c r="P32" s="404"/>
      <c r="Q32" s="404">
        <f t="shared" si="7"/>
        <v>0</v>
      </c>
      <c r="R32" s="396"/>
      <c r="S32" s="396"/>
      <c r="T32" s="396"/>
      <c r="U32" s="396"/>
      <c r="V32" s="396"/>
      <c r="W32" s="396"/>
      <c r="X32" s="396"/>
      <c r="Y32" s="396"/>
    </row>
    <row r="33" spans="4:25" ht="18" customHeight="1">
      <c r="D33" s="406" t="str">
        <f t="shared" si="0"/>
        <v>审核设计概算</v>
      </c>
      <c r="F33" s="407" t="s">
        <v>382</v>
      </c>
      <c r="G33" s="400" t="b">
        <v>1</v>
      </c>
      <c r="H33" s="401" t="s">
        <v>381</v>
      </c>
      <c r="I33" s="402">
        <f>I31</f>
        <v>48983.93</v>
      </c>
      <c r="J33" s="403">
        <f t="shared" si="1"/>
        <v>0.5</v>
      </c>
      <c r="K33" s="403">
        <f t="shared" si="2"/>
        <v>0.4</v>
      </c>
      <c r="L33" s="403">
        <f t="shared" si="3"/>
        <v>2.8</v>
      </c>
      <c r="M33" s="403">
        <f t="shared" si="4"/>
        <v>3</v>
      </c>
      <c r="N33" s="403">
        <f t="shared" si="5"/>
        <v>19.491965</v>
      </c>
      <c r="O33" s="403">
        <f t="shared" si="6"/>
        <v>0</v>
      </c>
      <c r="P33" s="404"/>
      <c r="Q33" s="404">
        <f t="shared" si="7"/>
        <v>26.191965</v>
      </c>
      <c r="R33" s="396"/>
      <c r="S33" s="396"/>
      <c r="T33" s="396"/>
      <c r="U33" s="396"/>
      <c r="V33" s="396"/>
      <c r="W33" s="396"/>
      <c r="X33" s="396"/>
      <c r="Y33" s="396"/>
    </row>
    <row r="34" spans="4:25">
      <c r="D34" s="406">
        <f t="shared" si="0"/>
        <v>0</v>
      </c>
      <c r="F34" s="408" t="s">
        <v>357</v>
      </c>
      <c r="G34" s="400" t="b">
        <v>0</v>
      </c>
      <c r="H34" s="401" t="s">
        <v>383</v>
      </c>
      <c r="I34" s="402">
        <f>$F$28</f>
        <v>40052.82</v>
      </c>
      <c r="J34" s="403">
        <f t="shared" si="1"/>
        <v>0</v>
      </c>
      <c r="K34" s="403">
        <f t="shared" si="2"/>
        <v>0</v>
      </c>
      <c r="L34" s="403">
        <f t="shared" si="3"/>
        <v>0</v>
      </c>
      <c r="M34" s="403">
        <f t="shared" si="4"/>
        <v>0</v>
      </c>
      <c r="N34" s="403">
        <f t="shared" si="5"/>
        <v>0</v>
      </c>
      <c r="O34" s="403">
        <f t="shared" si="6"/>
        <v>0</v>
      </c>
      <c r="P34" s="404"/>
      <c r="Q34" s="404">
        <f t="shared" si="7"/>
        <v>0</v>
      </c>
      <c r="R34" s="396"/>
      <c r="S34" s="396"/>
      <c r="T34" s="396"/>
      <c r="U34" s="396"/>
      <c r="V34" s="396"/>
      <c r="W34" s="396"/>
      <c r="X34" s="396"/>
      <c r="Y34" s="396"/>
    </row>
    <row r="35" spans="4:25" ht="24.75" customHeight="1">
      <c r="D35" s="406"/>
      <c r="F35" s="408" t="s">
        <v>384</v>
      </c>
      <c r="G35" s="400" t="b">
        <v>0</v>
      </c>
      <c r="H35" s="401" t="s">
        <v>385</v>
      </c>
      <c r="I35" s="402">
        <f t="shared" ref="I35:I45" si="8">$F$28</f>
        <v>40052.82</v>
      </c>
      <c r="J35" s="403">
        <f t="shared" si="1"/>
        <v>0</v>
      </c>
      <c r="K35" s="403">
        <f t="shared" si="2"/>
        <v>0</v>
      </c>
      <c r="L35" s="403">
        <f t="shared" si="3"/>
        <v>0</v>
      </c>
      <c r="M35" s="403">
        <f t="shared" si="4"/>
        <v>0</v>
      </c>
      <c r="N35" s="403">
        <f t="shared" si="5"/>
        <v>0</v>
      </c>
      <c r="O35" s="403">
        <f t="shared" si="6"/>
        <v>0</v>
      </c>
      <c r="P35" s="404"/>
      <c r="Q35" s="404">
        <f>IF($G35=FALSE,0,IF(SUM(J35:O35)&lt;0.3,0.3,SUM(J35:O35)))</f>
        <v>0</v>
      </c>
      <c r="R35" s="396"/>
      <c r="S35" s="396"/>
      <c r="T35" s="396"/>
      <c r="U35" s="396"/>
      <c r="V35" s="396"/>
      <c r="W35" s="396"/>
      <c r="X35" s="396"/>
      <c r="Y35" s="396"/>
    </row>
    <row r="36" spans="4:25" ht="36">
      <c r="D36" s="406">
        <f t="shared" si="0"/>
        <v>0</v>
      </c>
      <c r="F36" s="408" t="s">
        <v>386</v>
      </c>
      <c r="G36" s="400" t="b">
        <v>0</v>
      </c>
      <c r="H36" s="401" t="s">
        <v>361</v>
      </c>
      <c r="I36" s="402">
        <f t="shared" si="8"/>
        <v>40052.82</v>
      </c>
      <c r="J36" s="403">
        <f t="shared" si="1"/>
        <v>0</v>
      </c>
      <c r="K36" s="403">
        <f t="shared" si="2"/>
        <v>0</v>
      </c>
      <c r="L36" s="403">
        <f t="shared" si="3"/>
        <v>0</v>
      </c>
      <c r="M36" s="403">
        <f t="shared" si="4"/>
        <v>0</v>
      </c>
      <c r="N36" s="403">
        <f t="shared" si="5"/>
        <v>0</v>
      </c>
      <c r="O36" s="403">
        <f t="shared" si="6"/>
        <v>0</v>
      </c>
      <c r="P36" s="404"/>
      <c r="Q36" s="404">
        <f t="shared" si="7"/>
        <v>0</v>
      </c>
      <c r="R36" s="396"/>
      <c r="S36" s="396"/>
      <c r="T36" s="396"/>
      <c r="U36" s="396"/>
      <c r="V36" s="396"/>
      <c r="W36" s="396"/>
      <c r="X36" s="396"/>
      <c r="Y36" s="396"/>
    </row>
    <row r="37" spans="4:25" ht="36">
      <c r="D37" s="406">
        <f t="shared" si="0"/>
        <v>0</v>
      </c>
      <c r="F37" s="408" t="s">
        <v>387</v>
      </c>
      <c r="G37" s="400" t="b">
        <v>0</v>
      </c>
      <c r="H37" s="401" t="s">
        <v>361</v>
      </c>
      <c r="I37" s="402">
        <f t="shared" si="8"/>
        <v>40052.82</v>
      </c>
      <c r="J37" s="403">
        <f t="shared" si="1"/>
        <v>0</v>
      </c>
      <c r="K37" s="403">
        <f t="shared" si="2"/>
        <v>0</v>
      </c>
      <c r="L37" s="403">
        <f t="shared" si="3"/>
        <v>0</v>
      </c>
      <c r="M37" s="403">
        <f t="shared" si="4"/>
        <v>0</v>
      </c>
      <c r="N37" s="403">
        <f t="shared" si="5"/>
        <v>0</v>
      </c>
      <c r="O37" s="403">
        <f t="shared" si="6"/>
        <v>0</v>
      </c>
      <c r="P37" s="404"/>
      <c r="Q37" s="404">
        <f t="shared" si="7"/>
        <v>0</v>
      </c>
      <c r="R37" s="396"/>
      <c r="S37" s="396"/>
      <c r="T37" s="396"/>
      <c r="U37" s="396"/>
      <c r="V37" s="396"/>
      <c r="W37" s="396"/>
      <c r="X37" s="396"/>
      <c r="Y37" s="396"/>
    </row>
    <row r="38" spans="4:25" ht="72">
      <c r="D38" s="406" t="str">
        <f t="shared" si="0"/>
        <v>工程预算、招标控制价、投标报价（含编制工程量清单）编制</v>
      </c>
      <c r="F38" s="409" t="s">
        <v>388</v>
      </c>
      <c r="G38" s="400" t="b">
        <v>1</v>
      </c>
      <c r="H38" s="401" t="s">
        <v>361</v>
      </c>
      <c r="I38" s="402">
        <f t="shared" si="8"/>
        <v>40052.82</v>
      </c>
      <c r="J38" s="403">
        <f>IF($G38=FALSE,0,IF($I38&lt;=500,$I38*H13/1000,500*H13/1000))</f>
        <v>1.9</v>
      </c>
      <c r="K38" s="403">
        <f t="shared" si="2"/>
        <v>1.7</v>
      </c>
      <c r="L38" s="403">
        <f t="shared" si="3"/>
        <v>12</v>
      </c>
      <c r="M38" s="403">
        <f t="shared" si="4"/>
        <v>12</v>
      </c>
      <c r="N38" s="403">
        <f t="shared" si="5"/>
        <v>60.105640000000001</v>
      </c>
      <c r="O38" s="403">
        <f t="shared" si="6"/>
        <v>0</v>
      </c>
      <c r="P38" s="404"/>
      <c r="Q38" s="404">
        <f>IF($G38=FALSE,0,IF(SUM(J38:O38)&lt;0.3,0.3,SUM(J38:O38)))</f>
        <v>87.705640000000002</v>
      </c>
      <c r="R38" s="396"/>
      <c r="S38" s="396"/>
      <c r="T38" s="396"/>
      <c r="U38" s="396"/>
      <c r="V38" s="396"/>
      <c r="W38" s="396"/>
      <c r="X38" s="396"/>
      <c r="Y38" s="396"/>
    </row>
    <row r="39" spans="4:25" ht="36">
      <c r="D39" s="406">
        <f t="shared" si="0"/>
        <v>0</v>
      </c>
      <c r="F39" s="408" t="s">
        <v>389</v>
      </c>
      <c r="G39" s="400" t="b">
        <v>0</v>
      </c>
      <c r="H39" s="401" t="s">
        <v>361</v>
      </c>
      <c r="I39" s="402">
        <f t="shared" si="8"/>
        <v>40052.82</v>
      </c>
      <c r="J39" s="403">
        <f>IF($G39=FALSE,0,IF($I39&lt;=500,$I39*H14/1000,500*H14/1000))</f>
        <v>0</v>
      </c>
      <c r="K39" s="403">
        <f>IF(OR($G39=FALSE,I39&lt;=500),0,IF(AND($I39&gt;500,$I39&lt;=1000),($I39-500)*I14/1000,(1000-500)*I14/1000))</f>
        <v>0</v>
      </c>
      <c r="L39" s="403">
        <f>IF(OR($G39=FALSE,I39&lt;=1000),0,IF(AND($I39&gt;1000,$I39&lt;=5000),($I39-1000)*J14/1000,(5000-1000)*J14/1000))</f>
        <v>0</v>
      </c>
      <c r="M39" s="403">
        <f>IF(OR($G39=FALSE,I39&lt;=5000),0,IF(AND($I39&gt;5000,$I39&lt;=10000),($I39-5000)*K14/1000,(10000-5000)*K14/1000))</f>
        <v>0</v>
      </c>
      <c r="N39" s="403">
        <f>IF(OR($G39=FALSE,I39&lt;=10000),0,IF(AND($I39&gt;10000,$I39&lt;=50000),($I39-10000)*L14/1000,(50000-10000)*L14/1000))</f>
        <v>0</v>
      </c>
      <c r="O39" s="403">
        <f>IF(OR($G39=FALSE,I39&lt;=50000),0,IF($I39&gt;50000,($I39-10000)*M14/1000))</f>
        <v>0</v>
      </c>
      <c r="P39" s="404"/>
      <c r="Q39" s="404">
        <f>IF($G39=FALSE,0,IF(SUM(J39:O39,S39:X39)&lt;0.3,0.3,SUM(J39:O39,S39:X39)))</f>
        <v>0</v>
      </c>
      <c r="R39" s="396"/>
      <c r="S39" s="410">
        <f t="shared" ref="S39:X39" si="9">$I$28/$F$28*J39*30%</f>
        <v>0</v>
      </c>
      <c r="T39" s="410">
        <f t="shared" si="9"/>
        <v>0</v>
      </c>
      <c r="U39" s="410">
        <f t="shared" si="9"/>
        <v>0</v>
      </c>
      <c r="V39" s="410">
        <f t="shared" si="9"/>
        <v>0</v>
      </c>
      <c r="W39" s="410">
        <f t="shared" si="9"/>
        <v>0</v>
      </c>
      <c r="X39" s="410">
        <f t="shared" si="9"/>
        <v>0</v>
      </c>
      <c r="Y39" s="410"/>
    </row>
    <row r="40" spans="4:25" ht="18" customHeight="1">
      <c r="D40" s="406">
        <f t="shared" si="0"/>
        <v>0</v>
      </c>
      <c r="F40" s="408" t="s">
        <v>373</v>
      </c>
      <c r="G40" s="400" t="b">
        <v>0</v>
      </c>
      <c r="H40" s="401" t="s">
        <v>361</v>
      </c>
      <c r="I40" s="402">
        <f t="shared" si="8"/>
        <v>40052.82</v>
      </c>
      <c r="J40" s="403">
        <f>IF($G40=FALSE,0,IF($I40&lt;=500,$I40*H18/1000,500*H18/1000))</f>
        <v>0</v>
      </c>
      <c r="K40" s="403">
        <f>IF(OR($G40=FALSE,I40&lt;=500),0,IF(AND($I40&gt;500,$I40&lt;=1000),($I40-500)*I18/1000,(1000-500)*I18/1000))</f>
        <v>0</v>
      </c>
      <c r="L40" s="403">
        <f>IF(OR($G40=FALSE,I40&lt;=1000),0,IF(AND($I40&gt;1000,$I40&lt;=5000),($I40-1000)*J18/1000,(5000-1000)*J18/1000))</f>
        <v>0</v>
      </c>
      <c r="M40" s="403">
        <f>IF(OR($G40=FALSE,I40&lt;=5000),0,IF(AND($I40&gt;5000,$I40&lt;=10000),($I40-5000)*K18/1000,(10000-5000)*K18/1000))</f>
        <v>0</v>
      </c>
      <c r="N40" s="403">
        <f>IF(OR($G40=FALSE,I40&lt;=10000),0,IF(AND($I40&gt;10000,$I40&lt;=50000),($I40-10000)*L18/1000,(50000-10000)*L18/1000))</f>
        <v>0</v>
      </c>
      <c r="O40" s="403">
        <f>IF(OR($G40=FALSE,I40&lt;=50000),0,IF($I40&gt;50000,($I40-10000)*M18/1000))</f>
        <v>0</v>
      </c>
      <c r="P40" s="404"/>
      <c r="Q40" s="404">
        <f>IF($G40=FALSE,0,IF(SUM(J40:O40)&lt;0.3,0.3,SUM(J40:O40)))</f>
        <v>0</v>
      </c>
      <c r="R40" s="396"/>
      <c r="S40" s="396"/>
      <c r="T40" s="396"/>
      <c r="U40" s="396"/>
      <c r="V40" s="396"/>
      <c r="W40" s="396"/>
      <c r="X40" s="396"/>
      <c r="Y40" s="396"/>
    </row>
    <row r="41" spans="4:25" ht="36">
      <c r="D41" s="406" t="str">
        <f t="shared" si="0"/>
        <v>工程竣工结算审核                 基本收费</v>
      </c>
      <c r="F41" s="409" t="s">
        <v>390</v>
      </c>
      <c r="G41" s="400" t="b">
        <v>1</v>
      </c>
      <c r="H41" s="411" t="s">
        <v>391</v>
      </c>
      <c r="I41" s="402">
        <f t="shared" si="8"/>
        <v>40052.82</v>
      </c>
      <c r="J41" s="403">
        <f>IF($G41=FALSE,0,IF($I41&lt;=500,$I41*H19/1000,500*H19/1000))</f>
        <v>0.9</v>
      </c>
      <c r="K41" s="403">
        <f>IF(OR($G41=FALSE,I41&lt;=500),0,IF(AND($I41&gt;500,$I41&lt;=1000),($I41-500)*I19/1000,(1000-500)*I19/1000))</f>
        <v>0.7</v>
      </c>
      <c r="L41" s="403">
        <f>IF(OR($G41=FALSE,I41&lt;=1000),0,IF(AND($I41&gt;1000,$I41&lt;=5000),($I41-1000)*J19/1000,(5000-1000)*J19/1000))</f>
        <v>4.4000000000000004</v>
      </c>
      <c r="M41" s="403">
        <f>IF(OR($G41=FALSE,I41&lt;=5000),0,IF(AND($I41&gt;5000,$I41&lt;=10000),($I41-5000)*K19/1000,(10000-5000)*K19/1000))</f>
        <v>4.5</v>
      </c>
      <c r="N41" s="403">
        <f>IF(OR($G41=FALSE,I41&lt;=10000),0,IF(AND($I41&gt;10000,$I41&lt;=50000),($I41-10000)*L19/1000,(50000-10000)*L19/1000))</f>
        <v>21.036973999999997</v>
      </c>
      <c r="O41" s="403">
        <f>IF(OR($G41=FALSE,I41&lt;=50000),0,IF($I41&gt;50000,($I41-10000)*M19/1000))</f>
        <v>0</v>
      </c>
      <c r="P41" s="404"/>
      <c r="Q41" s="404">
        <f>IF($G41=FALSE,0,IF(SUM(J41:O41,S41:X41)&lt;0.3,0.3,SUM(J41:O41,S41:X41)))</f>
        <v>31.536973999999997</v>
      </c>
      <c r="R41" s="396"/>
      <c r="S41" s="410">
        <f t="shared" ref="S41:X41" si="10">$I$28/$F$28*J41*30%</f>
        <v>0</v>
      </c>
      <c r="T41" s="410">
        <f t="shared" si="10"/>
        <v>0</v>
      </c>
      <c r="U41" s="410">
        <f t="shared" si="10"/>
        <v>0</v>
      </c>
      <c r="V41" s="410">
        <f t="shared" si="10"/>
        <v>0</v>
      </c>
      <c r="W41" s="410">
        <f t="shared" si="10"/>
        <v>0</v>
      </c>
      <c r="X41" s="410">
        <f t="shared" si="10"/>
        <v>0</v>
      </c>
      <c r="Y41" s="410"/>
    </row>
    <row r="42" spans="4:25" ht="24">
      <c r="D42" s="406">
        <f t="shared" si="0"/>
        <v>0</v>
      </c>
      <c r="E42" s="412"/>
      <c r="F42" s="408" t="s">
        <v>392</v>
      </c>
      <c r="G42" s="400" t="b">
        <v>0</v>
      </c>
      <c r="H42" s="401" t="s">
        <v>370</v>
      </c>
      <c r="I42" s="413">
        <f>I41*0</f>
        <v>0</v>
      </c>
      <c r="J42" s="414">
        <v>0.06</v>
      </c>
      <c r="K42" s="414"/>
      <c r="L42" s="414"/>
      <c r="M42" s="414"/>
      <c r="N42" s="414"/>
      <c r="O42" s="414"/>
      <c r="P42" s="404"/>
      <c r="Q42" s="404">
        <f>IF($G42=FALSE,0,IF(I42*J42&lt;0.3,0.3,I42*J42))</f>
        <v>0</v>
      </c>
      <c r="R42" s="396"/>
      <c r="S42" s="415"/>
      <c r="T42" s="396"/>
      <c r="U42" s="396"/>
      <c r="V42" s="396"/>
      <c r="W42" s="396"/>
      <c r="X42" s="396"/>
      <c r="Y42" s="396"/>
    </row>
    <row r="43" spans="4:25" ht="48">
      <c r="D43" s="406" t="str">
        <f t="shared" si="0"/>
        <v>施工阶段全过程工程造价控制   基本收费</v>
      </c>
      <c r="E43" s="412"/>
      <c r="F43" s="409" t="s">
        <v>393</v>
      </c>
      <c r="G43" s="400" t="b">
        <v>1</v>
      </c>
      <c r="H43" s="401" t="s">
        <v>391</v>
      </c>
      <c r="I43" s="402">
        <f t="shared" si="8"/>
        <v>40052.82</v>
      </c>
      <c r="J43" s="403">
        <f>IF($G43=FALSE,0,IF($I43&lt;=500,$I43*H15/1000,500*H15/1000))</f>
        <v>4.5</v>
      </c>
      <c r="K43" s="403">
        <f>IF(OR($G43=FALSE,I43&lt;=500),0,IF(AND($I43&gt;500,$I43&lt;=1000),($I43-500)*I15/1000,(1000-500)*I15/1000))</f>
        <v>4</v>
      </c>
      <c r="L43" s="403">
        <f>IF(OR($G43=FALSE,I43&lt;=1000),0,IF(AND($I43&gt;1000,$I43&lt;=5000),($I43-1000)*J15/1000,(5000-1000)*J15/1000))</f>
        <v>24</v>
      </c>
      <c r="M43" s="403">
        <f>IF(OR($G43=FALSE,I43&lt;=5000),0,IF(AND($I43&gt;5000,$I43&lt;=10000),($I43-5000)*K15/1000,(10000-5000)*K15/1000))</f>
        <v>20</v>
      </c>
      <c r="N43" s="403">
        <f>IF(OR($G43=FALSE,I43&lt;=10000),0,IF(AND($I43&gt;10000,$I43&lt;=50000),($I43-10000)*L15/1000,(50000-10000)*L15/1000))</f>
        <v>105.18486999999999</v>
      </c>
      <c r="O43" s="403">
        <f>IF(OR($G43=FALSE,I43&lt;=50000),0,IF($I43&gt;50000,($I43-10000)*M15/1000))</f>
        <v>0</v>
      </c>
      <c r="P43" s="404"/>
      <c r="Q43" s="404">
        <f>SUM(J43:O43)</f>
        <v>157.68486999999999</v>
      </c>
      <c r="R43" s="396"/>
      <c r="S43" s="396"/>
      <c r="T43" s="396"/>
      <c r="U43" s="396"/>
      <c r="V43" s="396"/>
      <c r="W43" s="396"/>
      <c r="X43" s="396"/>
      <c r="Y43" s="396"/>
    </row>
    <row r="44" spans="4:25" ht="24">
      <c r="D44" s="406">
        <f t="shared" si="0"/>
        <v>0</v>
      </c>
      <c r="E44" s="412"/>
      <c r="F44" s="408" t="s">
        <v>394</v>
      </c>
      <c r="G44" s="400" t="b">
        <v>0</v>
      </c>
      <c r="H44" s="401" t="s">
        <v>370</v>
      </c>
      <c r="I44" s="413">
        <f>I43*0</f>
        <v>0</v>
      </c>
      <c r="J44" s="414">
        <v>0.04</v>
      </c>
      <c r="K44" s="414"/>
      <c r="L44" s="414"/>
      <c r="M44" s="414"/>
      <c r="N44" s="414"/>
      <c r="O44" s="414"/>
      <c r="P44" s="404"/>
      <c r="Q44" s="404">
        <f>IF($G44=FALSE,0,IF(SUM(J44:O44)&lt;0.3,0.3,SUM(J44:O44)))</f>
        <v>0</v>
      </c>
      <c r="R44" s="396"/>
      <c r="S44" s="396"/>
      <c r="T44" s="396"/>
      <c r="U44" s="396"/>
      <c r="V44" s="396"/>
      <c r="W44" s="396"/>
      <c r="X44" s="396"/>
      <c r="Y44" s="396"/>
    </row>
    <row r="45" spans="4:25" ht="24">
      <c r="D45" s="406">
        <f t="shared" si="0"/>
        <v>0</v>
      </c>
      <c r="E45" s="412"/>
      <c r="F45" s="409" t="s">
        <v>395</v>
      </c>
      <c r="G45" s="400" t="b">
        <v>0</v>
      </c>
      <c r="H45" s="401" t="s">
        <v>391</v>
      </c>
      <c r="I45" s="402">
        <f t="shared" si="8"/>
        <v>40052.82</v>
      </c>
      <c r="J45" s="403">
        <f>IF($G45=FALSE,0,IF($I45&lt;=500,$I45*H17/1000,500*H17/1000))</f>
        <v>0</v>
      </c>
      <c r="K45" s="403">
        <f>IF(OR($G45=FALSE,I45&lt;=500),0,IF(AND($I45&gt;500,$I45&lt;=1000),($I45-500)*I17/1000,(1000-500)*I17/1000))</f>
        <v>0</v>
      </c>
      <c r="L45" s="403">
        <f>IF(OR($G45=FALSE,I45&lt;=1000),0,IF(AND($I45&gt;1000,$I45&lt;=5000),($I45-1000)*J17/1000,(5000-1000)*J17/1000))</f>
        <v>0</v>
      </c>
      <c r="M45" s="403">
        <f>IF(OR($G45=FALSE,I45&lt;=5000),0,IF(AND($I45&gt;5000,$I45&lt;=10000),($I45-5000)*K17/1000,(10000-5000)*K17/1000))</f>
        <v>0</v>
      </c>
      <c r="N45" s="403">
        <f>IF(OR($G45=FALSE,I45&lt;=10000),0,IF(AND($I45&gt;10000,$I45&lt;=50000),($I45-10000)*L17/1000,(50000-10000)*L17/1000))</f>
        <v>0</v>
      </c>
      <c r="O45" s="403">
        <f>IF(OR($G45=FALSE,I45&lt;=50000),0,IF($I45&gt;50000,($I45-10000)*M17/1000))</f>
        <v>0</v>
      </c>
      <c r="P45" s="404"/>
      <c r="Q45" s="404">
        <f>SUM(J45:O45)</f>
        <v>0</v>
      </c>
      <c r="R45" s="396"/>
      <c r="S45" s="396"/>
      <c r="T45" s="396"/>
      <c r="U45" s="396"/>
      <c r="V45" s="396"/>
      <c r="W45" s="396"/>
      <c r="X45" s="396"/>
      <c r="Y45" s="396"/>
    </row>
    <row r="46" spans="4:25" ht="19.5" customHeight="1">
      <c r="D46" s="416"/>
      <c r="E46" s="412"/>
      <c r="F46" s="417"/>
      <c r="G46" s="399"/>
      <c r="H46" s="418"/>
      <c r="I46" s="419"/>
      <c r="J46" s="403"/>
      <c r="K46" s="403"/>
      <c r="L46" s="403"/>
      <c r="M46" s="403"/>
      <c r="N46" s="403"/>
      <c r="O46" s="404"/>
      <c r="P46" s="404"/>
      <c r="Q46" s="404"/>
      <c r="R46" s="396"/>
      <c r="S46" s="396"/>
      <c r="T46" s="396"/>
      <c r="U46" s="396"/>
      <c r="V46" s="396"/>
      <c r="W46" s="396"/>
      <c r="X46" s="396"/>
      <c r="Y46" s="396"/>
    </row>
    <row r="47" spans="4:25" ht="18.75" customHeight="1">
      <c r="D47" s="416"/>
      <c r="E47" s="412"/>
      <c r="F47" s="417" t="s">
        <v>396</v>
      </c>
      <c r="G47" s="417"/>
      <c r="H47" s="420"/>
      <c r="I47" s="419"/>
      <c r="J47" s="403"/>
      <c r="K47" s="403"/>
      <c r="L47" s="403"/>
      <c r="M47" s="403"/>
      <c r="N47" s="403"/>
      <c r="O47" s="404"/>
      <c r="P47" s="404"/>
      <c r="Q47" s="421">
        <f>SUM(Q31:Q46)</f>
        <v>320.11462799999998</v>
      </c>
      <c r="R47" s="396">
        <f>Q47*0.7</f>
        <v>224.08023959999997</v>
      </c>
      <c r="S47" s="396"/>
      <c r="T47" s="396"/>
      <c r="U47" s="396"/>
      <c r="V47" s="396"/>
      <c r="W47" s="396"/>
      <c r="X47" s="396"/>
      <c r="Y47" s="396"/>
    </row>
    <row r="48" spans="4:25">
      <c r="D48" s="422"/>
      <c r="E48" s="412"/>
      <c r="H48" s="412"/>
      <c r="I48" s="423"/>
      <c r="J48" s="423"/>
      <c r="K48" s="423"/>
      <c r="L48" s="423"/>
      <c r="M48" s="423"/>
      <c r="N48" s="423"/>
      <c r="O48" s="424"/>
      <c r="P48" s="424"/>
      <c r="Q48" s="424"/>
    </row>
    <row r="49" spans="3:16">
      <c r="H49" s="412"/>
      <c r="I49" s="412"/>
      <c r="J49" s="412"/>
      <c r="K49" s="412"/>
      <c r="L49" s="412"/>
      <c r="M49" s="412"/>
      <c r="N49" s="412"/>
      <c r="O49" s="412"/>
      <c r="P49" s="412"/>
    </row>
    <row r="50" spans="3:16">
      <c r="C50" s="396" t="s">
        <v>397</v>
      </c>
      <c r="D50" s="396"/>
      <c r="H50" s="412"/>
      <c r="I50" s="412"/>
    </row>
    <row r="51" spans="3:16">
      <c r="C51" s="396" t="s">
        <v>398</v>
      </c>
      <c r="D51" s="396"/>
      <c r="H51" s="412"/>
      <c r="I51" s="412"/>
      <c r="J51" s="412"/>
      <c r="K51" s="412"/>
      <c r="L51" s="412"/>
      <c r="M51" s="412"/>
      <c r="N51" s="412"/>
    </row>
    <row r="52" spans="3:16">
      <c r="C52" s="396" t="s">
        <v>399</v>
      </c>
      <c r="D52" s="396"/>
      <c r="H52" s="412"/>
      <c r="I52" s="412"/>
      <c r="J52" s="412"/>
      <c r="K52" s="412"/>
      <c r="L52" s="412"/>
      <c r="M52" s="412"/>
      <c r="N52" s="412"/>
    </row>
    <row r="53" spans="3:16">
      <c r="C53" s="396" t="s">
        <v>400</v>
      </c>
      <c r="D53" s="396"/>
      <c r="H53" s="412"/>
      <c r="I53" s="412"/>
      <c r="J53" s="412"/>
      <c r="K53" s="412"/>
      <c r="L53" s="412"/>
      <c r="M53" s="412"/>
      <c r="N53" s="412"/>
    </row>
    <row r="54" spans="3:16">
      <c r="C54" s="396" t="s">
        <v>401</v>
      </c>
      <c r="D54" s="396"/>
      <c r="H54" s="412"/>
      <c r="I54" s="412"/>
      <c r="J54" s="412"/>
      <c r="K54" s="412"/>
      <c r="L54" s="412"/>
      <c r="M54" s="412"/>
      <c r="N54" s="412"/>
    </row>
    <row r="55" spans="3:16">
      <c r="C55" s="396" t="s">
        <v>402</v>
      </c>
      <c r="D55" s="396"/>
      <c r="H55" s="412"/>
      <c r="I55" s="412"/>
      <c r="J55" s="412"/>
      <c r="K55" s="412"/>
      <c r="L55" s="412"/>
      <c r="M55" s="412"/>
      <c r="N55" s="412"/>
    </row>
    <row r="56" spans="3:16">
      <c r="C56" s="396" t="s">
        <v>403</v>
      </c>
      <c r="D56" s="396"/>
      <c r="H56" s="412"/>
      <c r="I56" s="412"/>
      <c r="J56" s="412"/>
      <c r="K56" s="412"/>
      <c r="L56" s="412"/>
      <c r="M56" s="412"/>
      <c r="N56" s="412"/>
    </row>
    <row r="57" spans="3:16">
      <c r="C57" s="396" t="s">
        <v>404</v>
      </c>
      <c r="D57" s="396"/>
      <c r="H57" s="412"/>
      <c r="I57" s="412"/>
      <c r="J57" s="412"/>
      <c r="K57" s="412"/>
      <c r="L57" s="412"/>
      <c r="M57" s="412"/>
      <c r="N57" s="412"/>
    </row>
    <row r="58" spans="3:16">
      <c r="C58" s="396" t="s">
        <v>405</v>
      </c>
      <c r="D58" s="396"/>
      <c r="H58" s="412"/>
      <c r="I58" s="412"/>
      <c r="J58" s="412"/>
      <c r="K58" s="412"/>
      <c r="L58" s="412"/>
      <c r="M58" s="412"/>
      <c r="N58" s="412"/>
    </row>
    <row r="59" spans="3:16">
      <c r="C59" s="396" t="s">
        <v>406</v>
      </c>
      <c r="D59" s="396"/>
      <c r="H59" s="412"/>
      <c r="I59" s="412"/>
      <c r="J59" s="412"/>
      <c r="K59" s="412"/>
      <c r="L59" s="412"/>
      <c r="M59" s="412"/>
      <c r="N59" s="412"/>
    </row>
    <row r="60" spans="3:16">
      <c r="C60" s="396" t="s">
        <v>407</v>
      </c>
      <c r="D60" s="396"/>
      <c r="H60" s="412"/>
      <c r="I60" s="412"/>
      <c r="J60" s="412"/>
      <c r="K60" s="412"/>
      <c r="L60" s="412"/>
      <c r="M60" s="412"/>
      <c r="N60" s="412"/>
    </row>
    <row r="61" spans="3:16">
      <c r="C61" s="396" t="s">
        <v>408</v>
      </c>
      <c r="D61" s="396"/>
      <c r="H61" s="412"/>
      <c r="I61" s="412"/>
      <c r="J61" s="412"/>
      <c r="K61" s="412"/>
      <c r="L61" s="412"/>
      <c r="M61" s="412"/>
      <c r="N61" s="412"/>
    </row>
    <row r="62" spans="3:16">
      <c r="C62" s="396" t="s">
        <v>409</v>
      </c>
      <c r="D62" s="396"/>
      <c r="H62" s="412"/>
      <c r="I62" s="412"/>
      <c r="J62" s="412"/>
      <c r="K62" s="412"/>
      <c r="L62" s="412"/>
      <c r="M62" s="412"/>
      <c r="N62" s="412"/>
    </row>
    <row r="63" spans="3:16">
      <c r="C63" s="396" t="s">
        <v>410</v>
      </c>
      <c r="D63" s="396"/>
      <c r="H63" s="412"/>
      <c r="I63" s="412"/>
      <c r="J63" s="412"/>
      <c r="K63" s="412"/>
      <c r="L63" s="412"/>
      <c r="M63" s="412"/>
      <c r="N63" s="412"/>
    </row>
    <row r="64" spans="3:16">
      <c r="C64" s="396" t="s">
        <v>411</v>
      </c>
      <c r="D64" s="396"/>
      <c r="H64" s="412"/>
      <c r="I64" s="412"/>
      <c r="J64" s="412"/>
      <c r="K64" s="412"/>
      <c r="L64" s="412"/>
      <c r="M64" s="412"/>
      <c r="N64" s="412"/>
    </row>
    <row r="65" spans="3:14">
      <c r="C65" s="396" t="s">
        <v>412</v>
      </c>
      <c r="D65" s="396"/>
      <c r="H65" s="412"/>
      <c r="I65" s="412"/>
      <c r="J65" s="412"/>
      <c r="K65" s="412"/>
      <c r="L65" s="412"/>
      <c r="M65" s="412"/>
      <c r="N65" s="412"/>
    </row>
    <row r="66" spans="3:14">
      <c r="C66" s="396" t="s">
        <v>413</v>
      </c>
      <c r="D66" s="396"/>
      <c r="H66" s="412"/>
      <c r="I66" s="412"/>
      <c r="J66" s="412"/>
      <c r="K66" s="412"/>
      <c r="L66" s="412"/>
      <c r="M66" s="412"/>
      <c r="N66" s="412"/>
    </row>
    <row r="67" spans="3:14">
      <c r="C67" s="396" t="s">
        <v>414</v>
      </c>
      <c r="D67" s="396"/>
      <c r="H67" s="412"/>
      <c r="I67" s="412"/>
      <c r="J67" s="412"/>
      <c r="K67" s="412"/>
      <c r="L67" s="412"/>
      <c r="M67" s="412"/>
      <c r="N67" s="412"/>
    </row>
    <row r="68" spans="3:14">
      <c r="C68" s="396" t="s">
        <v>415</v>
      </c>
      <c r="D68" s="396"/>
      <c r="H68" s="412"/>
      <c r="I68" s="412"/>
      <c r="J68" s="412"/>
      <c r="K68" s="412"/>
      <c r="L68" s="412"/>
      <c r="M68" s="412"/>
      <c r="N68" s="412"/>
    </row>
    <row r="69" spans="3:14">
      <c r="C69" s="396" t="s">
        <v>416</v>
      </c>
      <c r="D69" s="396"/>
    </row>
    <row r="70" spans="3:14">
      <c r="C70" s="396" t="s">
        <v>417</v>
      </c>
      <c r="D70" s="396"/>
    </row>
    <row r="71" spans="3:14">
      <c r="C71" s="396" t="s">
        <v>418</v>
      </c>
      <c r="D71" s="396"/>
    </row>
    <row r="72" spans="3:14">
      <c r="C72" s="396" t="s">
        <v>419</v>
      </c>
      <c r="D72" s="396"/>
    </row>
    <row r="73" spans="3:14">
      <c r="C73" s="396" t="s">
        <v>420</v>
      </c>
      <c r="D73" s="396"/>
    </row>
    <row r="74" spans="3:14">
      <c r="C74" s="396" t="s">
        <v>421</v>
      </c>
      <c r="D74" s="396"/>
    </row>
    <row r="75" spans="3:14">
      <c r="C75" s="396" t="s">
        <v>422</v>
      </c>
      <c r="D75" s="396"/>
    </row>
    <row r="76" spans="3:14">
      <c r="C76" s="396" t="s">
        <v>423</v>
      </c>
      <c r="D76" s="396"/>
    </row>
    <row r="77" spans="3:14">
      <c r="C77" s="396" t="s">
        <v>424</v>
      </c>
      <c r="D77" s="396"/>
    </row>
    <row r="78" spans="3:14">
      <c r="C78" s="396" t="s">
        <v>425</v>
      </c>
      <c r="D78" s="396"/>
    </row>
    <row r="79" spans="3:14">
      <c r="C79" s="396" t="s">
        <v>426</v>
      </c>
      <c r="D79" s="396"/>
    </row>
    <row r="80" spans="3:14">
      <c r="C80" s="396" t="s">
        <v>427</v>
      </c>
      <c r="D80" s="396"/>
    </row>
    <row r="81" spans="3:4">
      <c r="C81" s="396" t="s">
        <v>428</v>
      </c>
      <c r="D81" s="396"/>
    </row>
    <row r="82" spans="3:4">
      <c r="C82" s="396" t="s">
        <v>429</v>
      </c>
      <c r="D82" s="396"/>
    </row>
    <row r="83" spans="3:4">
      <c r="C83" s="396" t="s">
        <v>430</v>
      </c>
      <c r="D83" s="396"/>
    </row>
    <row r="84" spans="3:4">
      <c r="C84" s="396" t="s">
        <v>431</v>
      </c>
      <c r="D84" s="396"/>
    </row>
    <row r="85" spans="3:4">
      <c r="C85" s="396" t="s">
        <v>432</v>
      </c>
      <c r="D85" s="396"/>
    </row>
    <row r="86" spans="3:4">
      <c r="C86" s="396" t="s">
        <v>433</v>
      </c>
      <c r="D86" s="396"/>
    </row>
    <row r="87" spans="3:4">
      <c r="C87" s="396" t="s">
        <v>434</v>
      </c>
      <c r="D87" s="396"/>
    </row>
    <row r="88" spans="3:4">
      <c r="C88" s="396" t="s">
        <v>435</v>
      </c>
      <c r="D88" s="396"/>
    </row>
    <row r="89" spans="3:4">
      <c r="C89" s="396" t="s">
        <v>436</v>
      </c>
      <c r="D89" s="396"/>
    </row>
    <row r="90" spans="3:4">
      <c r="C90" s="396" t="s">
        <v>437</v>
      </c>
      <c r="D90" s="396"/>
    </row>
    <row r="91" spans="3:4">
      <c r="C91" s="396" t="s">
        <v>438</v>
      </c>
      <c r="D91" s="396"/>
    </row>
    <row r="92" spans="3:4">
      <c r="C92" s="396" t="s">
        <v>439</v>
      </c>
      <c r="D92" s="396"/>
    </row>
    <row r="93" spans="3:4">
      <c r="C93" s="396" t="s">
        <v>440</v>
      </c>
      <c r="D93" s="396"/>
    </row>
    <row r="94" spans="3:4">
      <c r="C94" s="396" t="s">
        <v>441</v>
      </c>
      <c r="D94" s="396"/>
    </row>
    <row r="95" spans="3:4">
      <c r="C95" s="396" t="s">
        <v>442</v>
      </c>
      <c r="D95" s="396"/>
    </row>
    <row r="96" spans="3:4">
      <c r="C96" s="396" t="s">
        <v>443</v>
      </c>
      <c r="D96" s="396"/>
    </row>
    <row r="97" spans="3:4">
      <c r="C97" s="396" t="s">
        <v>444</v>
      </c>
      <c r="D97" s="396"/>
    </row>
    <row r="98" spans="3:4">
      <c r="C98" s="396" t="s">
        <v>445</v>
      </c>
      <c r="D98" s="396"/>
    </row>
    <row r="99" spans="3:4">
      <c r="C99" s="396" t="s">
        <v>446</v>
      </c>
      <c r="D99" s="396"/>
    </row>
    <row r="100" spans="3:4">
      <c r="C100" s="396" t="s">
        <v>447</v>
      </c>
      <c r="D100" s="396"/>
    </row>
    <row r="101" spans="3:4">
      <c r="C101" s="396" t="s">
        <v>448</v>
      </c>
      <c r="D101" s="396"/>
    </row>
    <row r="102" spans="3:4">
      <c r="C102" s="396" t="s">
        <v>449</v>
      </c>
      <c r="D102" s="396"/>
    </row>
    <row r="103" spans="3:4">
      <c r="C103" s="396" t="s">
        <v>450</v>
      </c>
      <c r="D103" s="396"/>
    </row>
  </sheetData>
  <mergeCells count="27">
    <mergeCell ref="J44:O44"/>
    <mergeCell ref="B22:M22"/>
    <mergeCell ref="B23:M23"/>
    <mergeCell ref="B24:M24"/>
    <mergeCell ref="B25:M25"/>
    <mergeCell ref="B26:M26"/>
    <mergeCell ref="J42:O42"/>
    <mergeCell ref="H16:M16"/>
    <mergeCell ref="C18:C20"/>
    <mergeCell ref="D18:F18"/>
    <mergeCell ref="D19:D20"/>
    <mergeCell ref="H20:M20"/>
    <mergeCell ref="B21:M21"/>
    <mergeCell ref="C9:C14"/>
    <mergeCell ref="D9:D12"/>
    <mergeCell ref="D13:D14"/>
    <mergeCell ref="B15:B17"/>
    <mergeCell ref="C15:C17"/>
    <mergeCell ref="D15:D17"/>
    <mergeCell ref="B2:M2"/>
    <mergeCell ref="D4:F5"/>
    <mergeCell ref="G4:G5"/>
    <mergeCell ref="H4:M4"/>
    <mergeCell ref="D6:F6"/>
    <mergeCell ref="C7:C8"/>
    <mergeCell ref="D7:F7"/>
    <mergeCell ref="D8:F8"/>
  </mergeCells>
  <phoneticPr fontId="11" type="noConversion"/>
  <pageMargins left="0.56999999999999995" right="0.26" top="0.62" bottom="1" header="0.5" footer="0.5"/>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4</xdr:col>
                    <xdr:colOff>68580</xdr:colOff>
                    <xdr:row>12</xdr:row>
                    <xdr:rowOff>53340</xdr:rowOff>
                  </from>
                  <to>
                    <xdr:col>4</xdr:col>
                    <xdr:colOff>342900</xdr:colOff>
                    <xdr:row>12</xdr:row>
                    <xdr:rowOff>259080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4</xdr:col>
                    <xdr:colOff>60960</xdr:colOff>
                    <xdr:row>13</xdr:row>
                    <xdr:rowOff>53340</xdr:rowOff>
                  </from>
                  <to>
                    <xdr:col>4</xdr:col>
                    <xdr:colOff>335280</xdr:colOff>
                    <xdr:row>13</xdr:row>
                    <xdr:rowOff>281940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4</xdr:col>
                    <xdr:colOff>68580</xdr:colOff>
                    <xdr:row>8</xdr:row>
                    <xdr:rowOff>15240</xdr:rowOff>
                  </from>
                  <to>
                    <xdr:col>4</xdr:col>
                    <xdr:colOff>342900</xdr:colOff>
                    <xdr:row>8</xdr:row>
                    <xdr:rowOff>213360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4</xdr:col>
                    <xdr:colOff>68580</xdr:colOff>
                    <xdr:row>10</xdr:row>
                    <xdr:rowOff>68580</xdr:rowOff>
                  </from>
                  <to>
                    <xdr:col>4</xdr:col>
                    <xdr:colOff>342900</xdr:colOff>
                    <xdr:row>10</xdr:row>
                    <xdr:rowOff>281940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4</xdr:col>
                    <xdr:colOff>60960</xdr:colOff>
                    <xdr:row>11</xdr:row>
                    <xdr:rowOff>53340</xdr:rowOff>
                  </from>
                  <to>
                    <xdr:col>4</xdr:col>
                    <xdr:colOff>335280</xdr:colOff>
                    <xdr:row>11</xdr:row>
                    <xdr:rowOff>281940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381000</xdr:colOff>
                    <xdr:row>17</xdr:row>
                    <xdr:rowOff>0</xdr:rowOff>
                  </from>
                  <to>
                    <xdr:col>3</xdr:col>
                    <xdr:colOff>662940</xdr:colOff>
                    <xdr:row>17</xdr:row>
                    <xdr:rowOff>213360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4</xdr:col>
                    <xdr:colOff>76200</xdr:colOff>
                    <xdr:row>18</xdr:row>
                    <xdr:rowOff>22860</xdr:rowOff>
                  </from>
                  <to>
                    <xdr:col>5</xdr:col>
                    <xdr:colOff>15240</xdr:colOff>
                    <xdr:row>18</xdr:row>
                    <xdr:rowOff>243840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4</xdr:col>
                    <xdr:colOff>76200</xdr:colOff>
                    <xdr:row>19</xdr:row>
                    <xdr:rowOff>0</xdr:rowOff>
                  </from>
                  <to>
                    <xdr:col>5</xdr:col>
                    <xdr:colOff>0</xdr:colOff>
                    <xdr:row>19</xdr:row>
                    <xdr:rowOff>213360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365760</xdr:colOff>
                    <xdr:row>5</xdr:row>
                    <xdr:rowOff>0</xdr:rowOff>
                  </from>
                  <to>
                    <xdr:col>3</xdr:col>
                    <xdr:colOff>640080</xdr:colOff>
                    <xdr:row>5</xdr:row>
                    <xdr:rowOff>213360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3</xdr:col>
                    <xdr:colOff>358140</xdr:colOff>
                    <xdr:row>7</xdr:row>
                    <xdr:rowOff>15240</xdr:rowOff>
                  </from>
                  <to>
                    <xdr:col>3</xdr:col>
                    <xdr:colOff>632460</xdr:colOff>
                    <xdr:row>7</xdr:row>
                    <xdr:rowOff>220980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3</xdr:col>
                    <xdr:colOff>365760</xdr:colOff>
                    <xdr:row>5</xdr:row>
                    <xdr:rowOff>220980</xdr:rowOff>
                  </from>
                  <to>
                    <xdr:col>3</xdr:col>
                    <xdr:colOff>640080</xdr:colOff>
                    <xdr:row>6</xdr:row>
                    <xdr:rowOff>205740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4</xdr:col>
                    <xdr:colOff>68580</xdr:colOff>
                    <xdr:row>14</xdr:row>
                    <xdr:rowOff>53340</xdr:rowOff>
                  </from>
                  <to>
                    <xdr:col>4</xdr:col>
                    <xdr:colOff>342900</xdr:colOff>
                    <xdr:row>14</xdr:row>
                    <xdr:rowOff>243840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4</xdr:col>
                    <xdr:colOff>68580</xdr:colOff>
                    <xdr:row>15</xdr:row>
                    <xdr:rowOff>0</xdr:rowOff>
                  </from>
                  <to>
                    <xdr:col>4</xdr:col>
                    <xdr:colOff>342900</xdr:colOff>
                    <xdr:row>15</xdr:row>
                    <xdr:rowOff>213360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4</xdr:col>
                    <xdr:colOff>68580</xdr:colOff>
                    <xdr:row>16</xdr:row>
                    <xdr:rowOff>38100</xdr:rowOff>
                  </from>
                  <to>
                    <xdr:col>4</xdr:col>
                    <xdr:colOff>342900</xdr:colOff>
                    <xdr:row>16</xdr:row>
                    <xdr:rowOff>243840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4</xdr:col>
                    <xdr:colOff>68580</xdr:colOff>
                    <xdr:row>9</xdr:row>
                    <xdr:rowOff>38100</xdr:rowOff>
                  </from>
                  <to>
                    <xdr:col>4</xdr:col>
                    <xdr:colOff>342900</xdr:colOff>
                    <xdr:row>9</xdr:row>
                    <xdr:rowOff>251460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Y116"/>
  <sheetViews>
    <sheetView showZeros="0" workbookViewId="0">
      <pane xSplit="6" ySplit="5" topLeftCell="G11" activePane="bottomRight" state="frozen"/>
      <selection activeCell="J65" sqref="J65"/>
      <selection pane="topRight" activeCell="J65" sqref="J65"/>
      <selection pane="bottomLeft" activeCell="J65" sqref="J65"/>
      <selection pane="bottomRight" activeCell="J65" sqref="J65"/>
    </sheetView>
  </sheetViews>
  <sheetFormatPr defaultColWidth="8.09765625" defaultRowHeight="15.6"/>
  <cols>
    <col min="1" max="1" width="2.19921875" style="328" customWidth="1"/>
    <col min="2" max="2" width="4.5" style="328" customWidth="1"/>
    <col min="3" max="3" width="9.69921875" style="328" customWidth="1"/>
    <col min="4" max="4" width="11.19921875" style="328" customWidth="1"/>
    <col min="5" max="5" width="4.59765625" style="328" customWidth="1"/>
    <col min="6" max="6" width="23" style="328" customWidth="1"/>
    <col min="7" max="7" width="11.19921875" style="328" customWidth="1"/>
    <col min="8" max="8" width="11.69921875" style="328" customWidth="1"/>
    <col min="9" max="9" width="10.296875" style="328" customWidth="1"/>
    <col min="10" max="10" width="9.69921875" style="328" customWidth="1"/>
    <col min="11" max="15" width="8.19921875" style="328" bestFit="1" customWidth="1"/>
    <col min="16" max="16" width="8.09765625" style="328"/>
    <col min="17" max="17" width="8.19921875" style="328" bestFit="1" customWidth="1"/>
    <col min="18" max="16384" width="8.09765625" style="328"/>
  </cols>
  <sheetData>
    <row r="2" spans="2:13">
      <c r="B2" s="327" t="s">
        <v>451</v>
      </c>
      <c r="C2" s="327"/>
      <c r="D2" s="327"/>
      <c r="E2" s="327"/>
      <c r="F2" s="327"/>
      <c r="G2" s="327"/>
      <c r="H2" s="327"/>
      <c r="I2" s="327"/>
      <c r="J2" s="327"/>
      <c r="K2" s="327"/>
      <c r="L2" s="327"/>
      <c r="M2" s="327"/>
    </row>
    <row r="3" spans="2:13" ht="16.2" thickBot="1">
      <c r="L3" s="329" t="s">
        <v>452</v>
      </c>
      <c r="M3" s="329" t="s">
        <v>453</v>
      </c>
    </row>
    <row r="4" spans="2:13" ht="23.25" customHeight="1" thickBot="1">
      <c r="B4" s="330" t="s">
        <v>338</v>
      </c>
      <c r="C4" s="331"/>
      <c r="D4" s="332" t="s">
        <v>454</v>
      </c>
      <c r="E4" s="332"/>
      <c r="F4" s="333"/>
      <c r="G4" s="334" t="s">
        <v>340</v>
      </c>
      <c r="H4" s="335" t="s">
        <v>341</v>
      </c>
      <c r="I4" s="336"/>
      <c r="J4" s="336"/>
      <c r="K4" s="336"/>
      <c r="L4" s="336"/>
      <c r="M4" s="337"/>
    </row>
    <row r="5" spans="2:13" ht="22.8" thickBot="1">
      <c r="B5" s="338" t="s">
        <v>342</v>
      </c>
      <c r="C5" s="339"/>
      <c r="D5" s="340"/>
      <c r="E5" s="340"/>
      <c r="F5" s="341"/>
      <c r="G5" s="342"/>
      <c r="H5" s="343" t="s">
        <v>455</v>
      </c>
      <c r="I5" s="343" t="s">
        <v>456</v>
      </c>
      <c r="J5" s="343" t="s">
        <v>457</v>
      </c>
      <c r="K5" s="343" t="s">
        <v>458</v>
      </c>
      <c r="L5" s="343" t="s">
        <v>459</v>
      </c>
      <c r="M5" s="343" t="s">
        <v>460</v>
      </c>
    </row>
    <row r="6" spans="2:13" ht="18" customHeight="1" thickBot="1">
      <c r="B6" s="344">
        <v>1</v>
      </c>
      <c r="C6" s="361" t="s">
        <v>461</v>
      </c>
      <c r="D6" s="346" t="s">
        <v>462</v>
      </c>
      <c r="E6" s="346"/>
      <c r="F6" s="347"/>
      <c r="G6" s="354" t="s">
        <v>463</v>
      </c>
      <c r="H6" s="354">
        <v>1.2</v>
      </c>
      <c r="I6" s="354">
        <v>1</v>
      </c>
      <c r="J6" s="354">
        <v>0.7</v>
      </c>
      <c r="K6" s="354">
        <v>0.5</v>
      </c>
      <c r="L6" s="354">
        <v>0.4</v>
      </c>
      <c r="M6" s="354">
        <v>0.2</v>
      </c>
    </row>
    <row r="7" spans="2:13" ht="18" customHeight="1" thickBot="1">
      <c r="B7" s="344">
        <v>2</v>
      </c>
      <c r="C7" s="349" t="s">
        <v>464</v>
      </c>
      <c r="D7" s="350" t="s">
        <v>465</v>
      </c>
      <c r="E7" s="346"/>
      <c r="F7" s="347"/>
      <c r="G7" s="354" t="s">
        <v>466</v>
      </c>
      <c r="H7" s="354">
        <v>1.8</v>
      </c>
      <c r="I7" s="354">
        <v>1.5</v>
      </c>
      <c r="J7" s="354">
        <v>1.2</v>
      </c>
      <c r="K7" s="354">
        <v>1</v>
      </c>
      <c r="L7" s="354">
        <v>0.9</v>
      </c>
      <c r="M7" s="354">
        <v>0.8</v>
      </c>
    </row>
    <row r="8" spans="2:13" ht="18" customHeight="1" thickBot="1">
      <c r="B8" s="344">
        <v>3</v>
      </c>
      <c r="C8" s="351"/>
      <c r="D8" s="352" t="s">
        <v>467</v>
      </c>
      <c r="E8" s="352"/>
      <c r="F8" s="353"/>
      <c r="G8" s="354" t="s">
        <v>466</v>
      </c>
      <c r="H8" s="354">
        <v>1.5</v>
      </c>
      <c r="I8" s="354">
        <v>1.2</v>
      </c>
      <c r="J8" s="354">
        <v>1.1000000000000001</v>
      </c>
      <c r="K8" s="354">
        <v>0.9</v>
      </c>
      <c r="L8" s="354">
        <v>0.7</v>
      </c>
      <c r="M8" s="354">
        <v>0.6</v>
      </c>
    </row>
    <row r="9" spans="2:13" ht="21" customHeight="1" thickBot="1">
      <c r="B9" s="344">
        <v>4</v>
      </c>
      <c r="C9" s="355" t="s">
        <v>468</v>
      </c>
      <c r="D9" s="355"/>
      <c r="E9" s="356"/>
      <c r="F9" s="345" t="s">
        <v>357</v>
      </c>
      <c r="G9" s="345" t="s">
        <v>469</v>
      </c>
      <c r="H9" s="357">
        <v>3.2</v>
      </c>
      <c r="I9" s="357">
        <v>3</v>
      </c>
      <c r="J9" s="357">
        <v>2.5</v>
      </c>
      <c r="K9" s="357">
        <v>2.2000000000000002</v>
      </c>
      <c r="L9" s="357">
        <v>2</v>
      </c>
      <c r="M9" s="357">
        <v>1.8</v>
      </c>
    </row>
    <row r="10" spans="2:13" ht="24" customHeight="1" thickBot="1">
      <c r="B10" s="344">
        <v>5</v>
      </c>
      <c r="C10" s="349"/>
      <c r="D10" s="349"/>
      <c r="E10" s="356"/>
      <c r="F10" s="345" t="s">
        <v>470</v>
      </c>
      <c r="G10" s="345" t="s">
        <v>469</v>
      </c>
      <c r="H10" s="357">
        <v>2</v>
      </c>
      <c r="I10" s="357">
        <v>1.9</v>
      </c>
      <c r="J10" s="357">
        <v>1.6</v>
      </c>
      <c r="K10" s="357">
        <v>1.4</v>
      </c>
      <c r="L10" s="357">
        <v>1.3</v>
      </c>
      <c r="M10" s="357">
        <v>1.2</v>
      </c>
    </row>
    <row r="11" spans="2:13" ht="25.05" customHeight="1" thickBot="1">
      <c r="B11" s="344">
        <v>6</v>
      </c>
      <c r="C11" s="349"/>
      <c r="D11" s="349"/>
      <c r="E11" s="356"/>
      <c r="F11" s="345" t="s">
        <v>471</v>
      </c>
      <c r="G11" s="357" t="s">
        <v>472</v>
      </c>
      <c r="H11" s="357">
        <v>1.8</v>
      </c>
      <c r="I11" s="357">
        <v>1.4</v>
      </c>
      <c r="J11" s="357">
        <v>1.2</v>
      </c>
      <c r="K11" s="357">
        <v>1</v>
      </c>
      <c r="L11" s="357">
        <v>0.7</v>
      </c>
      <c r="M11" s="357">
        <v>0.5</v>
      </c>
    </row>
    <row r="12" spans="2:13" ht="25.05" customHeight="1" thickBot="1">
      <c r="B12" s="344">
        <v>7</v>
      </c>
      <c r="C12" s="349"/>
      <c r="D12" s="349"/>
      <c r="E12" s="356"/>
      <c r="F12" s="345" t="s">
        <v>473</v>
      </c>
      <c r="G12" s="357" t="s">
        <v>474</v>
      </c>
      <c r="H12" s="357">
        <v>1.2</v>
      </c>
      <c r="I12" s="357">
        <v>1</v>
      </c>
      <c r="J12" s="357">
        <v>0.7</v>
      </c>
      <c r="K12" s="357">
        <v>0.6</v>
      </c>
      <c r="L12" s="357">
        <v>0.5</v>
      </c>
      <c r="M12" s="357">
        <v>0.4</v>
      </c>
    </row>
    <row r="13" spans="2:13" ht="25.05" customHeight="1" thickBot="1">
      <c r="B13" s="344">
        <v>8</v>
      </c>
      <c r="C13" s="349"/>
      <c r="D13" s="349"/>
      <c r="E13" s="358"/>
      <c r="F13" s="359" t="s">
        <v>475</v>
      </c>
      <c r="G13" s="357" t="s">
        <v>476</v>
      </c>
      <c r="H13" s="357">
        <v>4.5</v>
      </c>
      <c r="I13" s="357">
        <v>4</v>
      </c>
      <c r="J13" s="357">
        <v>3.5</v>
      </c>
      <c r="K13" s="357">
        <v>2.8</v>
      </c>
      <c r="L13" s="357">
        <v>2.4</v>
      </c>
      <c r="M13" s="357">
        <v>1.9</v>
      </c>
    </row>
    <row r="14" spans="2:13" ht="25.05" customHeight="1" thickBot="1">
      <c r="B14" s="344">
        <v>9</v>
      </c>
      <c r="C14" s="349"/>
      <c r="D14" s="349"/>
      <c r="E14" s="360"/>
      <c r="F14" s="345" t="s">
        <v>477</v>
      </c>
      <c r="G14" s="362" t="s">
        <v>478</v>
      </c>
      <c r="H14" s="362">
        <v>3.2</v>
      </c>
      <c r="I14" s="362">
        <v>2.8</v>
      </c>
      <c r="J14" s="362">
        <v>2.5</v>
      </c>
      <c r="K14" s="362">
        <v>2</v>
      </c>
      <c r="L14" s="362">
        <v>1.7</v>
      </c>
      <c r="M14" s="362">
        <v>1.3</v>
      </c>
    </row>
    <row r="15" spans="2:13" ht="25.05" customHeight="1" thickBot="1">
      <c r="B15" s="344">
        <v>10</v>
      </c>
      <c r="C15" s="351"/>
      <c r="D15" s="425"/>
      <c r="E15" s="361"/>
      <c r="F15" s="361" t="s">
        <v>479</v>
      </c>
      <c r="G15" s="362" t="s">
        <v>480</v>
      </c>
      <c r="H15" s="354">
        <v>1.5</v>
      </c>
      <c r="I15" s="354">
        <v>1.2</v>
      </c>
      <c r="J15" s="354">
        <v>1</v>
      </c>
      <c r="K15" s="354">
        <v>0.8</v>
      </c>
      <c r="L15" s="354">
        <v>0.7</v>
      </c>
      <c r="M15" s="354">
        <v>0.5</v>
      </c>
    </row>
    <row r="16" spans="2:13" ht="15.45" customHeight="1" thickBot="1">
      <c r="B16" s="355">
        <v>11</v>
      </c>
      <c r="C16" s="363" t="s">
        <v>481</v>
      </c>
      <c r="D16" s="355" t="s">
        <v>482</v>
      </c>
      <c r="E16" s="364"/>
      <c r="F16" s="365" t="s">
        <v>483</v>
      </c>
      <c r="G16" s="354" t="s">
        <v>484</v>
      </c>
      <c r="H16" s="366">
        <v>15</v>
      </c>
      <c r="I16" s="366">
        <v>13</v>
      </c>
      <c r="J16" s="366">
        <v>10</v>
      </c>
      <c r="K16" s="366">
        <v>7</v>
      </c>
      <c r="L16" s="366">
        <v>6</v>
      </c>
      <c r="M16" s="366">
        <v>5</v>
      </c>
    </row>
    <row r="17" spans="2:13" ht="18" customHeight="1" thickBot="1">
      <c r="B17" s="349"/>
      <c r="C17" s="368"/>
      <c r="D17" s="349"/>
      <c r="E17" s="369"/>
      <c r="F17" s="370" t="s">
        <v>485</v>
      </c>
      <c r="G17" s="354" t="s">
        <v>486</v>
      </c>
      <c r="H17" s="371">
        <v>0.06</v>
      </c>
      <c r="I17" s="372"/>
      <c r="J17" s="372"/>
      <c r="K17" s="372"/>
      <c r="L17" s="372"/>
      <c r="M17" s="373"/>
    </row>
    <row r="18" spans="2:13" ht="16.2" thickBot="1">
      <c r="B18" s="349"/>
      <c r="C18" s="368"/>
      <c r="D18" s="349"/>
      <c r="E18" s="426"/>
      <c r="F18" s="427" t="s">
        <v>487</v>
      </c>
      <c r="G18" s="354" t="s">
        <v>484</v>
      </c>
      <c r="H18" s="376">
        <v>6</v>
      </c>
      <c r="I18" s="376">
        <v>5.6</v>
      </c>
      <c r="J18" s="376">
        <v>4.5</v>
      </c>
      <c r="K18" s="376">
        <v>3.1</v>
      </c>
      <c r="L18" s="376">
        <v>2.6</v>
      </c>
      <c r="M18" s="376">
        <v>2.1</v>
      </c>
    </row>
    <row r="19" spans="2:13" ht="15.45" customHeight="1" thickBot="1">
      <c r="B19" s="344"/>
      <c r="C19" s="374"/>
      <c r="D19" s="351"/>
      <c r="E19" s="428"/>
      <c r="F19" s="429"/>
      <c r="G19" s="430" t="s">
        <v>488</v>
      </c>
      <c r="H19" s="431" t="s">
        <v>489</v>
      </c>
      <c r="I19" s="432"/>
      <c r="J19" s="432"/>
      <c r="K19" s="432"/>
      <c r="L19" s="432"/>
      <c r="M19" s="433"/>
    </row>
    <row r="20" spans="2:13" ht="16.2" thickBot="1">
      <c r="B20" s="361">
        <v>12</v>
      </c>
      <c r="C20" s="434" t="s">
        <v>490</v>
      </c>
      <c r="D20" s="435"/>
      <c r="E20" s="428"/>
      <c r="F20" s="426" t="s">
        <v>491</v>
      </c>
      <c r="G20" s="431" t="s">
        <v>492</v>
      </c>
      <c r="H20" s="432"/>
      <c r="I20" s="432"/>
      <c r="J20" s="432"/>
      <c r="K20" s="432"/>
      <c r="L20" s="432"/>
      <c r="M20" s="433"/>
    </row>
    <row r="21" spans="2:13" ht="18" customHeight="1" thickBot="1">
      <c r="B21" s="344">
        <v>13</v>
      </c>
      <c r="C21" s="355" t="s">
        <v>493</v>
      </c>
      <c r="D21" s="346" t="s">
        <v>373</v>
      </c>
      <c r="E21" s="346"/>
      <c r="F21" s="347"/>
      <c r="G21" s="362" t="s">
        <v>494</v>
      </c>
      <c r="H21" s="436">
        <v>5</v>
      </c>
      <c r="I21" s="436">
        <v>3.9</v>
      </c>
      <c r="J21" s="436">
        <v>3</v>
      </c>
      <c r="K21" s="436">
        <v>2.5</v>
      </c>
      <c r="L21" s="436">
        <v>1.9</v>
      </c>
      <c r="M21" s="436">
        <v>1.4</v>
      </c>
    </row>
    <row r="22" spans="2:13" ht="21.75" customHeight="1" thickBot="1">
      <c r="B22" s="355">
        <v>14</v>
      </c>
      <c r="C22" s="349"/>
      <c r="D22" s="379" t="s">
        <v>495</v>
      </c>
      <c r="E22" s="380"/>
      <c r="F22" s="358" t="s">
        <v>483</v>
      </c>
      <c r="G22" s="354" t="s">
        <v>496</v>
      </c>
      <c r="H22" s="354">
        <v>3</v>
      </c>
      <c r="I22" s="354">
        <v>2.2999999999999998</v>
      </c>
      <c r="J22" s="354">
        <v>1.8</v>
      </c>
      <c r="K22" s="354">
        <v>1.5</v>
      </c>
      <c r="L22" s="354">
        <v>1.2</v>
      </c>
      <c r="M22" s="354">
        <v>0.8</v>
      </c>
    </row>
    <row r="23" spans="2:13" ht="18" customHeight="1" thickBot="1">
      <c r="B23" s="351"/>
      <c r="C23" s="349"/>
      <c r="D23" s="381"/>
      <c r="E23" s="382"/>
      <c r="F23" s="370" t="s">
        <v>485</v>
      </c>
      <c r="G23" s="354" t="s">
        <v>497</v>
      </c>
      <c r="H23" s="371">
        <v>0.06</v>
      </c>
      <c r="I23" s="372"/>
      <c r="J23" s="372"/>
      <c r="K23" s="372"/>
      <c r="L23" s="372"/>
      <c r="M23" s="373"/>
    </row>
    <row r="24" spans="2:13" ht="18" customHeight="1" thickBot="1">
      <c r="B24" s="355">
        <v>15</v>
      </c>
      <c r="C24" s="349"/>
      <c r="D24" s="379" t="s">
        <v>498</v>
      </c>
      <c r="E24" s="361"/>
      <c r="F24" s="437" t="s">
        <v>499</v>
      </c>
      <c r="G24" s="362" t="s">
        <v>496</v>
      </c>
      <c r="H24" s="436">
        <v>5</v>
      </c>
      <c r="I24" s="436">
        <v>3.9</v>
      </c>
      <c r="J24" s="436">
        <v>3.5</v>
      </c>
      <c r="K24" s="436">
        <v>3.1</v>
      </c>
      <c r="L24" s="436">
        <v>2.7</v>
      </c>
      <c r="M24" s="354">
        <v>2.6</v>
      </c>
    </row>
    <row r="25" spans="2:13" ht="18" customHeight="1" thickBot="1">
      <c r="B25" s="351"/>
      <c r="C25" s="349"/>
      <c r="D25" s="381"/>
      <c r="E25" s="361"/>
      <c r="F25" s="437" t="s">
        <v>500</v>
      </c>
      <c r="G25" s="438" t="s">
        <v>497</v>
      </c>
      <c r="H25" s="371">
        <v>0.1</v>
      </c>
      <c r="I25" s="372"/>
      <c r="J25" s="372"/>
      <c r="K25" s="372"/>
      <c r="L25" s="372"/>
      <c r="M25" s="373"/>
    </row>
    <row r="26" spans="2:13" ht="18" customHeight="1" thickBot="1">
      <c r="B26" s="344">
        <v>16</v>
      </c>
      <c r="C26" s="351"/>
      <c r="D26" s="439" t="s">
        <v>501</v>
      </c>
      <c r="E26" s="440"/>
      <c r="F26" s="441"/>
      <c r="G26" s="362" t="s">
        <v>502</v>
      </c>
      <c r="H26" s="354">
        <v>1.8</v>
      </c>
      <c r="I26" s="354">
        <v>1.5</v>
      </c>
      <c r="J26" s="354">
        <v>1.3</v>
      </c>
      <c r="K26" s="354">
        <v>1.1000000000000001</v>
      </c>
      <c r="L26" s="354">
        <v>0.9</v>
      </c>
      <c r="M26" s="354">
        <v>0.7</v>
      </c>
    </row>
    <row r="27" spans="2:13" ht="18" customHeight="1" thickBot="1">
      <c r="B27" s="344">
        <v>17</v>
      </c>
      <c r="C27" s="434" t="s">
        <v>503</v>
      </c>
      <c r="D27" s="442"/>
      <c r="E27" s="442"/>
      <c r="F27" s="435"/>
      <c r="G27" s="362" t="s">
        <v>504</v>
      </c>
      <c r="H27" s="354">
        <v>12</v>
      </c>
      <c r="I27" s="354">
        <v>10</v>
      </c>
      <c r="J27" s="354">
        <v>8</v>
      </c>
      <c r="K27" s="354">
        <v>7</v>
      </c>
      <c r="L27" s="354">
        <v>6</v>
      </c>
      <c r="M27" s="354">
        <v>5</v>
      </c>
    </row>
    <row r="28" spans="2:13" ht="22.2" thickBot="1">
      <c r="B28" s="344">
        <v>18</v>
      </c>
      <c r="C28" s="434" t="s">
        <v>505</v>
      </c>
      <c r="D28" s="442"/>
      <c r="E28" s="442"/>
      <c r="F28" s="435"/>
      <c r="G28" s="361" t="s">
        <v>506</v>
      </c>
      <c r="H28" s="431" t="s">
        <v>507</v>
      </c>
      <c r="I28" s="432"/>
      <c r="J28" s="432"/>
      <c r="K28" s="432"/>
      <c r="L28" s="432"/>
      <c r="M28" s="433"/>
    </row>
    <row r="29" spans="2:13" ht="18" customHeight="1" thickBot="1">
      <c r="B29" s="355">
        <v>19</v>
      </c>
      <c r="C29" s="443" t="s">
        <v>508</v>
      </c>
      <c r="D29" s="444"/>
      <c r="E29" s="379"/>
      <c r="F29" s="361" t="s">
        <v>509</v>
      </c>
      <c r="G29" s="361" t="s">
        <v>510</v>
      </c>
      <c r="H29" s="354">
        <v>1.8</v>
      </c>
      <c r="I29" s="354">
        <v>1.4</v>
      </c>
      <c r="J29" s="354">
        <v>1.2</v>
      </c>
      <c r="K29" s="354">
        <v>1</v>
      </c>
      <c r="L29" s="354">
        <v>0.7</v>
      </c>
      <c r="M29" s="354">
        <v>0.5</v>
      </c>
    </row>
    <row r="30" spans="2:13" ht="18" customHeight="1" thickBot="1">
      <c r="B30" s="351"/>
      <c r="C30" s="445"/>
      <c r="D30" s="446"/>
      <c r="E30" s="381"/>
      <c r="F30" s="361" t="s">
        <v>511</v>
      </c>
      <c r="G30" s="361" t="s">
        <v>512</v>
      </c>
      <c r="H30" s="371">
        <v>0.2</v>
      </c>
      <c r="I30" s="372"/>
      <c r="J30" s="372"/>
      <c r="K30" s="372"/>
      <c r="L30" s="372"/>
      <c r="M30" s="373"/>
    </row>
    <row r="31" spans="2:13" ht="18" customHeight="1" thickBot="1">
      <c r="B31" s="344">
        <v>20</v>
      </c>
      <c r="C31" s="434" t="s">
        <v>513</v>
      </c>
      <c r="D31" s="442"/>
      <c r="E31" s="442"/>
      <c r="F31" s="435"/>
      <c r="G31" s="348" t="s">
        <v>514</v>
      </c>
      <c r="H31" s="354">
        <v>2.5</v>
      </c>
      <c r="I31" s="354">
        <v>2.2000000000000002</v>
      </c>
      <c r="J31" s="354">
        <v>1.9</v>
      </c>
      <c r="K31" s="354">
        <v>1.7</v>
      </c>
      <c r="L31" s="354">
        <v>1.5</v>
      </c>
      <c r="M31" s="354">
        <v>1.3</v>
      </c>
    </row>
    <row r="32" spans="2:13" ht="16.2" thickBot="1">
      <c r="B32" s="344">
        <v>21</v>
      </c>
      <c r="C32" s="434" t="s">
        <v>515</v>
      </c>
      <c r="D32" s="432"/>
      <c r="E32" s="432"/>
      <c r="F32" s="433"/>
      <c r="G32" s="361" t="s">
        <v>516</v>
      </c>
      <c r="H32" s="431" t="s">
        <v>517</v>
      </c>
      <c r="I32" s="432"/>
      <c r="J32" s="432"/>
      <c r="K32" s="432"/>
      <c r="L32" s="432"/>
      <c r="M32" s="433"/>
    </row>
    <row r="33" spans="2:25" ht="16.2" thickBot="1">
      <c r="B33" s="447"/>
      <c r="C33" s="448" t="s">
        <v>518</v>
      </c>
      <c r="D33" s="448"/>
      <c r="E33" s="448"/>
      <c r="F33" s="448"/>
      <c r="G33" s="448"/>
      <c r="H33" s="448"/>
      <c r="I33" s="448"/>
      <c r="J33" s="448"/>
      <c r="K33" s="448"/>
      <c r="L33" s="448"/>
      <c r="M33" s="449"/>
    </row>
    <row r="35" spans="2:25">
      <c r="C35" s="328" t="s">
        <v>519</v>
      </c>
      <c r="F35" s="395">
        <f>'江苏省工程总表 '!H9</f>
        <v>4405.9661102165337</v>
      </c>
      <c r="H35" s="396"/>
      <c r="I35" s="396"/>
      <c r="J35" s="397"/>
    </row>
    <row r="36" spans="2:25">
      <c r="C36" s="328" t="s">
        <v>520</v>
      </c>
      <c r="F36" s="395">
        <f ca="1">'江苏省工程总表 '!H121</f>
        <v>5992.2636770179961</v>
      </c>
    </row>
    <row r="37" spans="2:25" ht="16.2" thickBot="1">
      <c r="J37" s="343">
        <v>500</v>
      </c>
      <c r="K37" s="343">
        <v>1000</v>
      </c>
      <c r="L37" s="343">
        <v>5000</v>
      </c>
      <c r="M37" s="343">
        <v>10000</v>
      </c>
      <c r="N37" s="343">
        <v>50000</v>
      </c>
      <c r="O37" s="343" t="s">
        <v>521</v>
      </c>
    </row>
    <row r="38" spans="2:25" ht="18" customHeight="1">
      <c r="D38" s="398" t="str">
        <f t="shared" ref="D38:D59" si="0">IF($G38=FALSE,0,F38)</f>
        <v>投资估算审核</v>
      </c>
      <c r="F38" s="399" t="s">
        <v>379</v>
      </c>
      <c r="G38" s="400" t="b">
        <v>1</v>
      </c>
      <c r="H38" s="401" t="s">
        <v>214</v>
      </c>
      <c r="I38" s="402">
        <f ca="1">F36</f>
        <v>5992.2636770179961</v>
      </c>
      <c r="J38" s="403">
        <f t="shared" ref="J38:J46" ca="1" si="1">IF($G38=FALSE,0,IF($I38&lt;=500,$I38*H6/1000,500*H6/1000))</f>
        <v>0.6</v>
      </c>
      <c r="K38" s="403">
        <f t="shared" ref="K38:K46" ca="1" si="2">IF(OR($G38=FALSE,I38&lt;=500),0,IF(AND($I38&gt;500,$I38&lt;=1000),($I38-500)*I6/1000,(1000-500)*I6/1000))</f>
        <v>0.5</v>
      </c>
      <c r="L38" s="403">
        <f t="shared" ref="L38:L46" ca="1" si="3">IF(OR($G38=FALSE,I38&lt;=1000),0,IF(AND($I38&gt;1000,$I38&lt;=5000),($I38-1000)*J6/1000,(5000-1000)*J6/1000))</f>
        <v>2.8</v>
      </c>
      <c r="M38" s="403">
        <f t="shared" ref="M38:M46" ca="1" si="4">IF(OR($G38=FALSE,I38&lt;=5000),0,IF(AND($I38&gt;5000,$I38&lt;=10000),($I38-5000)*K6/1000,(10000-5000)*K6/1000))</f>
        <v>0.49613183850899806</v>
      </c>
      <c r="N38" s="403">
        <f t="shared" ref="N38:N46" ca="1" si="5">IF(OR($G38=FALSE,I38&lt;=10000),0,IF(AND($I38&gt;10000,$I38&lt;=50000),($I38-10000)*L6/1000,(50000-10000)*L6/1000))</f>
        <v>0</v>
      </c>
      <c r="O38" s="403">
        <f t="shared" ref="O38:O47" ca="1" si="6">IF(OR($G38=FALSE,I38&lt;=50000),0,IF($I38&gt;50000,($I38-50000)*M6/1000))</f>
        <v>0</v>
      </c>
      <c r="P38" s="404"/>
      <c r="Q38" s="404">
        <f t="shared" ref="Q38:Q44" ca="1" si="7">IF($G38=FALSE,0,IF(SUM(J38:O38)&lt;0.3,0.3,SUM(J38:O38)))</f>
        <v>4.3961318385089978</v>
      </c>
      <c r="R38" s="396"/>
      <c r="S38" s="396"/>
      <c r="T38" s="396"/>
      <c r="U38" s="396"/>
      <c r="V38" s="396"/>
      <c r="W38" s="396"/>
      <c r="X38" s="396"/>
      <c r="Y38" s="396"/>
    </row>
    <row r="39" spans="2:25" ht="18" customHeight="1">
      <c r="D39" s="405">
        <f t="shared" si="0"/>
        <v>0</v>
      </c>
      <c r="F39" s="399" t="s">
        <v>380</v>
      </c>
      <c r="G39" s="400" t="b">
        <v>0</v>
      </c>
      <c r="H39" s="401" t="s">
        <v>381</v>
      </c>
      <c r="I39" s="402">
        <f ca="1">I38</f>
        <v>5992.2636770179961</v>
      </c>
      <c r="J39" s="403">
        <f t="shared" si="1"/>
        <v>0</v>
      </c>
      <c r="K39" s="403">
        <f t="shared" ca="1" si="2"/>
        <v>0</v>
      </c>
      <c r="L39" s="403">
        <f t="shared" ca="1" si="3"/>
        <v>0</v>
      </c>
      <c r="M39" s="403">
        <f t="shared" ca="1" si="4"/>
        <v>0</v>
      </c>
      <c r="N39" s="403">
        <f t="shared" ca="1" si="5"/>
        <v>0</v>
      </c>
      <c r="O39" s="403">
        <f t="shared" ca="1" si="6"/>
        <v>0</v>
      </c>
      <c r="P39" s="404"/>
      <c r="Q39" s="404">
        <f t="shared" si="7"/>
        <v>0</v>
      </c>
      <c r="R39" s="396"/>
      <c r="S39" s="396"/>
      <c r="T39" s="396"/>
      <c r="U39" s="396"/>
      <c r="V39" s="396"/>
      <c r="W39" s="396"/>
      <c r="X39" s="396"/>
      <c r="Y39" s="396"/>
    </row>
    <row r="40" spans="2:25" ht="18" customHeight="1">
      <c r="D40" s="406" t="str">
        <f t="shared" si="0"/>
        <v>审核设计概算</v>
      </c>
      <c r="F40" s="407" t="s">
        <v>522</v>
      </c>
      <c r="G40" s="400" t="b">
        <v>1</v>
      </c>
      <c r="H40" s="450" t="s">
        <v>381</v>
      </c>
      <c r="I40" s="402">
        <f ca="1">I38</f>
        <v>5992.2636770179961</v>
      </c>
      <c r="J40" s="403">
        <f ca="1">IF($G40=FALSE,0,IF($I40&lt;=500,$I40*H8/1000,500*H8/1000))</f>
        <v>0.75</v>
      </c>
      <c r="K40" s="403">
        <f t="shared" ca="1" si="2"/>
        <v>0.6</v>
      </c>
      <c r="L40" s="403">
        <f t="shared" ca="1" si="3"/>
        <v>4.4000000000000004</v>
      </c>
      <c r="M40" s="403">
        <f t="shared" ca="1" si="4"/>
        <v>0.8930373093161964</v>
      </c>
      <c r="N40" s="403">
        <f t="shared" ca="1" si="5"/>
        <v>0</v>
      </c>
      <c r="O40" s="403">
        <f t="shared" ca="1" si="6"/>
        <v>0</v>
      </c>
      <c r="P40" s="404"/>
      <c r="Q40" s="404">
        <f ca="1">IF($G40=FALSE,0,IF(SUM(J40:O40)&lt;0.3,0.3,SUM(J40:O40)))</f>
        <v>6.6430373093161963</v>
      </c>
      <c r="R40" s="396"/>
      <c r="S40" s="396"/>
      <c r="T40" s="396"/>
      <c r="U40" s="396"/>
      <c r="V40" s="396"/>
      <c r="W40" s="396"/>
      <c r="X40" s="396"/>
      <c r="Y40" s="396"/>
    </row>
    <row r="41" spans="2:25">
      <c r="D41" s="406">
        <f t="shared" si="0"/>
        <v>0</v>
      </c>
      <c r="F41" s="408" t="s">
        <v>357</v>
      </c>
      <c r="G41" s="451" t="b">
        <v>0</v>
      </c>
      <c r="H41" s="452" t="s">
        <v>523</v>
      </c>
      <c r="I41" s="453">
        <f>$F$35</f>
        <v>4405.9661102165337</v>
      </c>
      <c r="J41" s="403">
        <f t="shared" si="1"/>
        <v>0</v>
      </c>
      <c r="K41" s="403">
        <f t="shared" si="2"/>
        <v>0</v>
      </c>
      <c r="L41" s="403">
        <f t="shared" si="3"/>
        <v>0</v>
      </c>
      <c r="M41" s="403">
        <f t="shared" si="4"/>
        <v>0</v>
      </c>
      <c r="N41" s="403">
        <f t="shared" si="5"/>
        <v>0</v>
      </c>
      <c r="O41" s="403">
        <f t="shared" si="6"/>
        <v>0</v>
      </c>
      <c r="P41" s="404"/>
      <c r="Q41" s="404">
        <f t="shared" si="7"/>
        <v>0</v>
      </c>
      <c r="R41" s="396"/>
      <c r="S41" s="396"/>
      <c r="T41" s="396"/>
      <c r="U41" s="396"/>
      <c r="V41" s="396"/>
      <c r="W41" s="396"/>
      <c r="X41" s="396"/>
      <c r="Y41" s="396"/>
    </row>
    <row r="42" spans="2:25" ht="24.75" customHeight="1">
      <c r="D42" s="406"/>
      <c r="F42" s="408" t="s">
        <v>384</v>
      </c>
      <c r="G42" s="451" t="b">
        <v>0</v>
      </c>
      <c r="H42" s="452" t="s">
        <v>383</v>
      </c>
      <c r="I42" s="453">
        <f t="shared" ref="I42:I59" si="8">$F$35</f>
        <v>4405.9661102165337</v>
      </c>
      <c r="J42" s="403">
        <f t="shared" si="1"/>
        <v>0</v>
      </c>
      <c r="K42" s="403">
        <f t="shared" si="2"/>
        <v>0</v>
      </c>
      <c r="L42" s="403">
        <f t="shared" si="3"/>
        <v>0</v>
      </c>
      <c r="M42" s="403">
        <f t="shared" si="4"/>
        <v>0</v>
      </c>
      <c r="N42" s="403">
        <f t="shared" si="5"/>
        <v>0</v>
      </c>
      <c r="O42" s="403">
        <f t="shared" si="6"/>
        <v>0</v>
      </c>
      <c r="P42" s="404"/>
      <c r="Q42" s="404">
        <f>IF($G42=FALSE,0,IF(SUM(J42:O42)&lt;0.3,0.3,SUM(J42:O42)))</f>
        <v>0</v>
      </c>
      <c r="R42" s="396"/>
      <c r="S42" s="396"/>
      <c r="T42" s="396"/>
      <c r="U42" s="396"/>
      <c r="V42" s="396"/>
      <c r="W42" s="396"/>
      <c r="X42" s="396"/>
      <c r="Y42" s="396"/>
    </row>
    <row r="43" spans="2:25" ht="24">
      <c r="D43" s="406">
        <f t="shared" si="0"/>
        <v>0</v>
      </c>
      <c r="F43" s="408" t="s">
        <v>524</v>
      </c>
      <c r="G43" s="451" t="b">
        <v>0</v>
      </c>
      <c r="H43" s="454" t="s">
        <v>525</v>
      </c>
      <c r="I43" s="453">
        <f t="shared" si="8"/>
        <v>4405.9661102165337</v>
      </c>
      <c r="J43" s="403">
        <f t="shared" si="1"/>
        <v>0</v>
      </c>
      <c r="K43" s="403">
        <f t="shared" si="2"/>
        <v>0</v>
      </c>
      <c r="L43" s="403">
        <f t="shared" si="3"/>
        <v>0</v>
      </c>
      <c r="M43" s="403">
        <f t="shared" si="4"/>
        <v>0</v>
      </c>
      <c r="N43" s="403">
        <f t="shared" si="5"/>
        <v>0</v>
      </c>
      <c r="O43" s="403">
        <f t="shared" si="6"/>
        <v>0</v>
      </c>
      <c r="P43" s="404"/>
      <c r="Q43" s="404">
        <f t="shared" si="7"/>
        <v>0</v>
      </c>
      <c r="R43" s="396"/>
      <c r="S43" s="396"/>
      <c r="T43" s="396"/>
      <c r="U43" s="396"/>
      <c r="V43" s="396"/>
      <c r="W43" s="396"/>
      <c r="X43" s="396"/>
      <c r="Y43" s="396"/>
    </row>
    <row r="44" spans="2:25" ht="24">
      <c r="D44" s="406">
        <f t="shared" si="0"/>
        <v>0</v>
      </c>
      <c r="F44" s="408" t="s">
        <v>526</v>
      </c>
      <c r="G44" s="451" t="b">
        <v>0</v>
      </c>
      <c r="H44" s="454" t="s">
        <v>527</v>
      </c>
      <c r="I44" s="453">
        <f t="shared" si="8"/>
        <v>4405.9661102165337</v>
      </c>
      <c r="J44" s="403">
        <f t="shared" si="1"/>
        <v>0</v>
      </c>
      <c r="K44" s="403">
        <f t="shared" si="2"/>
        <v>0</v>
      </c>
      <c r="L44" s="403">
        <f t="shared" si="3"/>
        <v>0</v>
      </c>
      <c r="M44" s="403">
        <f t="shared" si="4"/>
        <v>0</v>
      </c>
      <c r="N44" s="403">
        <f t="shared" si="5"/>
        <v>0</v>
      </c>
      <c r="O44" s="403">
        <f t="shared" si="6"/>
        <v>0</v>
      </c>
      <c r="P44" s="404"/>
      <c r="Q44" s="404">
        <f t="shared" si="7"/>
        <v>0</v>
      </c>
      <c r="R44" s="396"/>
      <c r="S44" s="396"/>
      <c r="T44" s="396"/>
      <c r="U44" s="396"/>
      <c r="V44" s="396"/>
      <c r="W44" s="396"/>
      <c r="X44" s="396"/>
      <c r="Y44" s="396"/>
    </row>
    <row r="45" spans="2:25" ht="48">
      <c r="D45" s="406" t="str">
        <f t="shared" si="0"/>
        <v>施工图预算、最高投标限价（含编制工程量清单）编制</v>
      </c>
      <c r="F45" s="409" t="s">
        <v>528</v>
      </c>
      <c r="G45" s="451" t="b">
        <v>1</v>
      </c>
      <c r="H45" s="454" t="s">
        <v>529</v>
      </c>
      <c r="I45" s="453">
        <f t="shared" si="8"/>
        <v>4405.9661102165337</v>
      </c>
      <c r="J45" s="403">
        <f t="shared" si="1"/>
        <v>2.25</v>
      </c>
      <c r="K45" s="403">
        <f t="shared" si="2"/>
        <v>2</v>
      </c>
      <c r="L45" s="403">
        <f t="shared" si="3"/>
        <v>11.920881385757868</v>
      </c>
      <c r="M45" s="403">
        <f t="shared" si="4"/>
        <v>0</v>
      </c>
      <c r="N45" s="403">
        <f t="shared" si="5"/>
        <v>0</v>
      </c>
      <c r="O45" s="403">
        <f t="shared" si="6"/>
        <v>0</v>
      </c>
      <c r="P45" s="404"/>
      <c r="Q45" s="404">
        <f>IF($G45=FALSE,0,IF(SUM(J45:O45)&lt;0.3,0.3,SUM(J45:O45)))</f>
        <v>16.170881385757866</v>
      </c>
      <c r="R45" s="396"/>
      <c r="S45" s="396"/>
      <c r="T45" s="396"/>
      <c r="U45" s="396"/>
      <c r="V45" s="396"/>
      <c r="W45" s="396"/>
      <c r="X45" s="396"/>
      <c r="Y45" s="396"/>
    </row>
    <row r="46" spans="2:25" ht="24">
      <c r="D46" s="406">
        <f t="shared" si="0"/>
        <v>0</v>
      </c>
      <c r="F46" s="408" t="s">
        <v>530</v>
      </c>
      <c r="G46" s="451" t="b">
        <v>0</v>
      </c>
      <c r="H46" s="454" t="s">
        <v>531</v>
      </c>
      <c r="I46" s="453">
        <f t="shared" si="8"/>
        <v>4405.9661102165337</v>
      </c>
      <c r="J46" s="403">
        <f t="shared" si="1"/>
        <v>0</v>
      </c>
      <c r="K46" s="403">
        <f t="shared" si="2"/>
        <v>0</v>
      </c>
      <c r="L46" s="403">
        <f t="shared" si="3"/>
        <v>0</v>
      </c>
      <c r="M46" s="403">
        <f t="shared" si="4"/>
        <v>0</v>
      </c>
      <c r="N46" s="403">
        <f t="shared" si="5"/>
        <v>0</v>
      </c>
      <c r="O46" s="403">
        <f t="shared" si="6"/>
        <v>0</v>
      </c>
      <c r="P46" s="404"/>
      <c r="Q46" s="404">
        <f>IF($G46=FALSE,0,IF(SUM(J46:O46,S46:X46)&lt;0.3,0.3,SUM(J46:O46,S46:X46)))</f>
        <v>0</v>
      </c>
      <c r="R46" s="396"/>
      <c r="S46" s="410">
        <f t="shared" ref="S46:X46" si="9">$I$35/$F$35*J46*30%</f>
        <v>0</v>
      </c>
      <c r="T46" s="410">
        <f t="shared" si="9"/>
        <v>0</v>
      </c>
      <c r="U46" s="410">
        <f t="shared" si="9"/>
        <v>0</v>
      </c>
      <c r="V46" s="410">
        <f t="shared" si="9"/>
        <v>0</v>
      </c>
      <c r="W46" s="410">
        <f t="shared" si="9"/>
        <v>0</v>
      </c>
      <c r="X46" s="410">
        <f t="shared" si="9"/>
        <v>0</v>
      </c>
      <c r="Y46" s="410"/>
    </row>
    <row r="47" spans="2:25" ht="18" customHeight="1">
      <c r="D47" s="406">
        <f t="shared" si="0"/>
        <v>0</v>
      </c>
      <c r="F47" s="408" t="s">
        <v>373</v>
      </c>
      <c r="G47" s="400" t="b">
        <v>0</v>
      </c>
      <c r="H47" s="455" t="s">
        <v>361</v>
      </c>
      <c r="I47" s="402">
        <f t="shared" si="8"/>
        <v>4405.9661102165337</v>
      </c>
      <c r="J47" s="403">
        <f>IF($G47=FALSE,0,IF($I47&lt;=500,$I47*H21/1000,500*H21/1000))</f>
        <v>0</v>
      </c>
      <c r="K47" s="403">
        <f>IF(OR($G47=FALSE,I47&lt;=500),0,IF(AND($I47&gt;500,$I47&lt;=1000),($I47-500)*I21/1000,(1000-500)*I21/1000))</f>
        <v>0</v>
      </c>
      <c r="L47" s="403">
        <f>IF(OR($G47=FALSE,I47&lt;=1000),0,IF(AND($I47&gt;1000,$I47&lt;=5000),($I47-1000)*J21/1000,(5000-1000)*J21/1000))</f>
        <v>0</v>
      </c>
      <c r="M47" s="403">
        <f>IF(OR($G47=FALSE,I47&lt;=5000),0,IF(AND($I47&gt;5000,$I47&lt;=10000),($I47-5000)*K21/1000,(10000-5000)*K21/1000))</f>
        <v>0</v>
      </c>
      <c r="N47" s="403">
        <f>IF(OR($G47=FALSE,I47&lt;=10000),0,IF(AND($I47&gt;10000,$I47&lt;=50000),($I47-10000)*L21/1000,(50000-10000)*L21/1000))</f>
        <v>0</v>
      </c>
      <c r="O47" s="403">
        <f t="shared" si="6"/>
        <v>0</v>
      </c>
      <c r="P47" s="404"/>
      <c r="Q47" s="404">
        <f>IF($G47=FALSE,0,IF(SUM(J47:O47)&lt;0.3,0.3,SUM(J47:O47)))</f>
        <v>0</v>
      </c>
      <c r="R47" s="396"/>
      <c r="S47" s="396"/>
      <c r="T47" s="396"/>
      <c r="U47" s="396"/>
      <c r="V47" s="396"/>
      <c r="W47" s="396"/>
      <c r="X47" s="396"/>
      <c r="Y47" s="396"/>
    </row>
    <row r="48" spans="2:25" ht="24">
      <c r="D48" s="406" t="str">
        <f t="shared" si="0"/>
        <v>工程结算审核                 基本收费</v>
      </c>
      <c r="F48" s="409" t="s">
        <v>532</v>
      </c>
      <c r="G48" s="400" t="b">
        <v>1</v>
      </c>
      <c r="H48" s="411" t="s">
        <v>533</v>
      </c>
      <c r="I48" s="402">
        <f t="shared" si="8"/>
        <v>4405.9661102165337</v>
      </c>
      <c r="J48" s="403">
        <f>IF($G48=FALSE,0,IF($I48&lt;=500,$I48*H22/1000,500*H22/1000))</f>
        <v>1.5</v>
      </c>
      <c r="K48" s="403">
        <f>IF(OR($G48=FALSE,I48&lt;=500),0,IF(AND($I48&gt;500,$I48&lt;=1000),($I48-500)*I22/1000,(1000-500)*I22/1000))</f>
        <v>1.1499999999999999</v>
      </c>
      <c r="L48" s="403">
        <f>IF(OR($G48=FALSE,I48&lt;=1000),0,IF(AND($I48&gt;1000,$I48&lt;=5000),($I48-1000)*J22/1000,(5000-1000)*J22/1000))</f>
        <v>6.1307389983897611</v>
      </c>
      <c r="M48" s="403">
        <f>IF(OR($G48=FALSE,I48&lt;=5000),0,IF(AND($I48&gt;5000,$I48&lt;=10000),($I48-5000)*K22/1000,(10000-5000)*K22/1000))</f>
        <v>0</v>
      </c>
      <c r="N48" s="403">
        <f>IF(OR($G48=FALSE,I48&lt;=10000),0,IF(AND($I48&gt;10000,$I48&lt;=50000),($I48-10000)*L22/1000,(50000-10000)*L22/1000))</f>
        <v>0</v>
      </c>
      <c r="O48" s="403">
        <f>IF(OR($G48=FALSE,I48&lt;=50000),0,IF($I48&gt;50000,($I48-50000)*M16/1000))</f>
        <v>0</v>
      </c>
      <c r="P48" s="404"/>
      <c r="Q48" s="404">
        <f>IF($G48=FALSE,0,IF(SUM(J48:O48,S48:X48)&lt;0.3,0.3,SUM(J48:O48,S48:X48)))</f>
        <v>8.7807389983897615</v>
      </c>
      <c r="R48" s="396"/>
      <c r="S48" s="410">
        <f t="shared" ref="S48:X48" si="10">$I$35/$F$35*J48*30%</f>
        <v>0</v>
      </c>
      <c r="T48" s="410">
        <f t="shared" si="10"/>
        <v>0</v>
      </c>
      <c r="U48" s="410">
        <f t="shared" si="10"/>
        <v>0</v>
      </c>
      <c r="V48" s="410">
        <f t="shared" si="10"/>
        <v>0</v>
      </c>
      <c r="W48" s="410">
        <f t="shared" si="10"/>
        <v>0</v>
      </c>
      <c r="X48" s="410">
        <f t="shared" si="10"/>
        <v>0</v>
      </c>
      <c r="Y48" s="410"/>
    </row>
    <row r="49" spans="3:25" ht="24">
      <c r="D49" s="406">
        <f t="shared" si="0"/>
        <v>0</v>
      </c>
      <c r="E49" s="412"/>
      <c r="F49" s="408" t="s">
        <v>534</v>
      </c>
      <c r="G49" s="400" t="b">
        <v>0</v>
      </c>
      <c r="H49" s="456" t="s">
        <v>535</v>
      </c>
      <c r="I49" s="413">
        <f>I48*0</f>
        <v>0</v>
      </c>
      <c r="J49" s="414">
        <v>0.06</v>
      </c>
      <c r="K49" s="414"/>
      <c r="L49" s="414"/>
      <c r="M49" s="414"/>
      <c r="N49" s="414"/>
      <c r="O49" s="414"/>
      <c r="P49" s="404"/>
      <c r="Q49" s="404">
        <f>IF($G49=FALSE,0,IF(I49*J49&lt;0.3,0.3,I49*J49))</f>
        <v>0</v>
      </c>
      <c r="R49" s="396"/>
      <c r="S49" s="415"/>
      <c r="T49" s="396"/>
      <c r="U49" s="396"/>
      <c r="V49" s="396"/>
      <c r="W49" s="396"/>
      <c r="X49" s="396"/>
      <c r="Y49" s="396"/>
    </row>
    <row r="50" spans="3:25" ht="24">
      <c r="D50" s="406" t="str">
        <f>D24</f>
        <v>工程结算复核</v>
      </c>
      <c r="E50" s="412"/>
      <c r="F50" s="409" t="s">
        <v>536</v>
      </c>
      <c r="G50" s="451" t="b">
        <v>0</v>
      </c>
      <c r="H50" s="454" t="s">
        <v>537</v>
      </c>
      <c r="I50" s="453">
        <f t="shared" si="8"/>
        <v>4405.9661102165337</v>
      </c>
      <c r="J50" s="403">
        <f>IF($G50=FALSE,0,IF($I50&lt;=500,$I50*H24/1000,500*H24/1000))</f>
        <v>0</v>
      </c>
      <c r="K50" s="403">
        <f>IF(OR($G50=FALSE,I50&lt;=500),0,IF(AND($I50&gt;500,$I50&lt;=1000),($I50-500)*I24/1000,(1000-500)*I24/1000))</f>
        <v>0</v>
      </c>
      <c r="L50" s="403">
        <f>IF(OR($G50=FALSE,I50&lt;=1000),0,IF(AND($I50&gt;1000,$I50&lt;=5000),($I50-1000)*J24/1000,(5000-1000)*J24/1000))</f>
        <v>0</v>
      </c>
      <c r="M50" s="403">
        <f>IF(OR($G50=FALSE,I50&lt;=5000),0,IF(AND($I50&gt;5000,$I50&lt;=10000),($I50-5000)*K24/1000,(10000-5000)*K24/1000))</f>
        <v>0</v>
      </c>
      <c r="N50" s="403">
        <f>IF(OR($G50=FALSE,I50&lt;=10000),0,IF(AND($I50&gt;10000,$I50&lt;=50000),($I50-10000)*L24/1000,(50000-10000)*L24/1000))</f>
        <v>0</v>
      </c>
      <c r="O50" s="403">
        <f>IF(OR($G50=FALSE,I50&lt;=50000),0,IF($I50&gt;50000,($I50-50000)*M24/1000))</f>
        <v>0</v>
      </c>
      <c r="P50" s="404"/>
      <c r="Q50" s="404">
        <f>IF($G50=FALSE,0,IF(SUM(J50:O50,S50:X50)&lt;0.3,0.3,SUM(J50:O50,S50:X50)))</f>
        <v>0</v>
      </c>
      <c r="R50" s="396"/>
      <c r="S50" s="415"/>
      <c r="T50" s="396"/>
      <c r="U50" s="396"/>
      <c r="V50" s="396"/>
      <c r="W50" s="396"/>
      <c r="X50" s="396"/>
      <c r="Y50" s="396"/>
    </row>
    <row r="51" spans="3:25" ht="24">
      <c r="D51" s="406"/>
      <c r="E51" s="412"/>
      <c r="F51" s="408" t="s">
        <v>538</v>
      </c>
      <c r="G51" s="451"/>
      <c r="H51" s="454" t="s">
        <v>539</v>
      </c>
      <c r="I51" s="457"/>
      <c r="J51" s="414">
        <v>0.1</v>
      </c>
      <c r="K51" s="414"/>
      <c r="L51" s="414"/>
      <c r="M51" s="414"/>
      <c r="N51" s="414"/>
      <c r="O51" s="414"/>
      <c r="P51" s="404"/>
      <c r="Q51" s="404"/>
      <c r="R51" s="396"/>
      <c r="S51" s="415"/>
      <c r="T51" s="396"/>
      <c r="U51" s="396"/>
      <c r="V51" s="396"/>
      <c r="W51" s="396"/>
      <c r="X51" s="396"/>
      <c r="Y51" s="396"/>
    </row>
    <row r="52" spans="3:25" ht="25.05" customHeight="1">
      <c r="D52" s="406" t="str">
        <f>D26</f>
        <v>工程竣工决算编制或审核</v>
      </c>
      <c r="E52" s="412"/>
      <c r="F52" s="408" t="s">
        <v>540</v>
      </c>
      <c r="G52" s="451" t="b">
        <v>1</v>
      </c>
      <c r="H52" s="458" t="s">
        <v>541</v>
      </c>
      <c r="I52" s="453">
        <f t="shared" si="8"/>
        <v>4405.9661102165337</v>
      </c>
      <c r="J52" s="403">
        <f>IF($G52=FALSE,0,IF($I52&lt;=500,$I52*H26/1000,500*H26/1000))</f>
        <v>0.9</v>
      </c>
      <c r="K52" s="403">
        <f>IF(OR($G52=FALSE,I52&lt;=500),0,IF(AND($I52&gt;500,$I52&lt;=1000),($I52-500)*I26/1000,(1000-500)*I26/1000))</f>
        <v>0.75</v>
      </c>
      <c r="L52" s="403">
        <f>IF(OR($G52=FALSE,I52&lt;=1000),0,IF(AND($I52&gt;1000,$I52&lt;=5000),($I52-1000)*J26/1000,(5000-1000)*J26/1000))</f>
        <v>4.4277559432814941</v>
      </c>
      <c r="M52" s="403">
        <f>IF(OR($G52=FALSE,I52&lt;=5000),0,IF(AND($I52&gt;5000,$I52&lt;=10000),($I52-5000)*K26/1000,(10000-5000)*K26/1000))</f>
        <v>0</v>
      </c>
      <c r="N52" s="403">
        <f>IF(OR($G52=FALSE,I52&lt;=10000),0,IF(AND($I52&gt;10000,$I52&lt;=50000),($I52-10000)*L26/1000,(50000-10000)*L26/1000))</f>
        <v>0</v>
      </c>
      <c r="O52" s="403">
        <f>IF(OR($G52=FALSE,I52&lt;=50000),0,IF($I52&gt;50000,($I52-10000)*M26/1000))</f>
        <v>0</v>
      </c>
      <c r="P52" s="404"/>
      <c r="Q52" s="404">
        <f t="shared" ref="Q52:Q54" si="11">SUM(J52:O52)</f>
        <v>6.0777559432814936</v>
      </c>
      <c r="R52" s="396"/>
      <c r="S52" s="415"/>
      <c r="T52" s="396"/>
      <c r="U52" s="396"/>
      <c r="V52" s="396"/>
      <c r="W52" s="396"/>
      <c r="X52" s="396"/>
      <c r="Y52" s="396"/>
    </row>
    <row r="53" spans="3:25" ht="25.05" customHeight="1">
      <c r="D53" s="406" t="str">
        <f>C27</f>
        <v>工程造价鉴定</v>
      </c>
      <c r="E53" s="412"/>
      <c r="F53" s="408" t="s">
        <v>542</v>
      </c>
      <c r="G53" s="451" t="b">
        <v>0</v>
      </c>
      <c r="H53" s="458" t="s">
        <v>543</v>
      </c>
      <c r="I53" s="453">
        <f t="shared" si="8"/>
        <v>4405.9661102165337</v>
      </c>
      <c r="J53" s="403">
        <f>IF($G53=FALSE,0,IF($I53&lt;=500,$I53*H27/1000,500*H27/1000))</f>
        <v>0</v>
      </c>
      <c r="K53" s="403">
        <f>IF(OR($G53=FALSE,I53&lt;=500),0,IF(AND($I53&gt;500,$I53&lt;=1000),($I53-500)*I27/1000,(1000-500)*I27/1000))</f>
        <v>0</v>
      </c>
      <c r="L53" s="403">
        <f>IF(OR($G53=FALSE,I53&lt;=1000),0,IF(AND($I53&gt;1000,$I53&lt;=5000),($I53-1000)*J27/1000,(5000-1000)*J27/1000))</f>
        <v>0</v>
      </c>
      <c r="M53" s="403">
        <f>IF(OR($G53=FALSE,I53&lt;=5000),0,IF(AND($I53&gt;5000,$I53&lt;=10000),($I53-5000)*K27/1000,(10000-5000)*K27/1000))</f>
        <v>0</v>
      </c>
      <c r="N53" s="403">
        <f>IF(OR($G53=FALSE,I53&lt;=10000),0,IF(AND($I53&gt;10000,$I53&lt;=50000),($I53-10000)*L27/1000,(50000-10000)*L27/1000))</f>
        <v>0</v>
      </c>
      <c r="O53" s="459">
        <f>IF(OR($G53=FALSE,I53&lt;=50000),0,IF($I53&gt;50000,($I53-50000)*M27/1000))</f>
        <v>0</v>
      </c>
      <c r="P53" s="404"/>
      <c r="Q53" s="404">
        <f t="shared" si="11"/>
        <v>0</v>
      </c>
      <c r="R53" s="396"/>
      <c r="S53" s="415"/>
      <c r="T53" s="396"/>
      <c r="U53" s="396"/>
      <c r="V53" s="396"/>
      <c r="W53" s="396"/>
      <c r="X53" s="396"/>
      <c r="Y53" s="396"/>
    </row>
    <row r="54" spans="3:25">
      <c r="D54" s="460" t="str">
        <f>C29</f>
        <v>方案优化测算</v>
      </c>
      <c r="E54" s="412"/>
      <c r="F54" s="452" t="s">
        <v>544</v>
      </c>
      <c r="G54" s="461" t="b">
        <v>0</v>
      </c>
      <c r="H54" s="462" t="s">
        <v>545</v>
      </c>
      <c r="I54" s="453">
        <f t="shared" si="8"/>
        <v>4405.9661102165337</v>
      </c>
      <c r="J54" s="403">
        <f>IF($G54=FALSE,0,IF($I54&lt;=500,$I54*H29/1000,500*H29/1000))</f>
        <v>0</v>
      </c>
      <c r="K54" s="403">
        <f>IF(OR($G54=FALSE,I54&lt;=500),0,IF(AND($I54&gt;500,$I54&lt;=1000),($I54-500)*I29/1000,(1000-500)*I29/1000))</f>
        <v>0</v>
      </c>
      <c r="L54" s="403">
        <f>IF(OR($G54=FALSE,I54&lt;=1000),0,IF(AND($I54&gt;1000,$I54&lt;=5000),($I54-1000)*J29/1000,(5000-1000)*J29/1000))</f>
        <v>0</v>
      </c>
      <c r="M54" s="403">
        <f>IF(OR($G54=FALSE,I54&lt;=5000),0,IF(AND($I54&gt;5000,$I54&lt;=10000),($I54-5000)*K29/1000,(10000-5000)*K29/1000))</f>
        <v>0</v>
      </c>
      <c r="N54" s="403">
        <f>IF(OR($G54=FALSE,I54&lt;=10000),0,IF(AND($I54&gt;10000,$I54&lt;=50000),($I54-10000)*L29/1000,(50000-10000)*L29/1000))</f>
        <v>0</v>
      </c>
      <c r="O54" s="459">
        <f>IF(OR($G54=FALSE,I54&lt;=50000),0,IF($I54&gt;50000,($I54-50000)*M29/1000))</f>
        <v>0</v>
      </c>
      <c r="P54" s="404"/>
      <c r="Q54" s="404">
        <f t="shared" si="11"/>
        <v>0</v>
      </c>
      <c r="R54" s="396"/>
      <c r="S54" s="396"/>
      <c r="T54" s="396"/>
      <c r="U54" s="396"/>
      <c r="V54" s="396"/>
      <c r="W54" s="396"/>
      <c r="X54" s="396"/>
      <c r="Y54" s="396"/>
    </row>
    <row r="55" spans="3:25" ht="19.5" customHeight="1">
      <c r="D55" s="463"/>
      <c r="E55" s="412"/>
      <c r="F55" s="452" t="s">
        <v>546</v>
      </c>
      <c r="G55" s="461"/>
      <c r="H55" s="464" t="s">
        <v>547</v>
      </c>
      <c r="I55" s="419"/>
      <c r="J55" s="414">
        <v>0.2</v>
      </c>
      <c r="K55" s="414"/>
      <c r="L55" s="414"/>
      <c r="M55" s="414"/>
      <c r="N55" s="414"/>
      <c r="O55" s="414"/>
      <c r="P55" s="404"/>
      <c r="Q55" s="404"/>
      <c r="R55" s="396"/>
      <c r="S55" s="396"/>
      <c r="T55" s="396"/>
      <c r="U55" s="396"/>
      <c r="V55" s="396"/>
      <c r="W55" s="396"/>
      <c r="X55" s="396"/>
      <c r="Y55" s="396"/>
    </row>
    <row r="56" spans="3:25" ht="19.5" customHeight="1">
      <c r="D56" s="465" t="str">
        <f>C31</f>
        <v>投资后评价</v>
      </c>
      <c r="E56" s="412"/>
      <c r="F56" s="452" t="str">
        <f>C31</f>
        <v>投资后评价</v>
      </c>
      <c r="G56" s="461" t="b">
        <v>0</v>
      </c>
      <c r="H56" s="464" t="str">
        <f>G31</f>
        <v>决算额</v>
      </c>
      <c r="I56" s="453">
        <f t="shared" si="8"/>
        <v>4405.9661102165337</v>
      </c>
      <c r="J56" s="403">
        <f>IF($G56=FALSE,0,IF($I56&lt;=500,$I56*H31/1000,500*H31/1000))</f>
        <v>0</v>
      </c>
      <c r="K56" s="403">
        <f>IF(OR($G56=FALSE,I56&lt;=500),0,IF(AND($I56&gt;500,$I56&lt;=1000),($I56-500)*I31/1000,(1000-500)*I31/1000))</f>
        <v>0</v>
      </c>
      <c r="L56" s="403">
        <f>IF(OR($G56=FALSE,I56&lt;=1000),0,IF(AND($I56&gt;1000,$I56&lt;=5000),($I56-1000)*J31/1000,(5000-1000)*J31/1000))</f>
        <v>0</v>
      </c>
      <c r="M56" s="403">
        <f>IF(OR($G56=FALSE,I56&lt;=5000),0,IF(AND($I56&gt;5000,$I56&lt;=10000),($I56-5000)*K31/1000,(10000-5000)*K31/1000))</f>
        <v>0</v>
      </c>
      <c r="N56" s="403">
        <f>IF(OR($G56=FALSE,I56&lt;=10000),0,IF(AND($I56&gt;10000,$I56&lt;=50000),($I56-10000)*L31/1000,(50000-10000)*L31/1000))</f>
        <v>0</v>
      </c>
      <c r="O56" s="459"/>
      <c r="P56" s="404"/>
      <c r="Q56" s="404">
        <f t="shared" ref="Q56" si="12">SUM(J56:O56)</f>
        <v>0</v>
      </c>
      <c r="R56" s="396"/>
      <c r="S56" s="396"/>
      <c r="T56" s="396"/>
      <c r="U56" s="396"/>
      <c r="V56" s="396"/>
      <c r="W56" s="396"/>
      <c r="X56" s="396"/>
      <c r="Y56" s="396"/>
    </row>
    <row r="57" spans="3:25" ht="36">
      <c r="D57" s="406" t="str">
        <f t="shared" si="0"/>
        <v>施工阶段全过程工程造价控制基本收费</v>
      </c>
      <c r="E57" s="412"/>
      <c r="F57" s="409" t="s">
        <v>548</v>
      </c>
      <c r="G57" s="400" t="b">
        <v>1</v>
      </c>
      <c r="H57" s="458" t="s">
        <v>549</v>
      </c>
      <c r="I57" s="402">
        <f t="shared" si="8"/>
        <v>4405.9661102165337</v>
      </c>
      <c r="J57" s="403">
        <f>IF($G57=FALSE,0,IF($I57&lt;=500,$I57*H16/1000,500*H16/1000))</f>
        <v>7.5</v>
      </c>
      <c r="K57" s="403">
        <f>IF(OR($G57=FALSE,I57&lt;=500),0,IF(AND($I57&gt;500,$I57&lt;=1000),($I57-500)*I16/1000,(1000-500)*I16/1000))</f>
        <v>6.5</v>
      </c>
      <c r="L57" s="403">
        <f>IF(OR($G57=FALSE,I57&lt;=1000),0,IF(AND($I57&gt;1000,$I57&lt;=5000),($I57-1000)*J16/1000,(5000-1000)*J16/1000))</f>
        <v>34.059661102165336</v>
      </c>
      <c r="M57" s="403">
        <f>IF(OR($G57=FALSE,I57&lt;=5000),0,IF(AND($I57&gt;5000,$I57&lt;=10000),($I57-5000)*K16/1000,(10000-5000)*K16/1000))</f>
        <v>0</v>
      </c>
      <c r="N57" s="403">
        <f>IF(OR($G57=FALSE,I57&lt;=10000),0,IF(AND($I57&gt;10000,$I57&lt;=50000),($I57-10000)*L16/1000,(50000-10000)*L16/1000))</f>
        <v>0</v>
      </c>
      <c r="O57" s="403">
        <f>IF(OR($G57=FALSE,I57&lt;=50000),0,IF($I57&gt;50000,($I57-50000)*M16/1000))</f>
        <v>0</v>
      </c>
      <c r="P57" s="404"/>
      <c r="Q57" s="404">
        <f>SUM(J57:O57)</f>
        <v>48.059661102165336</v>
      </c>
      <c r="R57" s="396"/>
      <c r="S57" s="396"/>
      <c r="T57" s="396"/>
      <c r="U57" s="396"/>
      <c r="V57" s="396"/>
      <c r="W57" s="396"/>
      <c r="X57" s="396"/>
      <c r="Y57" s="396"/>
    </row>
    <row r="58" spans="3:25" ht="24">
      <c r="D58" s="406">
        <f t="shared" si="0"/>
        <v>0</v>
      </c>
      <c r="E58" s="412"/>
      <c r="F58" s="408" t="s">
        <v>550</v>
      </c>
      <c r="G58" s="400" t="b">
        <v>0</v>
      </c>
      <c r="H58" s="454" t="s">
        <v>551</v>
      </c>
      <c r="I58" s="457">
        <f>I57*0</f>
        <v>0</v>
      </c>
      <c r="J58" s="414">
        <v>0.06</v>
      </c>
      <c r="K58" s="414"/>
      <c r="L58" s="414"/>
      <c r="M58" s="414"/>
      <c r="N58" s="414"/>
      <c r="O58" s="414"/>
      <c r="P58" s="404"/>
      <c r="Q58" s="404">
        <f>IF($G58=FALSE,0,IF(SUM(J58:O58)&lt;0.3,0.3,SUM(J58:O58)))</f>
        <v>0</v>
      </c>
      <c r="R58" s="396"/>
      <c r="S58" s="396"/>
      <c r="T58" s="396"/>
      <c r="U58" s="396"/>
      <c r="V58" s="396"/>
      <c r="W58" s="396"/>
      <c r="X58" s="396"/>
      <c r="Y58" s="396"/>
    </row>
    <row r="59" spans="3:25" ht="24">
      <c r="D59" s="406">
        <f t="shared" si="0"/>
        <v>0</v>
      </c>
      <c r="E59" s="412"/>
      <c r="F59" s="409" t="s">
        <v>552</v>
      </c>
      <c r="G59" s="400" t="b">
        <v>0</v>
      </c>
      <c r="H59" s="454" t="s">
        <v>553</v>
      </c>
      <c r="I59" s="453">
        <f t="shared" si="8"/>
        <v>4405.9661102165337</v>
      </c>
      <c r="J59" s="403">
        <f>IF($G59=FALSE,0,IF($I59&lt;=500,$I59*H18/1000,500*H18/1000))</f>
        <v>0</v>
      </c>
      <c r="K59" s="403">
        <f>IF(OR($G59=FALSE,I59&lt;=500),0,IF(AND($I59&gt;500,$I59&lt;=1000),($I59-500)*I18/1000,(1000-500)*I18/1000))</f>
        <v>0</v>
      </c>
      <c r="L59" s="403">
        <f>IF(OR($G59=FALSE,I59&lt;=1000),0,IF(AND($I59&gt;1000,$I59&lt;=5000),($I59-1000)*J18/1000,(5000-1000)*J18/1000))</f>
        <v>0</v>
      </c>
      <c r="M59" s="403">
        <f>IF(OR($G59=FALSE,I59&lt;=5000),0,IF(AND($I59&gt;5000,$I59&lt;=10000),($I59-5000)*K18/1000,(10000-5000)*K18/1000))</f>
        <v>0</v>
      </c>
      <c r="N59" s="403">
        <f>IF(OR($G59=FALSE,I59&lt;=10000),0,IF(AND($I59&gt;10000,$I59&lt;=50000),($I59-10000)*L18/1000,(50000-10000)*L18/1000))</f>
        <v>0</v>
      </c>
      <c r="O59" s="403">
        <f>IF(OR($G59=FALSE,I59&lt;=50000),0,IF($I59&gt;50000,($I59-50000)*M18/1000))</f>
        <v>0</v>
      </c>
      <c r="P59" s="404"/>
      <c r="Q59" s="404">
        <f>SUM(J59:O59)</f>
        <v>0</v>
      </c>
      <c r="R59" s="396"/>
      <c r="S59" s="396"/>
      <c r="T59" s="396"/>
      <c r="U59" s="396"/>
      <c r="V59" s="396"/>
      <c r="W59" s="396"/>
      <c r="X59" s="396"/>
      <c r="Y59" s="396"/>
    </row>
    <row r="60" spans="3:25" ht="18.75" customHeight="1">
      <c r="D60" s="416"/>
      <c r="E60" s="412"/>
      <c r="F60" s="466" t="s">
        <v>396</v>
      </c>
      <c r="G60" s="466"/>
      <c r="H60" s="420"/>
      <c r="I60" s="419"/>
      <c r="J60" s="403"/>
      <c r="K60" s="403"/>
      <c r="L60" s="403"/>
      <c r="M60" s="403"/>
      <c r="N60" s="403"/>
      <c r="O60" s="404"/>
      <c r="P60" s="404"/>
      <c r="Q60" s="421">
        <f ca="1">SUM(Q38:Q59)</f>
        <v>90.128206577419661</v>
      </c>
      <c r="R60" s="396">
        <f ca="1">Q60*0.8</f>
        <v>72.102565261935737</v>
      </c>
      <c r="S60" s="396"/>
      <c r="T60" s="396"/>
      <c r="U60" s="396"/>
      <c r="V60" s="396"/>
      <c r="W60" s="396"/>
      <c r="X60" s="396"/>
      <c r="Y60" s="396"/>
    </row>
    <row r="61" spans="3:25">
      <c r="D61" s="422"/>
      <c r="E61" s="412"/>
      <c r="H61" s="412"/>
      <c r="I61" s="423"/>
      <c r="J61" s="423"/>
      <c r="K61" s="423"/>
      <c r="L61" s="423"/>
      <c r="M61" s="423"/>
      <c r="N61" s="423"/>
      <c r="O61" s="424"/>
      <c r="P61" s="424"/>
      <c r="Q61" s="424"/>
    </row>
    <row r="62" spans="3:25">
      <c r="H62" s="412"/>
      <c r="I62" s="412"/>
      <c r="J62" s="412"/>
      <c r="K62" s="412"/>
      <c r="L62" s="412"/>
      <c r="M62" s="412"/>
      <c r="N62" s="412"/>
      <c r="O62" s="412"/>
      <c r="P62" s="412"/>
    </row>
    <row r="63" spans="3:25">
      <c r="C63" s="396" t="s">
        <v>554</v>
      </c>
      <c r="D63" s="396"/>
      <c r="H63" s="412"/>
      <c r="I63" s="412"/>
    </row>
    <row r="64" spans="3:25">
      <c r="C64" s="396" t="s">
        <v>398</v>
      </c>
      <c r="D64" s="396"/>
      <c r="H64" s="412"/>
      <c r="I64" s="412"/>
      <c r="J64" s="412"/>
      <c r="K64" s="412"/>
      <c r="L64" s="412"/>
      <c r="M64" s="412"/>
      <c r="N64" s="412"/>
    </row>
    <row r="65" spans="3:14">
      <c r="C65" s="396" t="s">
        <v>399</v>
      </c>
      <c r="D65" s="396"/>
      <c r="H65" s="412"/>
      <c r="I65" s="412"/>
      <c r="J65" s="412"/>
      <c r="K65" s="412"/>
      <c r="L65" s="412"/>
      <c r="M65" s="412"/>
      <c r="N65" s="412"/>
    </row>
    <row r="66" spans="3:14">
      <c r="C66" s="396" t="s">
        <v>400</v>
      </c>
      <c r="D66" s="396"/>
      <c r="H66" s="412"/>
      <c r="I66" s="412"/>
      <c r="J66" s="412"/>
      <c r="K66" s="412"/>
      <c r="L66" s="412"/>
      <c r="M66" s="412"/>
      <c r="N66" s="412"/>
    </row>
    <row r="67" spans="3:14">
      <c r="C67" s="396" t="s">
        <v>401</v>
      </c>
      <c r="D67" s="396"/>
      <c r="H67" s="412"/>
      <c r="I67" s="412"/>
      <c r="J67" s="412"/>
      <c r="K67" s="412"/>
      <c r="L67" s="412"/>
      <c r="M67" s="412"/>
      <c r="N67" s="412"/>
    </row>
    <row r="68" spans="3:14">
      <c r="C68" s="396" t="s">
        <v>402</v>
      </c>
      <c r="D68" s="396"/>
      <c r="H68" s="412"/>
      <c r="I68" s="412"/>
      <c r="J68" s="412"/>
      <c r="K68" s="412"/>
      <c r="L68" s="412"/>
      <c r="M68" s="412"/>
      <c r="N68" s="412"/>
    </row>
    <row r="69" spans="3:14">
      <c r="C69" s="396" t="s">
        <v>403</v>
      </c>
      <c r="D69" s="396"/>
      <c r="H69" s="412"/>
      <c r="I69" s="412"/>
      <c r="J69" s="412"/>
      <c r="K69" s="412"/>
      <c r="L69" s="412"/>
      <c r="M69" s="412"/>
      <c r="N69" s="412"/>
    </row>
    <row r="70" spans="3:14">
      <c r="C70" s="396" t="s">
        <v>404</v>
      </c>
      <c r="D70" s="396"/>
      <c r="H70" s="412"/>
      <c r="I70" s="412"/>
      <c r="J70" s="412"/>
      <c r="K70" s="412"/>
      <c r="L70" s="412"/>
      <c r="M70" s="412"/>
      <c r="N70" s="412"/>
    </row>
    <row r="71" spans="3:14">
      <c r="C71" s="396" t="s">
        <v>405</v>
      </c>
      <c r="D71" s="396"/>
      <c r="H71" s="412"/>
      <c r="I71" s="412"/>
      <c r="J71" s="412"/>
      <c r="K71" s="412"/>
      <c r="L71" s="412"/>
      <c r="M71" s="412"/>
      <c r="N71" s="412"/>
    </row>
    <row r="72" spans="3:14">
      <c r="C72" s="396" t="s">
        <v>406</v>
      </c>
      <c r="D72" s="396"/>
      <c r="H72" s="412"/>
      <c r="I72" s="412"/>
      <c r="J72" s="412"/>
      <c r="K72" s="412"/>
      <c r="L72" s="412"/>
      <c r="M72" s="412"/>
      <c r="N72" s="412"/>
    </row>
    <row r="73" spans="3:14">
      <c r="C73" s="396" t="s">
        <v>407</v>
      </c>
      <c r="D73" s="396"/>
      <c r="H73" s="412"/>
      <c r="I73" s="412"/>
      <c r="J73" s="412"/>
      <c r="K73" s="412"/>
      <c r="L73" s="412"/>
      <c r="M73" s="412"/>
      <c r="N73" s="412"/>
    </row>
    <row r="74" spans="3:14">
      <c r="C74" s="396" t="s">
        <v>408</v>
      </c>
      <c r="D74" s="396"/>
      <c r="H74" s="412"/>
      <c r="I74" s="412"/>
      <c r="J74" s="412"/>
      <c r="K74" s="412"/>
      <c r="L74" s="412"/>
      <c r="M74" s="412"/>
      <c r="N74" s="412"/>
    </row>
    <row r="75" spans="3:14">
      <c r="C75" s="396" t="s">
        <v>409</v>
      </c>
      <c r="D75" s="396"/>
      <c r="H75" s="412"/>
      <c r="I75" s="412"/>
      <c r="J75" s="412"/>
      <c r="K75" s="412"/>
      <c r="L75" s="412"/>
      <c r="M75" s="412"/>
      <c r="N75" s="412"/>
    </row>
    <row r="76" spans="3:14">
      <c r="C76" s="396" t="s">
        <v>410</v>
      </c>
      <c r="D76" s="396"/>
      <c r="H76" s="412"/>
      <c r="I76" s="412"/>
      <c r="J76" s="412"/>
      <c r="K76" s="412"/>
      <c r="L76" s="412"/>
      <c r="M76" s="412"/>
      <c r="N76" s="412"/>
    </row>
    <row r="77" spans="3:14">
      <c r="C77" s="396" t="s">
        <v>555</v>
      </c>
      <c r="D77" s="396"/>
      <c r="H77" s="412"/>
      <c r="I77" s="412"/>
      <c r="J77" s="412"/>
      <c r="K77" s="412"/>
      <c r="L77" s="412"/>
      <c r="M77" s="412"/>
      <c r="N77" s="412"/>
    </row>
    <row r="78" spans="3:14">
      <c r="C78" s="396" t="s">
        <v>556</v>
      </c>
      <c r="D78" s="396"/>
      <c r="H78" s="412"/>
      <c r="I78" s="412"/>
      <c r="J78" s="412"/>
      <c r="K78" s="412"/>
      <c r="L78" s="412"/>
      <c r="M78" s="412"/>
      <c r="N78" s="412"/>
    </row>
    <row r="79" spans="3:14">
      <c r="C79" s="396" t="s">
        <v>557</v>
      </c>
      <c r="D79" s="396"/>
      <c r="H79" s="412"/>
      <c r="I79" s="412"/>
      <c r="J79" s="412"/>
      <c r="K79" s="412"/>
      <c r="L79" s="412"/>
      <c r="M79" s="412"/>
      <c r="N79" s="412"/>
    </row>
    <row r="80" spans="3:14">
      <c r="C80" s="396" t="s">
        <v>558</v>
      </c>
      <c r="D80" s="396"/>
      <c r="H80" s="412"/>
      <c r="I80" s="412"/>
      <c r="J80" s="412"/>
      <c r="K80" s="412"/>
      <c r="L80" s="412"/>
      <c r="M80" s="412"/>
      <c r="N80" s="412"/>
    </row>
    <row r="81" spans="3:14">
      <c r="C81" s="396" t="s">
        <v>559</v>
      </c>
      <c r="D81" s="396"/>
      <c r="H81" s="412"/>
      <c r="I81" s="412"/>
      <c r="J81" s="412"/>
      <c r="K81" s="412"/>
      <c r="L81" s="412"/>
      <c r="M81" s="412"/>
      <c r="N81" s="412"/>
    </row>
    <row r="82" spans="3:14">
      <c r="C82" s="396" t="s">
        <v>416</v>
      </c>
      <c r="D82" s="396"/>
    </row>
    <row r="83" spans="3:14">
      <c r="C83" s="396" t="s">
        <v>417</v>
      </c>
      <c r="D83" s="396"/>
    </row>
    <row r="84" spans="3:14">
      <c r="C84" s="396" t="s">
        <v>418</v>
      </c>
      <c r="D84" s="396"/>
    </row>
    <row r="85" spans="3:14">
      <c r="C85" s="396" t="s">
        <v>560</v>
      </c>
      <c r="D85" s="396"/>
    </row>
    <row r="86" spans="3:14">
      <c r="C86" s="396" t="s">
        <v>420</v>
      </c>
      <c r="D86" s="396"/>
    </row>
    <row r="87" spans="3:14">
      <c r="C87" s="396" t="s">
        <v>421</v>
      </c>
      <c r="D87" s="396"/>
    </row>
    <row r="88" spans="3:14">
      <c r="C88" s="396" t="s">
        <v>422</v>
      </c>
      <c r="D88" s="396"/>
    </row>
    <row r="89" spans="3:14">
      <c r="C89" s="396" t="s">
        <v>423</v>
      </c>
      <c r="D89" s="396"/>
    </row>
    <row r="90" spans="3:14">
      <c r="C90" s="396" t="s">
        <v>424</v>
      </c>
      <c r="D90" s="396"/>
    </row>
    <row r="91" spans="3:14">
      <c r="C91" s="396" t="s">
        <v>425</v>
      </c>
      <c r="D91" s="396"/>
    </row>
    <row r="92" spans="3:14">
      <c r="C92" s="396" t="s">
        <v>426</v>
      </c>
      <c r="D92" s="396"/>
    </row>
    <row r="93" spans="3:14">
      <c r="C93" s="396" t="s">
        <v>427</v>
      </c>
      <c r="D93" s="396"/>
    </row>
    <row r="94" spans="3:14">
      <c r="C94" s="396" t="s">
        <v>428</v>
      </c>
      <c r="D94" s="396"/>
    </row>
    <row r="95" spans="3:14">
      <c r="C95" s="396" t="s">
        <v>429</v>
      </c>
      <c r="D95" s="396"/>
    </row>
    <row r="96" spans="3:14">
      <c r="C96" s="396" t="s">
        <v>430</v>
      </c>
      <c r="D96" s="396"/>
    </row>
    <row r="97" spans="3:4">
      <c r="C97" s="396" t="s">
        <v>431</v>
      </c>
      <c r="D97" s="396"/>
    </row>
    <row r="98" spans="3:4">
      <c r="C98" s="396" t="s">
        <v>432</v>
      </c>
      <c r="D98" s="396"/>
    </row>
    <row r="99" spans="3:4">
      <c r="C99" s="396" t="s">
        <v>433</v>
      </c>
      <c r="D99" s="396"/>
    </row>
    <row r="100" spans="3:4">
      <c r="C100" s="396" t="s">
        <v>434</v>
      </c>
      <c r="D100" s="396"/>
    </row>
    <row r="101" spans="3:4">
      <c r="C101" s="396" t="s">
        <v>435</v>
      </c>
      <c r="D101" s="396"/>
    </row>
    <row r="102" spans="3:4">
      <c r="C102" s="396" t="s">
        <v>436</v>
      </c>
      <c r="D102" s="396"/>
    </row>
    <row r="103" spans="3:4">
      <c r="C103" s="396" t="s">
        <v>437</v>
      </c>
      <c r="D103" s="396"/>
    </row>
    <row r="104" spans="3:4">
      <c r="C104" s="396" t="s">
        <v>438</v>
      </c>
      <c r="D104" s="396"/>
    </row>
    <row r="105" spans="3:4">
      <c r="C105" s="396" t="s">
        <v>439</v>
      </c>
      <c r="D105" s="396"/>
    </row>
    <row r="106" spans="3:4">
      <c r="C106" s="396" t="s">
        <v>440</v>
      </c>
      <c r="D106" s="396"/>
    </row>
    <row r="107" spans="3:4">
      <c r="C107" s="396" t="s">
        <v>441</v>
      </c>
      <c r="D107" s="396"/>
    </row>
    <row r="108" spans="3:4">
      <c r="C108" s="396" t="s">
        <v>442</v>
      </c>
      <c r="D108" s="396"/>
    </row>
    <row r="109" spans="3:4">
      <c r="C109" s="396" t="s">
        <v>443</v>
      </c>
      <c r="D109" s="396"/>
    </row>
    <row r="110" spans="3:4">
      <c r="C110" s="396" t="s">
        <v>444</v>
      </c>
      <c r="D110" s="396"/>
    </row>
    <row r="111" spans="3:4">
      <c r="C111" s="396" t="s">
        <v>445</v>
      </c>
      <c r="D111" s="396"/>
    </row>
    <row r="112" spans="3:4">
      <c r="C112" s="396" t="s">
        <v>446</v>
      </c>
      <c r="D112" s="396"/>
    </row>
    <row r="113" spans="3:4">
      <c r="C113" s="396" t="s">
        <v>447</v>
      </c>
      <c r="D113" s="396"/>
    </row>
    <row r="114" spans="3:4">
      <c r="C114" s="396" t="s">
        <v>448</v>
      </c>
      <c r="D114" s="396"/>
    </row>
    <row r="115" spans="3:4">
      <c r="C115" s="396" t="s">
        <v>449</v>
      </c>
      <c r="D115" s="396"/>
    </row>
    <row r="116" spans="3:4">
      <c r="C116" s="396" t="s">
        <v>450</v>
      </c>
      <c r="D116" s="396"/>
    </row>
  </sheetData>
  <mergeCells count="43">
    <mergeCell ref="D54:D55"/>
    <mergeCell ref="J55:O55"/>
    <mergeCell ref="J58:O58"/>
    <mergeCell ref="C31:F31"/>
    <mergeCell ref="C32:F32"/>
    <mergeCell ref="H32:M32"/>
    <mergeCell ref="C33:M33"/>
    <mergeCell ref="J49:O49"/>
    <mergeCell ref="J51:O51"/>
    <mergeCell ref="C27:F27"/>
    <mergeCell ref="C28:F28"/>
    <mergeCell ref="H28:M28"/>
    <mergeCell ref="B29:B30"/>
    <mergeCell ref="C29:E30"/>
    <mergeCell ref="H30:M30"/>
    <mergeCell ref="B22:B23"/>
    <mergeCell ref="D22:D23"/>
    <mergeCell ref="H23:M23"/>
    <mergeCell ref="B24:B25"/>
    <mergeCell ref="D24:D25"/>
    <mergeCell ref="H25:M25"/>
    <mergeCell ref="H17:M17"/>
    <mergeCell ref="F18:F19"/>
    <mergeCell ref="H19:M19"/>
    <mergeCell ref="C20:D20"/>
    <mergeCell ref="G20:M20"/>
    <mergeCell ref="C21:C26"/>
    <mergeCell ref="D21:F21"/>
    <mergeCell ref="D26:F26"/>
    <mergeCell ref="C9:C15"/>
    <mergeCell ref="D9:D12"/>
    <mergeCell ref="D13:D14"/>
    <mergeCell ref="B16:B18"/>
    <mergeCell ref="C16:C19"/>
    <mergeCell ref="D16:D19"/>
    <mergeCell ref="B2:M2"/>
    <mergeCell ref="D4:F5"/>
    <mergeCell ref="G4:G5"/>
    <mergeCell ref="H4:M4"/>
    <mergeCell ref="D6:F6"/>
    <mergeCell ref="C7:C8"/>
    <mergeCell ref="D7:F7"/>
    <mergeCell ref="D8:F8"/>
  </mergeCells>
  <phoneticPr fontId="11" type="noConversion"/>
  <pageMargins left="0.56999999999999995" right="0.26" top="0.62" bottom="1" header="0.5" footer="0.5"/>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4</xdr:col>
                    <xdr:colOff>68580</xdr:colOff>
                    <xdr:row>12</xdr:row>
                    <xdr:rowOff>53340</xdr:rowOff>
                  </from>
                  <to>
                    <xdr:col>5</xdr:col>
                    <xdr:colOff>0</xdr:colOff>
                    <xdr:row>12</xdr:row>
                    <xdr:rowOff>251460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4</xdr:col>
                    <xdr:colOff>68580</xdr:colOff>
                    <xdr:row>13</xdr:row>
                    <xdr:rowOff>38100</xdr:rowOff>
                  </from>
                  <to>
                    <xdr:col>5</xdr:col>
                    <xdr:colOff>0</xdr:colOff>
                    <xdr:row>13</xdr:row>
                    <xdr:rowOff>266700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4</xdr:col>
                    <xdr:colOff>68580</xdr:colOff>
                    <xdr:row>8</xdr:row>
                    <xdr:rowOff>22860</xdr:rowOff>
                  </from>
                  <to>
                    <xdr:col>5</xdr:col>
                    <xdr:colOff>0</xdr:colOff>
                    <xdr:row>8</xdr:row>
                    <xdr:rowOff>243840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4</xdr:col>
                    <xdr:colOff>68580</xdr:colOff>
                    <xdr:row>10</xdr:row>
                    <xdr:rowOff>68580</xdr:rowOff>
                  </from>
                  <to>
                    <xdr:col>5</xdr:col>
                    <xdr:colOff>0</xdr:colOff>
                    <xdr:row>10</xdr:row>
                    <xdr:rowOff>281940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4</xdr:col>
                    <xdr:colOff>60960</xdr:colOff>
                    <xdr:row>11</xdr:row>
                    <xdr:rowOff>53340</xdr:rowOff>
                  </from>
                  <to>
                    <xdr:col>4</xdr:col>
                    <xdr:colOff>342900</xdr:colOff>
                    <xdr:row>11</xdr:row>
                    <xdr:rowOff>281940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3</xdr:col>
                    <xdr:colOff>396240</xdr:colOff>
                    <xdr:row>20</xdr:row>
                    <xdr:rowOff>0</xdr:rowOff>
                  </from>
                  <to>
                    <xdr:col>3</xdr:col>
                    <xdr:colOff>670560</xdr:colOff>
                    <xdr:row>21</xdr:row>
                    <xdr:rowOff>22860</xdr:rowOff>
                  </to>
                </anchor>
              </controlPr>
            </control>
          </mc:Choice>
        </mc:AlternateContent>
        <mc:AlternateContent xmlns:mc="http://schemas.openxmlformats.org/markup-compatibility/2006">
          <mc:Choice Requires="x14">
            <control shapeId="5127" r:id="rId10" name="Check Box 7">
              <controlPr defaultSize="0" autoFill="0" autoLine="0" autoPict="0">
                <anchor moveWithCells="1">
                  <from>
                    <xdr:col>4</xdr:col>
                    <xdr:colOff>76200</xdr:colOff>
                    <xdr:row>21</xdr:row>
                    <xdr:rowOff>22860</xdr:rowOff>
                  </from>
                  <to>
                    <xdr:col>5</xdr:col>
                    <xdr:colOff>15240</xdr:colOff>
                    <xdr:row>22</xdr:row>
                    <xdr:rowOff>0</xdr:rowOff>
                  </to>
                </anchor>
              </controlPr>
            </control>
          </mc:Choice>
        </mc:AlternateContent>
        <mc:AlternateContent xmlns:mc="http://schemas.openxmlformats.org/markup-compatibility/2006">
          <mc:Choice Requires="x14">
            <control shapeId="5128" r:id="rId11" name="Check Box 8">
              <controlPr defaultSize="0" autoFill="0" autoLine="0" autoPict="0">
                <anchor moveWithCells="1">
                  <from>
                    <xdr:col>4</xdr:col>
                    <xdr:colOff>76200</xdr:colOff>
                    <xdr:row>22</xdr:row>
                    <xdr:rowOff>0</xdr:rowOff>
                  </from>
                  <to>
                    <xdr:col>5</xdr:col>
                    <xdr:colOff>0</xdr:colOff>
                    <xdr:row>22</xdr:row>
                    <xdr:rowOff>213360</xdr:rowOff>
                  </to>
                </anchor>
              </controlPr>
            </control>
          </mc:Choice>
        </mc:AlternateContent>
        <mc:AlternateContent xmlns:mc="http://schemas.openxmlformats.org/markup-compatibility/2006">
          <mc:Choice Requires="x14">
            <control shapeId="5129" r:id="rId12" name="Check Box 9">
              <controlPr defaultSize="0" autoFill="0" autoLine="0" autoPict="0">
                <anchor moveWithCells="1">
                  <from>
                    <xdr:col>3</xdr:col>
                    <xdr:colOff>373380</xdr:colOff>
                    <xdr:row>5</xdr:row>
                    <xdr:rowOff>0</xdr:rowOff>
                  </from>
                  <to>
                    <xdr:col>3</xdr:col>
                    <xdr:colOff>662940</xdr:colOff>
                    <xdr:row>5</xdr:row>
                    <xdr:rowOff>213360</xdr:rowOff>
                  </to>
                </anchor>
              </controlPr>
            </control>
          </mc:Choice>
        </mc:AlternateContent>
        <mc:AlternateContent xmlns:mc="http://schemas.openxmlformats.org/markup-compatibility/2006">
          <mc:Choice Requires="x14">
            <control shapeId="5130" r:id="rId13" name="Check Box 10">
              <controlPr defaultSize="0" autoFill="0" autoLine="0" autoPict="0">
                <anchor moveWithCells="1">
                  <from>
                    <xdr:col>3</xdr:col>
                    <xdr:colOff>365760</xdr:colOff>
                    <xdr:row>7</xdr:row>
                    <xdr:rowOff>15240</xdr:rowOff>
                  </from>
                  <to>
                    <xdr:col>3</xdr:col>
                    <xdr:colOff>640080</xdr:colOff>
                    <xdr:row>7</xdr:row>
                    <xdr:rowOff>220980</xdr:rowOff>
                  </to>
                </anchor>
              </controlPr>
            </control>
          </mc:Choice>
        </mc:AlternateContent>
        <mc:AlternateContent xmlns:mc="http://schemas.openxmlformats.org/markup-compatibility/2006">
          <mc:Choice Requires="x14">
            <control shapeId="5131" r:id="rId14" name="Check Box 11">
              <controlPr defaultSize="0" autoFill="0" autoLine="0" autoPict="0">
                <anchor moveWithCells="1">
                  <from>
                    <xdr:col>3</xdr:col>
                    <xdr:colOff>373380</xdr:colOff>
                    <xdr:row>5</xdr:row>
                    <xdr:rowOff>220980</xdr:rowOff>
                  </from>
                  <to>
                    <xdr:col>3</xdr:col>
                    <xdr:colOff>662940</xdr:colOff>
                    <xdr:row>6</xdr:row>
                    <xdr:rowOff>205740</xdr:rowOff>
                  </to>
                </anchor>
              </controlPr>
            </control>
          </mc:Choice>
        </mc:AlternateContent>
        <mc:AlternateContent xmlns:mc="http://schemas.openxmlformats.org/markup-compatibility/2006">
          <mc:Choice Requires="x14">
            <control shapeId="5132" r:id="rId15" name="Check Box 12">
              <controlPr defaultSize="0" autoFill="0" autoLine="0" autoPict="0">
                <anchor moveWithCells="1">
                  <from>
                    <xdr:col>4</xdr:col>
                    <xdr:colOff>68580</xdr:colOff>
                    <xdr:row>14</xdr:row>
                    <xdr:rowOff>297180</xdr:rowOff>
                  </from>
                  <to>
                    <xdr:col>5</xdr:col>
                    <xdr:colOff>0</xdr:colOff>
                    <xdr:row>16</xdr:row>
                    <xdr:rowOff>15240</xdr:rowOff>
                  </to>
                </anchor>
              </controlPr>
            </control>
          </mc:Choice>
        </mc:AlternateContent>
        <mc:AlternateContent xmlns:mc="http://schemas.openxmlformats.org/markup-compatibility/2006">
          <mc:Choice Requires="x14">
            <control shapeId="5133" r:id="rId16" name="Check Box 13">
              <controlPr defaultSize="0" autoFill="0" autoLine="0" autoPict="0">
                <anchor moveWithCells="1">
                  <from>
                    <xdr:col>4</xdr:col>
                    <xdr:colOff>68580</xdr:colOff>
                    <xdr:row>16</xdr:row>
                    <xdr:rowOff>0</xdr:rowOff>
                  </from>
                  <to>
                    <xdr:col>5</xdr:col>
                    <xdr:colOff>0</xdr:colOff>
                    <xdr:row>16</xdr:row>
                    <xdr:rowOff>213360</xdr:rowOff>
                  </to>
                </anchor>
              </controlPr>
            </control>
          </mc:Choice>
        </mc:AlternateContent>
        <mc:AlternateContent xmlns:mc="http://schemas.openxmlformats.org/markup-compatibility/2006">
          <mc:Choice Requires="x14">
            <control shapeId="5134" r:id="rId17" name="Check Box 14">
              <controlPr defaultSize="0" autoFill="0" autoLine="0" autoPict="0">
                <anchor moveWithCells="1">
                  <from>
                    <xdr:col>4</xdr:col>
                    <xdr:colOff>60960</xdr:colOff>
                    <xdr:row>16</xdr:row>
                    <xdr:rowOff>213360</xdr:rowOff>
                  </from>
                  <to>
                    <xdr:col>4</xdr:col>
                    <xdr:colOff>335280</xdr:colOff>
                    <xdr:row>18</xdr:row>
                    <xdr:rowOff>15240</xdr:rowOff>
                  </to>
                </anchor>
              </controlPr>
            </control>
          </mc:Choice>
        </mc:AlternateContent>
        <mc:AlternateContent xmlns:mc="http://schemas.openxmlformats.org/markup-compatibility/2006">
          <mc:Choice Requires="x14">
            <control shapeId="5135" r:id="rId18" name="Check Box 15">
              <controlPr defaultSize="0" autoFill="0" autoLine="0" autoPict="0">
                <anchor moveWithCells="1">
                  <from>
                    <xdr:col>4</xdr:col>
                    <xdr:colOff>68580</xdr:colOff>
                    <xdr:row>9</xdr:row>
                    <xdr:rowOff>38100</xdr:rowOff>
                  </from>
                  <to>
                    <xdr:col>5</xdr:col>
                    <xdr:colOff>0</xdr:colOff>
                    <xdr:row>9</xdr:row>
                    <xdr:rowOff>251460</xdr:rowOff>
                  </to>
                </anchor>
              </controlPr>
            </control>
          </mc:Choice>
        </mc:AlternateContent>
        <mc:AlternateContent xmlns:mc="http://schemas.openxmlformats.org/markup-compatibility/2006">
          <mc:Choice Requires="x14">
            <control shapeId="5136" r:id="rId19" name="Check Box 16">
              <controlPr defaultSize="0" autoFill="0" autoLine="0" autoPict="0">
                <anchor moveWithCells="1">
                  <from>
                    <xdr:col>4</xdr:col>
                    <xdr:colOff>76200</xdr:colOff>
                    <xdr:row>22</xdr:row>
                    <xdr:rowOff>213360</xdr:rowOff>
                  </from>
                  <to>
                    <xdr:col>5</xdr:col>
                    <xdr:colOff>15240</xdr:colOff>
                    <xdr:row>24</xdr:row>
                    <xdr:rowOff>15240</xdr:rowOff>
                  </to>
                </anchor>
              </controlPr>
            </control>
          </mc:Choice>
        </mc:AlternateContent>
        <mc:AlternateContent xmlns:mc="http://schemas.openxmlformats.org/markup-compatibility/2006">
          <mc:Choice Requires="x14">
            <control shapeId="5137" r:id="rId20" name="Check Box 17">
              <controlPr defaultSize="0" autoFill="0" autoLine="0" autoPict="0">
                <anchor moveWithCells="1">
                  <from>
                    <xdr:col>4</xdr:col>
                    <xdr:colOff>76200</xdr:colOff>
                    <xdr:row>24</xdr:row>
                    <xdr:rowOff>15240</xdr:rowOff>
                  </from>
                  <to>
                    <xdr:col>5</xdr:col>
                    <xdr:colOff>0</xdr:colOff>
                    <xdr:row>24</xdr:row>
                    <xdr:rowOff>220980</xdr:rowOff>
                  </to>
                </anchor>
              </controlPr>
            </control>
          </mc:Choice>
        </mc:AlternateContent>
        <mc:AlternateContent xmlns:mc="http://schemas.openxmlformats.org/markup-compatibility/2006">
          <mc:Choice Requires="x14">
            <control shapeId="5138" r:id="rId21" name="Check Box 18">
              <controlPr defaultSize="0" autoFill="0" autoLine="0" autoPict="0">
                <anchor moveWithCells="1">
                  <from>
                    <xdr:col>3</xdr:col>
                    <xdr:colOff>396240</xdr:colOff>
                    <xdr:row>24</xdr:row>
                    <xdr:rowOff>213360</xdr:rowOff>
                  </from>
                  <to>
                    <xdr:col>3</xdr:col>
                    <xdr:colOff>670560</xdr:colOff>
                    <xdr:row>26</xdr:row>
                    <xdr:rowOff>15240</xdr:rowOff>
                  </to>
                </anchor>
              </controlPr>
            </control>
          </mc:Choice>
        </mc:AlternateContent>
        <mc:AlternateContent xmlns:mc="http://schemas.openxmlformats.org/markup-compatibility/2006">
          <mc:Choice Requires="x14">
            <control shapeId="5139" r:id="rId22" name="Check Box 19">
              <controlPr defaultSize="0" autoFill="0" autoLine="0" autoPict="0">
                <anchor moveWithCells="1">
                  <from>
                    <xdr:col>3</xdr:col>
                    <xdr:colOff>396240</xdr:colOff>
                    <xdr:row>25</xdr:row>
                    <xdr:rowOff>220980</xdr:rowOff>
                  </from>
                  <to>
                    <xdr:col>3</xdr:col>
                    <xdr:colOff>670560</xdr:colOff>
                    <xdr:row>27</xdr:row>
                    <xdr:rowOff>15240</xdr:rowOff>
                  </to>
                </anchor>
              </controlPr>
            </control>
          </mc:Choice>
        </mc:AlternateContent>
        <mc:AlternateContent xmlns:mc="http://schemas.openxmlformats.org/markup-compatibility/2006">
          <mc:Choice Requires="x14">
            <control shapeId="5140" r:id="rId23" name="Check Box 20">
              <controlPr defaultSize="0" autoFill="0" autoLine="0" autoPict="0">
                <anchor moveWithCells="1">
                  <from>
                    <xdr:col>5</xdr:col>
                    <xdr:colOff>152400</xdr:colOff>
                    <xdr:row>28</xdr:row>
                    <xdr:rowOff>0</xdr:rowOff>
                  </from>
                  <to>
                    <xdr:col>5</xdr:col>
                    <xdr:colOff>434340</xdr:colOff>
                    <xdr:row>29</xdr:row>
                    <xdr:rowOff>15240</xdr:rowOff>
                  </to>
                </anchor>
              </controlPr>
            </control>
          </mc:Choice>
        </mc:AlternateContent>
        <mc:AlternateContent xmlns:mc="http://schemas.openxmlformats.org/markup-compatibility/2006">
          <mc:Choice Requires="x14">
            <control shapeId="5141" r:id="rId24" name="Check Box 21">
              <controlPr defaultSize="0" autoFill="0" autoLine="0" autoPict="0">
                <anchor moveWithCells="1">
                  <from>
                    <xdr:col>3</xdr:col>
                    <xdr:colOff>396240</xdr:colOff>
                    <xdr:row>29</xdr:row>
                    <xdr:rowOff>220980</xdr:rowOff>
                  </from>
                  <to>
                    <xdr:col>3</xdr:col>
                    <xdr:colOff>670560</xdr:colOff>
                    <xdr:row>31</xdr:row>
                    <xdr:rowOff>15240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江苏省工程总表 </vt:lpstr>
      <vt:lpstr>江苏省其他费用表</vt:lpstr>
      <vt:lpstr>江苏省其他费用底稿</vt:lpstr>
      <vt:lpstr>江苏省建设工程造价咨询服务费取费方法2014</vt:lpstr>
      <vt:lpstr>江苏省建设工程造价咨询服务费取费方法（苏建价协2022(7)号</vt:lpstr>
      <vt:lpstr>江苏省其他费用表!Print_Titles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郭宇飙</dc:creator>
  <cp:lastModifiedBy>郭宇飙</cp:lastModifiedBy>
  <dcterms:created xsi:type="dcterms:W3CDTF">2025-04-08T08:36:59Z</dcterms:created>
  <dcterms:modified xsi:type="dcterms:W3CDTF">2025-04-08T09:14:19Z</dcterms:modified>
</cp:coreProperties>
</file>