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ch9809\Box\Stockholm Unviersity\Notebook\postdoc_SU\Scripts\matlab\Yop\litter_decompose\two-poop-one-control-vo\data\"/>
    </mc:Choice>
  </mc:AlternateContent>
  <xr:revisionPtr revIDLastSave="0" documentId="13_ncr:1_{5844B9D8-914A-4D02-BD7C-8653795DBE7E}" xr6:coauthVersionLast="47" xr6:coauthVersionMax="47" xr10:uidLastSave="{00000000-0000-0000-0000-000000000000}"/>
  <bookViews>
    <workbookView xWindow="3420" yWindow="168" windowWidth="17280" windowHeight="8928" xr2:uid="{E14EC3C3-272B-4C94-B3E0-86CDC64204FE}"/>
  </bookViews>
  <sheets>
    <sheet name="Sheet0" sheetId="3" r:id="rId1"/>
    <sheet name="PA_initial" sheetId="1" r:id="rId2"/>
    <sheet name="PA" sheetId="4" r:id="rId3"/>
    <sheet name="NMR75" sheetId="2" r:id="rId4"/>
    <sheet name="NMR25" sheetId="5" r:id="rId5"/>
  </sheets>
  <definedNames>
    <definedName name="_xlnm._FilterDatabase" localSheetId="3" hidden="1">'NMR75'!$A$2:$AJ$34</definedName>
    <definedName name="_xlnm._FilterDatabase" localSheetId="2" hidden="1">PA!$A$1:$J$60</definedName>
    <definedName name="_xlchart.v1.0" hidden="1">'NMR75'!$M$2</definedName>
    <definedName name="_xlchart.v1.1" hidden="1">'NMR75'!$M$3:$M$35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14" i="4" l="1"/>
  <c r="U3" i="2"/>
  <c r="N3" i="2" s="1"/>
  <c r="U14" i="2"/>
  <c r="M3" i="2"/>
  <c r="R39" i="4"/>
  <c r="P2" i="1"/>
  <c r="V2" i="2"/>
  <c r="M17" i="2" l="1"/>
  <c r="L17" i="2"/>
  <c r="R31" i="4"/>
  <c r="R32" i="4"/>
  <c r="R33" i="4"/>
  <c r="R34" i="4"/>
  <c r="R35" i="4"/>
  <c r="R36" i="4"/>
  <c r="R37" i="4"/>
  <c r="R38" i="4"/>
  <c r="R30" i="4"/>
  <c r="R29" i="4"/>
  <c r="S30" i="4"/>
  <c r="T30" i="4"/>
  <c r="U30" i="4"/>
  <c r="T31" i="4"/>
  <c r="T32" i="4"/>
  <c r="T33" i="4"/>
  <c r="U33" i="4"/>
  <c r="T34" i="4"/>
  <c r="T35" i="4"/>
  <c r="T36" i="4"/>
  <c r="T37" i="4"/>
  <c r="T38" i="4"/>
  <c r="T39" i="4"/>
  <c r="U39" i="4"/>
  <c r="T29" i="4"/>
  <c r="S31" i="4"/>
  <c r="S32" i="4"/>
  <c r="S33" i="4"/>
  <c r="S34" i="4"/>
  <c r="S35" i="4"/>
  <c r="S36" i="4"/>
  <c r="S37" i="4"/>
  <c r="S38" i="4"/>
  <c r="S39" i="4"/>
  <c r="J8" i="4"/>
  <c r="J3" i="4"/>
  <c r="J4" i="4"/>
  <c r="J5" i="4"/>
  <c r="J6" i="4"/>
  <c r="J7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2" i="4"/>
  <c r="M14" i="2"/>
  <c r="W24" i="4"/>
  <c r="U24" i="2" s="1"/>
  <c r="AA24" i="4"/>
  <c r="U35" i="2" s="1"/>
  <c r="Z24" i="4"/>
  <c r="U15" i="4"/>
  <c r="U4" i="2" s="1"/>
  <c r="N4" i="2" s="1"/>
  <c r="V15" i="4"/>
  <c r="W15" i="4"/>
  <c r="U15" i="2" s="1"/>
  <c r="X15" i="4"/>
  <c r="Y15" i="4"/>
  <c r="Z15" i="4"/>
  <c r="AA15" i="4"/>
  <c r="U26" i="2" s="1"/>
  <c r="U16" i="4"/>
  <c r="U5" i="2" s="1"/>
  <c r="S5" i="2" s="1"/>
  <c r="V16" i="4"/>
  <c r="W16" i="4"/>
  <c r="U16" i="2" s="1"/>
  <c r="X16" i="4"/>
  <c r="Y16" i="4"/>
  <c r="Z16" i="4"/>
  <c r="AA16" i="4"/>
  <c r="U27" i="2" s="1"/>
  <c r="U17" i="4"/>
  <c r="U6" i="2" s="1"/>
  <c r="V17" i="4"/>
  <c r="W17" i="4"/>
  <c r="U17" i="2" s="1"/>
  <c r="T17" i="2" s="1"/>
  <c r="X17" i="4"/>
  <c r="Y17" i="4"/>
  <c r="Z17" i="4"/>
  <c r="AA17" i="4"/>
  <c r="U28" i="2" s="1"/>
  <c r="U18" i="4"/>
  <c r="U7" i="2" s="1"/>
  <c r="V18" i="4"/>
  <c r="W18" i="4"/>
  <c r="U18" i="2" s="1"/>
  <c r="X18" i="4"/>
  <c r="Y18" i="4"/>
  <c r="Z18" i="4"/>
  <c r="AA18" i="4"/>
  <c r="U29" i="2" s="1"/>
  <c r="U19" i="4"/>
  <c r="U8" i="2" s="1"/>
  <c r="V19" i="4"/>
  <c r="W19" i="4"/>
  <c r="U19" i="2" s="1"/>
  <c r="X19" i="4"/>
  <c r="Y19" i="4"/>
  <c r="Z19" i="4"/>
  <c r="AA19" i="4"/>
  <c r="U30" i="2" s="1"/>
  <c r="U20" i="4"/>
  <c r="U9" i="2" s="1"/>
  <c r="V20" i="4"/>
  <c r="W20" i="4"/>
  <c r="U20" i="2" s="1"/>
  <c r="X20" i="4"/>
  <c r="Y20" i="4"/>
  <c r="Z20" i="4"/>
  <c r="AA20" i="4"/>
  <c r="U31" i="2" s="1"/>
  <c r="U21" i="4"/>
  <c r="U10" i="2" s="1"/>
  <c r="V21" i="4"/>
  <c r="W21" i="4"/>
  <c r="U21" i="2" s="1"/>
  <c r="X21" i="4"/>
  <c r="Y21" i="4"/>
  <c r="Z21" i="4"/>
  <c r="AA21" i="4"/>
  <c r="U32" i="2" s="1"/>
  <c r="U22" i="4"/>
  <c r="U11" i="2" s="1"/>
  <c r="V22" i="4"/>
  <c r="W22" i="4"/>
  <c r="U22" i="2" s="1"/>
  <c r="X22" i="4"/>
  <c r="Y22" i="4"/>
  <c r="Z22" i="4"/>
  <c r="AA22" i="4"/>
  <c r="U33" i="2" s="1"/>
  <c r="U23" i="4"/>
  <c r="U12" i="2" s="1"/>
  <c r="R12" i="2" s="1"/>
  <c r="V23" i="4"/>
  <c r="W23" i="4"/>
  <c r="U23" i="2" s="1"/>
  <c r="X23" i="4"/>
  <c r="Y23" i="4"/>
  <c r="Z23" i="4"/>
  <c r="AA23" i="4"/>
  <c r="U34" i="2" s="1"/>
  <c r="U24" i="4"/>
  <c r="U13" i="2" s="1"/>
  <c r="V24" i="4"/>
  <c r="X24" i="4"/>
  <c r="Y24" i="4"/>
  <c r="AA14" i="4"/>
  <c r="Z14" i="4"/>
  <c r="V14" i="4"/>
  <c r="W14" i="4"/>
  <c r="X14" i="4"/>
  <c r="Y14" i="4"/>
  <c r="N2" i="1"/>
  <c r="K2" i="5"/>
  <c r="N6" i="1"/>
  <c r="N3" i="1"/>
  <c r="N4" i="1"/>
  <c r="N7" i="1"/>
  <c r="N5" i="1"/>
  <c r="N10" i="1"/>
  <c r="N8" i="1"/>
  <c r="N9" i="1"/>
  <c r="N11" i="1"/>
  <c r="N12" i="1"/>
  <c r="S12" i="1" s="1"/>
  <c r="O22" i="2" l="1"/>
  <c r="N32" i="2"/>
  <c r="U25" i="2"/>
  <c r="N25" i="2" s="1"/>
  <c r="T34" i="2"/>
  <c r="N17" i="2"/>
  <c r="R17" i="2"/>
  <c r="Q17" i="2"/>
  <c r="O17" i="2"/>
  <c r="P17" i="2"/>
  <c r="S17" i="2"/>
  <c r="N13" i="2"/>
  <c r="T13" i="2"/>
  <c r="S3" i="2"/>
  <c r="N11" i="2"/>
  <c r="O11" i="2"/>
  <c r="P11" i="2"/>
  <c r="Q11" i="2"/>
  <c r="R11" i="2"/>
  <c r="S11" i="2"/>
  <c r="T11" i="2"/>
  <c r="P14" i="2"/>
  <c r="Q14" i="2"/>
  <c r="R14" i="2"/>
  <c r="S14" i="2"/>
  <c r="T14" i="2"/>
  <c r="N14" i="2"/>
  <c r="O14" i="2"/>
  <c r="N24" i="2"/>
  <c r="O24" i="2"/>
  <c r="P24" i="2"/>
  <c r="Q24" i="2"/>
  <c r="R24" i="2"/>
  <c r="S24" i="2"/>
  <c r="T24" i="2"/>
  <c r="T10" i="2"/>
  <c r="Q10" i="2"/>
  <c r="N10" i="2"/>
  <c r="O10" i="2"/>
  <c r="P10" i="2"/>
  <c r="R10" i="2"/>
  <c r="S10" i="2"/>
  <c r="N19" i="2"/>
  <c r="O19" i="2"/>
  <c r="P19" i="2"/>
  <c r="Q19" i="2"/>
  <c r="R19" i="2"/>
  <c r="S19" i="2"/>
  <c r="T19" i="2"/>
  <c r="N26" i="2"/>
  <c r="O26" i="2"/>
  <c r="P26" i="2"/>
  <c r="Q26" i="2"/>
  <c r="R26" i="2"/>
  <c r="T26" i="2"/>
  <c r="S26" i="2"/>
  <c r="T23" i="2"/>
  <c r="N23" i="2"/>
  <c r="Q23" i="2"/>
  <c r="O23" i="2"/>
  <c r="P23" i="2"/>
  <c r="R23" i="2"/>
  <c r="S23" i="2"/>
  <c r="O33" i="2"/>
  <c r="P33" i="2"/>
  <c r="Q33" i="2"/>
  <c r="R33" i="2"/>
  <c r="S33" i="2"/>
  <c r="T33" i="2"/>
  <c r="N33" i="2"/>
  <c r="Q31" i="2"/>
  <c r="R31" i="2"/>
  <c r="S31" i="2"/>
  <c r="T31" i="2"/>
  <c r="N31" i="2"/>
  <c r="O31" i="2"/>
  <c r="P31" i="2"/>
  <c r="Q20" i="2"/>
  <c r="R20" i="2"/>
  <c r="S20" i="2"/>
  <c r="T20" i="2"/>
  <c r="N20" i="2"/>
  <c r="O20" i="2"/>
  <c r="P20" i="2"/>
  <c r="N35" i="2"/>
  <c r="O35" i="2"/>
  <c r="P35" i="2"/>
  <c r="Q35" i="2"/>
  <c r="R35" i="2"/>
  <c r="S35" i="2"/>
  <c r="T35" i="2"/>
  <c r="N16" i="2"/>
  <c r="O16" i="2"/>
  <c r="P16" i="2"/>
  <c r="Q16" i="2"/>
  <c r="R16" i="2"/>
  <c r="S16" i="2"/>
  <c r="T16" i="2"/>
  <c r="N21" i="2"/>
  <c r="O21" i="2"/>
  <c r="P21" i="2"/>
  <c r="Q21" i="2"/>
  <c r="R21" i="2"/>
  <c r="S21" i="2"/>
  <c r="T21" i="2"/>
  <c r="N8" i="2"/>
  <c r="O8" i="2"/>
  <c r="P8" i="2"/>
  <c r="Q8" i="2"/>
  <c r="S8" i="2"/>
  <c r="R8" i="2"/>
  <c r="T8" i="2"/>
  <c r="P27" i="2"/>
  <c r="Q27" i="2"/>
  <c r="R27" i="2"/>
  <c r="S27" i="2"/>
  <c r="T27" i="2"/>
  <c r="N27" i="2"/>
  <c r="O27" i="2"/>
  <c r="N30" i="2"/>
  <c r="O30" i="2"/>
  <c r="P30" i="2"/>
  <c r="Q30" i="2"/>
  <c r="R30" i="2"/>
  <c r="S30" i="2"/>
  <c r="T30" i="2"/>
  <c r="Q7" i="2"/>
  <c r="R7" i="2"/>
  <c r="S7" i="2"/>
  <c r="T7" i="2"/>
  <c r="N7" i="2"/>
  <c r="O7" i="2"/>
  <c r="P7" i="2"/>
  <c r="S29" i="2"/>
  <c r="T29" i="2"/>
  <c r="P29" i="2"/>
  <c r="N29" i="2"/>
  <c r="O29" i="2"/>
  <c r="Q29" i="2"/>
  <c r="R29" i="2"/>
  <c r="N6" i="2"/>
  <c r="O6" i="2"/>
  <c r="P6" i="2"/>
  <c r="Q6" i="2"/>
  <c r="R6" i="2"/>
  <c r="S6" i="2"/>
  <c r="T6" i="2"/>
  <c r="N15" i="2"/>
  <c r="O15" i="2"/>
  <c r="R15" i="2"/>
  <c r="P15" i="2"/>
  <c r="Q15" i="2"/>
  <c r="S15" i="2"/>
  <c r="T15" i="2"/>
  <c r="O9" i="2"/>
  <c r="P9" i="2"/>
  <c r="Q9" i="2"/>
  <c r="R9" i="2"/>
  <c r="S9" i="2"/>
  <c r="T9" i="2"/>
  <c r="N9" i="2"/>
  <c r="S18" i="2"/>
  <c r="T18" i="2"/>
  <c r="N18" i="2"/>
  <c r="O18" i="2"/>
  <c r="P18" i="2"/>
  <c r="Q18" i="2"/>
  <c r="R18" i="2"/>
  <c r="R3" i="2"/>
  <c r="S34" i="2"/>
  <c r="N22" i="2"/>
  <c r="Q12" i="2"/>
  <c r="R5" i="2"/>
  <c r="V5" i="2" s="1"/>
  <c r="Q3" i="2"/>
  <c r="R34" i="2"/>
  <c r="T32" i="2"/>
  <c r="P12" i="2"/>
  <c r="Q5" i="2"/>
  <c r="P5" i="2"/>
  <c r="O3" i="2"/>
  <c r="P34" i="2"/>
  <c r="R32" i="2"/>
  <c r="S13" i="2"/>
  <c r="N12" i="2"/>
  <c r="O5" i="2"/>
  <c r="O34" i="2"/>
  <c r="Q32" i="2"/>
  <c r="R13" i="2"/>
  <c r="N5" i="2"/>
  <c r="S32" i="2"/>
  <c r="N34" i="2"/>
  <c r="P32" i="2"/>
  <c r="Q13" i="2"/>
  <c r="T4" i="2"/>
  <c r="O32" i="2"/>
  <c r="T22" i="2"/>
  <c r="P13" i="2"/>
  <c r="S4" i="2"/>
  <c r="P3" i="2"/>
  <c r="O12" i="2"/>
  <c r="S22" i="2"/>
  <c r="O13" i="2"/>
  <c r="R4" i="2"/>
  <c r="Q34" i="2"/>
  <c r="R22" i="2"/>
  <c r="Q4" i="2"/>
  <c r="Q22" i="2"/>
  <c r="T12" i="2"/>
  <c r="P4" i="2"/>
  <c r="T3" i="2"/>
  <c r="P22" i="2"/>
  <c r="S12" i="2"/>
  <c r="V12" i="2" s="1"/>
  <c r="T5" i="2"/>
  <c r="O4" i="2"/>
  <c r="T5" i="1"/>
  <c r="T10" i="1"/>
  <c r="T2" i="1"/>
  <c r="T8" i="1"/>
  <c r="T9" i="1"/>
  <c r="T11" i="1"/>
  <c r="T6" i="1"/>
  <c r="T3" i="1"/>
  <c r="T4" i="1"/>
  <c r="T7" i="1"/>
  <c r="T12" i="1"/>
  <c r="Q12" i="1"/>
  <c r="W12" i="1" s="1"/>
  <c r="Q8" i="1"/>
  <c r="W8" i="1" s="1"/>
  <c r="M13" i="2"/>
  <c r="R12" i="1" s="1"/>
  <c r="V12" i="1" s="1"/>
  <c r="Q9" i="1"/>
  <c r="W9" i="1" s="1"/>
  <c r="Q6" i="1"/>
  <c r="W6" i="1" s="1"/>
  <c r="Q3" i="1"/>
  <c r="W3" i="1" s="1"/>
  <c r="Q4" i="1"/>
  <c r="W4" i="1" s="1"/>
  <c r="Q7" i="1"/>
  <c r="W7" i="1" s="1"/>
  <c r="Q5" i="1"/>
  <c r="W5" i="1" s="1"/>
  <c r="Q10" i="1"/>
  <c r="W10" i="1" s="1"/>
  <c r="Q2" i="1"/>
  <c r="W2" i="1" s="1"/>
  <c r="Q11" i="1"/>
  <c r="W11" i="1" s="1"/>
  <c r="K3" i="5"/>
  <c r="K4" i="5"/>
  <c r="K5" i="5"/>
  <c r="K6" i="5"/>
  <c r="K7" i="5"/>
  <c r="K8" i="5"/>
  <c r="K9" i="5"/>
  <c r="K10" i="5"/>
  <c r="K11" i="5"/>
  <c r="K12" i="5"/>
  <c r="O12" i="1"/>
  <c r="M12" i="1"/>
  <c r="L12" i="1"/>
  <c r="M24" i="2"/>
  <c r="M15" i="2"/>
  <c r="M20" i="2"/>
  <c r="M19" i="2"/>
  <c r="M22" i="2"/>
  <c r="M18" i="2"/>
  <c r="M16" i="2"/>
  <c r="M23" i="2"/>
  <c r="M21" i="2"/>
  <c r="M35" i="2"/>
  <c r="M26" i="2"/>
  <c r="M31" i="2"/>
  <c r="M30" i="2"/>
  <c r="M33" i="2"/>
  <c r="M29" i="2"/>
  <c r="M27" i="2"/>
  <c r="M25" i="2"/>
  <c r="M34" i="2"/>
  <c r="M32" i="2"/>
  <c r="M28" i="2"/>
  <c r="M4" i="2"/>
  <c r="U3" i="1" s="1"/>
  <c r="M9" i="2"/>
  <c r="R8" i="1" s="1"/>
  <c r="V8" i="1" s="1"/>
  <c r="M8" i="2"/>
  <c r="R7" i="1" s="1"/>
  <c r="V7" i="1" s="1"/>
  <c r="M11" i="2"/>
  <c r="R10" i="1" s="1"/>
  <c r="V10" i="1" s="1"/>
  <c r="M7" i="2"/>
  <c r="R6" i="1" s="1"/>
  <c r="V6" i="1" s="1"/>
  <c r="M5" i="2"/>
  <c r="U4" i="1" s="1"/>
  <c r="R2" i="1"/>
  <c r="V2" i="1" s="1"/>
  <c r="M12" i="2"/>
  <c r="R11" i="1" s="1"/>
  <c r="V11" i="1" s="1"/>
  <c r="M10" i="2"/>
  <c r="R9" i="1" s="1"/>
  <c r="V9" i="1" s="1"/>
  <c r="M6" i="2"/>
  <c r="R5" i="1" s="1"/>
  <c r="V5" i="1" s="1"/>
  <c r="L35" i="2"/>
  <c r="L26" i="2"/>
  <c r="L31" i="2"/>
  <c r="L30" i="2"/>
  <c r="L33" i="2"/>
  <c r="L29" i="2"/>
  <c r="L27" i="2"/>
  <c r="L25" i="2"/>
  <c r="L34" i="2"/>
  <c r="L32" i="2"/>
  <c r="L28" i="2"/>
  <c r="L4" i="2"/>
  <c r="L9" i="2"/>
  <c r="L8" i="2"/>
  <c r="L11" i="2"/>
  <c r="L7" i="2"/>
  <c r="L5" i="2"/>
  <c r="L3" i="2"/>
  <c r="L12" i="2"/>
  <c r="L10" i="2"/>
  <c r="L6" i="2"/>
  <c r="L24" i="2"/>
  <c r="L15" i="2"/>
  <c r="L20" i="2"/>
  <c r="L19" i="2"/>
  <c r="L22" i="2"/>
  <c r="L18" i="2"/>
  <c r="L16" i="2"/>
  <c r="L14" i="2"/>
  <c r="L23" i="2"/>
  <c r="L21" i="2"/>
  <c r="L13" i="2"/>
  <c r="L6" i="1"/>
  <c r="L3" i="1"/>
  <c r="L4" i="1"/>
  <c r="L7" i="1"/>
  <c r="L5" i="1"/>
  <c r="L10" i="1"/>
  <c r="L2" i="1"/>
  <c r="L8" i="1"/>
  <c r="L9" i="1"/>
  <c r="L11" i="1"/>
  <c r="S6" i="1"/>
  <c r="M6" i="1"/>
  <c r="O6" i="1"/>
  <c r="M3" i="1"/>
  <c r="S3" i="1"/>
  <c r="O3" i="1"/>
  <c r="M4" i="1"/>
  <c r="S4" i="1"/>
  <c r="O4" i="1"/>
  <c r="M7" i="1"/>
  <c r="S7" i="1"/>
  <c r="O7" i="1"/>
  <c r="M5" i="1"/>
  <c r="S5" i="1"/>
  <c r="O5" i="1"/>
  <c r="M10" i="1"/>
  <c r="S10" i="1"/>
  <c r="O10" i="1"/>
  <c r="M2" i="1"/>
  <c r="S2" i="1"/>
  <c r="O2" i="1"/>
  <c r="M8" i="1"/>
  <c r="S8" i="1"/>
  <c r="O8" i="1"/>
  <c r="M9" i="1"/>
  <c r="S9" i="1"/>
  <c r="O9" i="1"/>
  <c r="M11" i="1"/>
  <c r="S11" i="1"/>
  <c r="O11" i="1"/>
  <c r="V3" i="2" l="1"/>
  <c r="V8" i="2"/>
  <c r="V32" i="2"/>
  <c r="V22" i="2"/>
  <c r="V19" i="2"/>
  <c r="V7" i="2"/>
  <c r="V15" i="2"/>
  <c r="V17" i="2"/>
  <c r="Q25" i="2"/>
  <c r="V34" i="2"/>
  <c r="V29" i="2"/>
  <c r="T25" i="2"/>
  <c r="S25" i="2"/>
  <c r="V13" i="2"/>
  <c r="P25" i="2"/>
  <c r="R25" i="2"/>
  <c r="V24" i="2"/>
  <c r="V26" i="2"/>
  <c r="V21" i="2"/>
  <c r="V9" i="2"/>
  <c r="V27" i="2"/>
  <c r="V33" i="2"/>
  <c r="V11" i="2"/>
  <c r="V10" i="2"/>
  <c r="O25" i="2"/>
  <c r="V6" i="2"/>
  <c r="V20" i="2"/>
  <c r="V35" i="2"/>
  <c r="V30" i="2"/>
  <c r="V4" i="2"/>
  <c r="V23" i="2"/>
  <c r="V18" i="2"/>
  <c r="V16" i="2"/>
  <c r="V31" i="2"/>
  <c r="V14" i="2"/>
  <c r="N28" i="2"/>
  <c r="O28" i="2"/>
  <c r="P28" i="2"/>
  <c r="Q28" i="2"/>
  <c r="R28" i="2"/>
  <c r="S28" i="2"/>
  <c r="T28" i="2"/>
  <c r="U5" i="1"/>
  <c r="U11" i="1"/>
  <c r="U9" i="1"/>
  <c r="U2" i="1"/>
  <c r="U10" i="1"/>
  <c r="U7" i="1"/>
  <c r="R4" i="1"/>
  <c r="V4" i="1" s="1"/>
  <c r="R3" i="1"/>
  <c r="V3" i="1" s="1"/>
  <c r="U8" i="1"/>
  <c r="U6" i="1"/>
  <c r="U12" i="1"/>
  <c r="P12" i="1"/>
  <c r="P10" i="1"/>
  <c r="P3" i="1"/>
  <c r="P5" i="1"/>
  <c r="P11" i="1"/>
  <c r="P9" i="1"/>
  <c r="P8" i="1"/>
  <c r="P7" i="1"/>
  <c r="P4" i="1"/>
  <c r="P6" i="1"/>
  <c r="V25" i="2" l="1"/>
  <c r="V2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Arjun Chakrawal</author>
  </authors>
  <commentList>
    <comment ref="U1" authorId="0" shapeId="0" xr:uid="{72FB5A18-88C8-465D-A603-C2391EE6D195}">
      <text>
        <r>
          <rPr>
            <b/>
            <sz val="9"/>
            <color indexed="81"/>
            <rFont val="Tahoma"/>
            <family val="2"/>
          </rPr>
          <t>Arjun Chakrawal:</t>
        </r>
        <r>
          <rPr>
            <sz val="9"/>
            <color indexed="81"/>
            <rFont val="Tahoma"/>
            <family val="2"/>
          </rPr>
          <t xml:space="preserve">
using this one to find initial fraction of aromatic in AUR beuacse this is closest to Basrakan 2019 data.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Arjun Chakrawal</author>
  </authors>
  <commentList>
    <comment ref="F2" authorId="0" shapeId="0" xr:uid="{04CBC74F-82BF-4A38-9E9F-C7E30E613043}">
      <text>
        <r>
          <rPr>
            <b/>
            <sz val="9"/>
            <color indexed="81"/>
            <rFont val="Tahoma"/>
            <family val="2"/>
          </rPr>
          <t>Arjun Chakrawal:</t>
        </r>
        <r>
          <rPr>
            <sz val="9"/>
            <color indexed="81"/>
            <rFont val="Tahoma"/>
            <family val="2"/>
          </rPr>
          <t xml:space="preserve">
METHOX region also includes contributions from N-alkyl C of proteins</t>
        </r>
      </text>
    </comment>
    <comment ref="G2" authorId="0" shapeId="0" xr:uid="{C4E18FA9-2A62-42EC-BCB4-AD9E84C7DC85}">
      <text>
        <r>
          <rPr>
            <b/>
            <sz val="9"/>
            <color indexed="81"/>
            <rFont val="Tahoma"/>
            <family val="2"/>
          </rPr>
          <t>Arjun Chakrawal:</t>
        </r>
        <r>
          <rPr>
            <sz val="9"/>
            <color indexed="81"/>
            <rFont val="Tahoma"/>
            <family val="2"/>
          </rPr>
          <t xml:space="preserve">
O-ALKYL plus DI-O-ALK intensity mostly due to cellulose and hemicelluloses</t>
        </r>
      </text>
    </comment>
    <comment ref="I2" authorId="0" shapeId="0" xr:uid="{F1A177F3-6FAE-4F09-BF16-AD619D11BCF9}">
      <text>
        <r>
          <rPr>
            <b/>
            <sz val="9"/>
            <color indexed="81"/>
            <rFont val="Tahoma"/>
            <family val="2"/>
          </rPr>
          <t>Arjun Chakrawal:</t>
        </r>
        <r>
          <rPr>
            <sz val="9"/>
            <color indexed="81"/>
            <rFont val="Tahoma"/>
            <family val="2"/>
          </rPr>
          <t xml:space="preserve">
Intensity in the AROM and PHEN regions comes
from both lignin and condensed tannins</t>
        </r>
      </text>
    </comment>
    <comment ref="K2" authorId="0" shapeId="0" xr:uid="{2D952F71-4E5A-4552-B542-95822F388580}">
      <text>
        <r>
          <rPr>
            <b/>
            <sz val="9"/>
            <color indexed="81"/>
            <rFont val="Tahoma"/>
            <family val="2"/>
          </rPr>
          <t>Arjun Chakrawal:</t>
        </r>
        <r>
          <rPr>
            <sz val="9"/>
            <color indexed="81"/>
            <rFont val="Tahoma"/>
            <family val="2"/>
          </rPr>
          <t xml:space="preserve">
The CARBOX region with its peak at 173 ppm includes carboxylic acids, amides and esters.</t>
        </r>
      </text>
    </comment>
    <comment ref="O2" authorId="0" shapeId="0" xr:uid="{DAEBC84E-7A57-4B70-ABB0-45C74571D880}">
      <text>
        <r>
          <rPr>
            <b/>
            <sz val="9"/>
            <color indexed="81"/>
            <rFont val="Tahoma"/>
            <family val="2"/>
          </rPr>
          <t>Arjun Chakrawal:</t>
        </r>
        <r>
          <rPr>
            <sz val="9"/>
            <color indexed="81"/>
            <rFont val="Tahoma"/>
            <family val="2"/>
          </rPr>
          <t xml:space="preserve">
METHOX region also includes contributions from N-alkyl C of proteins</t>
        </r>
      </text>
    </comment>
    <comment ref="P2" authorId="0" shapeId="0" xr:uid="{2927C99A-A6F3-4D85-98D9-9343DC839712}">
      <text>
        <r>
          <rPr>
            <b/>
            <sz val="9"/>
            <color indexed="81"/>
            <rFont val="Tahoma"/>
            <family val="2"/>
          </rPr>
          <t>Arjun Chakrawal:</t>
        </r>
        <r>
          <rPr>
            <sz val="9"/>
            <color indexed="81"/>
            <rFont val="Tahoma"/>
            <family val="2"/>
          </rPr>
          <t xml:space="preserve">
O-ALKYL plus DI-O-ALK intensity mostly due to cellulose and hemicelluloses</t>
        </r>
      </text>
    </comment>
    <comment ref="R2" authorId="0" shapeId="0" xr:uid="{C0AA8F70-94CF-487B-B777-4FF499A462B4}">
      <text>
        <r>
          <rPr>
            <b/>
            <sz val="9"/>
            <color indexed="81"/>
            <rFont val="Tahoma"/>
            <family val="2"/>
          </rPr>
          <t>Arjun Chakrawal:</t>
        </r>
        <r>
          <rPr>
            <sz val="9"/>
            <color indexed="81"/>
            <rFont val="Tahoma"/>
            <family val="2"/>
          </rPr>
          <t xml:space="preserve">
Intensity in the AROM and PHEN regions comes
from both lignin and condensed tannins</t>
        </r>
      </text>
    </comment>
    <comment ref="T2" authorId="0" shapeId="0" xr:uid="{2CC2C424-CA4B-42F5-A0AB-BB11C55BB1E4}">
      <text>
        <r>
          <rPr>
            <b/>
            <sz val="9"/>
            <color indexed="81"/>
            <rFont val="Tahoma"/>
            <family val="2"/>
          </rPr>
          <t>Arjun Chakrawal:</t>
        </r>
        <r>
          <rPr>
            <sz val="9"/>
            <color indexed="81"/>
            <rFont val="Tahoma"/>
            <family val="2"/>
          </rPr>
          <t xml:space="preserve">
The CARBOX region with its peak at 173 ppm includes carboxylic acids, amides and esters.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Arjun Chakrawal</author>
  </authors>
  <commentList>
    <comment ref="E1" authorId="0" shapeId="0" xr:uid="{4CFCAE4A-FEF4-49C9-8C7B-0D2954BB192B}">
      <text>
        <r>
          <rPr>
            <b/>
            <sz val="9"/>
            <color indexed="81"/>
            <rFont val="Tahoma"/>
            <family val="2"/>
          </rPr>
          <t>Arjun Chakrawal:</t>
        </r>
        <r>
          <rPr>
            <sz val="9"/>
            <color indexed="81"/>
            <rFont val="Tahoma"/>
            <family val="2"/>
          </rPr>
          <t xml:space="preserve">
METHOX region also includes contributions from N-alkyl C of proteins</t>
        </r>
      </text>
    </comment>
    <comment ref="F1" authorId="0" shapeId="0" xr:uid="{7A57C3C8-84E3-495D-8412-F75ADB3EBAAB}">
      <text>
        <r>
          <rPr>
            <b/>
            <sz val="9"/>
            <color indexed="81"/>
            <rFont val="Tahoma"/>
            <family val="2"/>
          </rPr>
          <t>Arjun Chakrawal:</t>
        </r>
        <r>
          <rPr>
            <sz val="9"/>
            <color indexed="81"/>
            <rFont val="Tahoma"/>
            <family val="2"/>
          </rPr>
          <t xml:space="preserve">
O-ALKYL plus DI-O-ALK intensity mostly due to cellulose and hemicelluloses</t>
        </r>
      </text>
    </comment>
    <comment ref="H1" authorId="0" shapeId="0" xr:uid="{EE962139-7B5D-46E9-856D-24103FA2F5F9}">
      <text>
        <r>
          <rPr>
            <b/>
            <sz val="9"/>
            <color indexed="81"/>
            <rFont val="Tahoma"/>
            <family val="2"/>
          </rPr>
          <t>Arjun Chakrawal:</t>
        </r>
        <r>
          <rPr>
            <sz val="9"/>
            <color indexed="81"/>
            <rFont val="Tahoma"/>
            <family val="2"/>
          </rPr>
          <t xml:space="preserve">
Intensity in the AROM and PHEN regions comes
from both lignin and condensed tannins</t>
        </r>
      </text>
    </comment>
    <comment ref="J1" authorId="0" shapeId="0" xr:uid="{ADC5A030-975A-4904-9306-207C20541CE4}">
      <text>
        <r>
          <rPr>
            <b/>
            <sz val="9"/>
            <color indexed="81"/>
            <rFont val="Tahoma"/>
            <family val="2"/>
          </rPr>
          <t>Arjun Chakrawal:</t>
        </r>
        <r>
          <rPr>
            <sz val="9"/>
            <color indexed="81"/>
            <rFont val="Tahoma"/>
            <family val="2"/>
          </rPr>
          <t xml:space="preserve">
The CARBOX region with its peak at 173 ppm includes carboxylic acids, amides and esters.</t>
        </r>
      </text>
    </comment>
  </commentList>
</comments>
</file>

<file path=xl/sharedStrings.xml><?xml version="1.0" encoding="utf-8"?>
<sst xmlns="http://schemas.openxmlformats.org/spreadsheetml/2006/main" count="521" uniqueCount="131">
  <si>
    <t>CIDET code</t>
  </si>
  <si>
    <t>Common name</t>
  </si>
  <si>
    <t>Botanical name</t>
  </si>
  <si>
    <t>C/N (atomic)</t>
  </si>
  <si>
    <t>AUR/(AUR* + ACID)</t>
  </si>
  <si>
    <t>Whw</t>
  </si>
  <si>
    <t>Western hemlock</t>
  </si>
  <si>
    <t>Ctp</t>
  </si>
  <si>
    <t>Western redcedar</t>
  </si>
  <si>
    <t>Cll</t>
  </si>
  <si>
    <t>Tamarack</t>
  </si>
  <si>
    <t>Cpj</t>
  </si>
  <si>
    <t>Jack pine</t>
  </si>
  <si>
    <t>Dba</t>
  </si>
  <si>
    <t>American beech</t>
  </si>
  <si>
    <t>Csb</t>
  </si>
  <si>
    <t>Black spruce</t>
  </si>
  <si>
    <t>Fbf</t>
  </si>
  <si>
    <t>Bracken fern</t>
  </si>
  <si>
    <t>Cdc</t>
  </si>
  <si>
    <t>Douglas-fir</t>
  </si>
  <si>
    <t>Dbw</t>
  </si>
  <si>
    <t>White birch</t>
  </si>
  <si>
    <t>Dpt</t>
  </si>
  <si>
    <t>Trembling aspen</t>
  </si>
  <si>
    <t>Gfh</t>
  </si>
  <si>
    <t>Plains rough fescue</t>
  </si>
  <si>
    <t>METHOX</t>
  </si>
  <si>
    <t>O-ALKYL</t>
  </si>
  <si>
    <t>DI-O-ALK</t>
  </si>
  <si>
    <t>AROM</t>
  </si>
  <si>
    <t>PHEN</t>
  </si>
  <si>
    <t>CARBOX</t>
  </si>
  <si>
    <t>Wood</t>
  </si>
  <si>
    <t>White</t>
  </si>
  <si>
    <t>Birch</t>
  </si>
  <si>
    <t>Beech</t>
  </si>
  <si>
    <t>Bracken</t>
  </si>
  <si>
    <t>Redcedar</t>
  </si>
  <si>
    <t>Jack</t>
  </si>
  <si>
    <t>Pine</t>
  </si>
  <si>
    <t>Fescue</t>
  </si>
  <si>
    <t>Aspen</t>
  </si>
  <si>
    <t>Species</t>
  </si>
  <si>
    <t>ALKYL</t>
  </si>
  <si>
    <t>SP code</t>
  </si>
  <si>
    <t>year</t>
  </si>
  <si>
    <t>Table 3 Preston 2009b</t>
  </si>
  <si>
    <t>Lignin</t>
  </si>
  <si>
    <t>t</t>
  </si>
  <si>
    <r>
      <t>75 MHz 13C</t>
    </r>
    <r>
      <rPr>
        <sz val="10"/>
        <color rgb="FF000000"/>
        <rFont val="AdvPSMER-R"/>
      </rPr>
      <t xml:space="preserve"> CP</t>
    </r>
  </si>
  <si>
    <t>Organic compounds can be considers fraction of total organic C</t>
  </si>
  <si>
    <t>Initial litter data</t>
  </si>
  <si>
    <t>PA</t>
  </si>
  <si>
    <t/>
  </si>
  <si>
    <t>Elapsed years</t>
  </si>
  <si>
    <t>NPE (g kg-1)</t>
  </si>
  <si>
    <t>WSE (g kg-1)</t>
  </si>
  <si>
    <t>AUR* (g kg-1)</t>
  </si>
  <si>
    <t>ACID (g kg-1)</t>
  </si>
  <si>
    <t>AUR*/(AUR*+ ACID)</t>
  </si>
  <si>
    <t>Black Spruce</t>
  </si>
  <si>
    <t>CBR</t>
  </si>
  <si>
    <t>TER</t>
  </si>
  <si>
    <t>NH1</t>
  </si>
  <si>
    <t>WhiteBirch</t>
  </si>
  <si>
    <t>JackPine</t>
  </si>
  <si>
    <t>BlackSpruce</t>
  </si>
  <si>
    <t>AUR C* (g kg-1)</t>
  </si>
  <si>
    <t>AmericanBeech</t>
  </si>
  <si>
    <t>BrackenFern</t>
  </si>
  <si>
    <t>Douglas-Fir</t>
  </si>
  <si>
    <t>t (year)</t>
  </si>
  <si>
    <t>tot_arom 25MHz</t>
  </si>
  <si>
    <t>tot_arom 75MHz</t>
  </si>
  <si>
    <t>site</t>
  </si>
  <si>
    <t>spName</t>
  </si>
  <si>
    <t>spCode</t>
  </si>
  <si>
    <t>mass remaining (%)</t>
  </si>
  <si>
    <t>MAR</t>
  </si>
  <si>
    <t>lignin = 25% of AUR C</t>
  </si>
  <si>
    <t>Total C (g kg−1)</t>
  </si>
  <si>
    <t>Total N (g kg−1)</t>
  </si>
  <si>
    <t>NPE (g kg−1)</t>
  </si>
  <si>
    <t>WSE (g kg−1)</t>
  </si>
  <si>
    <t>AUR* (g kg−1)</t>
  </si>
  <si>
    <t>ACID (g kg−1)</t>
  </si>
  <si>
    <t>NPE C (g kg−1)</t>
  </si>
  <si>
    <t>WSE C(g kg−1)</t>
  </si>
  <si>
    <t>AUR* C(g kg−1)</t>
  </si>
  <si>
    <t>ACID C(g kg−1)</t>
  </si>
  <si>
    <r>
      <t>Tsuga heterophylla</t>
    </r>
    <r>
      <rPr>
        <sz val="12"/>
        <rFont val="Calibri"/>
        <family val="2"/>
        <scheme val="minor"/>
      </rPr>
      <t> (Raf.) Sarg.</t>
    </r>
  </si>
  <si>
    <r>
      <t>Thuja plicata</t>
    </r>
    <r>
      <rPr>
        <sz val="12"/>
        <rFont val="Calibri"/>
        <family val="2"/>
        <scheme val="minor"/>
      </rPr>
      <t> Donn ex D. Don</t>
    </r>
  </si>
  <si>
    <r>
      <t>Larix laricina</t>
    </r>
    <r>
      <rPr>
        <sz val="12"/>
        <rFont val="Calibri"/>
        <family val="2"/>
        <scheme val="minor"/>
      </rPr>
      <t> (Du Roi) K. Koch</t>
    </r>
  </si>
  <si>
    <r>
      <t>Pinus banksiana</t>
    </r>
    <r>
      <rPr>
        <sz val="12"/>
        <rFont val="Calibri"/>
        <family val="2"/>
        <scheme val="minor"/>
      </rPr>
      <t> Lamb.</t>
    </r>
  </si>
  <si>
    <r>
      <t>Fagus grandifolia</t>
    </r>
    <r>
      <rPr>
        <sz val="12"/>
        <rFont val="Calibri"/>
        <family val="2"/>
        <scheme val="minor"/>
      </rPr>
      <t> Ehrh.</t>
    </r>
  </si>
  <si>
    <r>
      <t>Picea mariana</t>
    </r>
    <r>
      <rPr>
        <sz val="12"/>
        <rFont val="Calibri"/>
        <family val="2"/>
        <scheme val="minor"/>
      </rPr>
      <t> (Mill.) BSP</t>
    </r>
  </si>
  <si>
    <r>
      <t>Pteridium aquilinum</t>
    </r>
    <r>
      <rPr>
        <sz val="12"/>
        <rFont val="Calibri"/>
        <family val="2"/>
        <scheme val="minor"/>
      </rPr>
      <t> (L.) Kuhn</t>
    </r>
  </si>
  <si>
    <r>
      <t>Pseudotsuga menziesii</t>
    </r>
    <r>
      <rPr>
        <sz val="12"/>
        <rFont val="Calibri"/>
        <family val="2"/>
        <scheme val="minor"/>
      </rPr>
      <t> (Mirb.) Franco</t>
    </r>
  </si>
  <si>
    <r>
      <t>Betula papyrifera</t>
    </r>
    <r>
      <rPr>
        <sz val="12"/>
        <rFont val="Calibri"/>
        <family val="2"/>
        <scheme val="minor"/>
      </rPr>
      <t> Marsh.</t>
    </r>
  </si>
  <si>
    <r>
      <t>Populus tremuloides</t>
    </r>
    <r>
      <rPr>
        <sz val="12"/>
        <rFont val="Calibri"/>
        <family val="2"/>
        <scheme val="minor"/>
      </rPr>
      <t> Michx.</t>
    </r>
  </si>
  <si>
    <r>
      <t>Festuca hallii</t>
    </r>
    <r>
      <rPr>
        <sz val="12"/>
        <rFont val="Calibri"/>
        <family val="2"/>
        <scheme val="minor"/>
      </rPr>
      <t> (Vasey) Piper</t>
    </r>
  </si>
  <si>
    <t>test</t>
  </si>
  <si>
    <t>25 NMR</t>
  </si>
  <si>
    <t>75NMR</t>
  </si>
  <si>
    <t>mg·g–1 of total dry litter mass</t>
  </si>
  <si>
    <t>mg C</t>
  </si>
  <si>
    <t>mass remaining(%)</t>
  </si>
  <si>
    <t>C remaining mg</t>
  </si>
  <si>
    <t>AUR C mg/glitter at MAR site</t>
  </si>
  <si>
    <t>amount AUR C mg at MAR site</t>
  </si>
  <si>
    <t>v1</t>
  </si>
  <si>
    <t>v2</t>
  </si>
  <si>
    <t>sum</t>
  </si>
  <si>
    <t>Litter type grass=1 broad leaf=2 needle=3 roots=4 wood=5 lichen=6</t>
  </si>
  <si>
    <t>Latitude N</t>
  </si>
  <si>
    <t>Longitude S</t>
  </si>
  <si>
    <t>Douglas-fir ci</t>
  </si>
  <si>
    <t>Shawnigan Lake, BC</t>
  </si>
  <si>
    <t>CII</t>
  </si>
  <si>
    <t>Tamarack S</t>
  </si>
  <si>
    <t xml:space="preserve">Batoche, SK </t>
  </si>
  <si>
    <t xml:space="preserve">Petawawa, ON </t>
  </si>
  <si>
    <t>Black spruce S</t>
  </si>
  <si>
    <t xml:space="preserve">Maple Ridge, UBC Research Forest, BC </t>
  </si>
  <si>
    <t xml:space="preserve">Morgan Arb St-Anne-Bellevue, PQ </t>
  </si>
  <si>
    <t xml:space="preserve">Badger, NF </t>
  </si>
  <si>
    <t xml:space="preserve">Kananaskis Valley, AB </t>
  </si>
  <si>
    <t xml:space="preserve">Termundee, SK </t>
  </si>
  <si>
    <t>Western hemlock W</t>
  </si>
  <si>
    <t xml:space="preserve">Cowichan, BC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</si>
</sst>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000000"/>
      <name val="AdvPSMER-M"/>
    </font>
    <font>
      <sz val="9"/>
      <color rgb="FF000000"/>
      <name val="AdvPSMER-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rgb="FF000000"/>
      <name val="AdvPSMER-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AdvPSMER-R"/>
    </font>
    <font>
      <b/>
      <sz val="16"/>
      <color theme="1"/>
      <name val="Calibri"/>
      <family val="2"/>
      <scheme val="minor"/>
    </font>
    <font>
      <b/>
      <sz val="12"/>
      <color rgb="FF333333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i/>
      <sz val="12"/>
      <name val="Calibri"/>
      <family val="2"/>
      <scheme val="minor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CFCFC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medium">
        <color rgb="FFA6A6A6"/>
      </left>
      <right style="medium">
        <color rgb="FFD5D5D5"/>
      </right>
      <top style="medium">
        <color rgb="FFA6A6A6"/>
      </top>
      <bottom style="medium">
        <color rgb="FFA6A6A6"/>
      </bottom>
      <diagonal/>
    </border>
    <border>
      <left style="thick">
        <color rgb="FFD5D5D5"/>
      </left>
      <right style="medium">
        <color rgb="FFD5D5D5"/>
      </right>
      <top style="thick">
        <color rgb="FFD5D5D5"/>
      </top>
      <bottom style="medium">
        <color rgb="FFA6A6A6"/>
      </bottom>
      <diagonal/>
    </border>
    <border>
      <left style="medium">
        <color rgb="FFA6A6A6"/>
      </left>
      <right style="medium">
        <color rgb="FFD5D5D5"/>
      </right>
      <top style="thick">
        <color rgb="FFD5D5D5"/>
      </top>
      <bottom style="medium">
        <color rgb="FFA6A6A6"/>
      </bottom>
      <diagonal/>
    </border>
    <border>
      <left style="medium">
        <color rgb="FFA6A6A6"/>
      </left>
      <right style="thick">
        <color rgb="FFD5D5D5"/>
      </right>
      <top style="thick">
        <color rgb="FFD5D5D5"/>
      </top>
      <bottom style="medium">
        <color rgb="FFA6A6A6"/>
      </bottom>
      <diagonal/>
    </border>
    <border>
      <left style="thick">
        <color rgb="FFD5D5D5"/>
      </left>
      <right style="medium">
        <color rgb="FFD5D5D5"/>
      </right>
      <top style="medium">
        <color rgb="FFA6A6A6"/>
      </top>
      <bottom style="medium">
        <color rgb="FFA6A6A6"/>
      </bottom>
      <diagonal/>
    </border>
    <border>
      <left style="medium">
        <color rgb="FFA6A6A6"/>
      </left>
      <right style="thick">
        <color rgb="FFD5D5D5"/>
      </right>
      <top style="medium">
        <color rgb="FFA6A6A6"/>
      </top>
      <bottom style="medium">
        <color rgb="FFA6A6A6"/>
      </bottom>
      <diagonal/>
    </border>
    <border>
      <left style="thick">
        <color rgb="FFD5D5D5"/>
      </left>
      <right style="medium">
        <color rgb="FFD5D5D5"/>
      </right>
      <top style="medium">
        <color rgb="FFA6A6A6"/>
      </top>
      <bottom style="thick">
        <color rgb="FFD5D5D5"/>
      </bottom>
      <diagonal/>
    </border>
    <border>
      <left style="medium">
        <color rgb="FFA6A6A6"/>
      </left>
      <right style="medium">
        <color rgb="FFD5D5D5"/>
      </right>
      <top style="medium">
        <color rgb="FFA6A6A6"/>
      </top>
      <bottom style="thick">
        <color rgb="FFD5D5D5"/>
      </bottom>
      <diagonal/>
    </border>
    <border>
      <left style="medium">
        <color rgb="FFA6A6A6"/>
      </left>
      <right style="thick">
        <color rgb="FFD5D5D5"/>
      </right>
      <top style="medium">
        <color rgb="FFA6A6A6"/>
      </top>
      <bottom style="thick">
        <color rgb="FFD5D5D5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2" fillId="0" borderId="0" xfId="0" applyFont="1"/>
    <xf numFmtId="0" fontId="3" fillId="0" borderId="0" xfId="0" applyFont="1" applyAlignment="1">
      <alignment vertical="center" wrapText="1"/>
    </xf>
    <xf numFmtId="0" fontId="1" fillId="0" borderId="0" xfId="0" applyFont="1"/>
    <xf numFmtId="0" fontId="0" fillId="0" borderId="0" xfId="0" applyAlignment="1">
      <alignment wrapText="1"/>
    </xf>
    <xf numFmtId="0" fontId="0" fillId="0" borderId="0" xfId="0" applyAlignment="1"/>
    <xf numFmtId="0" fontId="2" fillId="0" borderId="0" xfId="0" applyFont="1" applyAlignment="1">
      <alignment wrapText="1"/>
    </xf>
    <xf numFmtId="164" fontId="0" fillId="0" borderId="0" xfId="0" applyNumberFormat="1"/>
    <xf numFmtId="0" fontId="8" fillId="0" borderId="0" xfId="0" applyFont="1"/>
    <xf numFmtId="0" fontId="9" fillId="0" borderId="0" xfId="0" applyFont="1"/>
    <xf numFmtId="0" fontId="10" fillId="0" borderId="0" xfId="0" applyFont="1" applyAlignment="1">
      <alignment vertical="center" wrapText="1"/>
    </xf>
    <xf numFmtId="0" fontId="12" fillId="3" borderId="2" xfId="0" applyFont="1" applyFill="1" applyBorder="1" applyAlignment="1">
      <alignment horizontal="left" wrapText="1"/>
    </xf>
    <xf numFmtId="0" fontId="12" fillId="3" borderId="3" xfId="0" applyFont="1" applyFill="1" applyBorder="1" applyAlignment="1">
      <alignment horizontal="left" wrapText="1"/>
    </xf>
    <xf numFmtId="0" fontId="12" fillId="3" borderId="4" xfId="0" applyFont="1" applyFill="1" applyBorder="1" applyAlignment="1">
      <alignment horizontal="left" wrapText="1"/>
    </xf>
    <xf numFmtId="0" fontId="13" fillId="0" borderId="0" xfId="0" applyFont="1" applyAlignment="1">
      <alignment horizontal="left"/>
    </xf>
    <xf numFmtId="0" fontId="14" fillId="0" borderId="0" xfId="0" applyFont="1" applyAlignment="1">
      <alignment wrapText="1"/>
    </xf>
    <xf numFmtId="0" fontId="13" fillId="0" borderId="0" xfId="0" applyFont="1" applyAlignment="1">
      <alignment wrapText="1"/>
    </xf>
    <xf numFmtId="0" fontId="13" fillId="0" borderId="0" xfId="0" applyFont="1"/>
    <xf numFmtId="0" fontId="15" fillId="2" borderId="5" xfId="0" applyFont="1" applyFill="1" applyBorder="1" applyAlignment="1">
      <alignment horizontal="left" wrapText="1"/>
    </xf>
    <xf numFmtId="0" fontId="15" fillId="2" borderId="1" xfId="0" applyFont="1" applyFill="1" applyBorder="1" applyAlignment="1">
      <alignment horizontal="left" wrapText="1"/>
    </xf>
    <xf numFmtId="0" fontId="16" fillId="2" borderId="1" xfId="0" applyFont="1" applyFill="1" applyBorder="1" applyAlignment="1">
      <alignment horizontal="left" wrapText="1"/>
    </xf>
    <xf numFmtId="0" fontId="15" fillId="2" borderId="6" xfId="0" applyFont="1" applyFill="1" applyBorder="1" applyAlignment="1">
      <alignment horizontal="left" wrapText="1"/>
    </xf>
    <xf numFmtId="0" fontId="15" fillId="2" borderId="0" xfId="0" applyFont="1" applyFill="1" applyBorder="1" applyAlignment="1">
      <alignment horizontal="left" wrapText="1"/>
    </xf>
    <xf numFmtId="0" fontId="15" fillId="0" borderId="0" xfId="0" applyFont="1" applyAlignment="1">
      <alignment horizontal="left"/>
    </xf>
    <xf numFmtId="0" fontId="17" fillId="0" borderId="0" xfId="0" applyFont="1"/>
    <xf numFmtId="0" fontId="15" fillId="2" borderId="7" xfId="0" applyFont="1" applyFill="1" applyBorder="1" applyAlignment="1">
      <alignment horizontal="left" wrapText="1"/>
    </xf>
    <xf numFmtId="0" fontId="15" fillId="2" borderId="8" xfId="0" applyFont="1" applyFill="1" applyBorder="1" applyAlignment="1">
      <alignment horizontal="left" wrapText="1"/>
    </xf>
    <xf numFmtId="0" fontId="16" fillId="2" borderId="8" xfId="0" applyFont="1" applyFill="1" applyBorder="1" applyAlignment="1">
      <alignment horizontal="left" wrapText="1"/>
    </xf>
    <xf numFmtId="0" fontId="15" fillId="2" borderId="9" xfId="0" applyFont="1" applyFill="1" applyBorder="1" applyAlignment="1">
      <alignment horizontal="left" wrapText="1"/>
    </xf>
    <xf numFmtId="0" fontId="0" fillId="4" borderId="0" xfId="0" applyFill="1"/>
    <xf numFmtId="0" fontId="0" fillId="4" borderId="0" xfId="0" applyFont="1" applyFill="1"/>
    <xf numFmtId="0" fontId="1" fillId="0" borderId="0" xfId="0" applyFont="1" applyFill="1"/>
    <xf numFmtId="0" fontId="3" fillId="0" borderId="0" xfId="0" applyFont="1" applyFill="1" applyAlignment="1">
      <alignment vertical="center" wrapText="1"/>
    </xf>
    <xf numFmtId="0" fontId="0" fillId="0" borderId="0" xfId="0" applyFont="1" applyFill="1"/>
    <xf numFmtId="0" fontId="0" fillId="0" borderId="0" xfId="0" applyFill="1"/>
    <xf numFmtId="0" fontId="0" fillId="0" borderId="0" xfId="0" applyFont="1" applyFill="1" applyAlignment="1"/>
    <xf numFmtId="0" fontId="3" fillId="0" borderId="0" xfId="0" applyFont="1" applyFill="1"/>
    <xf numFmtId="165" fontId="0" fillId="0" borderId="0" xfId="0" applyNumberFormat="1" applyFill="1"/>
    <xf numFmtId="165" fontId="0" fillId="4" borderId="0" xfId="0" applyNumberFormat="1" applyFill="1"/>
    <xf numFmtId="165" fontId="0" fillId="4" borderId="0" xfId="0" applyNumberFormat="1" applyFont="1" applyFill="1"/>
    <xf numFmtId="0" fontId="11" fillId="0" borderId="0" xfId="0" applyFont="1" applyAlignment="1"/>
    <xf numFmtId="0" fontId="0" fillId="0" borderId="0" xfId="0" applyAlignment="1">
      <alignment vertical="center"/>
    </xf>
    <xf numFmtId="49" fontId="9" fillId="0" borderId="0" xfId="0" applyNumberFormat="1" applyFont="1" applyAlignment="1">
      <alignment horizontal="center" vertical="center"/>
    </xf>
    <xf numFmtId="0" fontId="11" fillId="0" borderId="0" xfId="0" applyFont="1" applyAlignment="1">
      <alignment horizontal="center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'NMR75'!$Z$2</c:f>
              <c:strCache>
                <c:ptCount val="1"/>
                <c:pt idx="0">
                  <c:v>Whw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'NMR75'!$Y$3:$Y$5</c:f>
              <c:numCache>
                <c:formatCode>General</c:formatCode>
                <c:ptCount val="3"/>
                <c:pt idx="0">
                  <c:v>0</c:v>
                </c:pt>
                <c:pt idx="1">
                  <c:v>2</c:v>
                </c:pt>
                <c:pt idx="2">
                  <c:v>6</c:v>
                </c:pt>
              </c:numCache>
            </c:numRef>
          </c:xVal>
          <c:yVal>
            <c:numRef>
              <c:f>'NMR75'!$Z$3:$Z$5</c:f>
              <c:numCache>
                <c:formatCode>General</c:formatCode>
                <c:ptCount val="3"/>
                <c:pt idx="0">
                  <c:v>19.100000000000001</c:v>
                </c:pt>
                <c:pt idx="1">
                  <c:v>15.1</c:v>
                </c:pt>
                <c:pt idx="2">
                  <c:v>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207-4A80-A414-9FD741784326}"/>
            </c:ext>
          </c:extLst>
        </c:ser>
        <c:ser>
          <c:idx val="1"/>
          <c:order val="1"/>
          <c:tx>
            <c:strRef>
              <c:f>'NMR75'!$AA$2</c:f>
              <c:strCache>
                <c:ptCount val="1"/>
                <c:pt idx="0">
                  <c:v>Cll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'NMR75'!$Y$3:$Y$5</c:f>
              <c:numCache>
                <c:formatCode>General</c:formatCode>
                <c:ptCount val="3"/>
                <c:pt idx="0">
                  <c:v>0</c:v>
                </c:pt>
                <c:pt idx="1">
                  <c:v>2</c:v>
                </c:pt>
                <c:pt idx="2">
                  <c:v>6</c:v>
                </c:pt>
              </c:numCache>
            </c:numRef>
          </c:xVal>
          <c:yVal>
            <c:numRef>
              <c:f>'NMR75'!$AA$3:$AA$5</c:f>
              <c:numCache>
                <c:formatCode>General</c:formatCode>
                <c:ptCount val="3"/>
                <c:pt idx="0">
                  <c:v>20.100000000000001</c:v>
                </c:pt>
                <c:pt idx="1">
                  <c:v>16.899999999999999</c:v>
                </c:pt>
                <c:pt idx="2">
                  <c:v>20.5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207-4A80-A414-9FD741784326}"/>
            </c:ext>
          </c:extLst>
        </c:ser>
        <c:ser>
          <c:idx val="2"/>
          <c:order val="2"/>
          <c:tx>
            <c:strRef>
              <c:f>'NMR75'!$AB$2</c:f>
              <c:strCache>
                <c:ptCount val="1"/>
                <c:pt idx="0">
                  <c:v>Birch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'NMR75'!$Y$3:$Y$5</c:f>
              <c:numCache>
                <c:formatCode>General</c:formatCode>
                <c:ptCount val="3"/>
                <c:pt idx="0">
                  <c:v>0</c:v>
                </c:pt>
                <c:pt idx="1">
                  <c:v>2</c:v>
                </c:pt>
                <c:pt idx="2">
                  <c:v>6</c:v>
                </c:pt>
              </c:numCache>
            </c:numRef>
          </c:xVal>
          <c:yVal>
            <c:numRef>
              <c:f>'NMR75'!$AB$3:$AB$5</c:f>
              <c:numCache>
                <c:formatCode>General</c:formatCode>
                <c:ptCount val="3"/>
                <c:pt idx="0">
                  <c:v>18.899999999999999</c:v>
                </c:pt>
                <c:pt idx="1">
                  <c:v>19.200000000000003</c:v>
                </c:pt>
                <c:pt idx="2">
                  <c:v>20.399999999999999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207-4A80-A414-9FD741784326}"/>
            </c:ext>
          </c:extLst>
        </c:ser>
        <c:ser>
          <c:idx val="3"/>
          <c:order val="3"/>
          <c:tx>
            <c:strRef>
              <c:f>'NMR75'!$AC$2</c:f>
              <c:strCache>
                <c:ptCount val="1"/>
                <c:pt idx="0">
                  <c:v>Dba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'NMR75'!$Y$3:$Y$5</c:f>
              <c:numCache>
                <c:formatCode>General</c:formatCode>
                <c:ptCount val="3"/>
                <c:pt idx="0">
                  <c:v>0</c:v>
                </c:pt>
                <c:pt idx="1">
                  <c:v>2</c:v>
                </c:pt>
                <c:pt idx="2">
                  <c:v>6</c:v>
                </c:pt>
              </c:numCache>
            </c:numRef>
          </c:xVal>
          <c:yVal>
            <c:numRef>
              <c:f>'NMR75'!$AC$3:$AC$5</c:f>
              <c:numCache>
                <c:formatCode>General</c:formatCode>
                <c:ptCount val="3"/>
                <c:pt idx="0">
                  <c:v>15.5</c:v>
                </c:pt>
                <c:pt idx="1">
                  <c:v>18.7</c:v>
                </c:pt>
                <c:pt idx="2">
                  <c:v>17.100000000000001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207-4A80-A414-9FD741784326}"/>
            </c:ext>
          </c:extLst>
        </c:ser>
        <c:ser>
          <c:idx val="4"/>
          <c:order val="4"/>
          <c:tx>
            <c:strRef>
              <c:f>'NMR75'!$AD$2</c:f>
              <c:strCache>
                <c:ptCount val="1"/>
                <c:pt idx="0">
                  <c:v>Fbf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'NMR75'!$Y$3:$Y$5</c:f>
              <c:numCache>
                <c:formatCode>General</c:formatCode>
                <c:ptCount val="3"/>
                <c:pt idx="0">
                  <c:v>0</c:v>
                </c:pt>
                <c:pt idx="1">
                  <c:v>2</c:v>
                </c:pt>
                <c:pt idx="2">
                  <c:v>6</c:v>
                </c:pt>
              </c:numCache>
            </c:numRef>
          </c:xVal>
          <c:yVal>
            <c:numRef>
              <c:f>'NMR75'!$AD$3:$AD$5</c:f>
              <c:numCache>
                <c:formatCode>General</c:formatCode>
                <c:ptCount val="3"/>
                <c:pt idx="0">
                  <c:v>16.3</c:v>
                </c:pt>
                <c:pt idx="1">
                  <c:v>21.1</c:v>
                </c:pt>
                <c:pt idx="2">
                  <c:v>19.899999999999999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207-4A80-A414-9FD741784326}"/>
            </c:ext>
          </c:extLst>
        </c:ser>
        <c:ser>
          <c:idx val="5"/>
          <c:order val="5"/>
          <c:tx>
            <c:strRef>
              <c:f>'NMR75'!$AE$2</c:f>
              <c:strCache>
                <c:ptCount val="1"/>
                <c:pt idx="0">
                  <c:v>Ctp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'NMR75'!$Y$3:$Y$5</c:f>
              <c:numCache>
                <c:formatCode>General</c:formatCode>
                <c:ptCount val="3"/>
                <c:pt idx="0">
                  <c:v>0</c:v>
                </c:pt>
                <c:pt idx="1">
                  <c:v>2</c:v>
                </c:pt>
                <c:pt idx="2">
                  <c:v>6</c:v>
                </c:pt>
              </c:numCache>
            </c:numRef>
          </c:xVal>
          <c:yVal>
            <c:numRef>
              <c:f>'NMR75'!$AE$3:$AE$5</c:f>
              <c:numCache>
                <c:formatCode>General</c:formatCode>
                <c:ptCount val="3"/>
                <c:pt idx="0">
                  <c:v>18.8</c:v>
                </c:pt>
                <c:pt idx="1">
                  <c:v>15.3</c:v>
                </c:pt>
                <c:pt idx="2">
                  <c:v>17.899999999999999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D207-4A80-A414-9FD741784326}"/>
            </c:ext>
          </c:extLst>
        </c:ser>
        <c:ser>
          <c:idx val="6"/>
          <c:order val="6"/>
          <c:tx>
            <c:strRef>
              <c:f>'NMR75'!$AF$2</c:f>
              <c:strCache>
                <c:ptCount val="1"/>
                <c:pt idx="0">
                  <c:v>Pine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'NMR75'!$Y$3:$Y$5</c:f>
              <c:numCache>
                <c:formatCode>General</c:formatCode>
                <c:ptCount val="3"/>
                <c:pt idx="0">
                  <c:v>0</c:v>
                </c:pt>
                <c:pt idx="1">
                  <c:v>2</c:v>
                </c:pt>
                <c:pt idx="2">
                  <c:v>6</c:v>
                </c:pt>
              </c:numCache>
            </c:numRef>
          </c:xVal>
          <c:yVal>
            <c:numRef>
              <c:f>'NMR75'!$AF$3:$AF$5</c:f>
              <c:numCache>
                <c:formatCode>General</c:formatCode>
                <c:ptCount val="3"/>
                <c:pt idx="0">
                  <c:v>11.5</c:v>
                </c:pt>
                <c:pt idx="1">
                  <c:v>20</c:v>
                </c:pt>
                <c:pt idx="2">
                  <c:v>18.100000000000001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D207-4A80-A414-9FD741784326}"/>
            </c:ext>
          </c:extLst>
        </c:ser>
        <c:ser>
          <c:idx val="7"/>
          <c:order val="7"/>
          <c:tx>
            <c:strRef>
              <c:f>'NMR75'!$AG$2</c:f>
              <c:strCache>
                <c:ptCount val="1"/>
                <c:pt idx="0">
                  <c:v>Cdc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'NMR75'!$Y$3:$Y$5</c:f>
              <c:numCache>
                <c:formatCode>General</c:formatCode>
                <c:ptCount val="3"/>
                <c:pt idx="0">
                  <c:v>0</c:v>
                </c:pt>
                <c:pt idx="1">
                  <c:v>2</c:v>
                </c:pt>
                <c:pt idx="2">
                  <c:v>6</c:v>
                </c:pt>
              </c:numCache>
            </c:numRef>
          </c:xVal>
          <c:yVal>
            <c:numRef>
              <c:f>'NMR75'!$AG$3:$AG$5</c:f>
              <c:numCache>
                <c:formatCode>General</c:formatCode>
                <c:ptCount val="3"/>
                <c:pt idx="0">
                  <c:v>16.7</c:v>
                </c:pt>
                <c:pt idx="1">
                  <c:v>15.8</c:v>
                </c:pt>
                <c:pt idx="2">
                  <c:v>19.2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D207-4A80-A414-9FD741784326}"/>
            </c:ext>
          </c:extLst>
        </c:ser>
        <c:ser>
          <c:idx val="8"/>
          <c:order val="8"/>
          <c:tx>
            <c:strRef>
              <c:f>'NMR75'!$AH$2</c:f>
              <c:strCache>
                <c:ptCount val="1"/>
                <c:pt idx="0">
                  <c:v>Gfh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'NMR75'!$Y$3:$Y$5</c:f>
              <c:numCache>
                <c:formatCode>General</c:formatCode>
                <c:ptCount val="3"/>
                <c:pt idx="0">
                  <c:v>0</c:v>
                </c:pt>
                <c:pt idx="1">
                  <c:v>2</c:v>
                </c:pt>
                <c:pt idx="2">
                  <c:v>6</c:v>
                </c:pt>
              </c:numCache>
            </c:numRef>
          </c:xVal>
          <c:yVal>
            <c:numRef>
              <c:f>'NMR75'!$AH$3:$AH$5</c:f>
              <c:numCache>
                <c:formatCode>General</c:formatCode>
                <c:ptCount val="3"/>
                <c:pt idx="0">
                  <c:v>9.9</c:v>
                </c:pt>
                <c:pt idx="1">
                  <c:v>12.5</c:v>
                </c:pt>
                <c:pt idx="2">
                  <c:v>17.100000000000001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D207-4A80-A414-9FD741784326}"/>
            </c:ext>
          </c:extLst>
        </c:ser>
        <c:ser>
          <c:idx val="9"/>
          <c:order val="9"/>
          <c:tx>
            <c:strRef>
              <c:f>'NMR75'!$AI$2</c:f>
              <c:strCache>
                <c:ptCount val="1"/>
                <c:pt idx="0">
                  <c:v>Dpt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'NMR75'!$Y$3:$Y$5</c:f>
              <c:numCache>
                <c:formatCode>General</c:formatCode>
                <c:ptCount val="3"/>
                <c:pt idx="0">
                  <c:v>0</c:v>
                </c:pt>
                <c:pt idx="1">
                  <c:v>2</c:v>
                </c:pt>
                <c:pt idx="2">
                  <c:v>6</c:v>
                </c:pt>
              </c:numCache>
            </c:numRef>
          </c:xVal>
          <c:yVal>
            <c:numRef>
              <c:f>'NMR75'!$AI$3:$AI$5</c:f>
              <c:numCache>
                <c:formatCode>General</c:formatCode>
                <c:ptCount val="3"/>
                <c:pt idx="0">
                  <c:v>17.3</c:v>
                </c:pt>
                <c:pt idx="1">
                  <c:v>16.7</c:v>
                </c:pt>
                <c:pt idx="2">
                  <c:v>21.3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D207-4A80-A414-9FD741784326}"/>
            </c:ext>
          </c:extLst>
        </c:ser>
        <c:ser>
          <c:idx val="10"/>
          <c:order val="10"/>
          <c:tx>
            <c:strRef>
              <c:f>'NMR75'!$AJ$2</c:f>
              <c:strCache>
                <c:ptCount val="1"/>
                <c:pt idx="0">
                  <c:v>Whw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'NMR75'!$Y$3:$Y$5</c:f>
              <c:numCache>
                <c:formatCode>General</c:formatCode>
                <c:ptCount val="3"/>
                <c:pt idx="0">
                  <c:v>0</c:v>
                </c:pt>
                <c:pt idx="1">
                  <c:v>2</c:v>
                </c:pt>
                <c:pt idx="2">
                  <c:v>6</c:v>
                </c:pt>
              </c:numCache>
            </c:numRef>
          </c:xVal>
          <c:yVal>
            <c:numRef>
              <c:f>'NMR75'!$AJ$3:$AJ$5</c:f>
              <c:numCache>
                <c:formatCode>General</c:formatCode>
                <c:ptCount val="3"/>
                <c:pt idx="0">
                  <c:v>19.100000000000001</c:v>
                </c:pt>
                <c:pt idx="1">
                  <c:v>17.3</c:v>
                </c:pt>
                <c:pt idx="2">
                  <c:v>20.7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D207-4A80-A414-9FD7417843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528895"/>
        <c:axId val="172529311"/>
      </c:scatterChart>
      <c:valAx>
        <c:axId val="172528895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529311"/>
        <c:crosses val="autoZero"/>
        <c:crossBetween val="midCat"/>
      </c:valAx>
      <c:valAx>
        <c:axId val="172529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5288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boxWhisker" uniqueId="{43474772-DB95-4A3E-AA6E-6420CF258CA2}">
          <cx:tx>
            <cx:txData>
              <cx:f>_xlchart.v1.0</cx:f>
              <cx:v>Lignin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95218</xdr:colOff>
      <xdr:row>8</xdr:row>
      <xdr:rowOff>6409</xdr:rowOff>
    </xdr:from>
    <xdr:to>
      <xdr:col>17</xdr:col>
      <xdr:colOff>293261</xdr:colOff>
      <xdr:row>20</xdr:row>
      <xdr:rowOff>142646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31895996-A2E0-497F-98C6-FE750A7EF1E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538178" y="1484689"/>
              <a:ext cx="2057323" cy="233079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22</xdr:col>
      <xdr:colOff>4416</xdr:colOff>
      <xdr:row>1</xdr:row>
      <xdr:rowOff>4228</xdr:rowOff>
    </xdr:from>
    <xdr:to>
      <xdr:col>36</xdr:col>
      <xdr:colOff>276224</xdr:colOff>
      <xdr:row>12</xdr:row>
      <xdr:rowOff>161925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E1A4375-D7FB-49DC-B763-F6182AE279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6BB42-5560-49B9-93C5-7BC0A97B4CF0}">
  <dimension ref="A1:N12"/>
  <sheetViews>
    <sheetView tabSelected="1" topLeftCell="F1" workbookViewId="0">
      <selection activeCell="I8" sqref="I8"/>
    </sheetView>
  </sheetViews>
  <sheetFormatPr defaultRowHeight="14.4"/>
  <cols>
    <col min="1" max="1" width="3.109375" bestFit="1" customWidth="1"/>
    <col min="2" max="2" width="14.109375" bestFit="1" customWidth="1"/>
    <col min="3" max="3" width="10.33203125" bestFit="1" customWidth="1"/>
    <col min="4" max="4" width="16.6640625" bestFit="1" customWidth="1"/>
    <col min="5" max="5" width="33.33203125" bestFit="1" customWidth="1"/>
    <col min="6" max="6" width="9.44140625" bestFit="1" customWidth="1"/>
    <col min="7" max="7" width="10.33203125" bestFit="1" customWidth="1"/>
    <col min="8" max="8" width="5.21875" bestFit="1" customWidth="1"/>
    <col min="9" max="9" width="17.6640625" bestFit="1" customWidth="1"/>
    <col min="11" max="11" width="10" bestFit="1" customWidth="1"/>
    <col min="12" max="12" width="11.44140625" bestFit="1" customWidth="1"/>
  </cols>
  <sheetData>
    <row r="1" spans="1:14">
      <c r="A1" t="s">
        <v>53</v>
      </c>
      <c r="B1" t="s">
        <v>52</v>
      </c>
      <c r="C1" t="s">
        <v>0</v>
      </c>
      <c r="D1" t="s">
        <v>1</v>
      </c>
      <c r="E1" t="s">
        <v>2</v>
      </c>
      <c r="K1" t="s">
        <v>115</v>
      </c>
      <c r="L1" t="s">
        <v>116</v>
      </c>
    </row>
    <row r="2" spans="1:14" ht="15.6">
      <c r="B2" s="46"/>
      <c r="C2" t="s">
        <v>19</v>
      </c>
      <c r="D2" t="s">
        <v>20</v>
      </c>
      <c r="E2" t="s">
        <v>98</v>
      </c>
      <c r="G2" s="46">
        <v>3</v>
      </c>
      <c r="H2" s="46" t="s">
        <v>19</v>
      </c>
      <c r="I2" s="46" t="s">
        <v>117</v>
      </c>
      <c r="J2" s="46" t="s">
        <v>118</v>
      </c>
      <c r="K2" s="46">
        <v>48.611800000000002</v>
      </c>
      <c r="L2" s="46">
        <v>-123.6123</v>
      </c>
      <c r="M2" s="46"/>
      <c r="N2" s="46"/>
    </row>
    <row r="3" spans="1:14" ht="15.6">
      <c r="B3" s="46"/>
      <c r="C3" t="s">
        <v>9</v>
      </c>
      <c r="D3" t="s">
        <v>10</v>
      </c>
      <c r="E3" t="s">
        <v>93</v>
      </c>
      <c r="G3" s="46">
        <v>10</v>
      </c>
      <c r="H3" s="46" t="s">
        <v>119</v>
      </c>
      <c r="I3" s="46" t="s">
        <v>120</v>
      </c>
      <c r="J3" s="46" t="s">
        <v>121</v>
      </c>
      <c r="K3" s="46">
        <v>52.8</v>
      </c>
      <c r="L3" s="46">
        <v>-106.7</v>
      </c>
      <c r="M3" s="46"/>
      <c r="N3" s="46"/>
    </row>
    <row r="4" spans="1:14" ht="15.6">
      <c r="B4" s="46"/>
      <c r="C4" t="s">
        <v>11</v>
      </c>
      <c r="D4" t="s">
        <v>12</v>
      </c>
      <c r="E4" t="s">
        <v>94</v>
      </c>
      <c r="G4" s="46">
        <v>13</v>
      </c>
      <c r="H4" s="46" t="s">
        <v>11</v>
      </c>
      <c r="I4" s="46" t="s">
        <v>12</v>
      </c>
      <c r="J4" s="46" t="s">
        <v>122</v>
      </c>
      <c r="K4" s="46">
        <v>45.9</v>
      </c>
      <c r="L4" s="46">
        <v>-77.3</v>
      </c>
      <c r="M4" s="46"/>
      <c r="N4" s="46"/>
    </row>
    <row r="5" spans="1:14" ht="15.6">
      <c r="B5" s="46"/>
      <c r="C5" t="s">
        <v>15</v>
      </c>
      <c r="D5" t="s">
        <v>16</v>
      </c>
      <c r="E5" t="s">
        <v>96</v>
      </c>
      <c r="G5" s="46">
        <v>19</v>
      </c>
      <c r="H5" s="46" t="s">
        <v>15</v>
      </c>
      <c r="I5" s="46" t="s">
        <v>123</v>
      </c>
      <c r="J5" s="46" t="s">
        <v>121</v>
      </c>
      <c r="K5" s="46">
        <v>52.8</v>
      </c>
      <c r="L5" s="46">
        <v>-106.7</v>
      </c>
      <c r="M5" s="46"/>
      <c r="N5" s="46"/>
    </row>
    <row r="6" spans="1:14" ht="15.6">
      <c r="B6" s="46"/>
      <c r="C6" t="s">
        <v>7</v>
      </c>
      <c r="D6" t="s">
        <v>8</v>
      </c>
      <c r="E6" t="s">
        <v>92</v>
      </c>
      <c r="G6" s="46">
        <v>24</v>
      </c>
      <c r="H6" s="46" t="s">
        <v>7</v>
      </c>
      <c r="I6" s="46" t="s">
        <v>8</v>
      </c>
      <c r="J6" s="46" t="s">
        <v>124</v>
      </c>
      <c r="K6" s="46">
        <v>49.2</v>
      </c>
      <c r="L6" s="46">
        <v>-122.5</v>
      </c>
      <c r="M6" s="46"/>
      <c r="N6" s="46"/>
    </row>
    <row r="7" spans="1:14" ht="15.6">
      <c r="B7" s="46"/>
      <c r="C7" t="s">
        <v>13</v>
      </c>
      <c r="D7" t="s">
        <v>14</v>
      </c>
      <c r="E7" t="s">
        <v>95</v>
      </c>
      <c r="G7" s="46">
        <v>26</v>
      </c>
      <c r="H7" s="46" t="s">
        <v>13</v>
      </c>
      <c r="I7" s="46" t="s">
        <v>14</v>
      </c>
      <c r="J7" s="46" t="s">
        <v>125</v>
      </c>
      <c r="K7" s="46">
        <v>45.4</v>
      </c>
      <c r="L7" s="46">
        <v>-73.900000000000006</v>
      </c>
      <c r="M7" s="46"/>
      <c r="N7" s="46"/>
    </row>
    <row r="8" spans="1:14" ht="15.6">
      <c r="B8" s="46"/>
      <c r="C8" t="s">
        <v>21</v>
      </c>
      <c r="D8" t="s">
        <v>22</v>
      </c>
      <c r="E8" t="s">
        <v>99</v>
      </c>
      <c r="G8" s="46">
        <v>27</v>
      </c>
      <c r="H8" s="46" t="s">
        <v>21</v>
      </c>
      <c r="I8" s="46" t="s">
        <v>22</v>
      </c>
      <c r="J8" s="46" t="s">
        <v>126</v>
      </c>
      <c r="K8" s="46">
        <v>48.9</v>
      </c>
      <c r="L8" s="46">
        <v>-56</v>
      </c>
      <c r="M8" s="46"/>
      <c r="N8" s="46"/>
    </row>
    <row r="9" spans="1:14" ht="15.6">
      <c r="B9" s="46"/>
      <c r="C9" t="s">
        <v>23</v>
      </c>
      <c r="D9" t="s">
        <v>24</v>
      </c>
      <c r="E9" t="s">
        <v>100</v>
      </c>
      <c r="G9" s="46">
        <v>28</v>
      </c>
      <c r="H9" s="46" t="s">
        <v>23</v>
      </c>
      <c r="I9" s="46" t="s">
        <v>24</v>
      </c>
      <c r="J9" s="46" t="s">
        <v>127</v>
      </c>
      <c r="K9" s="46">
        <v>51</v>
      </c>
      <c r="L9" s="46">
        <v>-115</v>
      </c>
      <c r="M9" s="46"/>
      <c r="N9" s="46"/>
    </row>
    <row r="10" spans="1:14" ht="15.6">
      <c r="B10" s="46"/>
      <c r="C10" t="s">
        <v>17</v>
      </c>
      <c r="D10" t="s">
        <v>18</v>
      </c>
      <c r="E10" t="s">
        <v>97</v>
      </c>
      <c r="G10" s="46">
        <v>32</v>
      </c>
      <c r="H10" s="46" t="s">
        <v>17</v>
      </c>
      <c r="I10" s="46" t="s">
        <v>18</v>
      </c>
      <c r="J10" s="46" t="s">
        <v>122</v>
      </c>
      <c r="K10" s="46">
        <v>45.9</v>
      </c>
      <c r="L10" s="46">
        <v>-77.3</v>
      </c>
      <c r="M10" s="46"/>
      <c r="N10" s="46"/>
    </row>
    <row r="11" spans="1:14" ht="15.6">
      <c r="B11" s="46"/>
      <c r="C11" t="s">
        <v>25</v>
      </c>
      <c r="D11" t="s">
        <v>26</v>
      </c>
      <c r="E11" t="s">
        <v>101</v>
      </c>
      <c r="G11" s="46">
        <v>33</v>
      </c>
      <c r="H11" s="46" t="s">
        <v>25</v>
      </c>
      <c r="I11" s="46" t="s">
        <v>26</v>
      </c>
      <c r="J11" s="46" t="s">
        <v>128</v>
      </c>
      <c r="K11" s="46">
        <v>52.3</v>
      </c>
      <c r="L11" s="46">
        <v>-105</v>
      </c>
      <c r="M11" s="46"/>
      <c r="N11" s="46"/>
    </row>
    <row r="12" spans="1:14" ht="15.6">
      <c r="B12" s="46"/>
      <c r="C12" t="s">
        <v>5</v>
      </c>
      <c r="D12" t="s">
        <v>6</v>
      </c>
      <c r="E12" t="s">
        <v>91</v>
      </c>
      <c r="G12" s="46">
        <v>37</v>
      </c>
      <c r="H12" s="46" t="s">
        <v>5</v>
      </c>
      <c r="I12" s="46" t="s">
        <v>129</v>
      </c>
      <c r="J12" s="46" t="s">
        <v>130</v>
      </c>
      <c r="K12" s="46">
        <v>48.8</v>
      </c>
      <c r="L12" s="46">
        <v>-123.7</v>
      </c>
      <c r="M12" s="46"/>
      <c r="N12" s="4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629E2E-88D1-401F-8169-7678BC9FD2F8}">
  <dimension ref="A1:Y13"/>
  <sheetViews>
    <sheetView topLeftCell="A2" zoomScale="69" zoomScaleNormal="85" workbookViewId="0">
      <selection sqref="A1:C12"/>
    </sheetView>
  </sheetViews>
  <sheetFormatPr defaultColWidth="11.109375" defaultRowHeight="15.6"/>
  <cols>
    <col min="1" max="1" width="11.33203125" style="16" customWidth="1"/>
    <col min="2" max="2" width="11.6640625" style="16" bestFit="1" customWidth="1"/>
    <col min="3" max="3" width="14.44140625" style="16" bestFit="1" customWidth="1"/>
    <col min="4" max="5" width="8.6640625" style="17" bestFit="1" customWidth="1"/>
    <col min="6" max="6" width="9.109375" style="17" bestFit="1" customWidth="1"/>
    <col min="7" max="7" width="8.6640625" style="17" bestFit="1" customWidth="1"/>
    <col min="8" max="8" width="7.88671875" style="17" bestFit="1" customWidth="1"/>
    <col min="9" max="9" width="8" style="17" bestFit="1" customWidth="1"/>
    <col min="10" max="10" width="8.6640625" style="17" bestFit="1" customWidth="1"/>
    <col min="11" max="11" width="10.33203125" style="17" bestFit="1" customWidth="1"/>
    <col min="12" max="12" width="8.6640625" style="17" bestFit="1" customWidth="1"/>
    <col min="13" max="13" width="9" style="17" bestFit="1" customWidth="1"/>
    <col min="14" max="14" width="9.88671875" style="17" bestFit="1" customWidth="1"/>
    <col min="15" max="15" width="9.109375" style="17" bestFit="1" customWidth="1"/>
    <col min="16" max="16" width="6.6640625" style="17" bestFit="1" customWidth="1"/>
    <col min="17" max="18" width="10.33203125" style="17" bestFit="1" customWidth="1"/>
    <col min="19" max="19" width="7.88671875" style="17" bestFit="1" customWidth="1"/>
    <col min="20" max="20" width="8.44140625" style="17" bestFit="1" customWidth="1"/>
    <col min="21" max="21" width="7.88671875" style="17" bestFit="1" customWidth="1"/>
    <col min="22" max="24" width="11.109375" style="17"/>
    <col min="25" max="25" width="21" style="17" customWidth="1"/>
    <col min="26" max="16384" width="11.109375" style="17"/>
  </cols>
  <sheetData>
    <row r="1" spans="1:25" ht="58.8" thickTop="1" thickBot="1">
      <c r="A1" s="11" t="s">
        <v>0</v>
      </c>
      <c r="B1" s="12" t="s">
        <v>1</v>
      </c>
      <c r="C1" s="12" t="s">
        <v>2</v>
      </c>
      <c r="D1" s="12" t="s">
        <v>81</v>
      </c>
      <c r="E1" s="12" t="s">
        <v>82</v>
      </c>
      <c r="F1" s="12" t="s">
        <v>3</v>
      </c>
      <c r="G1" s="12" t="s">
        <v>83</v>
      </c>
      <c r="H1" s="12" t="s">
        <v>84</v>
      </c>
      <c r="I1" s="12" t="s">
        <v>86</v>
      </c>
      <c r="J1" s="12" t="s">
        <v>85</v>
      </c>
      <c r="K1" s="13" t="s">
        <v>4</v>
      </c>
      <c r="L1" s="12" t="s">
        <v>87</v>
      </c>
      <c r="M1" s="12" t="s">
        <v>88</v>
      </c>
      <c r="N1" s="12" t="s">
        <v>89</v>
      </c>
      <c r="O1" s="12" t="s">
        <v>90</v>
      </c>
      <c r="P1" s="14" t="s">
        <v>113</v>
      </c>
      <c r="Q1" s="15" t="s">
        <v>73</v>
      </c>
      <c r="R1" s="15" t="s">
        <v>74</v>
      </c>
      <c r="S1" s="16" t="s">
        <v>80</v>
      </c>
      <c r="T1" s="16" t="s">
        <v>103</v>
      </c>
      <c r="U1" s="16" t="s">
        <v>104</v>
      </c>
      <c r="V1" s="16" t="s">
        <v>111</v>
      </c>
      <c r="W1" s="16" t="s">
        <v>112</v>
      </c>
      <c r="Y1" s="4" t="s">
        <v>114</v>
      </c>
    </row>
    <row r="2" spans="1:25" ht="47.4" thickBot="1">
      <c r="A2" s="18" t="s">
        <v>19</v>
      </c>
      <c r="B2" s="19" t="s">
        <v>20</v>
      </c>
      <c r="C2" s="20" t="s">
        <v>98</v>
      </c>
      <c r="D2" s="19">
        <v>496</v>
      </c>
      <c r="E2" s="19">
        <v>7</v>
      </c>
      <c r="F2" s="19">
        <v>83</v>
      </c>
      <c r="G2" s="19">
        <v>83</v>
      </c>
      <c r="H2" s="19">
        <v>128</v>
      </c>
      <c r="I2" s="19">
        <v>402</v>
      </c>
      <c r="J2" s="19">
        <v>387</v>
      </c>
      <c r="K2" s="21">
        <v>0.49</v>
      </c>
      <c r="L2" s="22">
        <f t="shared" ref="L2:L11" si="0">G2*0.5</f>
        <v>41.5</v>
      </c>
      <c r="M2" s="23">
        <f t="shared" ref="M2:M11" si="1">H2*0.5</f>
        <v>64</v>
      </c>
      <c r="N2" s="23">
        <f t="shared" ref="N2:N12" si="2">J2*0.6</f>
        <v>232.2</v>
      </c>
      <c r="O2" s="23">
        <f t="shared" ref="O2:O11" si="3">I2*0.5</f>
        <v>201</v>
      </c>
      <c r="P2" s="23">
        <f t="shared" ref="P2:P12" si="4">SUM(L2:O2)</f>
        <v>538.70000000000005</v>
      </c>
      <c r="Q2" s="17">
        <f>VLOOKUP(A2,'NMR25'!$B$2:$K$12,10,FALSE)*0.01*D2</f>
        <v>78.367999999999995</v>
      </c>
      <c r="R2" s="17">
        <f>VLOOKUP(A2,'NMR75'!$C$3:$M$13,11,FALSE)*0.01*D2</f>
        <v>82.832000000000008</v>
      </c>
      <c r="S2" s="17">
        <f t="shared" ref="S2:S12" si="5">N2*0.25</f>
        <v>58.05</v>
      </c>
      <c r="T2" s="17">
        <f>VLOOKUP(A2,'NMR25'!$B$2:$K$12,10,FALSE)</f>
        <v>15.8</v>
      </c>
      <c r="U2" s="24">
        <f>VLOOKUP(A2,'NMR75'!$C$3:$M$13,11,FALSE)</f>
        <v>16.7</v>
      </c>
      <c r="V2" s="17">
        <f t="shared" ref="V2:V12" si="6">R2/N2</f>
        <v>0.35672695951765726</v>
      </c>
      <c r="W2" s="17">
        <f t="shared" ref="W2:W12" si="7">Q2/N2</f>
        <v>0.33750215331610678</v>
      </c>
      <c r="X2" s="32"/>
      <c r="Y2" s="17">
        <v>3</v>
      </c>
    </row>
    <row r="3" spans="1:25" ht="47.4" thickBot="1">
      <c r="A3" s="18" t="s">
        <v>9</v>
      </c>
      <c r="B3" s="19" t="s">
        <v>10</v>
      </c>
      <c r="C3" s="20" t="s">
        <v>93</v>
      </c>
      <c r="D3" s="19">
        <v>488</v>
      </c>
      <c r="E3" s="19">
        <v>5.9</v>
      </c>
      <c r="F3" s="19">
        <v>97</v>
      </c>
      <c r="G3" s="19">
        <v>71</v>
      </c>
      <c r="H3" s="19">
        <v>371</v>
      </c>
      <c r="I3" s="19">
        <v>304</v>
      </c>
      <c r="J3" s="19">
        <v>254</v>
      </c>
      <c r="K3" s="21">
        <v>0.46</v>
      </c>
      <c r="L3" s="22">
        <f t="shared" si="0"/>
        <v>35.5</v>
      </c>
      <c r="M3" s="23">
        <f t="shared" si="1"/>
        <v>185.5</v>
      </c>
      <c r="N3" s="23">
        <f t="shared" si="2"/>
        <v>152.4</v>
      </c>
      <c r="O3" s="23">
        <f t="shared" si="3"/>
        <v>152</v>
      </c>
      <c r="P3" s="23">
        <f t="shared" si="4"/>
        <v>525.4</v>
      </c>
      <c r="Q3" s="17">
        <f>VLOOKUP(A3,'NMR25'!$B$2:$K$12,10,FALSE)*0.01*D3</f>
        <v>93.208000000000013</v>
      </c>
      <c r="R3" s="17">
        <f>VLOOKUP(A3,'NMR75'!$C$3:$M$13,11,FALSE)*0.01*D3</f>
        <v>98.088000000000008</v>
      </c>
      <c r="S3" s="17">
        <f t="shared" si="5"/>
        <v>38.1</v>
      </c>
      <c r="T3" s="17">
        <f>VLOOKUP(A3,'NMR25'!$B$2:$K$12,10,FALSE)</f>
        <v>19.100000000000001</v>
      </c>
      <c r="U3" s="24">
        <f>VLOOKUP(A3,'NMR75'!$C$3:$M$13,11,FALSE)</f>
        <v>20.100000000000001</v>
      </c>
      <c r="V3" s="17">
        <f t="shared" si="6"/>
        <v>0.64362204724409455</v>
      </c>
      <c r="W3" s="17">
        <f t="shared" si="7"/>
        <v>0.61160104986876651</v>
      </c>
      <c r="X3" s="32"/>
      <c r="Y3" s="17">
        <v>3</v>
      </c>
    </row>
    <row r="4" spans="1:25" ht="47.4" thickBot="1">
      <c r="A4" s="18" t="s">
        <v>11</v>
      </c>
      <c r="B4" s="19" t="s">
        <v>12</v>
      </c>
      <c r="C4" s="20" t="s">
        <v>94</v>
      </c>
      <c r="D4" s="19">
        <v>497</v>
      </c>
      <c r="E4" s="19">
        <v>12.8</v>
      </c>
      <c r="F4" s="19">
        <v>45</v>
      </c>
      <c r="G4" s="19">
        <v>58</v>
      </c>
      <c r="H4" s="19">
        <v>172</v>
      </c>
      <c r="I4" s="19">
        <v>408</v>
      </c>
      <c r="J4" s="19">
        <v>363</v>
      </c>
      <c r="K4" s="21">
        <v>0.47</v>
      </c>
      <c r="L4" s="22">
        <f t="shared" si="0"/>
        <v>29</v>
      </c>
      <c r="M4" s="23">
        <f t="shared" si="1"/>
        <v>86</v>
      </c>
      <c r="N4" s="23">
        <f t="shared" si="2"/>
        <v>217.79999999999998</v>
      </c>
      <c r="O4" s="23">
        <f t="shared" si="3"/>
        <v>204</v>
      </c>
      <c r="P4" s="23">
        <f t="shared" si="4"/>
        <v>536.79999999999995</v>
      </c>
      <c r="Q4" s="17">
        <f>VLOOKUP(A4,'NMR25'!$B$2:$K$12,10,FALSE)*0.01*D4</f>
        <v>72.064999999999998</v>
      </c>
      <c r="R4" s="17">
        <f>VLOOKUP(A4,'NMR75'!$C$3:$M$13,11,FALSE)*0.01*D4</f>
        <v>57.155000000000001</v>
      </c>
      <c r="S4" s="17">
        <f t="shared" si="5"/>
        <v>54.449999999999996</v>
      </c>
      <c r="T4" s="17">
        <f>VLOOKUP(A4,'NMR25'!$B$2:$K$12,10,FALSE)</f>
        <v>14.5</v>
      </c>
      <c r="U4" s="24">
        <f>VLOOKUP(A4,'NMR75'!$C$3:$M$13,11,FALSE)</f>
        <v>11.5</v>
      </c>
      <c r="V4" s="17">
        <f t="shared" si="6"/>
        <v>0.26241965105601472</v>
      </c>
      <c r="W4" s="17">
        <f t="shared" si="7"/>
        <v>0.3308769513314968</v>
      </c>
      <c r="X4" s="33"/>
      <c r="Y4" s="17">
        <v>3</v>
      </c>
    </row>
    <row r="5" spans="1:25" ht="47.4" thickBot="1">
      <c r="A5" s="18" t="s">
        <v>15</v>
      </c>
      <c r="B5" s="19" t="s">
        <v>16</v>
      </c>
      <c r="C5" s="20" t="s">
        <v>96</v>
      </c>
      <c r="D5" s="19">
        <v>495</v>
      </c>
      <c r="E5" s="19">
        <v>7.3</v>
      </c>
      <c r="F5" s="19">
        <v>79</v>
      </c>
      <c r="G5" s="19">
        <v>72</v>
      </c>
      <c r="H5" s="19">
        <v>226</v>
      </c>
      <c r="I5" s="19">
        <v>380</v>
      </c>
      <c r="J5" s="19">
        <v>322</v>
      </c>
      <c r="K5" s="21">
        <v>0.46</v>
      </c>
      <c r="L5" s="22">
        <f t="shared" si="0"/>
        <v>36</v>
      </c>
      <c r="M5" s="23">
        <f t="shared" si="1"/>
        <v>113</v>
      </c>
      <c r="N5" s="23">
        <f t="shared" si="2"/>
        <v>193.2</v>
      </c>
      <c r="O5" s="23">
        <f t="shared" si="3"/>
        <v>190</v>
      </c>
      <c r="P5" s="23">
        <f t="shared" si="4"/>
        <v>532.20000000000005</v>
      </c>
      <c r="Q5" s="17">
        <f>VLOOKUP(A5,'NMR25'!$B$2:$K$12,10,FALSE)*0.01*D5</f>
        <v>94.545000000000016</v>
      </c>
      <c r="R5" s="17">
        <f>VLOOKUP(A5,'NMR75'!$C$3:$M$13,11,FALSE)*0.01*D5</f>
        <v>94.545000000000016</v>
      </c>
      <c r="S5" s="17">
        <f t="shared" si="5"/>
        <v>48.3</v>
      </c>
      <c r="T5" s="17">
        <f>VLOOKUP(A5,'NMR25'!$B$2:$K$12,10,FALSE)</f>
        <v>19.100000000000001</v>
      </c>
      <c r="U5" s="24">
        <f>VLOOKUP(A5,'NMR75'!$C$3:$M$13,11,FALSE)</f>
        <v>19.100000000000001</v>
      </c>
      <c r="V5" s="17">
        <f t="shared" si="6"/>
        <v>0.48936335403726722</v>
      </c>
      <c r="W5" s="17">
        <f t="shared" si="7"/>
        <v>0.48936335403726722</v>
      </c>
      <c r="X5" s="33"/>
      <c r="Y5" s="17">
        <v>3</v>
      </c>
    </row>
    <row r="6" spans="1:25" ht="47.4" thickBot="1">
      <c r="A6" s="18" t="s">
        <v>7</v>
      </c>
      <c r="B6" s="19" t="s">
        <v>8</v>
      </c>
      <c r="C6" s="20" t="s">
        <v>92</v>
      </c>
      <c r="D6" s="19">
        <v>497</v>
      </c>
      <c r="E6" s="19">
        <v>6.4</v>
      </c>
      <c r="F6" s="19">
        <v>91</v>
      </c>
      <c r="G6" s="19">
        <v>89</v>
      </c>
      <c r="H6" s="19">
        <v>116</v>
      </c>
      <c r="I6" s="19">
        <v>374</v>
      </c>
      <c r="J6" s="19">
        <v>421</v>
      </c>
      <c r="K6" s="21">
        <v>0.53</v>
      </c>
      <c r="L6" s="22">
        <f t="shared" si="0"/>
        <v>44.5</v>
      </c>
      <c r="M6" s="23">
        <f t="shared" si="1"/>
        <v>58</v>
      </c>
      <c r="N6" s="23">
        <f t="shared" si="2"/>
        <v>252.6</v>
      </c>
      <c r="O6" s="23">
        <f t="shared" si="3"/>
        <v>187</v>
      </c>
      <c r="P6" s="23">
        <f t="shared" si="4"/>
        <v>542.1</v>
      </c>
      <c r="Q6" s="17">
        <f>VLOOKUP(A6,'NMR25'!$B$2:$K$12,10,FALSE)*0.01*D6</f>
        <v>72.561999999999998</v>
      </c>
      <c r="R6" s="17">
        <f>VLOOKUP(A6,'NMR75'!$C$3:$M$13,11,FALSE)*0.01*D6</f>
        <v>93.436000000000007</v>
      </c>
      <c r="S6" s="17">
        <f t="shared" si="5"/>
        <v>63.15</v>
      </c>
      <c r="T6" s="17">
        <f>VLOOKUP(A6,'NMR25'!$B$2:$K$12,10,FALSE)</f>
        <v>14.6</v>
      </c>
      <c r="U6" s="24">
        <f>VLOOKUP(A6,'NMR75'!$C$3:$M$13,11,FALSE)</f>
        <v>18.8</v>
      </c>
      <c r="V6" s="17">
        <f t="shared" si="6"/>
        <v>0.36989707046714176</v>
      </c>
      <c r="W6" s="17">
        <f t="shared" si="7"/>
        <v>0.28726049089469519</v>
      </c>
      <c r="X6" s="32"/>
      <c r="Y6" s="17">
        <v>3</v>
      </c>
    </row>
    <row r="7" spans="1:25" ht="47.4" thickBot="1">
      <c r="A7" s="18" t="s">
        <v>13</v>
      </c>
      <c r="B7" s="19" t="s">
        <v>14</v>
      </c>
      <c r="C7" s="20" t="s">
        <v>95</v>
      </c>
      <c r="D7" s="19">
        <v>470</v>
      </c>
      <c r="E7" s="19">
        <v>7.1</v>
      </c>
      <c r="F7" s="19">
        <v>77</v>
      </c>
      <c r="G7" s="19">
        <v>48</v>
      </c>
      <c r="H7" s="19">
        <v>131</v>
      </c>
      <c r="I7" s="19">
        <v>494</v>
      </c>
      <c r="J7" s="19">
        <v>328</v>
      </c>
      <c r="K7" s="21">
        <v>0.4</v>
      </c>
      <c r="L7" s="22">
        <f t="shared" si="0"/>
        <v>24</v>
      </c>
      <c r="M7" s="23">
        <f t="shared" si="1"/>
        <v>65.5</v>
      </c>
      <c r="N7" s="23">
        <f t="shared" si="2"/>
        <v>196.79999999999998</v>
      </c>
      <c r="O7" s="23">
        <f t="shared" si="3"/>
        <v>247</v>
      </c>
      <c r="P7" s="23">
        <f t="shared" si="4"/>
        <v>533.29999999999995</v>
      </c>
      <c r="Q7" s="17">
        <f>VLOOKUP(A7,'NMR25'!$B$2:$K$12,10,FALSE)*0.01*D7</f>
        <v>73.319999999999993</v>
      </c>
      <c r="R7" s="17">
        <f>VLOOKUP(A7,'NMR75'!$C$3:$M$13,11,FALSE)*0.01*D7</f>
        <v>72.849999999999994</v>
      </c>
      <c r="S7" s="17">
        <f t="shared" si="5"/>
        <v>49.199999999999996</v>
      </c>
      <c r="T7" s="17">
        <f>VLOOKUP(A7,'NMR25'!$B$2:$K$12,10,FALSE)</f>
        <v>15.6</v>
      </c>
      <c r="U7" s="24">
        <f>VLOOKUP(A7,'NMR75'!$C$3:$M$13,11,FALSE)</f>
        <v>15.5</v>
      </c>
      <c r="V7" s="17">
        <f t="shared" si="6"/>
        <v>0.37017276422764228</v>
      </c>
      <c r="W7" s="17">
        <f t="shared" si="7"/>
        <v>0.3725609756097561</v>
      </c>
      <c r="X7" s="32"/>
      <c r="Y7" s="17">
        <v>2</v>
      </c>
    </row>
    <row r="8" spans="1:25" ht="47.4" thickBot="1">
      <c r="A8" s="18" t="s">
        <v>21</v>
      </c>
      <c r="B8" s="19" t="s">
        <v>22</v>
      </c>
      <c r="C8" s="20" t="s">
        <v>99</v>
      </c>
      <c r="D8" s="19">
        <v>480</v>
      </c>
      <c r="E8" s="19">
        <v>7.2</v>
      </c>
      <c r="F8" s="19">
        <v>78</v>
      </c>
      <c r="G8" s="19">
        <v>49</v>
      </c>
      <c r="H8" s="19">
        <v>380</v>
      </c>
      <c r="I8" s="19">
        <v>327</v>
      </c>
      <c r="J8" s="19">
        <v>244</v>
      </c>
      <c r="K8" s="21">
        <v>0.43</v>
      </c>
      <c r="L8" s="22">
        <f t="shared" si="0"/>
        <v>24.5</v>
      </c>
      <c r="M8" s="23">
        <f t="shared" si="1"/>
        <v>190</v>
      </c>
      <c r="N8" s="23">
        <f t="shared" si="2"/>
        <v>146.4</v>
      </c>
      <c r="O8" s="23">
        <f t="shared" si="3"/>
        <v>163.5</v>
      </c>
      <c r="P8" s="23">
        <f t="shared" si="4"/>
        <v>524.4</v>
      </c>
      <c r="Q8" s="17">
        <f>VLOOKUP(A8,'NMR25'!$B$2:$K$12,10,FALSE)*0.01*D8</f>
        <v>64.319999999999993</v>
      </c>
      <c r="R8" s="17">
        <f>VLOOKUP(A8,'NMR75'!$C$3:$M$13,11,FALSE)*0.01*D8</f>
        <v>90.72</v>
      </c>
      <c r="S8" s="17">
        <f t="shared" si="5"/>
        <v>36.6</v>
      </c>
      <c r="T8" s="17">
        <f>VLOOKUP(A8,'NMR25'!$B$2:$K$12,10,FALSE)</f>
        <v>13.399999999999999</v>
      </c>
      <c r="U8" s="24">
        <f>VLOOKUP(A8,'NMR75'!$C$3:$M$13,11,FALSE)</f>
        <v>18.899999999999999</v>
      </c>
      <c r="V8" s="17">
        <f t="shared" si="6"/>
        <v>0.61967213114754094</v>
      </c>
      <c r="W8" s="17">
        <f t="shared" si="7"/>
        <v>0.43934426229508189</v>
      </c>
      <c r="X8" s="33"/>
      <c r="Y8" s="17">
        <v>2</v>
      </c>
    </row>
    <row r="9" spans="1:25" ht="47.4" thickBot="1">
      <c r="A9" s="18" t="s">
        <v>23</v>
      </c>
      <c r="B9" s="19" t="s">
        <v>24</v>
      </c>
      <c r="C9" s="20" t="s">
        <v>100</v>
      </c>
      <c r="D9" s="19">
        <v>468</v>
      </c>
      <c r="E9" s="19">
        <v>6.7</v>
      </c>
      <c r="F9" s="19">
        <v>82</v>
      </c>
      <c r="G9" s="19">
        <v>86</v>
      </c>
      <c r="H9" s="19">
        <v>400</v>
      </c>
      <c r="I9" s="19">
        <v>341</v>
      </c>
      <c r="J9" s="19">
        <v>174</v>
      </c>
      <c r="K9" s="21">
        <v>0.34</v>
      </c>
      <c r="L9" s="22">
        <f t="shared" si="0"/>
        <v>43</v>
      </c>
      <c r="M9" s="23">
        <f t="shared" si="1"/>
        <v>200</v>
      </c>
      <c r="N9" s="23">
        <f t="shared" si="2"/>
        <v>104.39999999999999</v>
      </c>
      <c r="O9" s="23">
        <f t="shared" si="3"/>
        <v>170.5</v>
      </c>
      <c r="P9" s="23">
        <f t="shared" si="4"/>
        <v>517.9</v>
      </c>
      <c r="Q9" s="17">
        <f>VLOOKUP(A9,'NMR25'!$B$2:$K$12,10,FALSE)*0.01*D9</f>
        <v>69.26400000000001</v>
      </c>
      <c r="R9" s="17">
        <f>VLOOKUP(A9,'NMR75'!$C$3:$M$13,11,FALSE)*0.01*D9</f>
        <v>80.964000000000013</v>
      </c>
      <c r="S9" s="17">
        <f t="shared" si="5"/>
        <v>26.099999999999998</v>
      </c>
      <c r="T9" s="17">
        <f>VLOOKUP(A9,'NMR25'!$B$2:$K$12,10,FALSE)</f>
        <v>14.8</v>
      </c>
      <c r="U9" s="24">
        <f>VLOOKUP(A9,'NMR75'!$C$3:$M$13,11,FALSE)</f>
        <v>17.3</v>
      </c>
      <c r="V9" s="17">
        <f t="shared" si="6"/>
        <v>0.77551724137931055</v>
      </c>
      <c r="W9" s="17">
        <f t="shared" si="7"/>
        <v>0.66344827586206911</v>
      </c>
      <c r="X9" s="33"/>
      <c r="Y9" s="17">
        <v>2</v>
      </c>
    </row>
    <row r="10" spans="1:25" ht="47.4" thickBot="1">
      <c r="A10" s="18" t="s">
        <v>17</v>
      </c>
      <c r="B10" s="19" t="s">
        <v>18</v>
      </c>
      <c r="C10" s="20" t="s">
        <v>97</v>
      </c>
      <c r="D10" s="19">
        <v>463</v>
      </c>
      <c r="E10" s="19">
        <v>8.8000000000000007</v>
      </c>
      <c r="F10" s="19">
        <v>61</v>
      </c>
      <c r="G10" s="19">
        <v>6</v>
      </c>
      <c r="H10" s="19">
        <v>97</v>
      </c>
      <c r="I10" s="19">
        <v>505</v>
      </c>
      <c r="J10" s="19">
        <v>392</v>
      </c>
      <c r="K10" s="21">
        <v>0.44</v>
      </c>
      <c r="L10" s="22">
        <f t="shared" si="0"/>
        <v>3</v>
      </c>
      <c r="M10" s="23">
        <f t="shared" si="1"/>
        <v>48.5</v>
      </c>
      <c r="N10" s="23">
        <f t="shared" si="2"/>
        <v>235.2</v>
      </c>
      <c r="O10" s="23">
        <f t="shared" si="3"/>
        <v>252.5</v>
      </c>
      <c r="P10" s="23">
        <f t="shared" si="4"/>
        <v>539.20000000000005</v>
      </c>
      <c r="Q10" s="17">
        <f>VLOOKUP(A10,'NMR25'!$B$2:$K$12,10,FALSE)*0.01*D10</f>
        <v>62.042000000000002</v>
      </c>
      <c r="R10" s="17">
        <f>VLOOKUP(A10,'NMR75'!$C$3:$M$13,11,FALSE)*0.01*D10</f>
        <v>75.469000000000008</v>
      </c>
      <c r="S10" s="17">
        <f t="shared" si="5"/>
        <v>58.8</v>
      </c>
      <c r="T10" s="17">
        <f>VLOOKUP(A10,'NMR25'!$B$2:$K$12,10,FALSE)</f>
        <v>13.4</v>
      </c>
      <c r="U10" s="24">
        <f>VLOOKUP(A10,'NMR75'!$C$3:$M$13,11,FALSE)</f>
        <v>16.3</v>
      </c>
      <c r="V10" s="17">
        <f t="shared" si="6"/>
        <v>0.32087159863945586</v>
      </c>
      <c r="W10" s="17">
        <f t="shared" si="7"/>
        <v>0.26378401360544218</v>
      </c>
      <c r="X10" s="32"/>
      <c r="Y10" s="17">
        <v>1</v>
      </c>
    </row>
    <row r="11" spans="1:25" ht="47.4" thickBot="1">
      <c r="A11" s="18" t="s">
        <v>25</v>
      </c>
      <c r="B11" s="19" t="s">
        <v>26</v>
      </c>
      <c r="C11" s="20" t="s">
        <v>101</v>
      </c>
      <c r="D11" s="19">
        <v>438</v>
      </c>
      <c r="E11" s="19">
        <v>7.1</v>
      </c>
      <c r="F11" s="19">
        <v>72</v>
      </c>
      <c r="G11" s="19">
        <v>31</v>
      </c>
      <c r="H11" s="19">
        <v>145</v>
      </c>
      <c r="I11" s="19">
        <v>663</v>
      </c>
      <c r="J11" s="19">
        <v>161</v>
      </c>
      <c r="K11" s="21">
        <v>0.2</v>
      </c>
      <c r="L11" s="22">
        <f t="shared" si="0"/>
        <v>15.5</v>
      </c>
      <c r="M11" s="23">
        <f t="shared" si="1"/>
        <v>72.5</v>
      </c>
      <c r="N11" s="23">
        <f t="shared" si="2"/>
        <v>96.6</v>
      </c>
      <c r="O11" s="23">
        <f t="shared" si="3"/>
        <v>331.5</v>
      </c>
      <c r="P11" s="23">
        <f t="shared" si="4"/>
        <v>516.1</v>
      </c>
      <c r="Q11" s="17">
        <f>VLOOKUP(A11,'NMR25'!$B$2:$K$12,10,FALSE)*0.01*D11</f>
        <v>32.411999999999999</v>
      </c>
      <c r="R11" s="17">
        <f>VLOOKUP(A11,'NMR75'!$C$3:$M$13,11,FALSE)*0.01*D11</f>
        <v>43.362000000000002</v>
      </c>
      <c r="S11" s="17">
        <f t="shared" si="5"/>
        <v>24.15</v>
      </c>
      <c r="T11" s="17">
        <f>VLOOKUP(A11,'NMR25'!$B$2:$K$12,10,FALSE)</f>
        <v>7.3999999999999995</v>
      </c>
      <c r="U11" s="24">
        <f>VLOOKUP(A11,'NMR75'!$C$3:$M$13,11,FALSE)</f>
        <v>9.9</v>
      </c>
      <c r="V11" s="17">
        <f t="shared" si="6"/>
        <v>0.44888198757763981</v>
      </c>
      <c r="W11" s="17">
        <f t="shared" si="7"/>
        <v>0.33552795031055904</v>
      </c>
      <c r="X11" s="33"/>
      <c r="Y11" s="17">
        <v>1</v>
      </c>
    </row>
    <row r="12" spans="1:25" ht="47.4" thickBot="1">
      <c r="A12" s="25" t="s">
        <v>5</v>
      </c>
      <c r="B12" s="26" t="s">
        <v>6</v>
      </c>
      <c r="C12" s="27" t="s">
        <v>91</v>
      </c>
      <c r="D12" s="26">
        <v>473</v>
      </c>
      <c r="E12" s="26">
        <v>0.4</v>
      </c>
      <c r="F12" s="26">
        <v>1379</v>
      </c>
      <c r="G12" s="26">
        <v>0</v>
      </c>
      <c r="H12" s="26">
        <v>50</v>
      </c>
      <c r="I12" s="26">
        <v>673</v>
      </c>
      <c r="J12" s="26">
        <v>278</v>
      </c>
      <c r="K12" s="28">
        <v>0.28999999999999998</v>
      </c>
      <c r="L12" s="22">
        <f>G12*0.5</f>
        <v>0</v>
      </c>
      <c r="M12" s="23">
        <f>H12*0.4</f>
        <v>20</v>
      </c>
      <c r="N12" s="23">
        <f t="shared" si="2"/>
        <v>166.79999999999998</v>
      </c>
      <c r="O12" s="23">
        <f>I12*0.4</f>
        <v>269.2</v>
      </c>
      <c r="P12" s="23">
        <f t="shared" si="4"/>
        <v>456</v>
      </c>
      <c r="Q12" s="17">
        <f>VLOOKUP(A12,'NMR25'!$B$2:$K$12,10,FALSE)*0.01*D12</f>
        <v>74.733999999999995</v>
      </c>
      <c r="R12" s="17">
        <f>VLOOKUP(A12,'NMR75'!$C$3:$M$13,11,FALSE)*0.01*D12</f>
        <v>90.343000000000018</v>
      </c>
      <c r="S12" s="17">
        <f t="shared" si="5"/>
        <v>41.699999999999996</v>
      </c>
      <c r="T12" s="17">
        <f>VLOOKUP(A12,'NMR25'!$B$2:$K$12,10,FALSE)</f>
        <v>15.799999999999999</v>
      </c>
      <c r="U12" s="24">
        <f>VLOOKUP(A12,'NMR75'!$C$3:$M$13,11,FALSE)</f>
        <v>19.100000000000001</v>
      </c>
      <c r="V12" s="17">
        <f t="shared" si="6"/>
        <v>0.54162470023980835</v>
      </c>
      <c r="W12" s="17">
        <f t="shared" si="7"/>
        <v>0.4480455635491607</v>
      </c>
      <c r="X12" s="32"/>
      <c r="Y12" s="17">
        <v>5</v>
      </c>
    </row>
    <row r="13" spans="1:25" ht="16.2" thickTop="1"/>
  </sheetData>
  <sortState xmlns:xlrd2="http://schemas.microsoft.com/office/spreadsheetml/2017/richdata2" ref="A2:W12">
    <sortCondition ref="A2:A12"/>
  </sortState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91475-0747-44EF-BB61-D26F6BB5AAF0}">
  <dimension ref="A1:AO60"/>
  <sheetViews>
    <sheetView topLeftCell="H1" zoomScale="85" zoomScaleNormal="85" workbookViewId="0">
      <selection activeCell="AK8" sqref="AK8"/>
    </sheetView>
  </sheetViews>
  <sheetFormatPr defaultRowHeight="14.4"/>
  <cols>
    <col min="1" max="1" width="13.109375" bestFit="1" customWidth="1"/>
    <col min="2" max="2" width="17.88671875" style="5" bestFit="1" customWidth="1"/>
    <col min="3" max="3" width="5.6640625" bestFit="1" customWidth="1"/>
    <col min="4" max="4" width="14.109375" bestFit="1" customWidth="1"/>
    <col min="5" max="5" width="11.5546875" bestFit="1" customWidth="1"/>
    <col min="6" max="6" width="12.109375" bestFit="1" customWidth="1"/>
    <col min="7" max="7" width="12.88671875" bestFit="1" customWidth="1"/>
    <col min="8" max="8" width="12.44140625" bestFit="1" customWidth="1"/>
    <col min="9" max="10" width="9" customWidth="1"/>
    <col min="13" max="13" width="8.109375" bestFit="1" customWidth="1"/>
    <col min="14" max="18" width="9.33203125" bestFit="1" customWidth="1"/>
    <col min="19" max="19" width="10.44140625" bestFit="1" customWidth="1"/>
    <col min="20" max="24" width="9.33203125" bestFit="1" customWidth="1"/>
    <col min="25" max="25" width="6.44140625" customWidth="1"/>
    <col min="26" max="26" width="6.33203125" customWidth="1"/>
  </cols>
  <sheetData>
    <row r="1" spans="1:41" ht="33" customHeight="1">
      <c r="A1" s="8" t="s">
        <v>75</v>
      </c>
      <c r="B1" s="8" t="s">
        <v>76</v>
      </c>
      <c r="C1" s="8" t="s">
        <v>77</v>
      </c>
      <c r="D1" s="4" t="s">
        <v>55</v>
      </c>
      <c r="E1" s="4" t="s">
        <v>56</v>
      </c>
      <c r="F1" s="4" t="s">
        <v>57</v>
      </c>
      <c r="G1" s="4" t="s">
        <v>58</v>
      </c>
      <c r="H1" s="4" t="s">
        <v>59</v>
      </c>
      <c r="I1" s="6" t="s">
        <v>60</v>
      </c>
      <c r="J1" s="4" t="s">
        <v>68</v>
      </c>
      <c r="N1" s="43" t="s">
        <v>78</v>
      </c>
      <c r="O1" s="43"/>
      <c r="P1" s="43"/>
      <c r="Q1" s="43"/>
      <c r="R1" s="43"/>
      <c r="S1" s="43"/>
      <c r="T1" s="43"/>
      <c r="U1" s="43"/>
      <c r="V1" s="43"/>
      <c r="W1" s="43"/>
      <c r="X1" s="43"/>
      <c r="AE1" s="43" t="s">
        <v>78</v>
      </c>
      <c r="AF1" s="43"/>
      <c r="AG1" s="43"/>
      <c r="AH1" s="40"/>
      <c r="AI1" s="40"/>
      <c r="AJ1" s="40"/>
      <c r="AK1" s="40"/>
      <c r="AL1" s="40"/>
      <c r="AM1" s="40"/>
      <c r="AN1" s="40"/>
      <c r="AO1" s="40"/>
    </row>
    <row r="2" spans="1:41" ht="15.6">
      <c r="A2" t="s">
        <v>79</v>
      </c>
      <c r="B2" s="5" t="s">
        <v>6</v>
      </c>
      <c r="C2" t="s">
        <v>5</v>
      </c>
      <c r="D2">
        <v>2</v>
      </c>
      <c r="E2">
        <v>0</v>
      </c>
      <c r="F2">
        <v>53</v>
      </c>
      <c r="G2">
        <v>266</v>
      </c>
      <c r="H2">
        <v>681</v>
      </c>
      <c r="I2">
        <v>0.28000000000000003</v>
      </c>
      <c r="J2">
        <f>G2*0.6</f>
        <v>159.6</v>
      </c>
      <c r="L2" s="4" t="s">
        <v>75</v>
      </c>
      <c r="M2" s="9" t="s">
        <v>72</v>
      </c>
      <c r="N2" s="10" t="s">
        <v>5</v>
      </c>
      <c r="O2" s="10" t="s">
        <v>9</v>
      </c>
      <c r="P2" s="10" t="s">
        <v>13</v>
      </c>
      <c r="Q2" s="10" t="s">
        <v>17</v>
      </c>
      <c r="R2" s="10" t="s">
        <v>7</v>
      </c>
      <c r="S2" s="10" t="s">
        <v>15</v>
      </c>
      <c r="T2" s="10" t="s">
        <v>19</v>
      </c>
      <c r="U2" s="9" t="s">
        <v>25</v>
      </c>
      <c r="V2" s="9" t="s">
        <v>23</v>
      </c>
      <c r="W2" s="9" t="s">
        <v>11</v>
      </c>
      <c r="X2" s="9" t="s">
        <v>21</v>
      </c>
      <c r="AC2" t="s">
        <v>75</v>
      </c>
      <c r="AD2" s="9" t="s">
        <v>72</v>
      </c>
      <c r="AE2" s="10" t="s">
        <v>15</v>
      </c>
      <c r="AF2" s="9" t="s">
        <v>23</v>
      </c>
      <c r="AG2" s="9" t="s">
        <v>25</v>
      </c>
    </row>
    <row r="3" spans="1:41" ht="15.75" customHeight="1">
      <c r="A3" t="s">
        <v>79</v>
      </c>
      <c r="B3" s="5" t="s">
        <v>54</v>
      </c>
      <c r="C3" t="s">
        <v>5</v>
      </c>
      <c r="D3">
        <v>4</v>
      </c>
      <c r="E3">
        <v>0</v>
      </c>
      <c r="F3">
        <v>109</v>
      </c>
      <c r="G3">
        <v>271</v>
      </c>
      <c r="H3">
        <v>620</v>
      </c>
      <c r="I3">
        <v>0.3</v>
      </c>
      <c r="J3">
        <f t="shared" ref="J3:J33" si="0">G3*0.6</f>
        <v>162.6</v>
      </c>
      <c r="L3" s="42" t="s">
        <v>79</v>
      </c>
      <c r="M3">
        <v>0</v>
      </c>
      <c r="N3" s="7">
        <v>100</v>
      </c>
      <c r="O3" s="7">
        <v>100</v>
      </c>
      <c r="P3" s="7">
        <v>100</v>
      </c>
      <c r="Q3" s="7">
        <v>100</v>
      </c>
      <c r="R3" s="7">
        <v>100</v>
      </c>
      <c r="S3" s="7">
        <v>100</v>
      </c>
      <c r="T3" s="7">
        <v>100</v>
      </c>
      <c r="U3" s="7">
        <v>100</v>
      </c>
      <c r="V3" s="7">
        <v>100</v>
      </c>
      <c r="W3" s="7">
        <v>100</v>
      </c>
      <c r="X3" s="7">
        <v>100</v>
      </c>
      <c r="AC3" s="41" t="s">
        <v>62</v>
      </c>
      <c r="AD3">
        <v>0</v>
      </c>
      <c r="AE3">
        <v>100</v>
      </c>
      <c r="AF3">
        <v>100</v>
      </c>
      <c r="AG3">
        <v>100</v>
      </c>
    </row>
    <row r="4" spans="1:41" ht="15.75" customHeight="1">
      <c r="A4" t="s">
        <v>79</v>
      </c>
      <c r="B4" s="5" t="s">
        <v>54</v>
      </c>
      <c r="C4" t="s">
        <v>5</v>
      </c>
      <c r="D4">
        <v>6</v>
      </c>
      <c r="E4">
        <v>4</v>
      </c>
      <c r="F4">
        <v>156</v>
      </c>
      <c r="G4">
        <v>289</v>
      </c>
      <c r="H4">
        <v>551</v>
      </c>
      <c r="I4">
        <v>0.34</v>
      </c>
      <c r="J4">
        <f t="shared" si="0"/>
        <v>173.4</v>
      </c>
      <c r="L4" s="42"/>
      <c r="M4">
        <v>1</v>
      </c>
      <c r="N4" s="7">
        <v>92.331925924158895</v>
      </c>
      <c r="O4" s="7">
        <v>74.408321131263193</v>
      </c>
      <c r="P4" s="7">
        <v>70.150680247767596</v>
      </c>
      <c r="Q4" s="7">
        <v>73.226624682935395</v>
      </c>
      <c r="R4" s="7">
        <v>81.136571791925107</v>
      </c>
      <c r="S4" s="7">
        <v>66.435755112044205</v>
      </c>
      <c r="T4" s="7">
        <v>76.560022114559203</v>
      </c>
      <c r="U4" s="7">
        <v>44.638694638694702</v>
      </c>
      <c r="V4" s="7">
        <v>59.090909090909101</v>
      </c>
      <c r="W4" s="7">
        <v>73.434682406531707</v>
      </c>
      <c r="X4" s="7">
        <v>54.9552730135254</v>
      </c>
      <c r="AC4" s="41" t="s">
        <v>62</v>
      </c>
      <c r="AD4">
        <v>1</v>
      </c>
      <c r="AE4">
        <v>60.462000000000003</v>
      </c>
      <c r="AF4">
        <v>57.905000000000001</v>
      </c>
      <c r="AG4">
        <v>49.649000000000001</v>
      </c>
    </row>
    <row r="5" spans="1:41" ht="15.75" customHeight="1">
      <c r="A5" t="s">
        <v>79</v>
      </c>
      <c r="B5" s="5" t="s">
        <v>8</v>
      </c>
      <c r="C5" t="s">
        <v>7</v>
      </c>
      <c r="D5">
        <v>2</v>
      </c>
      <c r="E5">
        <v>39</v>
      </c>
      <c r="F5">
        <v>139</v>
      </c>
      <c r="G5">
        <v>499</v>
      </c>
      <c r="H5">
        <v>323</v>
      </c>
      <c r="I5">
        <v>0.61</v>
      </c>
      <c r="J5">
        <f t="shared" si="0"/>
        <v>299.39999999999998</v>
      </c>
      <c r="L5" s="42"/>
      <c r="M5">
        <v>2</v>
      </c>
      <c r="N5" s="7">
        <v>93.584122516161401</v>
      </c>
      <c r="O5" s="7">
        <v>66.704828519592397</v>
      </c>
      <c r="P5" s="7">
        <v>59.974078226505398</v>
      </c>
      <c r="Q5" s="7">
        <v>55.929486414923304</v>
      </c>
      <c r="R5" s="7">
        <v>75.456775503298999</v>
      </c>
      <c r="S5" s="7">
        <v>55.222081480101401</v>
      </c>
      <c r="T5" s="7">
        <v>60.430942924068503</v>
      </c>
      <c r="U5" s="7">
        <v>30.769230769230798</v>
      </c>
      <c r="V5" s="7">
        <v>50.349650349650403</v>
      </c>
      <c r="W5" s="7">
        <v>63.067248797981499</v>
      </c>
      <c r="X5" s="7">
        <v>37.244499574596702</v>
      </c>
      <c r="AC5" s="41" t="s">
        <v>62</v>
      </c>
      <c r="AD5">
        <v>2</v>
      </c>
      <c r="AE5">
        <v>43.511000000000003</v>
      </c>
      <c r="AF5">
        <v>41.457000000000001</v>
      </c>
      <c r="AG5">
        <v>43.195</v>
      </c>
    </row>
    <row r="6" spans="1:41" ht="15.75" customHeight="1">
      <c r="A6" t="s">
        <v>79</v>
      </c>
      <c r="B6" s="5" t="s">
        <v>54</v>
      </c>
      <c r="C6" t="s">
        <v>7</v>
      </c>
      <c r="D6">
        <v>4</v>
      </c>
      <c r="E6">
        <v>50</v>
      </c>
      <c r="F6">
        <v>131</v>
      </c>
      <c r="G6">
        <v>516</v>
      </c>
      <c r="H6">
        <v>303</v>
      </c>
      <c r="I6">
        <v>0.63</v>
      </c>
      <c r="J6">
        <f t="shared" si="0"/>
        <v>309.59999999999997</v>
      </c>
      <c r="L6" s="42"/>
      <c r="M6">
        <v>3</v>
      </c>
      <c r="N6" s="7">
        <v>70.991945166702493</v>
      </c>
      <c r="O6" s="7">
        <v>43.531347166883499</v>
      </c>
      <c r="P6" s="7">
        <v>45.187376255337398</v>
      </c>
      <c r="Q6" s="7">
        <v>40.863847077439303</v>
      </c>
      <c r="R6" s="7">
        <v>64.831203075505101</v>
      </c>
      <c r="S6" s="7">
        <v>38.303600344616697</v>
      </c>
      <c r="T6" s="7">
        <v>43.436195131887203</v>
      </c>
      <c r="U6" s="7">
        <v>26.573426573426602</v>
      </c>
      <c r="V6" s="7">
        <v>30.069930069930098</v>
      </c>
      <c r="W6" s="7">
        <v>40.753433358889403</v>
      </c>
      <c r="X6" s="7">
        <v>25.666531491774201</v>
      </c>
      <c r="AC6" s="41" t="s">
        <v>62</v>
      </c>
      <c r="AD6">
        <v>3</v>
      </c>
      <c r="AE6">
        <v>43.347000000000001</v>
      </c>
      <c r="AF6">
        <v>41.088000000000001</v>
      </c>
      <c r="AG6">
        <v>39.204000000000001</v>
      </c>
    </row>
    <row r="7" spans="1:41" ht="15.75" customHeight="1">
      <c r="A7" t="s">
        <v>79</v>
      </c>
      <c r="B7" s="5" t="s">
        <v>54</v>
      </c>
      <c r="C7" t="s">
        <v>7</v>
      </c>
      <c r="D7">
        <v>6</v>
      </c>
      <c r="E7">
        <v>56</v>
      </c>
      <c r="F7">
        <v>109</v>
      </c>
      <c r="G7">
        <v>504</v>
      </c>
      <c r="H7">
        <v>332</v>
      </c>
      <c r="I7">
        <v>0.6</v>
      </c>
      <c r="J7">
        <f t="shared" si="0"/>
        <v>302.39999999999998</v>
      </c>
      <c r="L7" s="42"/>
      <c r="M7">
        <v>4</v>
      </c>
      <c r="N7" s="7">
        <v>68.617955996596805</v>
      </c>
      <c r="O7" s="7">
        <v>41.400165675916902</v>
      </c>
      <c r="P7" s="7">
        <v>40.728990243553397</v>
      </c>
      <c r="Q7" s="7">
        <v>29.9860849375413</v>
      </c>
      <c r="R7" s="7">
        <v>50.658036740384702</v>
      </c>
      <c r="S7" s="7">
        <v>23.3616637635999</v>
      </c>
      <c r="T7" s="7">
        <v>21.739193691531</v>
      </c>
      <c r="U7" s="7">
        <v>18.7645687645688</v>
      </c>
      <c r="V7" s="7">
        <v>20.8624708624709</v>
      </c>
      <c r="W7" s="7">
        <v>35.778256885820802</v>
      </c>
      <c r="X7" s="7">
        <v>14.924421332188301</v>
      </c>
      <c r="AC7" s="41" t="s">
        <v>62</v>
      </c>
      <c r="AD7">
        <v>4</v>
      </c>
      <c r="AE7">
        <v>24.785</v>
      </c>
      <c r="AF7">
        <v>34.923999999999999</v>
      </c>
      <c r="AG7">
        <v>29.274999999999999</v>
      </c>
    </row>
    <row r="8" spans="1:41" ht="15.75" customHeight="1">
      <c r="A8" t="s">
        <v>79</v>
      </c>
      <c r="B8" s="5" t="s">
        <v>10</v>
      </c>
      <c r="C8" t="s">
        <v>9</v>
      </c>
      <c r="D8">
        <v>2</v>
      </c>
      <c r="E8">
        <v>15</v>
      </c>
      <c r="F8">
        <v>162</v>
      </c>
      <c r="G8">
        <v>521</v>
      </c>
      <c r="H8">
        <v>301</v>
      </c>
      <c r="I8">
        <v>0.63</v>
      </c>
      <c r="J8">
        <f>G8*0.6</f>
        <v>312.59999999999997</v>
      </c>
      <c r="L8" s="42"/>
      <c r="M8">
        <v>5</v>
      </c>
      <c r="N8" s="7">
        <v>47.695586142188098</v>
      </c>
      <c r="O8" s="7">
        <v>34.9619937113156</v>
      </c>
      <c r="P8" s="7">
        <v>36.267741704634901</v>
      </c>
      <c r="Q8" s="7">
        <v>23.708880990434398</v>
      </c>
      <c r="R8" s="7">
        <v>31.160927318441999</v>
      </c>
      <c r="S8" s="7">
        <v>17.269725119384201</v>
      </c>
      <c r="T8" s="7">
        <v>24.611176581845701</v>
      </c>
      <c r="U8" s="7">
        <v>20.8624708624709</v>
      </c>
      <c r="V8" s="7">
        <v>28.205128205128201</v>
      </c>
      <c r="W8" s="7">
        <v>28.417470689829798</v>
      </c>
      <c r="X8" s="7">
        <v>17.013430023138799</v>
      </c>
      <c r="AC8" s="41" t="s">
        <v>62</v>
      </c>
      <c r="AD8">
        <v>5</v>
      </c>
      <c r="AE8">
        <v>29.45</v>
      </c>
      <c r="AF8">
        <v>36.439</v>
      </c>
      <c r="AG8">
        <v>27.890999999999998</v>
      </c>
    </row>
    <row r="9" spans="1:41" ht="15.75" customHeight="1">
      <c r="A9" t="s">
        <v>79</v>
      </c>
      <c r="B9" s="5" t="s">
        <v>54</v>
      </c>
      <c r="C9" t="s">
        <v>9</v>
      </c>
      <c r="D9">
        <v>4</v>
      </c>
      <c r="E9">
        <v>9</v>
      </c>
      <c r="F9">
        <v>169</v>
      </c>
      <c r="G9">
        <v>533</v>
      </c>
      <c r="H9">
        <v>289</v>
      </c>
      <c r="I9">
        <v>0.65</v>
      </c>
      <c r="J9">
        <f t="shared" si="0"/>
        <v>319.8</v>
      </c>
      <c r="L9" s="42"/>
      <c r="M9">
        <v>6</v>
      </c>
      <c r="N9" s="7">
        <v>36.682172021977898</v>
      </c>
      <c r="O9" s="7">
        <v>30.799969664972998</v>
      </c>
      <c r="P9" s="7">
        <v>23.985750976042201</v>
      </c>
      <c r="Q9" s="7">
        <v>20.4999880728036</v>
      </c>
      <c r="R9" s="7">
        <v>36.003301851019998</v>
      </c>
      <c r="S9" s="7">
        <v>19.0929677428229</v>
      </c>
      <c r="T9" s="7">
        <v>19.383702151804801</v>
      </c>
      <c r="U9" s="7">
        <v>16.200466200466199</v>
      </c>
      <c r="V9" s="7">
        <v>16.783216783216801</v>
      </c>
      <c r="W9" s="7">
        <v>23.843333315235199</v>
      </c>
      <c r="X9" s="7">
        <v>14.922194922194899</v>
      </c>
      <c r="AC9" s="41" t="s">
        <v>62</v>
      </c>
      <c r="AD9">
        <v>6</v>
      </c>
      <c r="AE9">
        <v>22.387</v>
      </c>
      <c r="AF9">
        <v>33.752000000000002</v>
      </c>
      <c r="AG9">
        <v>28.681000000000001</v>
      </c>
    </row>
    <row r="10" spans="1:41">
      <c r="A10" t="s">
        <v>79</v>
      </c>
      <c r="B10" s="5" t="s">
        <v>54</v>
      </c>
      <c r="C10" t="s">
        <v>9</v>
      </c>
      <c r="D10">
        <v>6</v>
      </c>
      <c r="E10">
        <v>20</v>
      </c>
      <c r="F10">
        <v>129</v>
      </c>
      <c r="G10">
        <v>533</v>
      </c>
      <c r="H10">
        <v>318</v>
      </c>
      <c r="I10">
        <v>0.63</v>
      </c>
      <c r="J10">
        <f t="shared" si="0"/>
        <v>319.8</v>
      </c>
      <c r="AC10" s="41" t="s">
        <v>64</v>
      </c>
      <c r="AD10">
        <v>0</v>
      </c>
      <c r="AE10">
        <v>100</v>
      </c>
      <c r="AF10">
        <v>100</v>
      </c>
      <c r="AG10">
        <v>100</v>
      </c>
    </row>
    <row r="11" spans="1:41">
      <c r="A11" t="s">
        <v>79</v>
      </c>
      <c r="B11" s="5" t="s">
        <v>66</v>
      </c>
      <c r="C11" t="s">
        <v>11</v>
      </c>
      <c r="D11">
        <v>2</v>
      </c>
      <c r="E11">
        <v>42</v>
      </c>
      <c r="F11">
        <v>169</v>
      </c>
      <c r="G11">
        <v>467</v>
      </c>
      <c r="H11">
        <v>321</v>
      </c>
      <c r="I11">
        <v>0.59</v>
      </c>
      <c r="J11">
        <f t="shared" si="0"/>
        <v>280.2</v>
      </c>
      <c r="AC11" s="41" t="s">
        <v>64</v>
      </c>
      <c r="AD11">
        <v>1</v>
      </c>
      <c r="AE11">
        <v>81.852999999999994</v>
      </c>
      <c r="AF11">
        <v>74.608000000000004</v>
      </c>
      <c r="AG11">
        <v>59.198</v>
      </c>
    </row>
    <row r="12" spans="1:41" ht="16.5" customHeight="1">
      <c r="A12" t="s">
        <v>79</v>
      </c>
      <c r="B12" s="5" t="s">
        <v>54</v>
      </c>
      <c r="C12" t="s">
        <v>11</v>
      </c>
      <c r="D12">
        <v>4</v>
      </c>
      <c r="E12">
        <v>35</v>
      </c>
      <c r="F12">
        <v>136</v>
      </c>
      <c r="G12">
        <v>493</v>
      </c>
      <c r="H12">
        <v>336</v>
      </c>
      <c r="I12">
        <v>0.59</v>
      </c>
      <c r="J12">
        <f t="shared" si="0"/>
        <v>295.8</v>
      </c>
      <c r="N12" t="s">
        <v>107</v>
      </c>
      <c r="U12" t="s">
        <v>106</v>
      </c>
      <c r="AC12" s="41" t="s">
        <v>64</v>
      </c>
      <c r="AD12">
        <v>2</v>
      </c>
      <c r="AE12">
        <v>79.908000000000001</v>
      </c>
      <c r="AF12">
        <v>72.13</v>
      </c>
      <c r="AG12">
        <v>50.664000000000001</v>
      </c>
    </row>
    <row r="13" spans="1:41" ht="15.6">
      <c r="A13" t="s">
        <v>79</v>
      </c>
      <c r="B13" s="5" t="s">
        <v>54</v>
      </c>
      <c r="C13" t="s">
        <v>11</v>
      </c>
      <c r="D13">
        <v>5</v>
      </c>
      <c r="E13">
        <v>41</v>
      </c>
      <c r="F13">
        <v>123</v>
      </c>
      <c r="G13">
        <v>556</v>
      </c>
      <c r="H13">
        <v>281</v>
      </c>
      <c r="I13">
        <v>0.66</v>
      </c>
      <c r="J13">
        <f t="shared" si="0"/>
        <v>333.59999999999997</v>
      </c>
      <c r="M13" s="9" t="s">
        <v>72</v>
      </c>
      <c r="N13">
        <v>0</v>
      </c>
      <c r="O13">
        <v>1</v>
      </c>
      <c r="P13">
        <v>2</v>
      </c>
      <c r="Q13">
        <v>3</v>
      </c>
      <c r="R13">
        <v>4</v>
      </c>
      <c r="S13">
        <v>5</v>
      </c>
      <c r="T13">
        <v>6</v>
      </c>
      <c r="U13">
        <v>0</v>
      </c>
      <c r="V13">
        <v>1</v>
      </c>
      <c r="W13">
        <v>2</v>
      </c>
      <c r="X13">
        <v>3</v>
      </c>
      <c r="Y13">
        <v>4</v>
      </c>
      <c r="Z13">
        <v>5</v>
      </c>
      <c r="AA13">
        <v>6</v>
      </c>
      <c r="AC13" s="41" t="s">
        <v>64</v>
      </c>
      <c r="AD13">
        <v>3</v>
      </c>
      <c r="AE13">
        <v>75.480999999999995</v>
      </c>
      <c r="AF13">
        <v>73.501999999999995</v>
      </c>
      <c r="AG13">
        <v>46.35</v>
      </c>
    </row>
    <row r="14" spans="1:41" ht="15.6">
      <c r="A14" t="s">
        <v>79</v>
      </c>
      <c r="B14" s="5" t="s">
        <v>69</v>
      </c>
      <c r="C14" t="s">
        <v>13</v>
      </c>
      <c r="D14">
        <v>2</v>
      </c>
      <c r="E14">
        <v>13</v>
      </c>
      <c r="F14">
        <v>85</v>
      </c>
      <c r="G14">
        <v>452</v>
      </c>
      <c r="H14">
        <v>450</v>
      </c>
      <c r="I14">
        <v>0.5</v>
      </c>
      <c r="J14">
        <f t="shared" si="0"/>
        <v>271.2</v>
      </c>
      <c r="M14" s="10" t="s">
        <v>19</v>
      </c>
      <c r="N14" s="7">
        <v>100</v>
      </c>
      <c r="O14" s="7">
        <v>76.560022114559203</v>
      </c>
      <c r="P14" s="7">
        <v>60.430942924068503</v>
      </c>
      <c r="Q14" s="7">
        <v>43.436195131887203</v>
      </c>
      <c r="R14" s="7">
        <v>21.739193691531</v>
      </c>
      <c r="S14" s="7">
        <v>24.611176581845701</v>
      </c>
      <c r="T14" s="7">
        <v>19.383702151804801</v>
      </c>
      <c r="U14">
        <f>N14*0.01*PA_initial!$D2</f>
        <v>496</v>
      </c>
      <c r="V14">
        <f>O14*0.01*PA_initial!$D2</f>
        <v>379.73770968821361</v>
      </c>
      <c r="W14">
        <f>P14*0.01*PA_initial!$D2</f>
        <v>299.73747690337979</v>
      </c>
      <c r="X14">
        <f>Q14*0.01*PA_initial!$D2</f>
        <v>215.44352785416055</v>
      </c>
      <c r="Y14">
        <f>R14*0.01*PA_initial!$D2</f>
        <v>107.82640070999376</v>
      </c>
      <c r="Z14">
        <f>S14*0.01*PA_initial!$D2</f>
        <v>122.07143584595468</v>
      </c>
      <c r="AA14">
        <f>T14*0.01*PA_initial!$D2</f>
        <v>96.143162672951817</v>
      </c>
      <c r="AC14" s="41" t="s">
        <v>64</v>
      </c>
      <c r="AD14">
        <v>4</v>
      </c>
      <c r="AE14">
        <v>69.308999999999997</v>
      </c>
      <c r="AF14">
        <v>62.947000000000003</v>
      </c>
      <c r="AG14">
        <v>43.136000000000003</v>
      </c>
    </row>
    <row r="15" spans="1:41" ht="15.6">
      <c r="A15" t="s">
        <v>79</v>
      </c>
      <c r="B15" s="5" t="s">
        <v>54</v>
      </c>
      <c r="C15" t="s">
        <v>13</v>
      </c>
      <c r="D15">
        <v>4</v>
      </c>
      <c r="E15">
        <v>0</v>
      </c>
      <c r="F15">
        <v>142</v>
      </c>
      <c r="G15">
        <v>529</v>
      </c>
      <c r="H15">
        <v>329</v>
      </c>
      <c r="I15">
        <v>0.62</v>
      </c>
      <c r="J15">
        <f t="shared" si="0"/>
        <v>317.39999999999998</v>
      </c>
      <c r="M15" s="10" t="s">
        <v>9</v>
      </c>
      <c r="N15" s="7">
        <v>100</v>
      </c>
      <c r="O15" s="7">
        <v>74.408321131263193</v>
      </c>
      <c r="P15" s="7">
        <v>66.704828519592397</v>
      </c>
      <c r="Q15" s="7">
        <v>43.531347166883499</v>
      </c>
      <c r="R15" s="7">
        <v>41.400165675916902</v>
      </c>
      <c r="S15" s="7">
        <v>34.9619937113156</v>
      </c>
      <c r="T15" s="7">
        <v>30.799969664972998</v>
      </c>
      <c r="U15">
        <f>N15*0.01*PA_initial!$D3</f>
        <v>488</v>
      </c>
      <c r="V15">
        <f>O15*0.01*PA_initial!$D3</f>
        <v>363.11260712056441</v>
      </c>
      <c r="W15">
        <f>P15*0.01*PA_initial!$D3</f>
        <v>325.51956317561087</v>
      </c>
      <c r="X15">
        <f>Q15*0.01*PA_initial!$D3</f>
        <v>212.43297417439149</v>
      </c>
      <c r="Y15">
        <f>R15*0.01*PA_initial!$D3</f>
        <v>202.03280849847451</v>
      </c>
      <c r="Z15">
        <f>S15*0.01*PA_initial!$D3</f>
        <v>170.61452931122014</v>
      </c>
      <c r="AA15">
        <f>T15*0.01*PA_initial!$D3</f>
        <v>150.30385196506822</v>
      </c>
      <c r="AC15" s="41" t="s">
        <v>64</v>
      </c>
      <c r="AD15">
        <v>5</v>
      </c>
      <c r="AE15">
        <v>58.183999999999997</v>
      </c>
      <c r="AF15">
        <v>50.195</v>
      </c>
      <c r="AG15">
        <v>42.856999999999999</v>
      </c>
    </row>
    <row r="16" spans="1:41" ht="15.6">
      <c r="A16" t="s">
        <v>79</v>
      </c>
      <c r="B16" s="5" t="s">
        <v>54</v>
      </c>
      <c r="C16" t="s">
        <v>13</v>
      </c>
      <c r="D16">
        <v>5</v>
      </c>
      <c r="E16">
        <v>26</v>
      </c>
      <c r="F16">
        <v>113</v>
      </c>
      <c r="G16">
        <v>490</v>
      </c>
      <c r="H16">
        <v>371</v>
      </c>
      <c r="I16">
        <v>0.56999999999999995</v>
      </c>
      <c r="J16">
        <f t="shared" si="0"/>
        <v>294</v>
      </c>
      <c r="M16" s="9" t="s">
        <v>11</v>
      </c>
      <c r="N16" s="7">
        <v>100</v>
      </c>
      <c r="O16" s="7">
        <v>73.434682406531707</v>
      </c>
      <c r="P16" s="7">
        <v>63.067248797981499</v>
      </c>
      <c r="Q16" s="7">
        <v>40.753433358889403</v>
      </c>
      <c r="R16" s="7">
        <v>35.778256885820802</v>
      </c>
      <c r="S16" s="7">
        <v>28.417470689829798</v>
      </c>
      <c r="T16" s="7">
        <v>23.843333315235199</v>
      </c>
      <c r="U16">
        <f>N16*0.01*PA_initial!$D4</f>
        <v>497</v>
      </c>
      <c r="V16">
        <f>O16*0.01*PA_initial!$D4</f>
        <v>364.97037156046258</v>
      </c>
      <c r="W16">
        <f>P16*0.01*PA_initial!$D4</f>
        <v>313.44422652596808</v>
      </c>
      <c r="X16">
        <f>Q16*0.01*PA_initial!$D4</f>
        <v>202.54456379368034</v>
      </c>
      <c r="Y16">
        <f>R16*0.01*PA_initial!$D4</f>
        <v>177.8179367225294</v>
      </c>
      <c r="Z16">
        <f>S16*0.01*PA_initial!$D4</f>
        <v>141.23482932845411</v>
      </c>
      <c r="AA16">
        <f>T16*0.01*PA_initial!$D4</f>
        <v>118.50136657671894</v>
      </c>
      <c r="AC16" s="41" t="s">
        <v>64</v>
      </c>
      <c r="AD16">
        <v>6</v>
      </c>
      <c r="AE16">
        <v>54.341000000000001</v>
      </c>
      <c r="AF16">
        <v>55.24</v>
      </c>
      <c r="AG16">
        <v>38.908999999999999</v>
      </c>
    </row>
    <row r="17" spans="1:33" ht="15.6">
      <c r="A17" t="s">
        <v>79</v>
      </c>
      <c r="B17" s="5" t="s">
        <v>70</v>
      </c>
      <c r="C17" t="s">
        <v>17</v>
      </c>
      <c r="D17">
        <v>2</v>
      </c>
      <c r="E17">
        <v>0</v>
      </c>
      <c r="F17">
        <v>169</v>
      </c>
      <c r="G17">
        <v>449</v>
      </c>
      <c r="H17">
        <v>382</v>
      </c>
      <c r="I17">
        <v>0.54</v>
      </c>
      <c r="J17">
        <f t="shared" si="0"/>
        <v>269.39999999999998</v>
      </c>
      <c r="M17" s="10" t="s">
        <v>15</v>
      </c>
      <c r="N17" s="7">
        <v>100</v>
      </c>
      <c r="O17" s="7">
        <v>66.435755112044205</v>
      </c>
      <c r="P17" s="7">
        <v>55.222081480101401</v>
      </c>
      <c r="Q17" s="7">
        <v>38.303600344616697</v>
      </c>
      <c r="R17" s="7">
        <v>23.3616637635999</v>
      </c>
      <c r="S17" s="7">
        <v>17.269725119384201</v>
      </c>
      <c r="T17" s="7">
        <v>19.0929677428229</v>
      </c>
      <c r="U17">
        <f>N17*0.01*PA_initial!$D5</f>
        <v>495</v>
      </c>
      <c r="V17">
        <f>O17*0.01*PA_initial!$D5</f>
        <v>328.85698780461883</v>
      </c>
      <c r="W17">
        <f>P17*0.01*PA_initial!$D5</f>
        <v>273.34930332650197</v>
      </c>
      <c r="X17">
        <f>Q17*0.01*PA_initial!$D5</f>
        <v>189.60282170585268</v>
      </c>
      <c r="Y17">
        <f>R17*0.01*PA_initial!$D5</f>
        <v>115.6402356298195</v>
      </c>
      <c r="Z17">
        <f>S17*0.01*PA_initial!$D5</f>
        <v>85.485139340951804</v>
      </c>
      <c r="AA17">
        <f>T17*0.01*PA_initial!$D5</f>
        <v>94.510190326973358</v>
      </c>
      <c r="AC17" s="41" t="s">
        <v>63</v>
      </c>
      <c r="AD17">
        <v>0</v>
      </c>
      <c r="AE17">
        <v>100</v>
      </c>
      <c r="AF17">
        <v>100</v>
      </c>
      <c r="AG17">
        <v>100</v>
      </c>
    </row>
    <row r="18" spans="1:33" ht="15.6">
      <c r="A18" t="s">
        <v>79</v>
      </c>
      <c r="B18" s="5" t="s">
        <v>54</v>
      </c>
      <c r="C18" t="s">
        <v>17</v>
      </c>
      <c r="D18">
        <v>4</v>
      </c>
      <c r="E18">
        <v>0</v>
      </c>
      <c r="F18">
        <v>160</v>
      </c>
      <c r="G18">
        <v>492</v>
      </c>
      <c r="H18">
        <v>348</v>
      </c>
      <c r="I18">
        <v>0.59</v>
      </c>
      <c r="J18">
        <f t="shared" si="0"/>
        <v>295.2</v>
      </c>
      <c r="M18" s="10" t="s">
        <v>7</v>
      </c>
      <c r="N18" s="7">
        <v>100</v>
      </c>
      <c r="O18" s="7">
        <v>81.136571791925107</v>
      </c>
      <c r="P18" s="7">
        <v>75.456775503298999</v>
      </c>
      <c r="Q18" s="7">
        <v>64.831203075505101</v>
      </c>
      <c r="R18" s="7">
        <v>50.658036740384702</v>
      </c>
      <c r="S18" s="7">
        <v>31.160927318441999</v>
      </c>
      <c r="T18" s="7">
        <v>36.003301851019998</v>
      </c>
      <c r="U18">
        <f>N18*0.01*PA_initial!$D6</f>
        <v>497</v>
      </c>
      <c r="V18">
        <f>O18*0.01*PA_initial!$D6</f>
        <v>403.24876180586779</v>
      </c>
      <c r="W18">
        <f>P18*0.01*PA_initial!$D6</f>
        <v>375.02017425139604</v>
      </c>
      <c r="X18">
        <f>Q18*0.01*PA_initial!$D6</f>
        <v>322.21107928526038</v>
      </c>
      <c r="Y18">
        <f>R18*0.01*PA_initial!$D6</f>
        <v>251.77044259971197</v>
      </c>
      <c r="Z18">
        <f>S18*0.01*PA_initial!$D6</f>
        <v>154.86980877265674</v>
      </c>
      <c r="AA18">
        <f>T18*0.01*PA_initial!$D6</f>
        <v>178.93641019956939</v>
      </c>
      <c r="AC18" s="41" t="s">
        <v>63</v>
      </c>
      <c r="AD18">
        <v>1</v>
      </c>
      <c r="AE18">
        <v>79.3</v>
      </c>
      <c r="AF18">
        <v>70.245999999999995</v>
      </c>
      <c r="AG18">
        <v>60.902000000000001</v>
      </c>
    </row>
    <row r="19" spans="1:33" ht="15.6">
      <c r="A19" t="s">
        <v>79</v>
      </c>
      <c r="B19" s="5" t="s">
        <v>54</v>
      </c>
      <c r="C19" t="s">
        <v>17</v>
      </c>
      <c r="D19">
        <v>5</v>
      </c>
      <c r="E19">
        <v>13</v>
      </c>
      <c r="F19">
        <v>120</v>
      </c>
      <c r="G19">
        <v>496</v>
      </c>
      <c r="H19">
        <v>371</v>
      </c>
      <c r="I19">
        <v>0.56999999999999995</v>
      </c>
      <c r="J19">
        <f t="shared" si="0"/>
        <v>297.59999999999997</v>
      </c>
      <c r="M19" s="10" t="s">
        <v>13</v>
      </c>
      <c r="N19" s="7">
        <v>100</v>
      </c>
      <c r="O19" s="7">
        <v>70.150680247767596</v>
      </c>
      <c r="P19" s="7">
        <v>59.974078226505398</v>
      </c>
      <c r="Q19" s="7">
        <v>45.187376255337398</v>
      </c>
      <c r="R19" s="7">
        <v>40.728990243553397</v>
      </c>
      <c r="S19" s="7">
        <v>36.267741704634901</v>
      </c>
      <c r="T19" s="7">
        <v>23.985750976042201</v>
      </c>
      <c r="U19">
        <f>N19*0.01*PA_initial!$D7</f>
        <v>470</v>
      </c>
      <c r="V19">
        <f>O19*0.01*PA_initial!$D7</f>
        <v>329.70819716450768</v>
      </c>
      <c r="W19">
        <f>P19*0.01*PA_initial!$D7</f>
        <v>281.87816766457536</v>
      </c>
      <c r="X19">
        <f>Q19*0.01*PA_initial!$D7</f>
        <v>212.38066840008577</v>
      </c>
      <c r="Y19">
        <f>R19*0.01*PA_initial!$D7</f>
        <v>191.42625414470098</v>
      </c>
      <c r="Z19">
        <f>S19*0.01*PA_initial!$D7</f>
        <v>170.45838601178406</v>
      </c>
      <c r="AA19">
        <f>T19*0.01*PA_initial!$D7</f>
        <v>112.73302958739835</v>
      </c>
      <c r="AC19" s="41" t="s">
        <v>63</v>
      </c>
      <c r="AD19">
        <v>2</v>
      </c>
      <c r="AE19">
        <v>69.03</v>
      </c>
      <c r="AF19">
        <v>64.795000000000002</v>
      </c>
      <c r="AG19">
        <v>47.856999999999999</v>
      </c>
    </row>
    <row r="20" spans="1:33" ht="15.6">
      <c r="A20" t="s">
        <v>79</v>
      </c>
      <c r="B20" s="5" t="s">
        <v>71</v>
      </c>
      <c r="C20" t="s">
        <v>19</v>
      </c>
      <c r="D20">
        <v>4</v>
      </c>
      <c r="E20">
        <v>8</v>
      </c>
      <c r="F20">
        <v>141</v>
      </c>
      <c r="G20">
        <v>535</v>
      </c>
      <c r="H20">
        <v>315</v>
      </c>
      <c r="I20">
        <v>0.63</v>
      </c>
      <c r="J20">
        <f t="shared" si="0"/>
        <v>321</v>
      </c>
      <c r="M20" s="9" t="s">
        <v>21</v>
      </c>
      <c r="N20" s="7">
        <v>100</v>
      </c>
      <c r="O20" s="7">
        <v>54.9552730135254</v>
      </c>
      <c r="P20" s="7">
        <v>37.244499574596702</v>
      </c>
      <c r="Q20" s="7">
        <v>25.666531491774201</v>
      </c>
      <c r="R20" s="7">
        <v>14.924421332188301</v>
      </c>
      <c r="S20" s="7">
        <v>17.013430023138799</v>
      </c>
      <c r="T20" s="7">
        <v>14.922194922194899</v>
      </c>
      <c r="U20">
        <f>N20*0.01*PA_initial!$D8</f>
        <v>480</v>
      </c>
      <c r="V20">
        <f>O20*0.01*PA_initial!$D8</f>
        <v>263.78531046492191</v>
      </c>
      <c r="W20">
        <f>P20*0.01*PA_initial!$D8</f>
        <v>178.77359795806416</v>
      </c>
      <c r="X20">
        <f>Q20*0.01*PA_initial!$D8</f>
        <v>123.19935116051617</v>
      </c>
      <c r="Y20">
        <f>R20*0.01*PA_initial!$D8</f>
        <v>71.637222394503837</v>
      </c>
      <c r="Z20">
        <f>S20*0.01*PA_initial!$D8</f>
        <v>81.664464111066223</v>
      </c>
      <c r="AA20">
        <f>T20*0.01*PA_initial!$D8</f>
        <v>71.626535626535528</v>
      </c>
      <c r="AC20" s="41" t="s">
        <v>63</v>
      </c>
      <c r="AD20">
        <v>3</v>
      </c>
      <c r="AE20">
        <v>61.823999999999998</v>
      </c>
      <c r="AF20">
        <v>53.209000000000003</v>
      </c>
      <c r="AG20">
        <v>38.021999999999998</v>
      </c>
    </row>
    <row r="21" spans="1:33" ht="15.6">
      <c r="A21" t="s">
        <v>79</v>
      </c>
      <c r="B21" s="5" t="s">
        <v>54</v>
      </c>
      <c r="C21" t="s">
        <v>19</v>
      </c>
      <c r="D21">
        <v>7</v>
      </c>
      <c r="E21">
        <v>20</v>
      </c>
      <c r="F21">
        <v>113</v>
      </c>
      <c r="G21">
        <v>548</v>
      </c>
      <c r="H21">
        <v>319</v>
      </c>
      <c r="I21">
        <v>0.63</v>
      </c>
      <c r="J21">
        <f t="shared" si="0"/>
        <v>328.8</v>
      </c>
      <c r="M21" s="9" t="s">
        <v>23</v>
      </c>
      <c r="N21" s="7">
        <v>100</v>
      </c>
      <c r="O21" s="7">
        <v>59.090909090909101</v>
      </c>
      <c r="P21" s="7">
        <v>50.349650349650403</v>
      </c>
      <c r="Q21" s="7">
        <v>30.069930069930098</v>
      </c>
      <c r="R21" s="7">
        <v>20.8624708624709</v>
      </c>
      <c r="S21" s="7">
        <v>28.205128205128201</v>
      </c>
      <c r="T21" s="7">
        <v>16.783216783216801</v>
      </c>
      <c r="U21">
        <f>N21*0.01*PA_initial!$D9</f>
        <v>468</v>
      </c>
      <c r="V21">
        <f>O21*0.01*PA_initial!$D9</f>
        <v>276.54545454545462</v>
      </c>
      <c r="W21">
        <f>P21*0.01*PA_initial!$D9</f>
        <v>235.63636363636385</v>
      </c>
      <c r="X21">
        <f>Q21*0.01*PA_initial!$D9</f>
        <v>140.72727272727286</v>
      </c>
      <c r="Y21">
        <f>R21*0.01*PA_initial!$D9</f>
        <v>97.636363636363811</v>
      </c>
      <c r="Z21">
        <f>S21*0.01*PA_initial!$D9</f>
        <v>131.99999999999997</v>
      </c>
      <c r="AA21">
        <f>T21*0.01*PA_initial!$D9</f>
        <v>78.545454545454632</v>
      </c>
      <c r="AC21" s="41" t="s">
        <v>63</v>
      </c>
      <c r="AD21">
        <v>4</v>
      </c>
      <c r="AE21">
        <v>50.677999999999997</v>
      </c>
      <c r="AF21">
        <v>48.923999999999999</v>
      </c>
      <c r="AG21">
        <v>31.254999999999999</v>
      </c>
    </row>
    <row r="22" spans="1:33" ht="15.6">
      <c r="A22" t="s">
        <v>79</v>
      </c>
      <c r="B22" s="5" t="s">
        <v>65</v>
      </c>
      <c r="C22" t="s">
        <v>21</v>
      </c>
      <c r="D22">
        <v>2</v>
      </c>
      <c r="E22">
        <v>13</v>
      </c>
      <c r="F22">
        <v>154</v>
      </c>
      <c r="G22">
        <v>487</v>
      </c>
      <c r="H22">
        <v>347</v>
      </c>
      <c r="I22">
        <v>0.57999999999999996</v>
      </c>
      <c r="J22">
        <f t="shared" si="0"/>
        <v>292.2</v>
      </c>
      <c r="M22" s="10" t="s">
        <v>17</v>
      </c>
      <c r="N22" s="7">
        <v>100</v>
      </c>
      <c r="O22" s="7">
        <v>73.226624682935395</v>
      </c>
      <c r="P22" s="7">
        <v>55.929486414923304</v>
      </c>
      <c r="Q22" s="7">
        <v>40.863847077439303</v>
      </c>
      <c r="R22" s="7">
        <v>29.9860849375413</v>
      </c>
      <c r="S22" s="7">
        <v>23.708880990434398</v>
      </c>
      <c r="T22" s="7">
        <v>20.4999880728036</v>
      </c>
      <c r="U22">
        <f>N22*0.01*PA_initial!$D10</f>
        <v>463</v>
      </c>
      <c r="V22">
        <f>O22*0.01*PA_initial!$D10</f>
        <v>339.03927228199086</v>
      </c>
      <c r="W22">
        <f>P22*0.01*PA_initial!$D10</f>
        <v>258.9535221010949</v>
      </c>
      <c r="X22">
        <f>Q22*0.01*PA_initial!$D10</f>
        <v>189.19961196854396</v>
      </c>
      <c r="Y22">
        <f>R22*0.01*PA_initial!$D10</f>
        <v>138.83557326081623</v>
      </c>
      <c r="Z22">
        <f>S22*0.01*PA_initial!$D10</f>
        <v>109.77211898571127</v>
      </c>
      <c r="AA22">
        <f>T22*0.01*PA_initial!$D10</f>
        <v>94.914944777080663</v>
      </c>
      <c r="AC22" s="41" t="s">
        <v>63</v>
      </c>
      <c r="AD22">
        <v>5</v>
      </c>
      <c r="AE22">
        <v>43.911999999999999</v>
      </c>
      <c r="AF22">
        <v>41.283999999999999</v>
      </c>
      <c r="AG22">
        <v>34.566000000000003</v>
      </c>
    </row>
    <row r="23" spans="1:33" ht="15.6">
      <c r="A23" t="s">
        <v>79</v>
      </c>
      <c r="C23" t="s">
        <v>21</v>
      </c>
      <c r="D23">
        <v>4</v>
      </c>
      <c r="E23">
        <v>14</v>
      </c>
      <c r="F23">
        <v>165</v>
      </c>
      <c r="G23">
        <v>509</v>
      </c>
      <c r="H23">
        <v>311</v>
      </c>
      <c r="I23">
        <v>0.62</v>
      </c>
      <c r="J23">
        <f t="shared" si="0"/>
        <v>305.39999999999998</v>
      </c>
      <c r="M23" s="9" t="s">
        <v>25</v>
      </c>
      <c r="N23" s="7">
        <v>100</v>
      </c>
      <c r="O23" s="7">
        <v>44.638694638694702</v>
      </c>
      <c r="P23" s="7">
        <v>30.769230769230798</v>
      </c>
      <c r="Q23" s="7">
        <v>26.573426573426602</v>
      </c>
      <c r="R23" s="7">
        <v>18.7645687645688</v>
      </c>
      <c r="S23" s="7">
        <v>20.8624708624709</v>
      </c>
      <c r="T23" s="7">
        <v>16.200466200466199</v>
      </c>
      <c r="U23">
        <f>N23*0.01*PA_initial!$D11</f>
        <v>438</v>
      </c>
      <c r="V23">
        <f>O23*0.01*PA_initial!$D11</f>
        <v>195.51748251748279</v>
      </c>
      <c r="W23">
        <f>P23*0.01*PA_initial!$D11</f>
        <v>134.76923076923089</v>
      </c>
      <c r="X23">
        <f>Q23*0.01*PA_initial!$D11</f>
        <v>116.39160839160851</v>
      </c>
      <c r="Y23">
        <f>R23*0.01*PA_initial!$D11</f>
        <v>82.188811188811343</v>
      </c>
      <c r="Z23">
        <f>S23*0.01*PA_initial!$D11</f>
        <v>91.377622377622544</v>
      </c>
      <c r="AA23">
        <f>T23*0.01*PA_initial!$D11</f>
        <v>70.958041958041946</v>
      </c>
      <c r="AC23" s="41" t="s">
        <v>63</v>
      </c>
      <c r="AD23">
        <v>6</v>
      </c>
      <c r="AE23">
        <v>42.838000000000001</v>
      </c>
      <c r="AF23">
        <v>38.75</v>
      </c>
      <c r="AG23">
        <v>27.943999999999999</v>
      </c>
    </row>
    <row r="24" spans="1:33" ht="15.6">
      <c r="A24" t="s">
        <v>79</v>
      </c>
      <c r="C24" t="s">
        <v>21</v>
      </c>
      <c r="D24">
        <v>5</v>
      </c>
      <c r="E24">
        <v>26</v>
      </c>
      <c r="F24">
        <v>95</v>
      </c>
      <c r="G24">
        <v>517</v>
      </c>
      <c r="H24">
        <v>363</v>
      </c>
      <c r="I24">
        <v>0.59</v>
      </c>
      <c r="J24">
        <f t="shared" si="0"/>
        <v>310.2</v>
      </c>
      <c r="M24" s="10" t="s">
        <v>5</v>
      </c>
      <c r="N24" s="7">
        <v>100</v>
      </c>
      <c r="O24" s="7">
        <v>92.331925924158895</v>
      </c>
      <c r="P24" s="7">
        <v>93.584122516161401</v>
      </c>
      <c r="Q24" s="7">
        <v>70.991945166702493</v>
      </c>
      <c r="R24" s="7">
        <v>68.617955996596805</v>
      </c>
      <c r="S24" s="7">
        <v>47.695586142188098</v>
      </c>
      <c r="T24" s="7">
        <v>36.682172021977898</v>
      </c>
      <c r="U24">
        <f>N24*0.01*PA_initial!$D12</f>
        <v>473</v>
      </c>
      <c r="V24">
        <f>O24*0.01*PA_initial!$D12</f>
        <v>436.73000962127156</v>
      </c>
      <c r="W24">
        <f>P24*0.01*PA_initial!$D12</f>
        <v>442.65289950144347</v>
      </c>
      <c r="X24">
        <f>Q24*0.01*PA_initial!$D12</f>
        <v>335.7919006385028</v>
      </c>
      <c r="Y24">
        <f>R24*0.01*PA_initial!$D12</f>
        <v>324.56293186390286</v>
      </c>
      <c r="Z24">
        <f>S24*0.01*PA_initial!$D12</f>
        <v>225.60012245254973</v>
      </c>
      <c r="AA24">
        <f>T24*0.01*PA_initial!$D12</f>
        <v>173.50667366395547</v>
      </c>
    </row>
    <row r="25" spans="1:33">
      <c r="A25" t="s">
        <v>79</v>
      </c>
      <c r="B25" s="5" t="s">
        <v>42</v>
      </c>
      <c r="C25" t="s">
        <v>23</v>
      </c>
      <c r="D25">
        <v>2</v>
      </c>
      <c r="E25">
        <v>32</v>
      </c>
      <c r="F25">
        <v>188</v>
      </c>
      <c r="G25">
        <v>459</v>
      </c>
      <c r="H25">
        <v>322</v>
      </c>
      <c r="I25">
        <v>0.59</v>
      </c>
      <c r="J25">
        <f t="shared" si="0"/>
        <v>275.39999999999998</v>
      </c>
    </row>
    <row r="26" spans="1:33">
      <c r="A26" t="s">
        <v>79</v>
      </c>
      <c r="C26" t="s">
        <v>23</v>
      </c>
      <c r="D26">
        <v>4</v>
      </c>
      <c r="E26">
        <v>1</v>
      </c>
      <c r="F26">
        <v>197</v>
      </c>
      <c r="G26">
        <v>497</v>
      </c>
      <c r="H26">
        <v>305</v>
      </c>
      <c r="I26">
        <v>0.62</v>
      </c>
      <c r="J26">
        <f t="shared" si="0"/>
        <v>298.2</v>
      </c>
    </row>
    <row r="27" spans="1:33">
      <c r="A27" t="s">
        <v>79</v>
      </c>
      <c r="C27" t="s">
        <v>23</v>
      </c>
      <c r="D27">
        <v>5</v>
      </c>
      <c r="E27">
        <v>19</v>
      </c>
      <c r="F27" s="1">
        <v>99</v>
      </c>
      <c r="G27">
        <v>537</v>
      </c>
      <c r="H27">
        <v>345</v>
      </c>
      <c r="I27">
        <v>0.61</v>
      </c>
      <c r="J27">
        <f t="shared" si="0"/>
        <v>322.2</v>
      </c>
      <c r="N27" t="s">
        <v>109</v>
      </c>
      <c r="R27" t="s">
        <v>110</v>
      </c>
    </row>
    <row r="28" spans="1:33" ht="15.6">
      <c r="A28" t="s">
        <v>79</v>
      </c>
      <c r="B28" s="5" t="s">
        <v>61</v>
      </c>
      <c r="C28" t="s">
        <v>15</v>
      </c>
      <c r="D28" s="1">
        <v>2</v>
      </c>
      <c r="E28">
        <v>24</v>
      </c>
      <c r="F28" s="1">
        <v>208</v>
      </c>
      <c r="G28" s="1">
        <v>422</v>
      </c>
      <c r="H28" s="1">
        <v>347</v>
      </c>
      <c r="I28" s="1">
        <v>0.55000000000000004</v>
      </c>
      <c r="J28">
        <f t="shared" si="0"/>
        <v>253.2</v>
      </c>
      <c r="M28" s="9" t="s">
        <v>72</v>
      </c>
      <c r="N28">
        <v>0</v>
      </c>
      <c r="O28">
        <v>2</v>
      </c>
      <c r="P28">
        <v>4</v>
      </c>
      <c r="Q28">
        <v>6</v>
      </c>
      <c r="R28">
        <v>0</v>
      </c>
      <c r="S28">
        <v>2</v>
      </c>
      <c r="T28">
        <v>4</v>
      </c>
      <c r="U28">
        <v>6</v>
      </c>
    </row>
    <row r="29" spans="1:33" ht="15.6">
      <c r="A29" t="s">
        <v>79</v>
      </c>
      <c r="C29" t="s">
        <v>15</v>
      </c>
      <c r="D29">
        <v>4</v>
      </c>
      <c r="E29" s="1">
        <v>26</v>
      </c>
      <c r="F29">
        <v>182</v>
      </c>
      <c r="G29">
        <v>495</v>
      </c>
      <c r="H29">
        <v>296</v>
      </c>
      <c r="I29">
        <v>0.63</v>
      </c>
      <c r="J29">
        <f t="shared" si="0"/>
        <v>297</v>
      </c>
      <c r="M29" s="10" t="s">
        <v>19</v>
      </c>
      <c r="N29" s="7">
        <v>232.2</v>
      </c>
      <c r="P29">
        <v>321</v>
      </c>
      <c r="R29" s="7">
        <f>N14*0.01*N29</f>
        <v>232.2</v>
      </c>
      <c r="S29" s="7"/>
      <c r="T29" s="7">
        <f t="shared" ref="T29:T39" si="1">R14*0.01*P29</f>
        <v>69.782811749814513</v>
      </c>
      <c r="U29" s="7"/>
    </row>
    <row r="30" spans="1:33" ht="15.6">
      <c r="A30" t="s">
        <v>79</v>
      </c>
      <c r="C30" t="s">
        <v>15</v>
      </c>
      <c r="D30">
        <v>5</v>
      </c>
      <c r="E30" s="1">
        <v>26</v>
      </c>
      <c r="F30">
        <v>196</v>
      </c>
      <c r="G30">
        <v>470</v>
      </c>
      <c r="H30">
        <v>308</v>
      </c>
      <c r="I30">
        <v>0.6</v>
      </c>
      <c r="J30">
        <f t="shared" si="0"/>
        <v>282</v>
      </c>
      <c r="M30" s="10" t="s">
        <v>9</v>
      </c>
      <c r="N30" s="7">
        <v>152.4</v>
      </c>
      <c r="O30">
        <v>312.59999999999997</v>
      </c>
      <c r="P30">
        <v>319.8</v>
      </c>
      <c r="Q30">
        <v>319.8</v>
      </c>
      <c r="R30" s="7">
        <f>N15*0.01*N30</f>
        <v>152.4</v>
      </c>
      <c r="S30" s="7">
        <f t="shared" ref="S30:S39" si="2">P15*0.01*O30</f>
        <v>208.51929395224582</v>
      </c>
      <c r="T30" s="7">
        <f t="shared" si="1"/>
        <v>132.39772983158227</v>
      </c>
      <c r="U30" s="7">
        <f>T15*0.01*Q30</f>
        <v>98.498302988583646</v>
      </c>
    </row>
    <row r="31" spans="1:33" ht="15.6">
      <c r="A31" t="s">
        <v>79</v>
      </c>
      <c r="B31" s="5" t="s">
        <v>41</v>
      </c>
      <c r="C31" t="s">
        <v>25</v>
      </c>
      <c r="D31" s="1">
        <v>2</v>
      </c>
      <c r="E31">
        <v>6</v>
      </c>
      <c r="F31">
        <v>174</v>
      </c>
      <c r="G31">
        <v>485</v>
      </c>
      <c r="H31">
        <v>335</v>
      </c>
      <c r="I31">
        <v>0.59</v>
      </c>
      <c r="J31">
        <f t="shared" si="0"/>
        <v>291</v>
      </c>
      <c r="M31" s="9" t="s">
        <v>11</v>
      </c>
      <c r="N31" s="7">
        <v>217.79999999999998</v>
      </c>
      <c r="O31">
        <v>280.2</v>
      </c>
      <c r="P31">
        <v>295.8</v>
      </c>
      <c r="R31" s="7">
        <f t="shared" ref="R31:R38" si="3">N16*0.01*N31</f>
        <v>217.79999999999998</v>
      </c>
      <c r="S31" s="7">
        <f t="shared" si="2"/>
        <v>176.71443113194417</v>
      </c>
      <c r="T31" s="7">
        <f t="shared" si="1"/>
        <v>105.83208386825794</v>
      </c>
      <c r="U31" s="7"/>
    </row>
    <row r="32" spans="1:33" ht="15.6">
      <c r="A32" t="s">
        <v>79</v>
      </c>
      <c r="C32" t="s">
        <v>25</v>
      </c>
      <c r="D32" s="1">
        <v>4</v>
      </c>
      <c r="E32">
        <v>3</v>
      </c>
      <c r="F32">
        <v>133</v>
      </c>
      <c r="G32">
        <v>516</v>
      </c>
      <c r="H32">
        <v>349</v>
      </c>
      <c r="I32">
        <v>0.6</v>
      </c>
      <c r="J32">
        <f t="shared" si="0"/>
        <v>309.59999999999997</v>
      </c>
      <c r="M32" s="10" t="s">
        <v>15</v>
      </c>
      <c r="N32" s="7">
        <v>193.2</v>
      </c>
      <c r="O32">
        <v>253.2</v>
      </c>
      <c r="P32">
        <v>297</v>
      </c>
      <c r="R32" s="7">
        <f t="shared" si="3"/>
        <v>193.2</v>
      </c>
      <c r="S32" s="7">
        <f t="shared" si="2"/>
        <v>139.82231030761676</v>
      </c>
      <c r="T32" s="7">
        <f t="shared" si="1"/>
        <v>69.384141377891694</v>
      </c>
      <c r="U32" s="7"/>
    </row>
    <row r="33" spans="1:21" ht="15.6">
      <c r="A33" t="s">
        <v>79</v>
      </c>
      <c r="C33" t="s">
        <v>25</v>
      </c>
      <c r="D33" s="1">
        <v>5</v>
      </c>
      <c r="E33">
        <v>11</v>
      </c>
      <c r="F33">
        <v>120</v>
      </c>
      <c r="G33">
        <v>476</v>
      </c>
      <c r="H33">
        <v>393</v>
      </c>
      <c r="I33">
        <v>0.55000000000000004</v>
      </c>
      <c r="J33">
        <f t="shared" si="0"/>
        <v>285.59999999999997</v>
      </c>
      <c r="M33" s="10" t="s">
        <v>7</v>
      </c>
      <c r="N33" s="7">
        <v>252.6</v>
      </c>
      <c r="O33">
        <v>299.39999999999998</v>
      </c>
      <c r="P33">
        <v>309.59999999999997</v>
      </c>
      <c r="Q33">
        <v>302.39999999999998</v>
      </c>
      <c r="R33" s="7">
        <f t="shared" si="3"/>
        <v>252.6</v>
      </c>
      <c r="S33" s="7">
        <f t="shared" si="2"/>
        <v>225.9175858568772</v>
      </c>
      <c r="T33" s="7">
        <f t="shared" si="1"/>
        <v>156.83728174823102</v>
      </c>
      <c r="U33" s="7">
        <f>T18*0.01*Q33</f>
        <v>108.87398479748447</v>
      </c>
    </row>
    <row r="34" spans="1:21" ht="15.6">
      <c r="A34" t="s">
        <v>62</v>
      </c>
      <c r="B34"/>
      <c r="C34" t="s">
        <v>23</v>
      </c>
      <c r="D34">
        <v>2</v>
      </c>
      <c r="E34">
        <v>43</v>
      </c>
      <c r="F34">
        <v>117</v>
      </c>
      <c r="G34">
        <v>488</v>
      </c>
      <c r="H34">
        <v>353</v>
      </c>
      <c r="I34">
        <v>0.57999999999999996</v>
      </c>
      <c r="J34">
        <v>292.8</v>
      </c>
      <c r="M34" s="10" t="s">
        <v>13</v>
      </c>
      <c r="N34" s="7">
        <v>196.79999999999998</v>
      </c>
      <c r="O34">
        <v>271.2</v>
      </c>
      <c r="P34">
        <v>317.39999999999998</v>
      </c>
      <c r="R34" s="7">
        <f t="shared" si="3"/>
        <v>196.79999999999998</v>
      </c>
      <c r="S34" s="7">
        <f t="shared" si="2"/>
        <v>162.64970015028263</v>
      </c>
      <c r="T34" s="7">
        <f t="shared" si="1"/>
        <v>129.27381503303849</v>
      </c>
      <c r="U34" s="7"/>
    </row>
    <row r="35" spans="1:21" ht="15.6">
      <c r="A35" t="s">
        <v>62</v>
      </c>
      <c r="B35"/>
      <c r="C35" t="s">
        <v>23</v>
      </c>
      <c r="D35">
        <v>4</v>
      </c>
      <c r="E35">
        <v>22</v>
      </c>
      <c r="F35">
        <v>106</v>
      </c>
      <c r="G35">
        <v>548</v>
      </c>
      <c r="H35">
        <v>324</v>
      </c>
      <c r="I35">
        <v>0.63</v>
      </c>
      <c r="J35">
        <v>328.8</v>
      </c>
      <c r="M35" s="9" t="s">
        <v>21</v>
      </c>
      <c r="N35" s="7">
        <v>146.4</v>
      </c>
      <c r="O35">
        <v>292.2</v>
      </c>
      <c r="P35">
        <v>305.39999999999998</v>
      </c>
      <c r="R35" s="7">
        <f t="shared" si="3"/>
        <v>146.4</v>
      </c>
      <c r="S35" s="7">
        <f t="shared" si="2"/>
        <v>108.82842775697155</v>
      </c>
      <c r="T35" s="7">
        <f t="shared" si="1"/>
        <v>45.579182748503065</v>
      </c>
      <c r="U35" s="7"/>
    </row>
    <row r="36" spans="1:21" ht="15.6">
      <c r="A36" t="s">
        <v>62</v>
      </c>
      <c r="B36"/>
      <c r="C36" t="s">
        <v>23</v>
      </c>
      <c r="D36">
        <v>6</v>
      </c>
      <c r="E36">
        <v>0</v>
      </c>
      <c r="F36">
        <v>183</v>
      </c>
      <c r="G36">
        <v>528</v>
      </c>
      <c r="H36">
        <v>288</v>
      </c>
      <c r="I36">
        <v>0.65</v>
      </c>
      <c r="J36">
        <v>316.8</v>
      </c>
      <c r="M36" s="9" t="s">
        <v>23</v>
      </c>
      <c r="N36" s="7">
        <v>104.39999999999999</v>
      </c>
      <c r="O36">
        <v>275.39999999999998</v>
      </c>
      <c r="P36">
        <v>298.2</v>
      </c>
      <c r="R36" s="7">
        <f t="shared" si="3"/>
        <v>104.39999999999999</v>
      </c>
      <c r="S36" s="7">
        <f t="shared" si="2"/>
        <v>138.66293706293717</v>
      </c>
      <c r="T36" s="7">
        <f t="shared" si="1"/>
        <v>62.211888111888221</v>
      </c>
      <c r="U36" s="7"/>
    </row>
    <row r="37" spans="1:21" ht="15.6">
      <c r="A37" t="s">
        <v>62</v>
      </c>
      <c r="B37"/>
      <c r="C37" t="s">
        <v>15</v>
      </c>
      <c r="D37">
        <v>2</v>
      </c>
      <c r="E37">
        <v>34</v>
      </c>
      <c r="F37">
        <v>209</v>
      </c>
      <c r="G37">
        <v>413</v>
      </c>
      <c r="H37">
        <v>344</v>
      </c>
      <c r="I37">
        <v>0.55000000000000004</v>
      </c>
      <c r="J37">
        <v>247.79999999999998</v>
      </c>
      <c r="M37" s="10" t="s">
        <v>17</v>
      </c>
      <c r="N37" s="7">
        <v>235.2</v>
      </c>
      <c r="O37">
        <v>269.39999999999998</v>
      </c>
      <c r="P37">
        <v>295.2</v>
      </c>
      <c r="R37" s="7">
        <f t="shared" si="3"/>
        <v>235.2</v>
      </c>
      <c r="S37" s="7">
        <f t="shared" si="2"/>
        <v>150.67403640180336</v>
      </c>
      <c r="T37" s="7">
        <f t="shared" si="1"/>
        <v>88.518922735621913</v>
      </c>
      <c r="U37" s="7"/>
    </row>
    <row r="38" spans="1:21" ht="15.6">
      <c r="A38" t="s">
        <v>62</v>
      </c>
      <c r="B38"/>
      <c r="C38" t="s">
        <v>15</v>
      </c>
      <c r="D38">
        <v>4</v>
      </c>
      <c r="E38">
        <v>41</v>
      </c>
      <c r="F38">
        <v>118</v>
      </c>
      <c r="G38">
        <v>489</v>
      </c>
      <c r="H38">
        <v>352</v>
      </c>
      <c r="I38">
        <v>0.57999999999999996</v>
      </c>
      <c r="J38">
        <v>293.39999999999998</v>
      </c>
      <c r="M38" s="9" t="s">
        <v>25</v>
      </c>
      <c r="N38" s="7">
        <v>96.6</v>
      </c>
      <c r="O38">
        <v>291</v>
      </c>
      <c r="P38">
        <v>309.59999999999997</v>
      </c>
      <c r="R38" s="7">
        <f t="shared" si="3"/>
        <v>96.6</v>
      </c>
      <c r="S38" s="7">
        <f t="shared" si="2"/>
        <v>89.538461538461618</v>
      </c>
      <c r="T38" s="7">
        <f t="shared" si="1"/>
        <v>58.095104895105003</v>
      </c>
      <c r="U38" s="7"/>
    </row>
    <row r="39" spans="1:21" ht="15.6">
      <c r="A39" t="s">
        <v>62</v>
      </c>
      <c r="B39"/>
      <c r="C39" t="s">
        <v>15</v>
      </c>
      <c r="D39">
        <v>6</v>
      </c>
      <c r="E39">
        <v>10</v>
      </c>
      <c r="F39">
        <v>169</v>
      </c>
      <c r="G39">
        <v>519</v>
      </c>
      <c r="H39">
        <v>302</v>
      </c>
      <c r="I39">
        <v>0.63</v>
      </c>
      <c r="J39">
        <v>311.39999999999998</v>
      </c>
      <c r="M39" s="10" t="s">
        <v>5</v>
      </c>
      <c r="N39" s="7">
        <v>166.79999999999998</v>
      </c>
      <c r="O39">
        <v>159.6</v>
      </c>
      <c r="P39">
        <v>162.6</v>
      </c>
      <c r="Q39">
        <v>173.4</v>
      </c>
      <c r="R39" s="7">
        <f>N24*0.01*N39</f>
        <v>166.79999999999998</v>
      </c>
      <c r="S39" s="7">
        <f t="shared" si="2"/>
        <v>149.3602595357936</v>
      </c>
      <c r="T39" s="7">
        <f t="shared" si="1"/>
        <v>111.5727964504664</v>
      </c>
      <c r="U39" s="7">
        <f>T24*0.01*Q39</f>
        <v>63.606886286109678</v>
      </c>
    </row>
    <row r="40" spans="1:21">
      <c r="A40" t="s">
        <v>62</v>
      </c>
      <c r="B40"/>
      <c r="C40" t="s">
        <v>25</v>
      </c>
      <c r="D40">
        <v>2</v>
      </c>
      <c r="E40">
        <v>22</v>
      </c>
      <c r="F40">
        <v>81</v>
      </c>
      <c r="G40">
        <v>376</v>
      </c>
      <c r="H40">
        <v>522</v>
      </c>
      <c r="I40">
        <v>0.42</v>
      </c>
      <c r="J40">
        <v>225.6</v>
      </c>
    </row>
    <row r="41" spans="1:21">
      <c r="A41" t="s">
        <v>62</v>
      </c>
      <c r="B41"/>
      <c r="C41" t="s">
        <v>25</v>
      </c>
      <c r="D41">
        <v>4</v>
      </c>
      <c r="E41">
        <v>21</v>
      </c>
      <c r="F41">
        <v>73</v>
      </c>
      <c r="G41">
        <v>432</v>
      </c>
      <c r="H41">
        <v>474</v>
      </c>
      <c r="I41">
        <v>0.48</v>
      </c>
      <c r="J41">
        <v>259.2</v>
      </c>
    </row>
    <row r="42" spans="1:21">
      <c r="A42" t="s">
        <v>62</v>
      </c>
      <c r="B42"/>
      <c r="C42" t="s">
        <v>25</v>
      </c>
      <c r="D42">
        <v>6</v>
      </c>
      <c r="E42">
        <v>0</v>
      </c>
      <c r="F42">
        <v>160</v>
      </c>
      <c r="G42">
        <v>401</v>
      </c>
      <c r="H42">
        <v>440</v>
      </c>
      <c r="I42">
        <v>0.48</v>
      </c>
      <c r="J42">
        <v>240.6</v>
      </c>
    </row>
    <row r="43" spans="1:21">
      <c r="A43" t="s">
        <v>64</v>
      </c>
      <c r="B43"/>
      <c r="C43" t="s">
        <v>23</v>
      </c>
      <c r="D43">
        <v>2</v>
      </c>
      <c r="E43">
        <v>71</v>
      </c>
      <c r="F43">
        <v>100</v>
      </c>
      <c r="G43">
        <v>411</v>
      </c>
      <c r="H43">
        <v>418</v>
      </c>
      <c r="I43">
        <v>0.5</v>
      </c>
      <c r="J43">
        <v>246.6</v>
      </c>
    </row>
    <row r="44" spans="1:21">
      <c r="A44" t="s">
        <v>64</v>
      </c>
      <c r="B44"/>
      <c r="C44" t="s">
        <v>23</v>
      </c>
      <c r="D44">
        <v>4</v>
      </c>
      <c r="E44">
        <v>46</v>
      </c>
      <c r="F44">
        <v>114</v>
      </c>
      <c r="G44">
        <v>433</v>
      </c>
      <c r="H44">
        <v>407</v>
      </c>
      <c r="I44">
        <v>0.52</v>
      </c>
      <c r="J44">
        <v>259.8</v>
      </c>
    </row>
    <row r="45" spans="1:21">
      <c r="A45" t="s">
        <v>64</v>
      </c>
      <c r="B45"/>
      <c r="C45" t="s">
        <v>23</v>
      </c>
      <c r="D45">
        <v>6</v>
      </c>
      <c r="E45">
        <v>89</v>
      </c>
      <c r="F45">
        <v>77</v>
      </c>
      <c r="G45">
        <v>428</v>
      </c>
      <c r="H45">
        <v>406</v>
      </c>
      <c r="I45">
        <v>0.51</v>
      </c>
      <c r="J45">
        <v>256.8</v>
      </c>
    </row>
    <row r="46" spans="1:21">
      <c r="A46" t="s">
        <v>64</v>
      </c>
      <c r="B46"/>
      <c r="C46" t="s">
        <v>15</v>
      </c>
      <c r="D46">
        <v>2</v>
      </c>
      <c r="E46">
        <v>75</v>
      </c>
      <c r="F46">
        <v>136</v>
      </c>
      <c r="G46">
        <v>390</v>
      </c>
      <c r="H46">
        <v>399</v>
      </c>
      <c r="I46">
        <v>0.49</v>
      </c>
      <c r="J46">
        <v>234</v>
      </c>
    </row>
    <row r="47" spans="1:21">
      <c r="A47" t="s">
        <v>64</v>
      </c>
      <c r="B47"/>
      <c r="C47" t="s">
        <v>15</v>
      </c>
      <c r="D47">
        <v>4</v>
      </c>
      <c r="E47">
        <v>30</v>
      </c>
      <c r="F47">
        <v>138</v>
      </c>
      <c r="G47">
        <v>416</v>
      </c>
      <c r="H47">
        <v>416</v>
      </c>
      <c r="I47">
        <v>0.5</v>
      </c>
      <c r="J47">
        <v>249.6</v>
      </c>
    </row>
    <row r="48" spans="1:21">
      <c r="A48" t="s">
        <v>64</v>
      </c>
      <c r="B48"/>
      <c r="C48" t="s">
        <v>15</v>
      </c>
      <c r="D48">
        <v>6</v>
      </c>
      <c r="E48">
        <v>118</v>
      </c>
      <c r="F48">
        <v>120</v>
      </c>
      <c r="G48">
        <v>399</v>
      </c>
      <c r="H48">
        <v>363</v>
      </c>
      <c r="I48">
        <v>0.52</v>
      </c>
      <c r="J48">
        <v>239.39999999999998</v>
      </c>
    </row>
    <row r="49" spans="1:10">
      <c r="A49" t="s">
        <v>64</v>
      </c>
      <c r="B49"/>
      <c r="C49" t="s">
        <v>25</v>
      </c>
      <c r="D49">
        <v>2</v>
      </c>
      <c r="E49">
        <v>19</v>
      </c>
      <c r="F49">
        <v>108</v>
      </c>
      <c r="G49">
        <v>362</v>
      </c>
      <c r="H49">
        <v>511</v>
      </c>
      <c r="I49">
        <v>0.41</v>
      </c>
      <c r="J49">
        <v>217.2</v>
      </c>
    </row>
    <row r="50" spans="1:10">
      <c r="A50" t="s">
        <v>64</v>
      </c>
      <c r="B50"/>
      <c r="C50" t="s">
        <v>25</v>
      </c>
      <c r="D50">
        <v>4</v>
      </c>
      <c r="E50">
        <v>0</v>
      </c>
      <c r="F50">
        <v>101</v>
      </c>
      <c r="G50">
        <v>400</v>
      </c>
      <c r="H50">
        <v>499</v>
      </c>
      <c r="I50">
        <v>0.45</v>
      </c>
      <c r="J50">
        <v>240</v>
      </c>
    </row>
    <row r="51" spans="1:10">
      <c r="A51" t="s">
        <v>64</v>
      </c>
      <c r="B51"/>
      <c r="C51" t="s">
        <v>25</v>
      </c>
      <c r="D51">
        <v>6</v>
      </c>
      <c r="E51">
        <v>54</v>
      </c>
      <c r="F51">
        <v>31</v>
      </c>
      <c r="G51">
        <v>433</v>
      </c>
      <c r="H51">
        <v>483</v>
      </c>
      <c r="I51">
        <v>0.47</v>
      </c>
      <c r="J51">
        <v>259.8</v>
      </c>
    </row>
    <row r="52" spans="1:10">
      <c r="A52" t="s">
        <v>63</v>
      </c>
      <c r="B52"/>
      <c r="C52" t="s">
        <v>23</v>
      </c>
      <c r="D52">
        <v>2</v>
      </c>
      <c r="E52">
        <v>40</v>
      </c>
      <c r="F52">
        <v>95</v>
      </c>
      <c r="G52">
        <v>503</v>
      </c>
      <c r="H52">
        <v>362</v>
      </c>
      <c r="I52">
        <v>0.57999999999999996</v>
      </c>
      <c r="J52">
        <v>301.8</v>
      </c>
    </row>
    <row r="53" spans="1:10">
      <c r="A53" t="s">
        <v>63</v>
      </c>
      <c r="B53"/>
      <c r="C53" t="s">
        <v>23</v>
      </c>
      <c r="D53">
        <v>4</v>
      </c>
      <c r="E53">
        <v>0</v>
      </c>
      <c r="F53">
        <v>171</v>
      </c>
      <c r="G53">
        <v>500</v>
      </c>
      <c r="H53">
        <v>329</v>
      </c>
      <c r="I53">
        <v>0.6</v>
      </c>
      <c r="J53">
        <v>300</v>
      </c>
    </row>
    <row r="54" spans="1:10">
      <c r="A54" t="s">
        <v>63</v>
      </c>
      <c r="B54"/>
      <c r="C54" t="s">
        <v>23</v>
      </c>
      <c r="D54">
        <v>6</v>
      </c>
      <c r="E54">
        <v>9</v>
      </c>
      <c r="F54">
        <v>115</v>
      </c>
      <c r="G54">
        <v>532</v>
      </c>
      <c r="H54">
        <v>343</v>
      </c>
      <c r="I54">
        <v>0.61</v>
      </c>
      <c r="J54">
        <v>319.2</v>
      </c>
    </row>
    <row r="55" spans="1:10">
      <c r="A55" t="s">
        <v>63</v>
      </c>
      <c r="B55"/>
      <c r="C55" t="s">
        <v>15</v>
      </c>
      <c r="D55">
        <v>2</v>
      </c>
      <c r="E55">
        <v>52</v>
      </c>
      <c r="F55">
        <v>89</v>
      </c>
      <c r="G55">
        <v>484</v>
      </c>
      <c r="H55">
        <v>375</v>
      </c>
      <c r="I55">
        <v>0.56000000000000005</v>
      </c>
      <c r="J55">
        <v>290.39999999999998</v>
      </c>
    </row>
    <row r="56" spans="1:10">
      <c r="A56" t="s">
        <v>63</v>
      </c>
      <c r="B56"/>
      <c r="C56" t="s">
        <v>15</v>
      </c>
      <c r="D56">
        <v>4</v>
      </c>
      <c r="E56">
        <v>10</v>
      </c>
      <c r="F56">
        <v>137</v>
      </c>
      <c r="G56">
        <v>505</v>
      </c>
      <c r="H56">
        <v>348</v>
      </c>
      <c r="I56">
        <v>0.59</v>
      </c>
      <c r="J56">
        <v>303</v>
      </c>
    </row>
    <row r="57" spans="1:10">
      <c r="A57" t="s">
        <v>63</v>
      </c>
      <c r="B57"/>
      <c r="C57" t="s">
        <v>15</v>
      </c>
      <c r="D57">
        <v>6</v>
      </c>
      <c r="E57">
        <v>30</v>
      </c>
      <c r="F57">
        <v>169</v>
      </c>
      <c r="G57">
        <v>517</v>
      </c>
      <c r="H57">
        <v>284</v>
      </c>
      <c r="I57">
        <v>0.65</v>
      </c>
      <c r="J57">
        <v>310.2</v>
      </c>
    </row>
    <row r="58" spans="1:10">
      <c r="A58" t="s">
        <v>63</v>
      </c>
      <c r="B58"/>
      <c r="C58" t="s">
        <v>25</v>
      </c>
      <c r="D58">
        <v>2</v>
      </c>
      <c r="E58">
        <v>26</v>
      </c>
      <c r="F58">
        <v>124</v>
      </c>
      <c r="G58">
        <v>388</v>
      </c>
      <c r="H58">
        <v>462</v>
      </c>
      <c r="I58">
        <v>0.46</v>
      </c>
      <c r="J58">
        <v>232.79999999999998</v>
      </c>
    </row>
    <row r="59" spans="1:10">
      <c r="A59" t="s">
        <v>63</v>
      </c>
      <c r="B59"/>
      <c r="C59" t="s">
        <v>25</v>
      </c>
      <c r="D59">
        <v>4</v>
      </c>
      <c r="E59">
        <v>0</v>
      </c>
      <c r="F59">
        <v>114</v>
      </c>
      <c r="G59">
        <v>488</v>
      </c>
      <c r="H59">
        <v>398</v>
      </c>
      <c r="I59">
        <v>0.55000000000000004</v>
      </c>
      <c r="J59">
        <v>292.8</v>
      </c>
    </row>
    <row r="60" spans="1:10">
      <c r="A60" t="s">
        <v>63</v>
      </c>
      <c r="B60"/>
      <c r="C60" t="s">
        <v>25</v>
      </c>
      <c r="D60">
        <v>6</v>
      </c>
      <c r="E60">
        <v>0</v>
      </c>
      <c r="F60">
        <v>109</v>
      </c>
      <c r="G60">
        <v>515</v>
      </c>
      <c r="H60">
        <v>376</v>
      </c>
      <c r="I60">
        <v>0.57999999999999996</v>
      </c>
      <c r="J60">
        <v>309</v>
      </c>
    </row>
  </sheetData>
  <sortState xmlns:xlrd2="http://schemas.microsoft.com/office/spreadsheetml/2017/richdata2" ref="M14:T24">
    <sortCondition ref="M14:M24"/>
  </sortState>
  <mergeCells count="3">
    <mergeCell ref="L3:L9"/>
    <mergeCell ref="N1:X1"/>
    <mergeCell ref="AE1:AG1"/>
  </mergeCells>
  <phoneticPr fontId="7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FA1AA-FC25-4787-9A56-F516326D6DE1}">
  <dimension ref="A1:AJ35"/>
  <sheetViews>
    <sheetView topLeftCell="A16" zoomScaleNormal="100" workbookViewId="0">
      <selection activeCell="A3" sqref="A3"/>
    </sheetView>
  </sheetViews>
  <sheetFormatPr defaultRowHeight="14.4"/>
  <cols>
    <col min="1" max="1" width="22.33203125" bestFit="1" customWidth="1"/>
    <col min="2" max="2" width="11.33203125" style="34" bestFit="1" customWidth="1"/>
    <col min="3" max="3" width="8" style="34" bestFit="1" customWidth="1"/>
    <col min="4" max="4" width="5" style="34" bestFit="1" customWidth="1"/>
    <col min="5" max="5" width="6.33203125" style="34" bestFit="1" customWidth="1"/>
    <col min="6" max="6" width="9" style="34" bestFit="1" customWidth="1"/>
    <col min="7" max="7" width="8.44140625" style="34" bestFit="1" customWidth="1"/>
    <col min="8" max="8" width="9.109375" style="34"/>
    <col min="9" max="9" width="7" style="34" bestFit="1" customWidth="1"/>
    <col min="10" max="10" width="6" style="34" bestFit="1" customWidth="1"/>
    <col min="11" max="11" width="8.5546875" style="34" bestFit="1" customWidth="1"/>
    <col min="12" max="12" width="6.6640625" style="34" bestFit="1" customWidth="1"/>
    <col min="13" max="13" width="6.33203125" style="34" customWidth="1"/>
    <col min="14" max="16" width="9" style="34" bestFit="1" customWidth="1"/>
    <col min="17" max="17" width="9.109375" style="34" bestFit="1" customWidth="1"/>
    <col min="18" max="19" width="7.88671875" style="34" bestFit="1" customWidth="1"/>
    <col min="20" max="20" width="8.5546875" style="34" bestFit="1" customWidth="1"/>
    <col min="21" max="21" width="14.88671875" style="34" bestFit="1" customWidth="1"/>
    <col min="22" max="22" width="12.5546875" style="34" bestFit="1" customWidth="1"/>
    <col min="23" max="23" width="6.33203125" style="34" customWidth="1"/>
    <col min="24" max="24" width="6.33203125" customWidth="1"/>
    <col min="25" max="25" width="5.44140625" customWidth="1"/>
    <col min="26" max="36" width="5.5546875" bestFit="1" customWidth="1"/>
  </cols>
  <sheetData>
    <row r="1" spans="1:36" ht="15" customHeight="1">
      <c r="A1" t="s">
        <v>47</v>
      </c>
      <c r="B1" t="s">
        <v>50</v>
      </c>
      <c r="E1" s="44" t="s">
        <v>51</v>
      </c>
      <c r="F1" s="44"/>
      <c r="G1" s="44"/>
      <c r="H1" s="44"/>
      <c r="I1" s="44"/>
      <c r="J1" s="44"/>
      <c r="K1" s="44"/>
      <c r="N1" s="45" t="s">
        <v>105</v>
      </c>
      <c r="O1" s="45"/>
      <c r="P1" s="45"/>
      <c r="Q1" s="45"/>
      <c r="R1" s="45"/>
      <c r="S1" s="45"/>
      <c r="T1" s="45"/>
    </row>
    <row r="2" spans="1:36">
      <c r="A2" t="s">
        <v>75</v>
      </c>
      <c r="B2" s="31" t="s">
        <v>43</v>
      </c>
      <c r="C2" s="31" t="s">
        <v>45</v>
      </c>
      <c r="D2" s="31" t="s">
        <v>46</v>
      </c>
      <c r="E2" s="31" t="s">
        <v>44</v>
      </c>
      <c r="F2" s="31" t="s">
        <v>27</v>
      </c>
      <c r="G2" s="31" t="s">
        <v>28</v>
      </c>
      <c r="H2" s="31" t="s">
        <v>29</v>
      </c>
      <c r="I2" s="31" t="s">
        <v>30</v>
      </c>
      <c r="J2" s="31" t="s">
        <v>31</v>
      </c>
      <c r="K2" s="31" t="s">
        <v>32</v>
      </c>
      <c r="L2" s="31" t="s">
        <v>102</v>
      </c>
      <c r="M2" s="31" t="s">
        <v>48</v>
      </c>
      <c r="N2" s="31" t="s">
        <v>44</v>
      </c>
      <c r="O2" s="31" t="s">
        <v>27</v>
      </c>
      <c r="P2" s="31" t="s">
        <v>28</v>
      </c>
      <c r="Q2" s="31" t="s">
        <v>29</v>
      </c>
      <c r="R2" s="31" t="s">
        <v>30</v>
      </c>
      <c r="S2" s="31" t="s">
        <v>31</v>
      </c>
      <c r="T2" s="31" t="s">
        <v>32</v>
      </c>
      <c r="U2" s="31" t="s">
        <v>108</v>
      </c>
      <c r="V2" s="31" t="str">
        <f>_xlfn.CONCAT(R2,"+",S2)</f>
        <v>AROM+PHEN</v>
      </c>
      <c r="W2" s="31"/>
      <c r="Y2" s="3" t="s">
        <v>49</v>
      </c>
      <c r="Z2" s="2" t="s">
        <v>5</v>
      </c>
      <c r="AA2" s="2" t="s">
        <v>9</v>
      </c>
      <c r="AB2" s="2" t="s">
        <v>35</v>
      </c>
      <c r="AC2" s="2" t="s">
        <v>13</v>
      </c>
      <c r="AD2" s="2" t="s">
        <v>17</v>
      </c>
      <c r="AE2" s="2" t="s">
        <v>7</v>
      </c>
      <c r="AF2" s="2" t="s">
        <v>40</v>
      </c>
      <c r="AG2" s="2" t="s">
        <v>19</v>
      </c>
      <c r="AH2" t="s">
        <v>25</v>
      </c>
      <c r="AI2" t="s">
        <v>23</v>
      </c>
      <c r="AJ2" t="s">
        <v>5</v>
      </c>
    </row>
    <row r="3" spans="1:36">
      <c r="A3" t="s">
        <v>79</v>
      </c>
      <c r="B3" s="32" t="s">
        <v>20</v>
      </c>
      <c r="C3" s="32" t="s">
        <v>19</v>
      </c>
      <c r="D3" s="33">
        <v>0</v>
      </c>
      <c r="E3" s="33">
        <v>21.9</v>
      </c>
      <c r="F3" s="33">
        <v>5</v>
      </c>
      <c r="G3" s="33">
        <v>40.1</v>
      </c>
      <c r="H3" s="33">
        <v>11.1</v>
      </c>
      <c r="I3" s="33">
        <v>10.4</v>
      </c>
      <c r="J3" s="34">
        <v>6.3</v>
      </c>
      <c r="K3" s="34">
        <v>5.2</v>
      </c>
      <c r="L3" s="34">
        <f t="shared" ref="L3:L13" si="0">SUM(D3:K3)</f>
        <v>100</v>
      </c>
      <c r="M3" s="34">
        <f>I3+J3</f>
        <v>16.7</v>
      </c>
      <c r="N3" s="29">
        <f>E3*0.01*$U3</f>
        <v>108.624</v>
      </c>
      <c r="O3" s="29">
        <f t="shared" ref="O3" si="1">F3*0.01*$U3</f>
        <v>24.8</v>
      </c>
      <c r="P3" s="29">
        <f t="shared" ref="P3" si="2">G3*0.01*$U3</f>
        <v>198.89600000000002</v>
      </c>
      <c r="Q3" s="29">
        <f t="shared" ref="Q3" si="3">H3*0.01*$U3</f>
        <v>55.055999999999997</v>
      </c>
      <c r="R3" s="29">
        <f t="shared" ref="R3" si="4">I3*0.01*$U3</f>
        <v>51.584000000000003</v>
      </c>
      <c r="S3" s="29">
        <f t="shared" ref="S3" si="5">J3*0.01*$U3</f>
        <v>31.248000000000001</v>
      </c>
      <c r="T3" s="29">
        <f t="shared" ref="T3" si="6">K3*0.01*$U3</f>
        <v>25.792000000000002</v>
      </c>
      <c r="U3" s="37">
        <f>VLOOKUP(C3,PA!$M$13:$AA$24,9,FALSE)</f>
        <v>496</v>
      </c>
      <c r="V3" s="29">
        <f>R3+S3</f>
        <v>82.832000000000008</v>
      </c>
      <c r="Y3">
        <v>0</v>
      </c>
      <c r="Z3">
        <v>19.100000000000001</v>
      </c>
      <c r="AA3">
        <v>20.100000000000001</v>
      </c>
      <c r="AB3">
        <v>18.899999999999999</v>
      </c>
      <c r="AC3">
        <v>15.5</v>
      </c>
      <c r="AD3">
        <v>16.3</v>
      </c>
      <c r="AE3">
        <v>18.8</v>
      </c>
      <c r="AF3">
        <v>11.5</v>
      </c>
      <c r="AG3">
        <v>16.7</v>
      </c>
      <c r="AH3">
        <v>9.9</v>
      </c>
      <c r="AI3">
        <v>17.3</v>
      </c>
      <c r="AJ3">
        <v>19.100000000000001</v>
      </c>
    </row>
    <row r="4" spans="1:36">
      <c r="A4" t="s">
        <v>79</v>
      </c>
      <c r="B4" s="32" t="s">
        <v>10</v>
      </c>
      <c r="C4" s="32" t="s">
        <v>9</v>
      </c>
      <c r="D4" s="33">
        <v>0</v>
      </c>
      <c r="E4" s="33">
        <v>17.2</v>
      </c>
      <c r="F4" s="33">
        <v>3.7</v>
      </c>
      <c r="G4" s="33">
        <v>38.5</v>
      </c>
      <c r="H4" s="33">
        <v>15.2</v>
      </c>
      <c r="I4" s="33">
        <v>10</v>
      </c>
      <c r="J4" s="34">
        <v>10.1</v>
      </c>
      <c r="K4" s="34">
        <v>5.2</v>
      </c>
      <c r="L4" s="34">
        <f t="shared" si="0"/>
        <v>99.899999999999991</v>
      </c>
      <c r="M4" s="34">
        <f t="shared" ref="M4:M13" si="7">I4+J4</f>
        <v>20.100000000000001</v>
      </c>
      <c r="N4" s="29">
        <f t="shared" ref="N4:N24" si="8">E4*0.01*$U4</f>
        <v>83.935999999999993</v>
      </c>
      <c r="O4" s="29">
        <f t="shared" ref="O4:O24" si="9">F4*0.01*$U4</f>
        <v>18.056000000000001</v>
      </c>
      <c r="P4" s="29">
        <f t="shared" ref="P4:P24" si="10">G4*0.01*$U4</f>
        <v>187.88</v>
      </c>
      <c r="Q4" s="29">
        <f t="shared" ref="Q4:Q24" si="11">H4*0.01*$U4</f>
        <v>74.176000000000002</v>
      </c>
      <c r="R4" s="29">
        <f t="shared" ref="R4:R24" si="12">I4*0.01*$U4</f>
        <v>48.800000000000004</v>
      </c>
      <c r="S4" s="29">
        <f t="shared" ref="S4:S24" si="13">J4*0.01*$U4</f>
        <v>49.287999999999997</v>
      </c>
      <c r="T4" s="29">
        <f t="shared" ref="T4:T24" si="14">K4*0.01*$U4</f>
        <v>25.376000000000001</v>
      </c>
      <c r="U4" s="37">
        <f>VLOOKUP(C4,PA!$M$13:$AA$24,9,FALSE)</f>
        <v>488</v>
      </c>
      <c r="V4" s="29">
        <f t="shared" ref="V4:V35" si="15">R4+S4</f>
        <v>98.087999999999994</v>
      </c>
      <c r="Y4">
        <v>2</v>
      </c>
      <c r="Z4">
        <v>15.1</v>
      </c>
      <c r="AA4">
        <v>16.899999999999999</v>
      </c>
      <c r="AB4">
        <v>19.200000000000003</v>
      </c>
      <c r="AC4">
        <v>18.7</v>
      </c>
      <c r="AD4">
        <v>21.1</v>
      </c>
      <c r="AE4">
        <v>15.3</v>
      </c>
      <c r="AF4">
        <v>20</v>
      </c>
      <c r="AG4">
        <v>15.8</v>
      </c>
      <c r="AH4">
        <v>12.5</v>
      </c>
      <c r="AI4">
        <v>16.7</v>
      </c>
      <c r="AJ4">
        <v>17.3</v>
      </c>
    </row>
    <row r="5" spans="1:36">
      <c r="A5" t="s">
        <v>79</v>
      </c>
      <c r="B5" s="35" t="s">
        <v>66</v>
      </c>
      <c r="C5" s="33" t="s">
        <v>11</v>
      </c>
      <c r="D5" s="33">
        <v>0</v>
      </c>
      <c r="E5" s="33">
        <v>23.4</v>
      </c>
      <c r="F5" s="33">
        <v>5.2</v>
      </c>
      <c r="G5" s="33">
        <v>45.2</v>
      </c>
      <c r="H5" s="33">
        <v>10.9</v>
      </c>
      <c r="I5" s="33">
        <v>8.1</v>
      </c>
      <c r="J5" s="34">
        <v>3.4</v>
      </c>
      <c r="K5" s="34">
        <v>3.9</v>
      </c>
      <c r="L5" s="34">
        <f t="shared" si="0"/>
        <v>100.10000000000001</v>
      </c>
      <c r="M5" s="34">
        <f t="shared" si="7"/>
        <v>11.5</v>
      </c>
      <c r="N5" s="29">
        <f t="shared" si="8"/>
        <v>116.29799999999999</v>
      </c>
      <c r="O5" s="29">
        <f t="shared" si="9"/>
        <v>25.844000000000001</v>
      </c>
      <c r="P5" s="29">
        <f t="shared" si="10"/>
        <v>224.64400000000001</v>
      </c>
      <c r="Q5" s="29">
        <f t="shared" si="11"/>
        <v>54.173000000000002</v>
      </c>
      <c r="R5" s="29">
        <f t="shared" si="12"/>
        <v>40.256999999999998</v>
      </c>
      <c r="S5" s="29">
        <f t="shared" si="13"/>
        <v>16.898</v>
      </c>
      <c r="T5" s="29">
        <f t="shared" si="14"/>
        <v>19.382999999999999</v>
      </c>
      <c r="U5" s="37">
        <f>VLOOKUP(C5,PA!$M$13:$AA$24,9,FALSE)</f>
        <v>497</v>
      </c>
      <c r="V5" s="29">
        <f t="shared" si="15"/>
        <v>57.155000000000001</v>
      </c>
      <c r="Y5">
        <v>6</v>
      </c>
      <c r="Z5">
        <v>19</v>
      </c>
      <c r="AA5">
        <v>20.5</v>
      </c>
      <c r="AB5">
        <v>20.399999999999999</v>
      </c>
      <c r="AC5">
        <v>17.100000000000001</v>
      </c>
      <c r="AD5">
        <v>19.899999999999999</v>
      </c>
      <c r="AE5">
        <v>17.899999999999999</v>
      </c>
      <c r="AF5">
        <v>18.100000000000001</v>
      </c>
      <c r="AG5">
        <v>19.2</v>
      </c>
      <c r="AH5">
        <v>17.100000000000001</v>
      </c>
      <c r="AI5">
        <v>21.3</v>
      </c>
      <c r="AJ5">
        <v>20.7</v>
      </c>
    </row>
    <row r="6" spans="1:36" ht="15" customHeight="1">
      <c r="A6" t="s">
        <v>79</v>
      </c>
      <c r="B6" s="36" t="s">
        <v>61</v>
      </c>
      <c r="C6" s="33" t="s">
        <v>15</v>
      </c>
      <c r="D6" s="33">
        <v>0</v>
      </c>
      <c r="E6" s="33">
        <v>20.5</v>
      </c>
      <c r="F6" s="33">
        <v>4.4000000000000004</v>
      </c>
      <c r="G6" s="33">
        <v>39.4</v>
      </c>
      <c r="H6" s="33">
        <v>9.9</v>
      </c>
      <c r="I6" s="33">
        <v>12.4</v>
      </c>
      <c r="J6" s="34">
        <v>6.7</v>
      </c>
      <c r="K6" s="34">
        <v>6.7</v>
      </c>
      <c r="L6" s="34">
        <f t="shared" si="0"/>
        <v>100.00000000000001</v>
      </c>
      <c r="M6" s="34">
        <f t="shared" si="7"/>
        <v>19.100000000000001</v>
      </c>
      <c r="N6" s="29">
        <f t="shared" si="8"/>
        <v>101.47500000000001</v>
      </c>
      <c r="O6" s="29">
        <f t="shared" si="9"/>
        <v>21.78</v>
      </c>
      <c r="P6" s="29">
        <f t="shared" si="10"/>
        <v>195.03</v>
      </c>
      <c r="Q6" s="29">
        <f t="shared" si="11"/>
        <v>49.005000000000003</v>
      </c>
      <c r="R6" s="29">
        <f t="shared" si="12"/>
        <v>61.38000000000001</v>
      </c>
      <c r="S6" s="29">
        <f t="shared" si="13"/>
        <v>33.164999999999999</v>
      </c>
      <c r="T6" s="29">
        <f t="shared" si="14"/>
        <v>33.164999999999999</v>
      </c>
      <c r="U6" s="37">
        <f>VLOOKUP(C6,PA!$M$13:$AA$24,9,FALSE)</f>
        <v>495</v>
      </c>
      <c r="V6" s="29">
        <f t="shared" si="15"/>
        <v>94.545000000000016</v>
      </c>
    </row>
    <row r="7" spans="1:36">
      <c r="A7" t="s">
        <v>79</v>
      </c>
      <c r="B7" s="32" t="s">
        <v>38</v>
      </c>
      <c r="C7" s="32" t="s">
        <v>7</v>
      </c>
      <c r="D7" s="33">
        <v>0</v>
      </c>
      <c r="E7" s="33">
        <v>22.6</v>
      </c>
      <c r="F7" s="33">
        <v>4.0999999999999996</v>
      </c>
      <c r="G7" s="33">
        <v>36.700000000000003</v>
      </c>
      <c r="H7" s="33">
        <v>12.5</v>
      </c>
      <c r="I7" s="33">
        <v>10.5</v>
      </c>
      <c r="J7" s="34">
        <v>8.3000000000000007</v>
      </c>
      <c r="K7" s="34">
        <v>5.3</v>
      </c>
      <c r="L7" s="34">
        <f t="shared" si="0"/>
        <v>100</v>
      </c>
      <c r="M7" s="34">
        <f t="shared" si="7"/>
        <v>18.8</v>
      </c>
      <c r="N7" s="29">
        <f t="shared" si="8"/>
        <v>112.322</v>
      </c>
      <c r="O7" s="29">
        <f t="shared" si="9"/>
        <v>20.376999999999999</v>
      </c>
      <c r="P7" s="29">
        <f t="shared" si="10"/>
        <v>182.39900000000003</v>
      </c>
      <c r="Q7" s="29">
        <f t="shared" si="11"/>
        <v>62.125</v>
      </c>
      <c r="R7" s="29">
        <f t="shared" si="12"/>
        <v>52.184999999999995</v>
      </c>
      <c r="S7" s="29">
        <f t="shared" si="13"/>
        <v>41.251000000000005</v>
      </c>
      <c r="T7" s="29">
        <f t="shared" si="14"/>
        <v>26.340999999999998</v>
      </c>
      <c r="U7" s="37">
        <f>VLOOKUP(C7,PA!$M$13:$AA$24,9,FALSE)</f>
        <v>497</v>
      </c>
      <c r="V7" s="29">
        <f t="shared" si="15"/>
        <v>93.436000000000007</v>
      </c>
    </row>
    <row r="8" spans="1:36">
      <c r="A8" t="s">
        <v>79</v>
      </c>
      <c r="B8" s="32" t="s">
        <v>36</v>
      </c>
      <c r="C8" s="32" t="s">
        <v>13</v>
      </c>
      <c r="D8" s="33">
        <v>0</v>
      </c>
      <c r="E8" s="33">
        <v>17.7</v>
      </c>
      <c r="F8" s="33">
        <v>6.2</v>
      </c>
      <c r="G8" s="33">
        <v>43.9</v>
      </c>
      <c r="H8" s="33">
        <v>11.8</v>
      </c>
      <c r="I8" s="33">
        <v>9.8000000000000007</v>
      </c>
      <c r="J8" s="34">
        <v>5.7</v>
      </c>
      <c r="K8" s="34">
        <v>4.8</v>
      </c>
      <c r="L8" s="34">
        <f t="shared" si="0"/>
        <v>99.899999999999991</v>
      </c>
      <c r="M8" s="34">
        <f t="shared" si="7"/>
        <v>15.5</v>
      </c>
      <c r="N8" s="29">
        <f t="shared" si="8"/>
        <v>83.19</v>
      </c>
      <c r="O8" s="29">
        <f t="shared" si="9"/>
        <v>29.140000000000004</v>
      </c>
      <c r="P8" s="29">
        <f t="shared" si="10"/>
        <v>206.33</v>
      </c>
      <c r="Q8" s="29">
        <f t="shared" si="11"/>
        <v>55.46</v>
      </c>
      <c r="R8" s="29">
        <f t="shared" si="12"/>
        <v>46.06</v>
      </c>
      <c r="S8" s="29">
        <f t="shared" si="13"/>
        <v>26.790000000000003</v>
      </c>
      <c r="T8" s="29">
        <f t="shared" si="14"/>
        <v>22.56</v>
      </c>
      <c r="U8" s="37">
        <f>VLOOKUP(C8,PA!$M$13:$AA$24,9,FALSE)</f>
        <v>470</v>
      </c>
      <c r="V8" s="29">
        <f t="shared" si="15"/>
        <v>72.850000000000009</v>
      </c>
    </row>
    <row r="9" spans="1:36">
      <c r="A9" t="s">
        <v>79</v>
      </c>
      <c r="B9" s="35" t="s">
        <v>65</v>
      </c>
      <c r="C9" s="33" t="s">
        <v>21</v>
      </c>
      <c r="D9" s="33">
        <v>0</v>
      </c>
      <c r="E9" s="33">
        <v>22.8</v>
      </c>
      <c r="F9" s="33">
        <v>4</v>
      </c>
      <c r="G9" s="33">
        <v>35.6</v>
      </c>
      <c r="H9" s="33">
        <v>12.3</v>
      </c>
      <c r="I9" s="33">
        <v>11</v>
      </c>
      <c r="J9" s="34">
        <v>7.9</v>
      </c>
      <c r="K9" s="34">
        <v>6.4</v>
      </c>
      <c r="L9" s="34">
        <f t="shared" si="0"/>
        <v>100.00000000000001</v>
      </c>
      <c r="M9" s="34">
        <f t="shared" si="7"/>
        <v>18.899999999999999</v>
      </c>
      <c r="N9" s="29">
        <f t="shared" si="8"/>
        <v>109.44</v>
      </c>
      <c r="O9" s="29">
        <f t="shared" si="9"/>
        <v>19.2</v>
      </c>
      <c r="P9" s="29">
        <f t="shared" si="10"/>
        <v>170.88000000000002</v>
      </c>
      <c r="Q9" s="29">
        <f t="shared" si="11"/>
        <v>59.040000000000006</v>
      </c>
      <c r="R9" s="29">
        <f t="shared" si="12"/>
        <v>52.8</v>
      </c>
      <c r="S9" s="29">
        <f t="shared" si="13"/>
        <v>37.92</v>
      </c>
      <c r="T9" s="29">
        <f t="shared" si="14"/>
        <v>30.72</v>
      </c>
      <c r="U9" s="37">
        <f>VLOOKUP(C9,PA!$M$13:$AA$24,9,FALSE)</f>
        <v>480</v>
      </c>
      <c r="V9" s="29">
        <f t="shared" si="15"/>
        <v>90.72</v>
      </c>
    </row>
    <row r="10" spans="1:36">
      <c r="A10" t="s">
        <v>79</v>
      </c>
      <c r="B10" s="33" t="s">
        <v>42</v>
      </c>
      <c r="C10" s="33" t="s">
        <v>23</v>
      </c>
      <c r="D10" s="33">
        <v>0</v>
      </c>
      <c r="E10" s="33">
        <v>21</v>
      </c>
      <c r="F10" s="33">
        <v>3.6</v>
      </c>
      <c r="G10" s="33">
        <v>38.5</v>
      </c>
      <c r="H10" s="33">
        <v>12.4</v>
      </c>
      <c r="I10" s="33">
        <v>9.3000000000000007</v>
      </c>
      <c r="J10" s="34">
        <v>8</v>
      </c>
      <c r="K10" s="34">
        <v>7.1</v>
      </c>
      <c r="L10" s="34">
        <f t="shared" si="0"/>
        <v>99.899999999999991</v>
      </c>
      <c r="M10" s="34">
        <f t="shared" si="7"/>
        <v>17.3</v>
      </c>
      <c r="N10" s="29">
        <f t="shared" si="8"/>
        <v>98.28</v>
      </c>
      <c r="O10" s="29">
        <f t="shared" si="9"/>
        <v>16.848000000000003</v>
      </c>
      <c r="P10" s="29">
        <f t="shared" si="10"/>
        <v>180.18</v>
      </c>
      <c r="Q10" s="29">
        <f t="shared" si="11"/>
        <v>58.032000000000004</v>
      </c>
      <c r="R10" s="29">
        <f t="shared" si="12"/>
        <v>43.524000000000008</v>
      </c>
      <c r="S10" s="29">
        <f t="shared" si="13"/>
        <v>37.44</v>
      </c>
      <c r="T10" s="29">
        <f t="shared" si="14"/>
        <v>33.227999999999994</v>
      </c>
      <c r="U10" s="37">
        <f>VLOOKUP(C10,PA!$M$13:$AA$24,9,FALSE)</f>
        <v>468</v>
      </c>
      <c r="V10" s="29">
        <f t="shared" si="15"/>
        <v>80.963999999999999</v>
      </c>
    </row>
    <row r="11" spans="1:36">
      <c r="A11" t="s">
        <v>79</v>
      </c>
      <c r="B11" s="32" t="s">
        <v>37</v>
      </c>
      <c r="C11" s="32" t="s">
        <v>17</v>
      </c>
      <c r="D11" s="33">
        <v>0</v>
      </c>
      <c r="E11" s="33">
        <v>12.4</v>
      </c>
      <c r="F11" s="33">
        <v>5.5</v>
      </c>
      <c r="G11" s="33">
        <v>46.9</v>
      </c>
      <c r="H11" s="33">
        <v>12.7</v>
      </c>
      <c r="I11" s="33">
        <v>10.1</v>
      </c>
      <c r="J11" s="34">
        <v>6.2</v>
      </c>
      <c r="K11" s="34">
        <v>6.2</v>
      </c>
      <c r="L11" s="34">
        <f t="shared" si="0"/>
        <v>100</v>
      </c>
      <c r="M11" s="34">
        <f t="shared" si="7"/>
        <v>16.3</v>
      </c>
      <c r="N11" s="29">
        <f t="shared" si="8"/>
        <v>57.412000000000006</v>
      </c>
      <c r="O11" s="29">
        <f t="shared" si="9"/>
        <v>25.465</v>
      </c>
      <c r="P11" s="29">
        <f t="shared" si="10"/>
        <v>217.14699999999999</v>
      </c>
      <c r="Q11" s="29">
        <f t="shared" si="11"/>
        <v>58.801000000000002</v>
      </c>
      <c r="R11" s="29">
        <f t="shared" si="12"/>
        <v>46.762999999999998</v>
      </c>
      <c r="S11" s="29">
        <f t="shared" si="13"/>
        <v>28.706000000000003</v>
      </c>
      <c r="T11" s="29">
        <f t="shared" si="14"/>
        <v>28.706000000000003</v>
      </c>
      <c r="U11" s="37">
        <f>VLOOKUP(C11,PA!$M$13:$AA$24,9,FALSE)</f>
        <v>463</v>
      </c>
      <c r="V11" s="29">
        <f t="shared" si="15"/>
        <v>75.468999999999994</v>
      </c>
    </row>
    <row r="12" spans="1:36">
      <c r="A12" t="s">
        <v>79</v>
      </c>
      <c r="B12" s="32" t="s">
        <v>41</v>
      </c>
      <c r="C12" s="33" t="s">
        <v>25</v>
      </c>
      <c r="D12" s="33">
        <v>0</v>
      </c>
      <c r="E12" s="33">
        <v>9.3000000000000007</v>
      </c>
      <c r="F12" s="33">
        <v>3.5</v>
      </c>
      <c r="G12" s="33">
        <v>58.3</v>
      </c>
      <c r="H12" s="33">
        <v>14</v>
      </c>
      <c r="I12" s="33">
        <v>6.9</v>
      </c>
      <c r="J12" s="34">
        <v>3</v>
      </c>
      <c r="K12" s="34">
        <v>5</v>
      </c>
      <c r="L12" s="34">
        <f t="shared" si="0"/>
        <v>100</v>
      </c>
      <c r="M12" s="34">
        <f t="shared" si="7"/>
        <v>9.9</v>
      </c>
      <c r="N12" s="29">
        <f t="shared" si="8"/>
        <v>40.734000000000009</v>
      </c>
      <c r="O12" s="29">
        <f t="shared" si="9"/>
        <v>15.330000000000002</v>
      </c>
      <c r="P12" s="29">
        <f t="shared" si="10"/>
        <v>255.35399999999998</v>
      </c>
      <c r="Q12" s="29">
        <f t="shared" si="11"/>
        <v>61.320000000000007</v>
      </c>
      <c r="R12" s="29">
        <f t="shared" si="12"/>
        <v>30.222000000000001</v>
      </c>
      <c r="S12" s="29">
        <f t="shared" si="13"/>
        <v>13.139999999999999</v>
      </c>
      <c r="T12" s="29">
        <f t="shared" si="14"/>
        <v>21.900000000000002</v>
      </c>
      <c r="U12" s="37">
        <f>VLOOKUP(C12,PA!$M$13:$AA$24,9,FALSE)</f>
        <v>438</v>
      </c>
      <c r="V12" s="29">
        <f t="shared" si="15"/>
        <v>43.362000000000002</v>
      </c>
    </row>
    <row r="13" spans="1:36" s="34" customFormat="1">
      <c r="A13" t="s">
        <v>79</v>
      </c>
      <c r="B13" s="32" t="s">
        <v>33</v>
      </c>
      <c r="C13" s="32" t="s">
        <v>5</v>
      </c>
      <c r="D13" s="33">
        <v>0</v>
      </c>
      <c r="E13" s="33">
        <v>2.5</v>
      </c>
      <c r="F13" s="33">
        <v>4</v>
      </c>
      <c r="G13" s="33">
        <v>56.4</v>
      </c>
      <c r="H13" s="33">
        <v>14.2</v>
      </c>
      <c r="I13" s="33">
        <v>12.7</v>
      </c>
      <c r="J13" s="34">
        <v>6.4</v>
      </c>
      <c r="K13" s="34">
        <v>3.9</v>
      </c>
      <c r="L13" s="34">
        <f t="shared" si="0"/>
        <v>100.10000000000001</v>
      </c>
      <c r="M13" s="34">
        <f t="shared" si="7"/>
        <v>19.100000000000001</v>
      </c>
      <c r="N13" s="29">
        <f t="shared" si="8"/>
        <v>11.825000000000001</v>
      </c>
      <c r="O13" s="29">
        <f t="shared" si="9"/>
        <v>18.920000000000002</v>
      </c>
      <c r="P13" s="29">
        <f t="shared" si="10"/>
        <v>266.77199999999999</v>
      </c>
      <c r="Q13" s="29">
        <f t="shared" si="11"/>
        <v>67.165999999999997</v>
      </c>
      <c r="R13" s="29">
        <f t="shared" si="12"/>
        <v>60.070999999999998</v>
      </c>
      <c r="S13" s="29">
        <f t="shared" si="13"/>
        <v>30.272000000000002</v>
      </c>
      <c r="T13" s="29">
        <f t="shared" si="14"/>
        <v>18.446999999999999</v>
      </c>
      <c r="U13" s="37">
        <f>VLOOKUP(C13,PA!$M$13:$AA$24,9,FALSE)</f>
        <v>473</v>
      </c>
      <c r="V13" s="29">
        <f t="shared" si="15"/>
        <v>90.343000000000004</v>
      </c>
    </row>
    <row r="14" spans="1:36" s="29" customFormat="1">
      <c r="A14" t="s">
        <v>79</v>
      </c>
      <c r="B14" s="30" t="s">
        <v>20</v>
      </c>
      <c r="C14" s="30" t="s">
        <v>19</v>
      </c>
      <c r="D14" s="30">
        <v>2</v>
      </c>
      <c r="E14" s="30">
        <v>25.1</v>
      </c>
      <c r="F14" s="30">
        <v>4.9000000000000004</v>
      </c>
      <c r="G14" s="30">
        <v>38.4</v>
      </c>
      <c r="H14" s="30">
        <v>9.1</v>
      </c>
      <c r="I14" s="30">
        <v>10</v>
      </c>
      <c r="J14" s="29">
        <v>5.8</v>
      </c>
      <c r="K14" s="29">
        <v>6.6</v>
      </c>
      <c r="L14" s="29">
        <f t="shared" ref="L14:L24" si="16">SUM(D14:K14)</f>
        <v>101.89999999999999</v>
      </c>
      <c r="M14" s="29">
        <f t="shared" ref="M14:M24" si="17">I14+J14</f>
        <v>15.8</v>
      </c>
      <c r="N14" s="29">
        <f t="shared" si="8"/>
        <v>75.234106702748321</v>
      </c>
      <c r="O14" s="29">
        <f t="shared" si="9"/>
        <v>14.687136368265611</v>
      </c>
      <c r="P14" s="29">
        <f t="shared" si="10"/>
        <v>115.09919113089784</v>
      </c>
      <c r="Q14" s="29">
        <f t="shared" si="11"/>
        <v>27.27611039820756</v>
      </c>
      <c r="R14" s="29">
        <f t="shared" si="12"/>
        <v>29.97374769033798</v>
      </c>
      <c r="S14" s="29">
        <f t="shared" si="13"/>
        <v>17.384773660396025</v>
      </c>
      <c r="T14" s="29">
        <f t="shared" si="14"/>
        <v>19.782673475623067</v>
      </c>
      <c r="U14" s="38">
        <f>VLOOKUP(C14,PA!$M$13:$AA$24,11,FALSE)</f>
        <v>299.73747690337979</v>
      </c>
      <c r="V14" s="29">
        <f t="shared" si="15"/>
        <v>47.358521350734009</v>
      </c>
      <c r="W14" s="34"/>
    </row>
    <row r="15" spans="1:36">
      <c r="A15" t="s">
        <v>79</v>
      </c>
      <c r="B15" s="33" t="s">
        <v>10</v>
      </c>
      <c r="C15" s="33" t="s">
        <v>9</v>
      </c>
      <c r="D15" s="33">
        <v>2</v>
      </c>
      <c r="E15" s="33">
        <v>21.5</v>
      </c>
      <c r="F15" s="33">
        <v>3.7</v>
      </c>
      <c r="G15" s="33">
        <v>37.9</v>
      </c>
      <c r="H15" s="33">
        <v>12.5</v>
      </c>
      <c r="I15" s="33">
        <v>8.8000000000000007</v>
      </c>
      <c r="J15" s="34">
        <v>8.1</v>
      </c>
      <c r="K15" s="34">
        <v>7.5</v>
      </c>
      <c r="L15" s="34">
        <f t="shared" si="16"/>
        <v>101.99999999999999</v>
      </c>
      <c r="M15" s="34">
        <f t="shared" si="17"/>
        <v>16.899999999999999</v>
      </c>
      <c r="N15" s="29">
        <f t="shared" si="8"/>
        <v>69.986706082756342</v>
      </c>
      <c r="O15" s="29">
        <f t="shared" si="9"/>
        <v>12.044223837497604</v>
      </c>
      <c r="P15" s="29">
        <f t="shared" si="10"/>
        <v>123.37191444355652</v>
      </c>
      <c r="Q15" s="29">
        <f t="shared" si="11"/>
        <v>40.689945396951359</v>
      </c>
      <c r="R15" s="29">
        <f t="shared" si="12"/>
        <v>28.645721559453758</v>
      </c>
      <c r="S15" s="29">
        <f t="shared" si="13"/>
        <v>26.367084617224481</v>
      </c>
      <c r="T15" s="29">
        <f t="shared" si="14"/>
        <v>24.413967238170816</v>
      </c>
      <c r="U15" s="38">
        <f>VLOOKUP(C15,PA!$M$13:$AA$24,11,FALSE)</f>
        <v>325.51956317561087</v>
      </c>
      <c r="V15" s="29">
        <f t="shared" si="15"/>
        <v>55.012806176678239</v>
      </c>
    </row>
    <row r="16" spans="1:36">
      <c r="A16" t="s">
        <v>79</v>
      </c>
      <c r="B16" s="33" t="s">
        <v>39</v>
      </c>
      <c r="C16" s="33" t="s">
        <v>11</v>
      </c>
      <c r="D16" s="33">
        <v>2</v>
      </c>
      <c r="E16" s="33">
        <v>24.9</v>
      </c>
      <c r="F16" s="33">
        <v>5.9</v>
      </c>
      <c r="G16" s="33">
        <v>33.5</v>
      </c>
      <c r="H16" s="33">
        <v>8.1</v>
      </c>
      <c r="I16" s="33">
        <v>13.2</v>
      </c>
      <c r="J16" s="34">
        <v>6.8</v>
      </c>
      <c r="K16" s="34">
        <v>7.6</v>
      </c>
      <c r="L16" s="34">
        <f t="shared" si="16"/>
        <v>101.99999999999999</v>
      </c>
      <c r="M16" s="34">
        <f t="shared" si="17"/>
        <v>20</v>
      </c>
      <c r="N16" s="29">
        <f t="shared" si="8"/>
        <v>78.047612404966046</v>
      </c>
      <c r="O16" s="29">
        <f t="shared" si="9"/>
        <v>18.493209365032119</v>
      </c>
      <c r="P16" s="29">
        <f t="shared" si="10"/>
        <v>105.00381588619931</v>
      </c>
      <c r="Q16" s="29">
        <f t="shared" si="11"/>
        <v>25.388982348603417</v>
      </c>
      <c r="R16" s="29">
        <f t="shared" si="12"/>
        <v>41.374637901427789</v>
      </c>
      <c r="S16" s="29">
        <f t="shared" si="13"/>
        <v>21.314207403765831</v>
      </c>
      <c r="T16" s="29">
        <f t="shared" si="14"/>
        <v>23.821761215973574</v>
      </c>
      <c r="U16" s="38">
        <f>VLOOKUP(C16,PA!$M$13:$AA$24,11,FALSE)</f>
        <v>313.44422652596808</v>
      </c>
      <c r="V16" s="29">
        <f t="shared" si="15"/>
        <v>62.688845305193624</v>
      </c>
    </row>
    <row r="17" spans="1:23">
      <c r="A17" t="s">
        <v>79</v>
      </c>
      <c r="B17" s="36" t="s">
        <v>61</v>
      </c>
      <c r="C17" s="33" t="s">
        <v>15</v>
      </c>
      <c r="D17" s="33">
        <v>2</v>
      </c>
      <c r="E17" s="33">
        <v>24.5</v>
      </c>
      <c r="F17" s="33">
        <v>4.2</v>
      </c>
      <c r="G17" s="33">
        <v>39.4</v>
      </c>
      <c r="H17" s="33">
        <v>8.8000000000000007</v>
      </c>
      <c r="I17" s="33">
        <v>11.4</v>
      </c>
      <c r="J17" s="33">
        <v>5.9</v>
      </c>
      <c r="K17" s="33">
        <v>5.9</v>
      </c>
      <c r="L17" s="33">
        <f t="shared" si="16"/>
        <v>102.10000000000001</v>
      </c>
      <c r="M17" s="33">
        <f t="shared" si="17"/>
        <v>17.3</v>
      </c>
      <c r="N17" s="30">
        <f t="shared" ref="N17:T18" si="18">E17*0.01*$U17</f>
        <v>66.970579314992975</v>
      </c>
      <c r="O17" s="30">
        <f t="shared" si="18"/>
        <v>11.480670739713084</v>
      </c>
      <c r="P17" s="30">
        <f t="shared" si="18"/>
        <v>107.69962551064178</v>
      </c>
      <c r="Q17" s="30">
        <f t="shared" si="18"/>
        <v>24.054738692732176</v>
      </c>
      <c r="R17" s="30">
        <f t="shared" si="18"/>
        <v>31.161820579221224</v>
      </c>
      <c r="S17" s="30">
        <f t="shared" si="18"/>
        <v>16.127608896263617</v>
      </c>
      <c r="T17" s="30">
        <f t="shared" si="18"/>
        <v>16.127608896263617</v>
      </c>
      <c r="U17" s="39">
        <f>VLOOKUP(C17,PA!$M$13:$AA$24,11,FALSE)</f>
        <v>273.34930332650197</v>
      </c>
      <c r="V17" s="29">
        <f t="shared" si="15"/>
        <v>47.289429475484837</v>
      </c>
    </row>
    <row r="18" spans="1:23">
      <c r="A18" t="s">
        <v>79</v>
      </c>
      <c r="B18" s="33" t="s">
        <v>38</v>
      </c>
      <c r="C18" s="33" t="s">
        <v>7</v>
      </c>
      <c r="D18" s="33">
        <v>2</v>
      </c>
      <c r="E18" s="33">
        <v>29.1</v>
      </c>
      <c r="F18" s="33">
        <v>5.0999999999999996</v>
      </c>
      <c r="G18" s="33">
        <v>35.200000000000003</v>
      </c>
      <c r="H18" s="33">
        <v>9</v>
      </c>
      <c r="I18" s="33">
        <v>9</v>
      </c>
      <c r="J18" s="34">
        <v>6.3</v>
      </c>
      <c r="K18" s="34">
        <v>6.4</v>
      </c>
      <c r="L18" s="34">
        <f t="shared" si="16"/>
        <v>102.10000000000001</v>
      </c>
      <c r="M18" s="34">
        <f t="shared" si="17"/>
        <v>15.3</v>
      </c>
      <c r="N18" s="29">
        <f t="shared" si="18"/>
        <v>109.13087070715626</v>
      </c>
      <c r="O18" s="29">
        <f t="shared" si="18"/>
        <v>19.126028886821196</v>
      </c>
      <c r="P18" s="29">
        <f t="shared" si="18"/>
        <v>132.00710133649142</v>
      </c>
      <c r="Q18" s="29">
        <f t="shared" si="18"/>
        <v>33.75181568262564</v>
      </c>
      <c r="R18" s="29">
        <f t="shared" si="18"/>
        <v>33.75181568262564</v>
      </c>
      <c r="S18" s="29">
        <f t="shared" si="18"/>
        <v>23.626270977837951</v>
      </c>
      <c r="T18" s="29">
        <f t="shared" si="18"/>
        <v>24.001291152089347</v>
      </c>
      <c r="U18" s="38">
        <f>VLOOKUP(C18,PA!$M$13:$AA$24,11,FALSE)</f>
        <v>375.02017425139604</v>
      </c>
      <c r="V18" s="29">
        <f t="shared" si="15"/>
        <v>57.378086660463595</v>
      </c>
    </row>
    <row r="19" spans="1:23">
      <c r="A19" t="s">
        <v>79</v>
      </c>
      <c r="B19" s="33" t="s">
        <v>36</v>
      </c>
      <c r="C19" s="33" t="s">
        <v>13</v>
      </c>
      <c r="D19" s="33">
        <v>2</v>
      </c>
      <c r="E19" s="33">
        <v>19</v>
      </c>
      <c r="F19" s="33">
        <v>6.6</v>
      </c>
      <c r="G19" s="33">
        <v>37</v>
      </c>
      <c r="H19" s="33">
        <v>10.8</v>
      </c>
      <c r="I19" s="33">
        <v>11.6</v>
      </c>
      <c r="J19" s="34">
        <v>7.1</v>
      </c>
      <c r="K19" s="34">
        <v>8</v>
      </c>
      <c r="L19" s="34">
        <f t="shared" si="16"/>
        <v>102.09999999999998</v>
      </c>
      <c r="M19" s="34">
        <f t="shared" si="17"/>
        <v>18.7</v>
      </c>
      <c r="N19" s="29">
        <f t="shared" si="8"/>
        <v>53.556851856269319</v>
      </c>
      <c r="O19" s="29">
        <f t="shared" si="9"/>
        <v>18.603959065861975</v>
      </c>
      <c r="P19" s="29">
        <f t="shared" si="10"/>
        <v>104.29492203589288</v>
      </c>
      <c r="Q19" s="29">
        <f t="shared" si="11"/>
        <v>30.44284210777414</v>
      </c>
      <c r="R19" s="29">
        <f t="shared" si="12"/>
        <v>32.697867449090737</v>
      </c>
      <c r="S19" s="29">
        <f t="shared" si="13"/>
        <v>20.013349904184849</v>
      </c>
      <c r="T19" s="29">
        <f t="shared" si="14"/>
        <v>22.550253413166029</v>
      </c>
      <c r="U19" s="38">
        <f>VLOOKUP(C19,PA!$M$13:$AA$24,11,FALSE)</f>
        <v>281.87816766457536</v>
      </c>
      <c r="V19" s="29">
        <f t="shared" si="15"/>
        <v>52.711217353275586</v>
      </c>
    </row>
    <row r="20" spans="1:23">
      <c r="A20" t="s">
        <v>79</v>
      </c>
      <c r="B20" s="33" t="s">
        <v>34</v>
      </c>
      <c r="C20" s="33" t="s">
        <v>21</v>
      </c>
      <c r="D20" s="33">
        <v>2</v>
      </c>
      <c r="E20" s="33">
        <v>23</v>
      </c>
      <c r="F20" s="33">
        <v>6</v>
      </c>
      <c r="G20" s="33">
        <v>33.299999999999997</v>
      </c>
      <c r="H20" s="33">
        <v>9.9</v>
      </c>
      <c r="I20" s="33">
        <v>12.3</v>
      </c>
      <c r="J20" s="34">
        <v>6.9</v>
      </c>
      <c r="K20" s="34">
        <v>8.5</v>
      </c>
      <c r="L20" s="34">
        <f t="shared" si="16"/>
        <v>101.9</v>
      </c>
      <c r="M20" s="34">
        <f t="shared" si="17"/>
        <v>19.200000000000003</v>
      </c>
      <c r="N20" s="29">
        <f t="shared" si="8"/>
        <v>41.117927530354756</v>
      </c>
      <c r="O20" s="29">
        <f t="shared" si="9"/>
        <v>10.726415877483849</v>
      </c>
      <c r="P20" s="29">
        <f t="shared" si="10"/>
        <v>59.531608120035358</v>
      </c>
      <c r="Q20" s="29">
        <f t="shared" si="11"/>
        <v>17.698586197848353</v>
      </c>
      <c r="R20" s="29">
        <f t="shared" si="12"/>
        <v>21.989152548841894</v>
      </c>
      <c r="S20" s="29">
        <f t="shared" si="13"/>
        <v>12.335378259106427</v>
      </c>
      <c r="T20" s="29">
        <f t="shared" si="14"/>
        <v>15.195755826435455</v>
      </c>
      <c r="U20" s="38">
        <f>VLOOKUP(C20,PA!$M$13:$AA$24,11,FALSE)</f>
        <v>178.77359795806416</v>
      </c>
      <c r="V20" s="29">
        <f t="shared" si="15"/>
        <v>34.324530807948321</v>
      </c>
    </row>
    <row r="21" spans="1:23">
      <c r="A21" t="s">
        <v>79</v>
      </c>
      <c r="B21" s="33" t="s">
        <v>42</v>
      </c>
      <c r="C21" s="33" t="s">
        <v>23</v>
      </c>
      <c r="D21" s="33">
        <v>2</v>
      </c>
      <c r="E21" s="33">
        <v>27.8</v>
      </c>
      <c r="F21" s="33">
        <v>6.5</v>
      </c>
      <c r="G21" s="33">
        <v>30.5</v>
      </c>
      <c r="H21" s="33">
        <v>9.6</v>
      </c>
      <c r="I21" s="33">
        <v>10.199999999999999</v>
      </c>
      <c r="J21" s="34">
        <v>6.5</v>
      </c>
      <c r="K21" s="34">
        <v>8.6999999999999993</v>
      </c>
      <c r="L21" s="34">
        <f t="shared" si="16"/>
        <v>101.8</v>
      </c>
      <c r="M21" s="34">
        <f t="shared" si="17"/>
        <v>16.7</v>
      </c>
      <c r="N21" s="29">
        <f t="shared" si="8"/>
        <v>65.506909090909161</v>
      </c>
      <c r="O21" s="29">
        <f t="shared" si="9"/>
        <v>15.316363636363651</v>
      </c>
      <c r="P21" s="29">
        <f t="shared" si="10"/>
        <v>71.869090909090971</v>
      </c>
      <c r="Q21" s="29">
        <f t="shared" si="11"/>
        <v>22.621090909090931</v>
      </c>
      <c r="R21" s="29">
        <f t="shared" si="12"/>
        <v>24.03490909090911</v>
      </c>
      <c r="S21" s="29">
        <f t="shared" si="13"/>
        <v>15.316363636363651</v>
      </c>
      <c r="T21" s="29">
        <f t="shared" si="14"/>
        <v>20.500363636363655</v>
      </c>
      <c r="U21" s="38">
        <f>VLOOKUP(C21,PA!$M$13:$AA$24,11,FALSE)</f>
        <v>235.63636363636385</v>
      </c>
      <c r="V21" s="29">
        <f t="shared" si="15"/>
        <v>39.351272727272757</v>
      </c>
    </row>
    <row r="22" spans="1:23">
      <c r="A22" t="s">
        <v>79</v>
      </c>
      <c r="B22" s="33" t="s">
        <v>37</v>
      </c>
      <c r="C22" s="33" t="s">
        <v>17</v>
      </c>
      <c r="D22" s="33">
        <v>2</v>
      </c>
      <c r="E22" s="33">
        <v>14.4</v>
      </c>
      <c r="F22" s="33">
        <v>6.5</v>
      </c>
      <c r="G22" s="33">
        <v>37.200000000000003</v>
      </c>
      <c r="H22" s="33">
        <v>11.8</v>
      </c>
      <c r="I22" s="33">
        <v>13.1</v>
      </c>
      <c r="J22" s="34">
        <v>8</v>
      </c>
      <c r="K22" s="34">
        <v>9</v>
      </c>
      <c r="L22" s="34">
        <f t="shared" si="16"/>
        <v>102</v>
      </c>
      <c r="M22" s="34">
        <f t="shared" si="17"/>
        <v>21.1</v>
      </c>
      <c r="N22" s="29">
        <f t="shared" si="8"/>
        <v>37.289307182557671</v>
      </c>
      <c r="O22" s="29">
        <f t="shared" si="9"/>
        <v>16.831978936571169</v>
      </c>
      <c r="P22" s="29">
        <f t="shared" si="10"/>
        <v>96.330710221607319</v>
      </c>
      <c r="Q22" s="29">
        <f t="shared" si="11"/>
        <v>30.5565156079292</v>
      </c>
      <c r="R22" s="29">
        <f t="shared" si="12"/>
        <v>33.922911395243432</v>
      </c>
      <c r="S22" s="29">
        <f t="shared" si="13"/>
        <v>20.716281768087594</v>
      </c>
      <c r="T22" s="29">
        <f t="shared" si="14"/>
        <v>23.305816989098542</v>
      </c>
      <c r="U22" s="38">
        <f>VLOOKUP(C22,PA!$M$13:$AA$24,11,FALSE)</f>
        <v>258.9535221010949</v>
      </c>
      <c r="V22" s="29">
        <f t="shared" si="15"/>
        <v>54.639193163331029</v>
      </c>
    </row>
    <row r="23" spans="1:23">
      <c r="A23" t="s">
        <v>79</v>
      </c>
      <c r="B23" s="33" t="s">
        <v>41</v>
      </c>
      <c r="C23" s="33" t="s">
        <v>25</v>
      </c>
      <c r="D23" s="33">
        <v>2</v>
      </c>
      <c r="E23" s="33">
        <v>20.2</v>
      </c>
      <c r="F23" s="33">
        <v>5.4</v>
      </c>
      <c r="G23" s="33">
        <v>43.7</v>
      </c>
      <c r="H23" s="33">
        <v>10.7</v>
      </c>
      <c r="I23" s="33">
        <v>9.1</v>
      </c>
      <c r="J23" s="34">
        <v>3.4</v>
      </c>
      <c r="K23" s="34">
        <v>7.5</v>
      </c>
      <c r="L23" s="34">
        <f t="shared" si="16"/>
        <v>102.00000000000001</v>
      </c>
      <c r="M23" s="34">
        <f t="shared" si="17"/>
        <v>12.5</v>
      </c>
      <c r="N23" s="29">
        <f t="shared" si="8"/>
        <v>27.223384615384639</v>
      </c>
      <c r="O23" s="29">
        <f t="shared" si="9"/>
        <v>7.2775384615384686</v>
      </c>
      <c r="P23" s="29">
        <f t="shared" si="10"/>
        <v>58.894153846153905</v>
      </c>
      <c r="Q23" s="29">
        <f t="shared" si="11"/>
        <v>14.420307692307704</v>
      </c>
      <c r="R23" s="29">
        <f t="shared" si="12"/>
        <v>12.26400000000001</v>
      </c>
      <c r="S23" s="29">
        <f t="shared" si="13"/>
        <v>4.5821538461538509</v>
      </c>
      <c r="T23" s="29">
        <f t="shared" si="14"/>
        <v>10.107692307692316</v>
      </c>
      <c r="U23" s="38">
        <f>VLOOKUP(C23,PA!$M$13:$AA$24,11,FALSE)</f>
        <v>134.76923076923089</v>
      </c>
      <c r="V23" s="29">
        <f t="shared" si="15"/>
        <v>16.846153846153861</v>
      </c>
    </row>
    <row r="24" spans="1:23">
      <c r="A24" t="s">
        <v>79</v>
      </c>
      <c r="B24" s="33" t="s">
        <v>33</v>
      </c>
      <c r="C24" s="33" t="s">
        <v>5</v>
      </c>
      <c r="D24" s="33">
        <v>2</v>
      </c>
      <c r="E24" s="33">
        <v>4.5999999999999996</v>
      </c>
      <c r="F24" s="33">
        <v>5.4</v>
      </c>
      <c r="G24" s="33">
        <v>61</v>
      </c>
      <c r="H24" s="33">
        <v>10.7</v>
      </c>
      <c r="I24" s="33">
        <v>9.6</v>
      </c>
      <c r="J24" s="34">
        <v>5.5</v>
      </c>
      <c r="K24" s="34">
        <v>3.2</v>
      </c>
      <c r="L24" s="34">
        <f t="shared" si="16"/>
        <v>102</v>
      </c>
      <c r="M24" s="34">
        <f t="shared" si="17"/>
        <v>15.1</v>
      </c>
      <c r="N24" s="29">
        <f t="shared" si="8"/>
        <v>20.3620333770664</v>
      </c>
      <c r="O24" s="29">
        <f t="shared" si="9"/>
        <v>23.90325657307795</v>
      </c>
      <c r="P24" s="29">
        <f t="shared" si="10"/>
        <v>270.01826869588052</v>
      </c>
      <c r="Q24" s="29">
        <f t="shared" si="11"/>
        <v>47.363860246654454</v>
      </c>
      <c r="R24" s="29">
        <f t="shared" si="12"/>
        <v>42.494678352138571</v>
      </c>
      <c r="S24" s="29">
        <f t="shared" si="13"/>
        <v>24.34590947257939</v>
      </c>
      <c r="T24" s="29">
        <f t="shared" si="14"/>
        <v>14.164892784046192</v>
      </c>
      <c r="U24" s="38">
        <f>VLOOKUP(C24,PA!$M$13:$AA$24,11,FALSE)</f>
        <v>442.65289950144347</v>
      </c>
      <c r="V24" s="29">
        <f t="shared" si="15"/>
        <v>66.840587824717957</v>
      </c>
    </row>
    <row r="25" spans="1:23" s="29" customFormat="1">
      <c r="A25" t="s">
        <v>79</v>
      </c>
      <c r="B25" s="30" t="s">
        <v>20</v>
      </c>
      <c r="C25" s="29" t="s">
        <v>19</v>
      </c>
      <c r="D25" s="29">
        <v>6</v>
      </c>
      <c r="E25" s="29">
        <v>19.3</v>
      </c>
      <c r="F25" s="29">
        <v>6.7</v>
      </c>
      <c r="G25" s="29">
        <v>38</v>
      </c>
      <c r="H25" s="29">
        <v>9.3000000000000007</v>
      </c>
      <c r="I25" s="29">
        <v>13.1</v>
      </c>
      <c r="J25" s="29">
        <v>6.1</v>
      </c>
      <c r="K25" s="29">
        <v>7.5</v>
      </c>
      <c r="L25" s="29">
        <f t="shared" ref="L25:L35" si="19">SUM(D25:K25)</f>
        <v>105.99999999999999</v>
      </c>
      <c r="M25" s="29">
        <f t="shared" ref="M25:M35" si="20">I25+J25</f>
        <v>19.2</v>
      </c>
      <c r="N25" s="29">
        <f t="shared" ref="N25:N35" si="21">E25*0.01*$U25</f>
        <v>18.5556303958797</v>
      </c>
      <c r="O25" s="29">
        <f t="shared" ref="O25:O35" si="22">F25*0.01*$U25</f>
        <v>6.4415918990877721</v>
      </c>
      <c r="P25" s="29">
        <f t="shared" ref="P25:P35" si="23">G25*0.01*$U25</f>
        <v>36.534401815721694</v>
      </c>
      <c r="Q25" s="29">
        <f t="shared" ref="Q25:Q35" si="24">H25*0.01*$U25</f>
        <v>8.941314128584521</v>
      </c>
      <c r="R25" s="29">
        <f t="shared" ref="R25:R35" si="25">I25*0.01*$U25</f>
        <v>12.594754310156688</v>
      </c>
      <c r="S25" s="29">
        <f t="shared" ref="S25:S35" si="26">J25*0.01*$U25</f>
        <v>5.8647329230500604</v>
      </c>
      <c r="T25" s="29">
        <f t="shared" ref="T25:T35" si="27">K25*0.01*$U25</f>
        <v>7.2107372004713861</v>
      </c>
      <c r="U25" s="38">
        <f>VLOOKUP(C25,PA!$M$13:$AA$24,15,FALSE)</f>
        <v>96.143162672951817</v>
      </c>
      <c r="V25" s="29">
        <f t="shared" si="15"/>
        <v>18.459487233206747</v>
      </c>
      <c r="W25" s="34"/>
    </row>
    <row r="26" spans="1:23">
      <c r="A26" t="s">
        <v>79</v>
      </c>
      <c r="B26" s="33" t="s">
        <v>10</v>
      </c>
      <c r="C26" s="33" t="s">
        <v>9</v>
      </c>
      <c r="D26" s="33">
        <v>6</v>
      </c>
      <c r="E26" s="33">
        <v>20.399999999999999</v>
      </c>
      <c r="F26" s="33">
        <v>6.4</v>
      </c>
      <c r="G26" s="33">
        <v>33.1</v>
      </c>
      <c r="H26" s="33">
        <v>11.6</v>
      </c>
      <c r="I26" s="33">
        <v>12.7</v>
      </c>
      <c r="J26" s="34">
        <v>7.8</v>
      </c>
      <c r="K26" s="34">
        <v>7.9</v>
      </c>
      <c r="L26" s="34">
        <f t="shared" si="19"/>
        <v>105.9</v>
      </c>
      <c r="M26" s="34">
        <f t="shared" si="20"/>
        <v>20.5</v>
      </c>
      <c r="N26" s="29">
        <f t="shared" si="21"/>
        <v>30.661985800873914</v>
      </c>
      <c r="O26" s="29">
        <f t="shared" si="22"/>
        <v>9.6194465257643671</v>
      </c>
      <c r="P26" s="29">
        <f t="shared" si="23"/>
        <v>49.750575000437586</v>
      </c>
      <c r="Q26" s="29">
        <f t="shared" si="24"/>
        <v>17.43524682794791</v>
      </c>
      <c r="R26" s="29">
        <f t="shared" si="25"/>
        <v>19.088589199563664</v>
      </c>
      <c r="S26" s="29">
        <f t="shared" si="26"/>
        <v>11.72370045327532</v>
      </c>
      <c r="T26" s="29">
        <f t="shared" si="27"/>
        <v>11.874004305240389</v>
      </c>
      <c r="U26" s="38">
        <f>VLOOKUP(C26,PA!$M$13:$AA$24,15,FALSE)</f>
        <v>150.30385196506822</v>
      </c>
      <c r="V26" s="29">
        <f t="shared" si="15"/>
        <v>30.812289652838984</v>
      </c>
    </row>
    <row r="27" spans="1:23">
      <c r="A27" t="s">
        <v>79</v>
      </c>
      <c r="B27" s="35" t="s">
        <v>66</v>
      </c>
      <c r="C27" s="34" t="s">
        <v>11</v>
      </c>
      <c r="D27" s="34">
        <v>6</v>
      </c>
      <c r="E27" s="34">
        <v>25.2</v>
      </c>
      <c r="F27" s="34">
        <v>7.5</v>
      </c>
      <c r="G27" s="34">
        <v>32</v>
      </c>
      <c r="H27" s="34">
        <v>9.3000000000000007</v>
      </c>
      <c r="I27" s="34">
        <v>11.4</v>
      </c>
      <c r="J27" s="34">
        <v>6.7</v>
      </c>
      <c r="K27" s="34">
        <v>8</v>
      </c>
      <c r="L27" s="34">
        <f t="shared" si="19"/>
        <v>106.10000000000001</v>
      </c>
      <c r="M27" s="34">
        <f t="shared" si="20"/>
        <v>18.100000000000001</v>
      </c>
      <c r="N27" s="29">
        <f t="shared" si="21"/>
        <v>29.862344377333173</v>
      </c>
      <c r="O27" s="29">
        <f t="shared" si="22"/>
        <v>8.8876024932539206</v>
      </c>
      <c r="P27" s="29">
        <f t="shared" si="23"/>
        <v>37.920437304550063</v>
      </c>
      <c r="Q27" s="29">
        <f t="shared" si="24"/>
        <v>11.020627091634863</v>
      </c>
      <c r="R27" s="29">
        <f t="shared" si="25"/>
        <v>13.509155789745959</v>
      </c>
      <c r="S27" s="29">
        <f t="shared" si="26"/>
        <v>7.939591560640169</v>
      </c>
      <c r="T27" s="29">
        <f t="shared" si="27"/>
        <v>9.4801093261375158</v>
      </c>
      <c r="U27" s="38">
        <f>VLOOKUP(C27,PA!$M$13:$AA$24,15,FALSE)</f>
        <v>118.50136657671894</v>
      </c>
      <c r="V27" s="29">
        <f t="shared" si="15"/>
        <v>21.448747350386128</v>
      </c>
    </row>
    <row r="28" spans="1:23">
      <c r="A28" t="s">
        <v>79</v>
      </c>
      <c r="B28" s="36" t="s">
        <v>61</v>
      </c>
      <c r="C28" s="34" t="s">
        <v>15</v>
      </c>
      <c r="D28" s="34">
        <v>6</v>
      </c>
      <c r="E28" s="34">
        <v>25.2</v>
      </c>
      <c r="F28" s="34">
        <v>6.3</v>
      </c>
      <c r="G28" s="34">
        <v>31</v>
      </c>
      <c r="H28" s="34">
        <v>8.1</v>
      </c>
      <c r="I28" s="34">
        <v>13.9</v>
      </c>
      <c r="J28" s="34">
        <v>6.8</v>
      </c>
      <c r="K28" s="34">
        <v>8.6999999999999993</v>
      </c>
      <c r="L28" s="34">
        <f t="shared" si="19"/>
        <v>106</v>
      </c>
      <c r="M28" s="34">
        <f t="shared" si="20"/>
        <v>20.7</v>
      </c>
      <c r="N28" s="29">
        <f t="shared" si="21"/>
        <v>23.816567962397286</v>
      </c>
      <c r="O28" s="29">
        <f t="shared" si="22"/>
        <v>5.9541419905993216</v>
      </c>
      <c r="P28" s="29">
        <f t="shared" si="23"/>
        <v>29.298159001361739</v>
      </c>
      <c r="Q28" s="29">
        <f t="shared" si="24"/>
        <v>7.6553254164848425</v>
      </c>
      <c r="R28" s="29">
        <f t="shared" si="25"/>
        <v>13.136916455449297</v>
      </c>
      <c r="S28" s="29">
        <f t="shared" si="26"/>
        <v>6.4266929422341885</v>
      </c>
      <c r="T28" s="29">
        <f t="shared" si="27"/>
        <v>8.2223865584466811</v>
      </c>
      <c r="U28" s="38">
        <f>VLOOKUP(C28,PA!$M$13:$AA$24,15,FALSE)</f>
        <v>94.510190326973358</v>
      </c>
      <c r="V28" s="29">
        <f t="shared" si="15"/>
        <v>19.563609397683486</v>
      </c>
    </row>
    <row r="29" spans="1:23">
      <c r="A29" t="s">
        <v>79</v>
      </c>
      <c r="B29" s="33" t="s">
        <v>38</v>
      </c>
      <c r="C29" s="34" t="s">
        <v>7</v>
      </c>
      <c r="D29" s="34">
        <v>6</v>
      </c>
      <c r="E29" s="34">
        <v>28.5</v>
      </c>
      <c r="F29" s="34">
        <v>5.7</v>
      </c>
      <c r="G29" s="34">
        <v>29.9</v>
      </c>
      <c r="H29" s="34">
        <v>10.5</v>
      </c>
      <c r="I29" s="34">
        <v>10.9</v>
      </c>
      <c r="J29" s="34">
        <v>7</v>
      </c>
      <c r="K29" s="34">
        <v>7.5</v>
      </c>
      <c r="L29" s="34">
        <f t="shared" si="19"/>
        <v>106</v>
      </c>
      <c r="M29" s="34">
        <f t="shared" si="20"/>
        <v>17.899999999999999</v>
      </c>
      <c r="N29" s="29">
        <f t="shared" si="21"/>
        <v>50.996876906877283</v>
      </c>
      <c r="O29" s="29">
        <f t="shared" si="22"/>
        <v>10.199375381375456</v>
      </c>
      <c r="P29" s="29">
        <f t="shared" si="23"/>
        <v>53.501986649671245</v>
      </c>
      <c r="Q29" s="29">
        <f t="shared" si="24"/>
        <v>18.788323070954785</v>
      </c>
      <c r="R29" s="29">
        <f t="shared" si="25"/>
        <v>19.504068711753064</v>
      </c>
      <c r="S29" s="29">
        <f t="shared" si="26"/>
        <v>12.525548713969858</v>
      </c>
      <c r="T29" s="29">
        <f t="shared" si="27"/>
        <v>13.420230764967704</v>
      </c>
      <c r="U29" s="38">
        <f>VLOOKUP(C29,PA!$M$13:$AA$24,15,FALSE)</f>
        <v>178.93641019956939</v>
      </c>
      <c r="V29" s="29">
        <f t="shared" si="15"/>
        <v>32.029617425722918</v>
      </c>
    </row>
    <row r="30" spans="1:23">
      <c r="A30" t="s">
        <v>79</v>
      </c>
      <c r="B30" s="33" t="s">
        <v>36</v>
      </c>
      <c r="C30" s="33" t="s">
        <v>13</v>
      </c>
      <c r="D30" s="33">
        <v>6</v>
      </c>
      <c r="E30" s="33">
        <v>20.7</v>
      </c>
      <c r="F30" s="33">
        <v>6.8</v>
      </c>
      <c r="G30" s="33">
        <v>39</v>
      </c>
      <c r="H30" s="33">
        <v>10.6</v>
      </c>
      <c r="I30" s="33">
        <v>11.8</v>
      </c>
      <c r="J30" s="34">
        <v>5.3</v>
      </c>
      <c r="K30" s="34">
        <v>5.9</v>
      </c>
      <c r="L30" s="34">
        <f t="shared" si="19"/>
        <v>106.1</v>
      </c>
      <c r="M30" s="34">
        <f t="shared" si="20"/>
        <v>17.100000000000001</v>
      </c>
      <c r="N30" s="29">
        <f t="shared" si="21"/>
        <v>23.335737124591457</v>
      </c>
      <c r="O30" s="29">
        <f t="shared" si="22"/>
        <v>7.6658460119430885</v>
      </c>
      <c r="P30" s="29">
        <f t="shared" si="23"/>
        <v>43.965881539085359</v>
      </c>
      <c r="Q30" s="29">
        <f t="shared" si="24"/>
        <v>11.949701136264224</v>
      </c>
      <c r="R30" s="29">
        <f t="shared" si="25"/>
        <v>13.302497491313005</v>
      </c>
      <c r="S30" s="29">
        <f t="shared" si="26"/>
        <v>5.974850568132112</v>
      </c>
      <c r="T30" s="29">
        <f t="shared" si="27"/>
        <v>6.6512487456565026</v>
      </c>
      <c r="U30" s="38">
        <f>VLOOKUP(C30,PA!$M$13:$AA$24,15,FALSE)</f>
        <v>112.73302958739835</v>
      </c>
      <c r="V30" s="29">
        <f t="shared" si="15"/>
        <v>19.277348059445117</v>
      </c>
    </row>
    <row r="31" spans="1:23">
      <c r="A31" t="s">
        <v>79</v>
      </c>
      <c r="B31" s="33" t="s">
        <v>34</v>
      </c>
      <c r="C31" s="33" t="s">
        <v>21</v>
      </c>
      <c r="D31" s="33">
        <v>6</v>
      </c>
      <c r="E31" s="33">
        <v>22.7</v>
      </c>
      <c r="F31" s="33">
        <v>7.4</v>
      </c>
      <c r="G31" s="33">
        <v>28.2</v>
      </c>
      <c r="H31" s="33">
        <v>10.9</v>
      </c>
      <c r="I31" s="33">
        <v>11.8</v>
      </c>
      <c r="J31" s="34">
        <v>8.6</v>
      </c>
      <c r="K31" s="34">
        <v>10.3</v>
      </c>
      <c r="L31" s="34">
        <f t="shared" si="19"/>
        <v>105.89999999999999</v>
      </c>
      <c r="M31" s="34">
        <f t="shared" si="20"/>
        <v>20.399999999999999</v>
      </c>
      <c r="N31" s="29">
        <f t="shared" si="21"/>
        <v>16.259223587223566</v>
      </c>
      <c r="O31" s="29">
        <f t="shared" si="22"/>
        <v>5.3003636363636302</v>
      </c>
      <c r="P31" s="29">
        <f t="shared" si="23"/>
        <v>20.198683046683016</v>
      </c>
      <c r="Q31" s="29">
        <f t="shared" si="24"/>
        <v>7.8072923832923724</v>
      </c>
      <c r="R31" s="29">
        <f t="shared" si="25"/>
        <v>8.451931203931192</v>
      </c>
      <c r="S31" s="29">
        <f t="shared" si="26"/>
        <v>6.1598820638820548</v>
      </c>
      <c r="T31" s="29">
        <f t="shared" si="27"/>
        <v>7.3775331695331596</v>
      </c>
      <c r="U31" s="38">
        <f>VLOOKUP(C31,PA!$M$13:$AA$24,15,FALSE)</f>
        <v>71.626535626535528</v>
      </c>
      <c r="V31" s="29">
        <f t="shared" si="15"/>
        <v>14.611813267813247</v>
      </c>
    </row>
    <row r="32" spans="1:23">
      <c r="A32" t="s">
        <v>79</v>
      </c>
      <c r="B32" s="33" t="s">
        <v>42</v>
      </c>
      <c r="C32" s="34" t="s">
        <v>23</v>
      </c>
      <c r="D32" s="34">
        <v>6</v>
      </c>
      <c r="E32" s="34">
        <v>21.7</v>
      </c>
      <c r="F32" s="34">
        <v>7</v>
      </c>
      <c r="G32" s="34">
        <v>31.7</v>
      </c>
      <c r="H32" s="34">
        <v>9.3000000000000007</v>
      </c>
      <c r="I32" s="34">
        <v>14.3</v>
      </c>
      <c r="J32" s="34">
        <v>7</v>
      </c>
      <c r="K32" s="34">
        <v>9.1999999999999993</v>
      </c>
      <c r="L32" s="34">
        <f t="shared" si="19"/>
        <v>106.2</v>
      </c>
      <c r="M32" s="34">
        <f t="shared" si="20"/>
        <v>21.3</v>
      </c>
      <c r="N32" s="29">
        <f t="shared" si="21"/>
        <v>17.044363636363656</v>
      </c>
      <c r="O32" s="29">
        <f t="shared" si="22"/>
        <v>5.4981818181818252</v>
      </c>
      <c r="P32" s="29">
        <f t="shared" si="23"/>
        <v>24.898909090909118</v>
      </c>
      <c r="Q32" s="29">
        <f t="shared" si="24"/>
        <v>7.3047272727272814</v>
      </c>
      <c r="R32" s="29">
        <f t="shared" si="25"/>
        <v>11.232000000000014</v>
      </c>
      <c r="S32" s="29">
        <f t="shared" si="26"/>
        <v>5.4981818181818252</v>
      </c>
      <c r="T32" s="29">
        <f t="shared" si="27"/>
        <v>7.2261818181818258</v>
      </c>
      <c r="U32" s="38">
        <f>VLOOKUP(C32,PA!$M$13:$AA$24,15,FALSE)</f>
        <v>78.545454545454632</v>
      </c>
      <c r="V32" s="29">
        <f t="shared" si="15"/>
        <v>16.73018181818184</v>
      </c>
    </row>
    <row r="33" spans="1:22">
      <c r="A33" t="s">
        <v>79</v>
      </c>
      <c r="B33" s="33" t="s">
        <v>37</v>
      </c>
      <c r="C33" s="33" t="s">
        <v>17</v>
      </c>
      <c r="D33" s="33">
        <v>6</v>
      </c>
      <c r="E33" s="33">
        <v>17.600000000000001</v>
      </c>
      <c r="F33" s="33">
        <v>6.8</v>
      </c>
      <c r="G33" s="33">
        <v>37.700000000000003</v>
      </c>
      <c r="H33" s="33">
        <v>10.3</v>
      </c>
      <c r="I33" s="33">
        <v>13.2</v>
      </c>
      <c r="J33" s="34">
        <v>6.7</v>
      </c>
      <c r="K33" s="34">
        <v>7.6</v>
      </c>
      <c r="L33" s="34">
        <f t="shared" si="19"/>
        <v>105.9</v>
      </c>
      <c r="M33" s="34">
        <f t="shared" si="20"/>
        <v>19.899999999999999</v>
      </c>
      <c r="N33" s="29">
        <f t="shared" si="21"/>
        <v>16.705030280766199</v>
      </c>
      <c r="O33" s="29">
        <f t="shared" si="22"/>
        <v>6.4542162448414855</v>
      </c>
      <c r="P33" s="29">
        <f t="shared" si="23"/>
        <v>35.782934180959415</v>
      </c>
      <c r="Q33" s="29">
        <f t="shared" si="24"/>
        <v>9.7762393120393085</v>
      </c>
      <c r="R33" s="29">
        <f t="shared" si="25"/>
        <v>12.528772710574648</v>
      </c>
      <c r="S33" s="29">
        <f t="shared" si="26"/>
        <v>6.3593013000644047</v>
      </c>
      <c r="T33" s="29">
        <f t="shared" si="27"/>
        <v>7.2135358030581305</v>
      </c>
      <c r="U33" s="38">
        <f>VLOOKUP(C33,PA!$M$13:$AA$24,15,FALSE)</f>
        <v>94.914944777080663</v>
      </c>
      <c r="V33" s="29">
        <f t="shared" si="15"/>
        <v>18.888074010639052</v>
      </c>
    </row>
    <row r="34" spans="1:22">
      <c r="A34" t="s">
        <v>79</v>
      </c>
      <c r="B34" s="33" t="s">
        <v>41</v>
      </c>
      <c r="C34" s="34" t="s">
        <v>25</v>
      </c>
      <c r="D34" s="34">
        <v>6</v>
      </c>
      <c r="E34" s="34">
        <v>20.8</v>
      </c>
      <c r="F34" s="34">
        <v>5.5</v>
      </c>
      <c r="G34" s="34">
        <v>36.4</v>
      </c>
      <c r="H34" s="34">
        <v>11.3</v>
      </c>
      <c r="I34" s="34">
        <v>10.7</v>
      </c>
      <c r="J34" s="34">
        <v>6.4</v>
      </c>
      <c r="K34" s="34">
        <v>9</v>
      </c>
      <c r="L34" s="34">
        <f t="shared" si="19"/>
        <v>106.1</v>
      </c>
      <c r="M34" s="34">
        <f t="shared" si="20"/>
        <v>17.100000000000001</v>
      </c>
      <c r="N34" s="29">
        <f t="shared" si="21"/>
        <v>14.759272727272727</v>
      </c>
      <c r="O34" s="29">
        <f t="shared" si="22"/>
        <v>3.9026923076923072</v>
      </c>
      <c r="P34" s="29">
        <f t="shared" si="23"/>
        <v>25.828727272727267</v>
      </c>
      <c r="Q34" s="29">
        <f t="shared" si="24"/>
        <v>8.0182587412587409</v>
      </c>
      <c r="R34" s="29">
        <f t="shared" si="25"/>
        <v>7.592510489510488</v>
      </c>
      <c r="S34" s="29">
        <f t="shared" si="26"/>
        <v>4.5413146853146849</v>
      </c>
      <c r="T34" s="29">
        <f t="shared" si="27"/>
        <v>6.3862237762237752</v>
      </c>
      <c r="U34" s="38">
        <f>VLOOKUP(C34,PA!$M$13:$AA$24,15,FALSE)</f>
        <v>70.958041958041946</v>
      </c>
      <c r="V34" s="29">
        <f t="shared" si="15"/>
        <v>12.133825174825173</v>
      </c>
    </row>
    <row r="35" spans="1:22">
      <c r="A35" t="s">
        <v>79</v>
      </c>
      <c r="B35" s="33" t="s">
        <v>33</v>
      </c>
      <c r="C35" s="33" t="s">
        <v>5</v>
      </c>
      <c r="D35" s="33">
        <v>6</v>
      </c>
      <c r="E35" s="33">
        <v>5.7</v>
      </c>
      <c r="F35" s="33">
        <v>5.9</v>
      </c>
      <c r="G35" s="33">
        <v>52.6</v>
      </c>
      <c r="H35" s="33">
        <v>11.8</v>
      </c>
      <c r="I35" s="33">
        <v>12.6</v>
      </c>
      <c r="J35" s="34">
        <v>6.4</v>
      </c>
      <c r="K35" s="34">
        <v>5</v>
      </c>
      <c r="L35" s="34">
        <f t="shared" si="19"/>
        <v>106</v>
      </c>
      <c r="M35" s="34">
        <f t="shared" si="20"/>
        <v>19</v>
      </c>
      <c r="N35" s="29">
        <f t="shared" si="21"/>
        <v>9.8898803988454613</v>
      </c>
      <c r="O35" s="29">
        <f t="shared" si="22"/>
        <v>10.236893746173374</v>
      </c>
      <c r="P35" s="29">
        <f t="shared" si="23"/>
        <v>91.264510347240574</v>
      </c>
      <c r="Q35" s="29">
        <f t="shared" si="24"/>
        <v>20.473787492346748</v>
      </c>
      <c r="R35" s="29">
        <f t="shared" si="25"/>
        <v>21.861840881658388</v>
      </c>
      <c r="S35" s="29">
        <f t="shared" si="26"/>
        <v>11.10442711449315</v>
      </c>
      <c r="T35" s="29">
        <f t="shared" si="27"/>
        <v>8.6753336831977741</v>
      </c>
      <c r="U35" s="38">
        <f>VLOOKUP(C35,PA!$M$13:$AA$24,15,FALSE)</f>
        <v>173.50667366395547</v>
      </c>
      <c r="V35" s="29">
        <f t="shared" si="15"/>
        <v>32.966267996151537</v>
      </c>
    </row>
  </sheetData>
  <sortState xmlns:xlrd2="http://schemas.microsoft.com/office/spreadsheetml/2017/richdata2" ref="B26:M35">
    <sortCondition ref="C25:C35"/>
  </sortState>
  <mergeCells count="2">
    <mergeCell ref="E1:K1"/>
    <mergeCell ref="N1:T1"/>
  </mergeCells>
  <phoneticPr fontId="7" type="noConversion"/>
  <pageMargins left="0.7" right="0.7" top="0.75" bottom="0.75" header="0.3" footer="0.3"/>
  <pageSetup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A4033-7020-48C4-82A6-1099C1BB5A5E}">
  <dimension ref="A1:K12"/>
  <sheetViews>
    <sheetView zoomScale="85" zoomScaleNormal="85" workbookViewId="0">
      <selection activeCell="E52" sqref="E52:E53"/>
    </sheetView>
  </sheetViews>
  <sheetFormatPr defaultRowHeight="14.4"/>
  <cols>
    <col min="1" max="1" width="18.88671875" bestFit="1" customWidth="1"/>
  </cols>
  <sheetData>
    <row r="1" spans="1:11">
      <c r="A1" s="3" t="s">
        <v>43</v>
      </c>
      <c r="B1" s="3" t="s">
        <v>45</v>
      </c>
      <c r="C1" s="3" t="s">
        <v>46</v>
      </c>
      <c r="D1" s="3" t="s">
        <v>44</v>
      </c>
      <c r="E1" s="3" t="s">
        <v>27</v>
      </c>
      <c r="F1" s="3" t="s">
        <v>28</v>
      </c>
      <c r="G1" s="3" t="s">
        <v>29</v>
      </c>
      <c r="H1" s="3" t="s">
        <v>30</v>
      </c>
      <c r="I1" s="3" t="s">
        <v>31</v>
      </c>
      <c r="J1" s="3" t="s">
        <v>32</v>
      </c>
      <c r="K1" s="3" t="s">
        <v>48</v>
      </c>
    </row>
    <row r="2" spans="1:11">
      <c r="A2" t="s">
        <v>33</v>
      </c>
      <c r="B2" t="s">
        <v>5</v>
      </c>
      <c r="C2">
        <v>0</v>
      </c>
      <c r="D2">
        <v>1.7</v>
      </c>
      <c r="E2">
        <v>3.2</v>
      </c>
      <c r="F2">
        <v>66.400000000000006</v>
      </c>
      <c r="G2">
        <v>12</v>
      </c>
      <c r="H2">
        <v>9.6999999999999993</v>
      </c>
      <c r="I2">
        <v>6.1</v>
      </c>
      <c r="J2">
        <v>1</v>
      </c>
      <c r="K2">
        <f>H2+I2</f>
        <v>15.799999999999999</v>
      </c>
    </row>
    <row r="3" spans="1:11">
      <c r="A3" t="s">
        <v>10</v>
      </c>
      <c r="B3" t="s">
        <v>9</v>
      </c>
      <c r="C3">
        <v>0</v>
      </c>
      <c r="D3">
        <v>15.9</v>
      </c>
      <c r="E3">
        <v>1.7</v>
      </c>
      <c r="F3">
        <v>43.3</v>
      </c>
      <c r="G3">
        <v>16.5</v>
      </c>
      <c r="H3">
        <v>8</v>
      </c>
      <c r="I3">
        <v>11.1</v>
      </c>
      <c r="J3">
        <v>3.5</v>
      </c>
      <c r="K3">
        <f t="shared" ref="K3:K12" si="0">H3+I3</f>
        <v>19.100000000000001</v>
      </c>
    </row>
    <row r="4" spans="1:11">
      <c r="A4" t="s">
        <v>65</v>
      </c>
      <c r="B4" t="s">
        <v>21</v>
      </c>
      <c r="C4">
        <v>0</v>
      </c>
      <c r="D4">
        <v>25.8</v>
      </c>
      <c r="E4">
        <v>2.4</v>
      </c>
      <c r="F4">
        <v>43.7</v>
      </c>
      <c r="G4">
        <v>11.7</v>
      </c>
      <c r="H4">
        <v>7.1</v>
      </c>
      <c r="I4">
        <v>6.3</v>
      </c>
      <c r="J4">
        <v>2.9</v>
      </c>
      <c r="K4">
        <f t="shared" si="0"/>
        <v>13.399999999999999</v>
      </c>
    </row>
    <row r="5" spans="1:11">
      <c r="A5" t="s">
        <v>36</v>
      </c>
      <c r="B5" t="s">
        <v>13</v>
      </c>
      <c r="C5">
        <v>0</v>
      </c>
      <c r="D5">
        <v>15.7</v>
      </c>
      <c r="E5">
        <v>3.2</v>
      </c>
      <c r="F5">
        <v>48.7</v>
      </c>
      <c r="G5">
        <v>11.9</v>
      </c>
      <c r="H5">
        <v>9.6</v>
      </c>
      <c r="I5">
        <v>6</v>
      </c>
      <c r="J5">
        <v>5</v>
      </c>
      <c r="K5">
        <f t="shared" si="0"/>
        <v>15.6</v>
      </c>
    </row>
    <row r="6" spans="1:11">
      <c r="A6" t="s">
        <v>37</v>
      </c>
      <c r="B6" t="s">
        <v>17</v>
      </c>
      <c r="C6">
        <v>0</v>
      </c>
      <c r="D6">
        <v>11.3</v>
      </c>
      <c r="E6">
        <v>3.5</v>
      </c>
      <c r="F6">
        <v>54.3</v>
      </c>
      <c r="G6">
        <v>12.3</v>
      </c>
      <c r="H6">
        <v>7.5</v>
      </c>
      <c r="I6">
        <v>5.9</v>
      </c>
      <c r="J6">
        <v>5.2</v>
      </c>
      <c r="K6">
        <f t="shared" si="0"/>
        <v>13.4</v>
      </c>
    </row>
    <row r="7" spans="1:11">
      <c r="A7" t="s">
        <v>38</v>
      </c>
      <c r="B7" t="s">
        <v>7</v>
      </c>
      <c r="C7">
        <v>0</v>
      </c>
      <c r="D7">
        <v>26.8</v>
      </c>
      <c r="E7">
        <v>2.1</v>
      </c>
      <c r="F7">
        <v>40.9</v>
      </c>
      <c r="G7">
        <v>11</v>
      </c>
      <c r="H7">
        <v>7.1</v>
      </c>
      <c r="I7">
        <v>7.5</v>
      </c>
      <c r="J7">
        <v>4.7</v>
      </c>
      <c r="K7">
        <f t="shared" si="0"/>
        <v>14.6</v>
      </c>
    </row>
    <row r="8" spans="1:11">
      <c r="A8" t="s">
        <v>66</v>
      </c>
      <c r="B8" t="s">
        <v>11</v>
      </c>
      <c r="C8">
        <v>0</v>
      </c>
      <c r="D8">
        <v>23.4</v>
      </c>
      <c r="E8">
        <v>2.2000000000000002</v>
      </c>
      <c r="F8">
        <v>44.8</v>
      </c>
      <c r="G8">
        <v>10.5</v>
      </c>
      <c r="H8">
        <v>8.6</v>
      </c>
      <c r="I8">
        <v>5.9</v>
      </c>
      <c r="J8">
        <v>4.5999999999999996</v>
      </c>
      <c r="K8">
        <f t="shared" si="0"/>
        <v>14.5</v>
      </c>
    </row>
    <row r="9" spans="1:11">
      <c r="A9" t="s">
        <v>41</v>
      </c>
      <c r="B9" t="s">
        <v>25</v>
      </c>
      <c r="C9">
        <v>0</v>
      </c>
      <c r="D9">
        <v>8.8000000000000007</v>
      </c>
      <c r="E9">
        <v>1.6</v>
      </c>
      <c r="F9">
        <v>64.2</v>
      </c>
      <c r="G9">
        <v>14.5</v>
      </c>
      <c r="H9">
        <v>5.0999999999999996</v>
      </c>
      <c r="I9">
        <v>2.2999999999999998</v>
      </c>
      <c r="J9">
        <v>3.5</v>
      </c>
      <c r="K9">
        <f t="shared" si="0"/>
        <v>7.3999999999999995</v>
      </c>
    </row>
    <row r="10" spans="1:11">
      <c r="A10" t="s">
        <v>42</v>
      </c>
      <c r="B10" t="s">
        <v>23</v>
      </c>
      <c r="C10">
        <v>0</v>
      </c>
      <c r="D10">
        <v>22.8</v>
      </c>
      <c r="E10">
        <v>1.5</v>
      </c>
      <c r="F10">
        <v>42.1</v>
      </c>
      <c r="G10">
        <v>12.2</v>
      </c>
      <c r="H10">
        <v>7.3</v>
      </c>
      <c r="I10">
        <v>7.5</v>
      </c>
      <c r="J10">
        <v>6.6</v>
      </c>
      <c r="K10">
        <f t="shared" si="0"/>
        <v>14.8</v>
      </c>
    </row>
    <row r="11" spans="1:11">
      <c r="A11" t="s">
        <v>67</v>
      </c>
      <c r="B11" t="s">
        <v>15</v>
      </c>
      <c r="C11">
        <v>0</v>
      </c>
      <c r="D11">
        <v>20.5</v>
      </c>
      <c r="E11">
        <v>4.4000000000000004</v>
      </c>
      <c r="F11">
        <v>39.4</v>
      </c>
      <c r="G11">
        <v>9.9</v>
      </c>
      <c r="H11">
        <v>12.4</v>
      </c>
      <c r="I11">
        <v>6.7</v>
      </c>
      <c r="J11">
        <v>6.7</v>
      </c>
      <c r="K11">
        <f t="shared" si="0"/>
        <v>19.100000000000001</v>
      </c>
    </row>
    <row r="12" spans="1:11">
      <c r="A12" t="s">
        <v>20</v>
      </c>
      <c r="B12" t="s">
        <v>19</v>
      </c>
      <c r="C12">
        <v>0</v>
      </c>
      <c r="D12">
        <v>23.2</v>
      </c>
      <c r="E12">
        <v>1.5</v>
      </c>
      <c r="F12">
        <v>45.2</v>
      </c>
      <c r="G12">
        <v>8.6999999999999993</v>
      </c>
      <c r="H12">
        <v>9.4</v>
      </c>
      <c r="I12">
        <v>6.4</v>
      </c>
      <c r="J12">
        <v>5.5</v>
      </c>
      <c r="K12">
        <f t="shared" si="0"/>
        <v>15.8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Sheet0</vt:lpstr>
      <vt:lpstr>PA_initial</vt:lpstr>
      <vt:lpstr>PA</vt:lpstr>
      <vt:lpstr>NMR75</vt:lpstr>
      <vt:lpstr>NMR25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Arjun Chakrawal</dc:creator>
  <cp:lastModifiedBy>Arjun Chakrawal</cp:lastModifiedBy>
  <dcterms:created xsi:type="dcterms:W3CDTF">2023-01-29T10:36:35Z</dcterms:created>
  <dcterms:modified xsi:type="dcterms:W3CDTF">2023-09-25T21:11:24Z</dcterms:modified>
</cp:coreProperties>
</file>