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<sst xmlns="http://schemas.openxmlformats.org/spreadsheetml/2006/main" count="242" uniqueCount="132">
  <si>
    <t>Right function</t>
  </si>
  <si>
    <t>Employee</t>
  </si>
  <si>
    <t>Department</t>
  </si>
  <si>
    <t>Salary</t>
  </si>
  <si>
    <t>Experience</t>
  </si>
  <si>
    <t xml:space="preserve">Harshit </t>
  </si>
  <si>
    <t>Arjun   Kumar</t>
  </si>
  <si>
    <t>Left function</t>
  </si>
  <si>
    <t>Alice</t>
  </si>
  <si>
    <t>IT</t>
  </si>
  <si>
    <t>mid</t>
  </si>
  <si>
    <t>Bob</t>
  </si>
  <si>
    <t>HR</t>
  </si>
  <si>
    <t>trim</t>
  </si>
  <si>
    <t>Charlie</t>
  </si>
  <si>
    <t>Finance</t>
  </si>
  <si>
    <t>Sum if</t>
  </si>
  <si>
    <t>David</t>
  </si>
  <si>
    <t>Sum ifs</t>
  </si>
  <si>
    <t>Emily</t>
  </si>
  <si>
    <t>Marketing</t>
  </si>
  <si>
    <t>Count if</t>
  </si>
  <si>
    <t>Frank</t>
  </si>
  <si>
    <t>Sales</t>
  </si>
  <si>
    <t>Count ifs</t>
  </si>
  <si>
    <t>Grace</t>
  </si>
  <si>
    <t>Average Salary</t>
  </si>
  <si>
    <t>Henry</t>
  </si>
  <si>
    <t>Average if</t>
  </si>
  <si>
    <t>Irene</t>
  </si>
  <si>
    <t>Average ifs</t>
  </si>
  <si>
    <t>Jack</t>
  </si>
  <si>
    <t>Name</t>
  </si>
  <si>
    <t>Location</t>
  </si>
  <si>
    <t>Employee ID</t>
  </si>
  <si>
    <t>Vlookup</t>
  </si>
  <si>
    <t>John Doe</t>
  </si>
  <si>
    <t>New York</t>
  </si>
  <si>
    <t>Jane Smith</t>
  </si>
  <si>
    <t>San Francisco</t>
  </si>
  <si>
    <t>IfError</t>
  </si>
  <si>
    <t>Alice Johnson</t>
  </si>
  <si>
    <t>Chicago</t>
  </si>
  <si>
    <t>Bob Brown</t>
  </si>
  <si>
    <t>Los Angeles</t>
  </si>
  <si>
    <t>Hlookup</t>
  </si>
  <si>
    <t>Charlie Davis</t>
  </si>
  <si>
    <t>Houston</t>
  </si>
  <si>
    <t>Eva Wilson</t>
  </si>
  <si>
    <t>Frank Miller</t>
  </si>
  <si>
    <t>Xlookup</t>
  </si>
  <si>
    <t>Grace Lee</t>
  </si>
  <si>
    <t>Horizontal</t>
  </si>
  <si>
    <t>Henry Taylor</t>
  </si>
  <si>
    <t>Match</t>
  </si>
  <si>
    <t>Irene Moore</t>
  </si>
  <si>
    <t>Index</t>
  </si>
  <si>
    <t>Olivia Harris</t>
  </si>
  <si>
    <t>Seattle</t>
  </si>
  <si>
    <t>James Clark</t>
  </si>
  <si>
    <t>Dallas</t>
  </si>
  <si>
    <t>Sophia Lewis</t>
  </si>
  <si>
    <t>Boston</t>
  </si>
  <si>
    <t>William Walker</t>
  </si>
  <si>
    <t>Austin</t>
  </si>
  <si>
    <t>HLookup</t>
  </si>
  <si>
    <t>Mia Hall</t>
  </si>
  <si>
    <t>Miami</t>
  </si>
  <si>
    <t>Benjamin Young</t>
  </si>
  <si>
    <t>Denver</t>
  </si>
  <si>
    <t>Charlotte King</t>
  </si>
  <si>
    <t>Atlanta</t>
  </si>
  <si>
    <t>Daniel Scott</t>
  </si>
  <si>
    <t>Phoenix</t>
  </si>
  <si>
    <t>Amelia Green</t>
  </si>
  <si>
    <t>San Diego</t>
  </si>
  <si>
    <t>Lucas Adams</t>
  </si>
  <si>
    <t>Philadelphia</t>
  </si>
  <si>
    <t>Principal</t>
  </si>
  <si>
    <t>Interest</t>
  </si>
  <si>
    <t>Period</t>
  </si>
  <si>
    <t>Month</t>
  </si>
  <si>
    <t>pmt</t>
  </si>
  <si>
    <t>ipmt</t>
  </si>
  <si>
    <t>ppmt</t>
  </si>
  <si>
    <t>Balance</t>
  </si>
  <si>
    <t>amount + interest</t>
  </si>
  <si>
    <t>interest</t>
  </si>
  <si>
    <t xml:space="preserve">amount </t>
  </si>
  <si>
    <t>Today</t>
  </si>
  <si>
    <t>Now</t>
  </si>
  <si>
    <t>Day</t>
  </si>
  <si>
    <t>Year</t>
  </si>
  <si>
    <t>Date</t>
  </si>
  <si>
    <t>EDate</t>
  </si>
  <si>
    <t xml:space="preserve">Starting </t>
  </si>
  <si>
    <t>Ending</t>
  </si>
  <si>
    <t>NetworkDays</t>
  </si>
  <si>
    <t>NetworkDaysIntl</t>
  </si>
  <si>
    <t>Birthday</t>
  </si>
  <si>
    <t>Currentdate</t>
  </si>
  <si>
    <t>DateIf</t>
  </si>
  <si>
    <t>Total</t>
  </si>
  <si>
    <t>Day Out Boat Trip</t>
  </si>
  <si>
    <t>Student Name</t>
  </si>
  <si>
    <t>Marks 1</t>
  </si>
  <si>
    <t>Marks 2</t>
  </si>
  <si>
    <t>And</t>
  </si>
  <si>
    <t>Or</t>
  </si>
  <si>
    <t>If</t>
  </si>
  <si>
    <t>Not</t>
  </si>
  <si>
    <t>Not equal to&lt;&gt;</t>
  </si>
  <si>
    <t>If with not equal  to</t>
  </si>
  <si>
    <t>Description</t>
  </si>
  <si>
    <t>Amount</t>
  </si>
  <si>
    <t>Boat rent</t>
  </si>
  <si>
    <t>Boat fuel</t>
  </si>
  <si>
    <t>life vest</t>
  </si>
  <si>
    <t>picnic</t>
  </si>
  <si>
    <t>Emma</t>
  </si>
  <si>
    <t>dinner</t>
  </si>
  <si>
    <t>total cost</t>
  </si>
  <si>
    <t>total person</t>
  </si>
  <si>
    <t>Ivy</t>
  </si>
  <si>
    <t>cost per person</t>
  </si>
  <si>
    <t>Round</t>
  </si>
  <si>
    <t>RoundUP</t>
  </si>
  <si>
    <t>RoundDown</t>
  </si>
  <si>
    <t>Show Formula</t>
  </si>
  <si>
    <t>Ctrl+`</t>
  </si>
  <si>
    <t>Error Checking</t>
  </si>
  <si>
    <t>Evaluate Formula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</si>
</sst>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₹]#,##0.00"/>
    <numFmt numFmtId="165" formatCode="m/d/yyyy h:mm:ss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3" xfId="0" applyAlignment="1" applyBorder="1" applyFont="1" applyNumberFormat="1">
      <alignment horizontal="center" readingOrder="0"/>
    </xf>
    <xf borderId="1" fillId="0" fontId="2" numFmtId="3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0" fontId="2" numFmtId="9" xfId="0" applyAlignment="1" applyBorder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/>
    </xf>
    <xf borderId="1" fillId="0" fontId="1" numFmtId="0" xfId="0" applyAlignment="1" applyBorder="1" applyFont="1">
      <alignment readingOrder="0"/>
    </xf>
    <xf borderId="1" fillId="0" fontId="2" numFmtId="164" xfId="0" applyBorder="1" applyFont="1" applyNumberFormat="1"/>
    <xf borderId="1" fillId="0" fontId="2" numFmtId="14" xfId="0" applyBorder="1" applyFont="1" applyNumberFormat="1"/>
    <xf borderId="0" fillId="0" fontId="2" numFmtId="14" xfId="0" applyFont="1" applyNumberFormat="1"/>
    <xf borderId="1" fillId="0" fontId="2" numFmtId="165" xfId="0" applyBorder="1" applyFont="1" applyNumberFormat="1"/>
    <xf borderId="1" fillId="0" fontId="2" numFmtId="0" xfId="0" applyBorder="1" applyFont="1"/>
    <xf borderId="1" fillId="0" fontId="1" numFmtId="164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6.25"/>
    <col customWidth="1" min="3" max="3" width="14.88"/>
    <col customWidth="1" min="4" max="4" width="11.38"/>
    <col customWidth="1" min="5" max="5" width="12.25"/>
    <col customWidth="1" min="6" max="6" width="10.88"/>
    <col customWidth="1" min="7" max="7" width="10.25"/>
    <col customWidth="1" min="8" max="8" width="11.0"/>
    <col customWidth="1" min="9" max="9" width="13.13"/>
    <col customWidth="1" min="10" max="10" width="10.38"/>
    <col customWidth="1" min="12" max="12" width="12.63"/>
    <col customWidth="1" min="13" max="13" width="16.13"/>
  </cols>
  <sheetData>
    <row r="2">
      <c r="C2" s="1" t="s">
        <v>0</v>
      </c>
      <c r="D2" s="2" t="str">
        <f>RIGHT(K2,3)</f>
        <v>mar</v>
      </c>
      <c r="F2" s="1" t="s">
        <v>1</v>
      </c>
      <c r="G2" s="1" t="s">
        <v>2</v>
      </c>
      <c r="H2" s="1" t="s">
        <v>3</v>
      </c>
      <c r="I2" s="1" t="s">
        <v>4</v>
      </c>
      <c r="J2" s="3" t="s">
        <v>5</v>
      </c>
      <c r="K2" s="3" t="s">
        <v>6</v>
      </c>
    </row>
    <row r="3">
      <c r="C3" s="1" t="s">
        <v>7</v>
      </c>
      <c r="D3" s="2" t="str">
        <f>LEFT(J2,3)</f>
        <v>Har</v>
      </c>
      <c r="F3" s="3" t="s">
        <v>8</v>
      </c>
      <c r="G3" s="3" t="s">
        <v>9</v>
      </c>
      <c r="H3" s="4">
        <v>80000.0</v>
      </c>
      <c r="I3" s="3">
        <v>5.0</v>
      </c>
    </row>
    <row r="4">
      <c r="C4" s="1" t="s">
        <v>10</v>
      </c>
      <c r="D4" s="2" t="str">
        <f>MID(K2,2,3)</f>
        <v>rju</v>
      </c>
      <c r="F4" s="3" t="s">
        <v>11</v>
      </c>
      <c r="G4" s="3" t="s">
        <v>12</v>
      </c>
      <c r="H4" s="4">
        <v>60000.0</v>
      </c>
      <c r="I4" s="3">
        <v>3.0</v>
      </c>
    </row>
    <row r="5">
      <c r="C5" s="1" t="s">
        <v>13</v>
      </c>
      <c r="D5" s="2" t="str">
        <f>TRIM(K2)</f>
        <v>Arjun Kumar</v>
      </c>
      <c r="F5" s="3" t="s">
        <v>14</v>
      </c>
      <c r="G5" s="3" t="s">
        <v>15</v>
      </c>
      <c r="H5" s="4">
        <v>90000.0</v>
      </c>
      <c r="I5" s="3">
        <v>8.0</v>
      </c>
    </row>
    <row r="6">
      <c r="C6" s="1" t="s">
        <v>16</v>
      </c>
      <c r="D6" s="2">
        <f>SUMIF(G3:G12,"IT",H3:H12)</f>
        <v>260000</v>
      </c>
      <c r="F6" s="3" t="s">
        <v>17</v>
      </c>
      <c r="G6" s="3" t="s">
        <v>9</v>
      </c>
      <c r="H6" s="4">
        <v>85000.0</v>
      </c>
      <c r="I6" s="3">
        <v>6.0</v>
      </c>
    </row>
    <row r="7">
      <c r="C7" s="1" t="s">
        <v>18</v>
      </c>
      <c r="D7" s="2">
        <f>SUMIFS(H3:H12,G3:G12,"IT",I3:I12,"&gt;4")</f>
        <v>260000</v>
      </c>
      <c r="F7" s="3" t="s">
        <v>19</v>
      </c>
      <c r="G7" s="3" t="s">
        <v>20</v>
      </c>
      <c r="H7" s="4">
        <v>70000.0</v>
      </c>
      <c r="I7" s="3">
        <v>4.0</v>
      </c>
    </row>
    <row r="8">
      <c r="C8" s="1" t="s">
        <v>21</v>
      </c>
      <c r="D8" s="2">
        <f>COUNTIF(G3:G12,"IT")</f>
        <v>3</v>
      </c>
      <c r="F8" s="3" t="s">
        <v>22</v>
      </c>
      <c r="G8" s="3" t="s">
        <v>23</v>
      </c>
      <c r="H8" s="4">
        <v>75000.0</v>
      </c>
      <c r="I8" s="3">
        <v>5.0</v>
      </c>
    </row>
    <row r="9">
      <c r="C9" s="1" t="s">
        <v>24</v>
      </c>
      <c r="D9" s="2">
        <f>COUNTIFS(G3:G12,"IT",I3:I12,"&gt;3")</f>
        <v>3</v>
      </c>
      <c r="F9" s="3" t="s">
        <v>25</v>
      </c>
      <c r="G9" s="3" t="s">
        <v>9</v>
      </c>
      <c r="H9" s="4">
        <v>95000.0</v>
      </c>
      <c r="I9" s="3">
        <v>7.0</v>
      </c>
    </row>
    <row r="10">
      <c r="C10" s="1" t="s">
        <v>26</v>
      </c>
      <c r="D10" s="5">
        <f>AVERAGE(H3:H12)</f>
        <v>78000</v>
      </c>
      <c r="F10" s="3" t="s">
        <v>27</v>
      </c>
      <c r="G10" s="3" t="s">
        <v>15</v>
      </c>
      <c r="H10" s="4">
        <v>88000.0</v>
      </c>
      <c r="I10" s="3">
        <v>6.0</v>
      </c>
    </row>
    <row r="11">
      <c r="C11" s="1" t="s">
        <v>28</v>
      </c>
      <c r="D11" s="2">
        <f>AVERAGEIF(G3:G12,"IT",H3:H12)</f>
        <v>86666.66667</v>
      </c>
      <c r="F11" s="3" t="s">
        <v>29</v>
      </c>
      <c r="G11" s="3" t="s">
        <v>12</v>
      </c>
      <c r="H11" s="4">
        <v>65000.0</v>
      </c>
      <c r="I11" s="3">
        <v>4.0</v>
      </c>
    </row>
    <row r="12">
      <c r="C12" s="1" t="s">
        <v>30</v>
      </c>
      <c r="D12" s="2">
        <f>AVERAGEIFS(H3:H12,G3:G12,"IT",I3:I12,"&gt;3")</f>
        <v>86666.66667</v>
      </c>
      <c r="F12" s="3" t="s">
        <v>31</v>
      </c>
      <c r="G12" s="3" t="s">
        <v>20</v>
      </c>
      <c r="H12" s="4">
        <v>72000.0</v>
      </c>
      <c r="I12" s="3">
        <v>5.0</v>
      </c>
    </row>
    <row r="14">
      <c r="B14" s="3">
        <v>123.0</v>
      </c>
      <c r="C14" s="1" t="s">
        <v>32</v>
      </c>
      <c r="D14" s="1" t="s">
        <v>2</v>
      </c>
      <c r="E14" s="1" t="s">
        <v>3</v>
      </c>
      <c r="F14" s="1" t="s">
        <v>33</v>
      </c>
      <c r="H14" s="1" t="s">
        <v>34</v>
      </c>
      <c r="I14" s="1" t="s">
        <v>32</v>
      </c>
      <c r="J14" s="1" t="s">
        <v>2</v>
      </c>
      <c r="K14" s="1" t="s">
        <v>3</v>
      </c>
      <c r="L14" s="1" t="s">
        <v>33</v>
      </c>
    </row>
    <row r="15">
      <c r="B15" s="1" t="s">
        <v>35</v>
      </c>
      <c r="C15" s="2" t="str">
        <f>VLOOKUP(B14,H15:L34,2,FALSE)</f>
        <v>#N/A</v>
      </c>
      <c r="D15" s="2" t="str">
        <f>VLOOKUP(B14,H15:L34,3,FALSE)</f>
        <v>#N/A</v>
      </c>
      <c r="E15" s="2" t="str">
        <f>VLOOKUP(B14,H15:L34,4,False)</f>
        <v>#N/A</v>
      </c>
      <c r="F15" s="2" t="str">
        <f>VLOOKUP(B14,H15:L34,5,False)</f>
        <v>#N/A</v>
      </c>
      <c r="H15" s="3">
        <v>101.0</v>
      </c>
      <c r="I15" s="3" t="s">
        <v>36</v>
      </c>
      <c r="J15" s="3" t="s">
        <v>12</v>
      </c>
      <c r="K15" s="3">
        <v>60000.0</v>
      </c>
      <c r="L15" s="3" t="s">
        <v>37</v>
      </c>
    </row>
    <row r="16">
      <c r="B16" s="1"/>
      <c r="C16" s="2" t="str">
        <f>VLOOKUP(B14,H15:L34,2,True)</f>
        <v>Lucas Adams</v>
      </c>
      <c r="D16" s="2" t="str">
        <f t="shared" ref="D16:E16" si="1">VLOOKUP(B14,H15:L34,3,True)</f>
        <v>Marketing</v>
      </c>
      <c r="E16" s="2">
        <f t="shared" si="1"/>
        <v>72000</v>
      </c>
      <c r="F16" s="2" t="str">
        <f>VLOOKUP(B14,H15:L34,5,True)</f>
        <v>Philadelphia</v>
      </c>
      <c r="H16" s="3">
        <v>102.0</v>
      </c>
      <c r="I16" s="3" t="s">
        <v>38</v>
      </c>
      <c r="J16" s="3" t="s">
        <v>15</v>
      </c>
      <c r="K16" s="3">
        <v>75000.0</v>
      </c>
      <c r="L16" s="3" t="s">
        <v>39</v>
      </c>
    </row>
    <row r="17">
      <c r="B17" s="1" t="s">
        <v>40</v>
      </c>
      <c r="C17" s="2" t="str">
        <f>IFERROR(VLOOKUP(B14,H15:L34,2,FALSE),"not Found")</f>
        <v>not Found</v>
      </c>
      <c r="D17" s="2" t="str">
        <f>IFERROR(VLOOKUP(B14,H15:L34,3,FALSE),"NOt founD")</f>
        <v>NOt founD</v>
      </c>
      <c r="E17" s="2" t="str">
        <f>IFERROR(VLOOKUP(B14,H15:L34,4,False),"Not found")</f>
        <v>Not found</v>
      </c>
      <c r="F17" s="2" t="str">
        <f>IFERROR(VLOOKUP(B14,H15:L34,5,False),"NoT Found")</f>
        <v>NoT Found</v>
      </c>
      <c r="H17" s="3">
        <v>103.0</v>
      </c>
      <c r="I17" s="3" t="s">
        <v>41</v>
      </c>
      <c r="J17" s="3" t="s">
        <v>9</v>
      </c>
      <c r="K17" s="3">
        <v>80000.0</v>
      </c>
      <c r="L17" s="3" t="s">
        <v>42</v>
      </c>
    </row>
    <row r="18">
      <c r="B18" s="6"/>
      <c r="C18" s="2" t="str">
        <f>IFERROR(VLOOKUP(B14,H15:L34,2,True),"404 NOT found")</f>
        <v>Lucas Adams</v>
      </c>
      <c r="D18" s="2" t="str">
        <f>IFERROR(VLOOKUP(B14,H15:L34,3,True),"404 NOT Found")</f>
        <v>Marketing</v>
      </c>
      <c r="E18" s="2">
        <f>IFERROR(VLOOKUP(B14,H15:L34,4,True),"404 NOT Found")</f>
        <v>69000</v>
      </c>
      <c r="F18" s="2" t="str">
        <f>IFERROR(VLOOKUP(B14,H15:L34,5,True),"404 NOT Found")</f>
        <v>Philadelphia</v>
      </c>
      <c r="H18" s="3">
        <v>104.0</v>
      </c>
      <c r="I18" s="3" t="s">
        <v>43</v>
      </c>
      <c r="J18" s="3" t="s">
        <v>20</v>
      </c>
      <c r="K18" s="3">
        <v>65000.0</v>
      </c>
      <c r="L18" s="3" t="s">
        <v>44</v>
      </c>
    </row>
    <row r="19">
      <c r="B19" s="1" t="s">
        <v>45</v>
      </c>
      <c r="C19" s="2">
        <f>HLOOKUP(B14,H15:L34,2,True)</f>
        <v>102</v>
      </c>
      <c r="D19" s="2"/>
      <c r="E19" s="2"/>
      <c r="F19" s="2"/>
      <c r="H19" s="3">
        <v>105.0</v>
      </c>
      <c r="I19" s="3" t="s">
        <v>46</v>
      </c>
      <c r="J19" s="3" t="s">
        <v>23</v>
      </c>
      <c r="K19" s="3">
        <v>70000.0</v>
      </c>
      <c r="L19" s="3" t="s">
        <v>47</v>
      </c>
    </row>
    <row r="20">
      <c r="B20" s="6"/>
      <c r="C20" s="2"/>
      <c r="D20" s="2"/>
      <c r="E20" s="2"/>
      <c r="F20" s="2"/>
      <c r="H20" s="3">
        <v>106.0</v>
      </c>
      <c r="I20" s="3" t="s">
        <v>48</v>
      </c>
      <c r="J20" s="3" t="s">
        <v>12</v>
      </c>
      <c r="K20" s="3">
        <v>62000.0</v>
      </c>
      <c r="L20" s="3" t="s">
        <v>37</v>
      </c>
    </row>
    <row r="21">
      <c r="B21" s="6"/>
      <c r="C21" s="2"/>
      <c r="D21" s="2"/>
      <c r="E21" s="2"/>
      <c r="F21" s="2"/>
      <c r="H21" s="3">
        <v>107.0</v>
      </c>
      <c r="I21" s="3" t="s">
        <v>49</v>
      </c>
      <c r="J21" s="3" t="s">
        <v>9</v>
      </c>
      <c r="K21" s="3">
        <v>85000.0</v>
      </c>
      <c r="L21" s="3" t="s">
        <v>42</v>
      </c>
    </row>
    <row r="22">
      <c r="B22" s="1" t="s">
        <v>50</v>
      </c>
      <c r="C22" s="2" t="str">
        <f t="array" ref="C22">XLOOKUP(B14,H15:H34,I15:I34,"NOt found")</f>
        <v>NOt found</v>
      </c>
      <c r="D22" s="2" t="str">
        <f t="array" ref="D22">XLOOKUP(B14,H15:H34,J15:J34,"nOt found")</f>
        <v>nOt found</v>
      </c>
      <c r="E22" s="2" t="str">
        <f t="array" ref="E22">XLOOKUP(B14,H15:H34,K15:K34,"nOT Found")</f>
        <v>nOT Found</v>
      </c>
      <c r="F22" s="2" t="str">
        <f t="array" ref="F22">XLOOKUP(B14,H15:H34,L15:L34,"NOt found")</f>
        <v>NOt found</v>
      </c>
      <c r="H22" s="3">
        <v>108.0</v>
      </c>
      <c r="I22" s="3" t="s">
        <v>51</v>
      </c>
      <c r="J22" s="3" t="s">
        <v>15</v>
      </c>
      <c r="K22" s="3">
        <v>78000.0</v>
      </c>
      <c r="L22" s="3" t="s">
        <v>39</v>
      </c>
    </row>
    <row r="23">
      <c r="B23" s="3" t="s">
        <v>52</v>
      </c>
      <c r="C23" s="2" t="str">
        <f t="array" ref="C23">XLOOKUP(B14,B36:U36,B37:U37,"not found")</f>
        <v>not found</v>
      </c>
      <c r="D23" s="2"/>
      <c r="E23" s="2"/>
      <c r="F23" s="2"/>
      <c r="H23" s="3">
        <v>109.0</v>
      </c>
      <c r="I23" s="3" t="s">
        <v>53</v>
      </c>
      <c r="J23" s="3" t="s">
        <v>20</v>
      </c>
      <c r="K23" s="3">
        <v>67000.0</v>
      </c>
      <c r="L23" s="3" t="s">
        <v>44</v>
      </c>
    </row>
    <row r="24">
      <c r="B24" s="3" t="s">
        <v>54</v>
      </c>
      <c r="C24" s="2" t="str">
        <f>MATCH(B14,H15:H34,0)</f>
        <v>#N/A</v>
      </c>
      <c r="D24" s="3"/>
      <c r="E24" s="3"/>
      <c r="F24" s="2"/>
      <c r="H24" s="3">
        <v>110.0</v>
      </c>
      <c r="I24" s="3" t="s">
        <v>55</v>
      </c>
      <c r="J24" s="3" t="s">
        <v>23</v>
      </c>
      <c r="K24" s="3">
        <v>72000.0</v>
      </c>
      <c r="L24" s="3" t="s">
        <v>47</v>
      </c>
    </row>
    <row r="25">
      <c r="B25" s="3" t="s">
        <v>56</v>
      </c>
      <c r="C25" s="2" t="str">
        <f t="array" ref="C25">INDEX(H15:L34,6,3)</f>
        <v>HR</v>
      </c>
      <c r="D25" s="2"/>
      <c r="E25" s="3"/>
      <c r="F25" s="3"/>
      <c r="H25" s="3">
        <v>111.0</v>
      </c>
      <c r="I25" s="3" t="s">
        <v>57</v>
      </c>
      <c r="J25" s="3" t="s">
        <v>9</v>
      </c>
      <c r="K25" s="3">
        <v>82000.0</v>
      </c>
      <c r="L25" s="3" t="s">
        <v>58</v>
      </c>
    </row>
    <row r="26">
      <c r="B26" s="2"/>
      <c r="C26" s="2"/>
      <c r="D26" s="2"/>
      <c r="E26" s="2"/>
      <c r="F26" s="2"/>
      <c r="H26" s="3">
        <v>112.0</v>
      </c>
      <c r="I26" s="3" t="s">
        <v>59</v>
      </c>
      <c r="J26" s="3" t="s">
        <v>23</v>
      </c>
      <c r="K26" s="3">
        <v>73000.0</v>
      </c>
      <c r="L26" s="3" t="s">
        <v>60</v>
      </c>
    </row>
    <row r="27">
      <c r="B27" s="2"/>
      <c r="C27" s="2"/>
      <c r="D27" s="2"/>
      <c r="E27" s="2"/>
      <c r="F27" s="2"/>
      <c r="H27" s="3">
        <v>113.0</v>
      </c>
      <c r="I27" s="3" t="s">
        <v>61</v>
      </c>
      <c r="J27" s="3" t="s">
        <v>12</v>
      </c>
      <c r="K27" s="3">
        <v>61000.0</v>
      </c>
      <c r="L27" s="3" t="s">
        <v>62</v>
      </c>
    </row>
    <row r="28">
      <c r="B28" s="2"/>
      <c r="C28" s="2"/>
      <c r="D28" s="2"/>
      <c r="E28" s="2"/>
      <c r="F28" s="2"/>
      <c r="H28" s="3">
        <v>114.0</v>
      </c>
      <c r="I28" s="3" t="s">
        <v>63</v>
      </c>
      <c r="J28" s="3" t="s">
        <v>15</v>
      </c>
      <c r="K28" s="3">
        <v>77000.0</v>
      </c>
      <c r="L28" s="3" t="s">
        <v>64</v>
      </c>
    </row>
    <row r="29">
      <c r="B29" s="3" t="s">
        <v>65</v>
      </c>
      <c r="C29" s="2" t="str">
        <f>HLOOKUP("Irene Moore",A36:U40,4,True)</f>
        <v>Salary</v>
      </c>
      <c r="D29" s="2"/>
      <c r="E29" s="2"/>
      <c r="F29" s="2"/>
      <c r="H29" s="3">
        <v>115.0</v>
      </c>
      <c r="I29" s="3" t="s">
        <v>66</v>
      </c>
      <c r="J29" s="3" t="s">
        <v>20</v>
      </c>
      <c r="K29" s="3">
        <v>68000.0</v>
      </c>
      <c r="L29" s="3" t="s">
        <v>67</v>
      </c>
    </row>
    <row r="30">
      <c r="B30" s="2"/>
      <c r="C30" s="2"/>
      <c r="D30" s="2"/>
      <c r="E30" s="2"/>
      <c r="F30" s="2"/>
      <c r="H30" s="3">
        <v>116.0</v>
      </c>
      <c r="I30" s="3" t="s">
        <v>68</v>
      </c>
      <c r="J30" s="3" t="s">
        <v>9</v>
      </c>
      <c r="K30" s="3">
        <v>83000.0</v>
      </c>
      <c r="L30" s="3" t="s">
        <v>69</v>
      </c>
    </row>
    <row r="31">
      <c r="B31" s="2"/>
      <c r="C31" s="2"/>
      <c r="D31" s="2"/>
      <c r="E31" s="2"/>
      <c r="F31" s="2"/>
      <c r="H31" s="3">
        <v>117.0</v>
      </c>
      <c r="I31" s="3" t="s">
        <v>70</v>
      </c>
      <c r="J31" s="3" t="s">
        <v>23</v>
      </c>
      <c r="K31" s="3">
        <v>74000.0</v>
      </c>
      <c r="L31" s="3" t="s">
        <v>71</v>
      </c>
    </row>
    <row r="32">
      <c r="B32" s="2"/>
      <c r="C32" s="2"/>
      <c r="D32" s="2"/>
      <c r="E32" s="2"/>
      <c r="F32" s="2"/>
      <c r="H32" s="3">
        <v>118.0</v>
      </c>
      <c r="I32" s="3" t="s">
        <v>72</v>
      </c>
      <c r="J32" s="3" t="s">
        <v>12</v>
      </c>
      <c r="K32" s="3">
        <v>63000.0</v>
      </c>
      <c r="L32" s="3" t="s">
        <v>73</v>
      </c>
    </row>
    <row r="33">
      <c r="B33" s="2"/>
      <c r="C33" s="2"/>
      <c r="D33" s="2"/>
      <c r="E33" s="2"/>
      <c r="F33" s="2"/>
      <c r="H33" s="3">
        <v>119.0</v>
      </c>
      <c r="I33" s="3" t="s">
        <v>74</v>
      </c>
      <c r="J33" s="3" t="s">
        <v>15</v>
      </c>
      <c r="K33" s="3">
        <v>79000.0</v>
      </c>
      <c r="L33" s="3" t="s">
        <v>75</v>
      </c>
    </row>
    <row r="34">
      <c r="B34" s="2"/>
      <c r="C34" s="2"/>
      <c r="D34" s="2"/>
      <c r="E34" s="2"/>
      <c r="F34" s="2"/>
      <c r="H34" s="3">
        <v>120.0</v>
      </c>
      <c r="I34" s="3" t="s">
        <v>76</v>
      </c>
      <c r="J34" s="3" t="s">
        <v>20</v>
      </c>
      <c r="K34" s="3">
        <v>69000.0</v>
      </c>
      <c r="L34" s="3" t="s">
        <v>77</v>
      </c>
    </row>
    <row r="36">
      <c r="A36" s="1" t="s">
        <v>34</v>
      </c>
      <c r="B36" s="3">
        <v>101.0</v>
      </c>
      <c r="C36" s="3">
        <v>102.0</v>
      </c>
      <c r="D36" s="3">
        <v>103.0</v>
      </c>
      <c r="E36" s="3">
        <v>104.0</v>
      </c>
      <c r="F36" s="3">
        <v>105.0</v>
      </c>
      <c r="G36" s="3">
        <v>106.0</v>
      </c>
      <c r="H36" s="3">
        <v>107.0</v>
      </c>
      <c r="I36" s="3">
        <v>108.0</v>
      </c>
      <c r="J36" s="3">
        <v>109.0</v>
      </c>
      <c r="K36" s="3">
        <v>110.0</v>
      </c>
      <c r="L36" s="3">
        <v>111.0</v>
      </c>
      <c r="M36" s="3">
        <v>112.0</v>
      </c>
      <c r="N36" s="3">
        <v>113.0</v>
      </c>
      <c r="O36" s="3">
        <v>114.0</v>
      </c>
      <c r="P36" s="3">
        <v>115.0</v>
      </c>
      <c r="Q36" s="3">
        <v>116.0</v>
      </c>
      <c r="R36" s="3">
        <v>117.0</v>
      </c>
      <c r="S36" s="3">
        <v>118.0</v>
      </c>
      <c r="T36" s="3">
        <v>119.0</v>
      </c>
      <c r="U36" s="3">
        <v>120.0</v>
      </c>
    </row>
    <row r="37">
      <c r="A37" s="1" t="s">
        <v>32</v>
      </c>
      <c r="B37" s="3" t="s">
        <v>36</v>
      </c>
      <c r="C37" s="3" t="s">
        <v>38</v>
      </c>
      <c r="D37" s="3" t="s">
        <v>41</v>
      </c>
      <c r="E37" s="3" t="s">
        <v>43</v>
      </c>
      <c r="F37" s="3" t="s">
        <v>46</v>
      </c>
      <c r="G37" s="3" t="s">
        <v>48</v>
      </c>
      <c r="H37" s="3" t="s">
        <v>49</v>
      </c>
      <c r="I37" s="3" t="s">
        <v>51</v>
      </c>
      <c r="J37" s="3" t="s">
        <v>53</v>
      </c>
      <c r="K37" s="3" t="s">
        <v>55</v>
      </c>
      <c r="L37" s="3" t="s">
        <v>57</v>
      </c>
      <c r="M37" s="3" t="s">
        <v>59</v>
      </c>
      <c r="N37" s="3" t="s">
        <v>61</v>
      </c>
      <c r="O37" s="3" t="s">
        <v>63</v>
      </c>
      <c r="P37" s="3" t="s">
        <v>66</v>
      </c>
      <c r="Q37" s="3" t="s">
        <v>68</v>
      </c>
      <c r="R37" s="3" t="s">
        <v>70</v>
      </c>
      <c r="S37" s="3" t="s">
        <v>72</v>
      </c>
      <c r="T37" s="3" t="s">
        <v>74</v>
      </c>
      <c r="U37" s="3" t="s">
        <v>76</v>
      </c>
    </row>
    <row r="38">
      <c r="A38" s="1" t="s">
        <v>2</v>
      </c>
      <c r="B38" s="3" t="s">
        <v>12</v>
      </c>
      <c r="C38" s="3" t="s">
        <v>15</v>
      </c>
      <c r="D38" s="3" t="s">
        <v>9</v>
      </c>
      <c r="E38" s="3" t="s">
        <v>20</v>
      </c>
      <c r="F38" s="3" t="s">
        <v>23</v>
      </c>
      <c r="G38" s="3" t="s">
        <v>12</v>
      </c>
      <c r="H38" s="3" t="s">
        <v>9</v>
      </c>
      <c r="I38" s="3" t="s">
        <v>15</v>
      </c>
      <c r="J38" s="3" t="s">
        <v>20</v>
      </c>
      <c r="K38" s="3" t="s">
        <v>23</v>
      </c>
      <c r="L38" s="3" t="s">
        <v>9</v>
      </c>
      <c r="M38" s="3" t="s">
        <v>23</v>
      </c>
      <c r="N38" s="3" t="s">
        <v>12</v>
      </c>
      <c r="O38" s="3" t="s">
        <v>15</v>
      </c>
      <c r="P38" s="3" t="s">
        <v>20</v>
      </c>
      <c r="Q38" s="3" t="s">
        <v>9</v>
      </c>
      <c r="R38" s="3" t="s">
        <v>23</v>
      </c>
      <c r="S38" s="3" t="s">
        <v>12</v>
      </c>
      <c r="T38" s="3" t="s">
        <v>15</v>
      </c>
      <c r="U38" s="3" t="s">
        <v>20</v>
      </c>
    </row>
    <row r="39">
      <c r="A39" s="1" t="s">
        <v>3</v>
      </c>
      <c r="B39" s="3">
        <v>60000.0</v>
      </c>
      <c r="C39" s="3">
        <v>75000.0</v>
      </c>
      <c r="D39" s="3">
        <v>80000.0</v>
      </c>
      <c r="E39" s="3">
        <v>65000.0</v>
      </c>
      <c r="F39" s="3">
        <v>70000.0</v>
      </c>
      <c r="G39" s="3">
        <v>62000.0</v>
      </c>
      <c r="H39" s="3">
        <v>85000.0</v>
      </c>
      <c r="I39" s="3">
        <v>78000.0</v>
      </c>
      <c r="J39" s="3">
        <v>67000.0</v>
      </c>
      <c r="K39" s="3">
        <v>72000.0</v>
      </c>
      <c r="L39" s="3">
        <v>82000.0</v>
      </c>
      <c r="M39" s="3">
        <v>73000.0</v>
      </c>
      <c r="N39" s="3">
        <v>61000.0</v>
      </c>
      <c r="O39" s="3">
        <v>77000.0</v>
      </c>
      <c r="P39" s="3">
        <v>68000.0</v>
      </c>
      <c r="Q39" s="3">
        <v>83000.0</v>
      </c>
      <c r="R39" s="3">
        <v>74000.0</v>
      </c>
      <c r="S39" s="3">
        <v>63000.0</v>
      </c>
      <c r="T39" s="3">
        <v>79000.0</v>
      </c>
      <c r="U39" s="3">
        <v>69000.0</v>
      </c>
    </row>
    <row r="40">
      <c r="A40" s="1" t="s">
        <v>33</v>
      </c>
      <c r="B40" s="3" t="s">
        <v>37</v>
      </c>
      <c r="C40" s="3" t="s">
        <v>39</v>
      </c>
      <c r="D40" s="3" t="s">
        <v>42</v>
      </c>
      <c r="E40" s="3" t="s">
        <v>44</v>
      </c>
      <c r="F40" s="3" t="s">
        <v>47</v>
      </c>
      <c r="G40" s="3" t="s">
        <v>37</v>
      </c>
      <c r="H40" s="3" t="s">
        <v>42</v>
      </c>
      <c r="I40" s="3" t="s">
        <v>39</v>
      </c>
      <c r="J40" s="3" t="s">
        <v>44</v>
      </c>
      <c r="K40" s="3" t="s">
        <v>47</v>
      </c>
      <c r="L40" s="3" t="s">
        <v>58</v>
      </c>
      <c r="M40" s="3" t="s">
        <v>60</v>
      </c>
      <c r="N40" s="3" t="s">
        <v>62</v>
      </c>
      <c r="O40" s="3" t="s">
        <v>64</v>
      </c>
      <c r="P40" s="3" t="s">
        <v>67</v>
      </c>
      <c r="Q40" s="3" t="s">
        <v>69</v>
      </c>
      <c r="R40" s="3" t="s">
        <v>71</v>
      </c>
      <c r="S40" s="3" t="s">
        <v>73</v>
      </c>
      <c r="T40" s="3" t="s">
        <v>75</v>
      </c>
      <c r="U40" s="3" t="s">
        <v>77</v>
      </c>
    </row>
    <row r="42">
      <c r="A42" s="1" t="s">
        <v>78</v>
      </c>
      <c r="B42" s="1" t="s">
        <v>79</v>
      </c>
      <c r="C42" s="1" t="s">
        <v>80</v>
      </c>
      <c r="E42" s="1" t="s">
        <v>81</v>
      </c>
      <c r="F42" s="1" t="s">
        <v>82</v>
      </c>
      <c r="G42" s="1" t="s">
        <v>83</v>
      </c>
      <c r="H42" s="1" t="s">
        <v>84</v>
      </c>
      <c r="I42" s="1" t="s">
        <v>85</v>
      </c>
    </row>
    <row r="43">
      <c r="A43" s="3">
        <v>500000.0</v>
      </c>
      <c r="B43" s="7">
        <v>0.1</v>
      </c>
      <c r="C43" s="3">
        <v>2.0</v>
      </c>
      <c r="E43" s="3">
        <v>1.0</v>
      </c>
      <c r="F43" s="8">
        <f t="shared" ref="F43:F62" si="2">PMT($B$43/12,$C$43*12,-$A$43)</f>
        <v>23072.46317</v>
      </c>
      <c r="G43" s="8">
        <f t="shared" ref="G43:G62" si="3">IPMT($B$43/12,E43,$C$43*12,-$A$43)</f>
        <v>4166.666667</v>
      </c>
      <c r="H43" s="8">
        <f t="shared" ref="H43:H62" si="4">PPMT($B$43/12,E43,$C$43*12,-$A$43)</f>
        <v>18905.7965</v>
      </c>
      <c r="I43" s="8">
        <f>A43-H43</f>
        <v>481094.2035</v>
      </c>
    </row>
    <row r="44">
      <c r="C44" s="9" t="s">
        <v>86</v>
      </c>
      <c r="D44" s="10">
        <f>PMT(B43/12,C43*12,-A43)</f>
        <v>23072.46317</v>
      </c>
      <c r="E44" s="3">
        <v>2.0</v>
      </c>
      <c r="F44" s="8">
        <f t="shared" si="2"/>
        <v>23072.46317</v>
      </c>
      <c r="G44" s="8">
        <f t="shared" si="3"/>
        <v>4009.118362</v>
      </c>
      <c r="H44" s="8">
        <f t="shared" si="4"/>
        <v>19063.34481</v>
      </c>
      <c r="I44" s="8">
        <f t="shared" ref="I44:I62" si="5">I43-H44</f>
        <v>462030.8587</v>
      </c>
    </row>
    <row r="45">
      <c r="C45" s="9" t="s">
        <v>87</v>
      </c>
      <c r="D45" s="10">
        <f>IPMT(B43/12,1,C43*12,-A43)</f>
        <v>4166.666667</v>
      </c>
      <c r="E45" s="3">
        <v>3.0</v>
      </c>
      <c r="F45" s="8">
        <f t="shared" si="2"/>
        <v>23072.46317</v>
      </c>
      <c r="G45" s="8">
        <f t="shared" si="3"/>
        <v>3850.257156</v>
      </c>
      <c r="H45" s="8">
        <f t="shared" si="4"/>
        <v>19222.20601</v>
      </c>
      <c r="I45" s="8">
        <f t="shared" si="5"/>
        <v>442808.6527</v>
      </c>
    </row>
    <row r="46">
      <c r="C46" s="9" t="s">
        <v>88</v>
      </c>
      <c r="D46" s="10">
        <f>PPMT(B43/12,1,C43*12,-A43)</f>
        <v>18905.7965</v>
      </c>
      <c r="E46" s="3">
        <v>4.0</v>
      </c>
      <c r="F46" s="8">
        <f t="shared" si="2"/>
        <v>23072.46317</v>
      </c>
      <c r="G46" s="8">
        <f t="shared" si="3"/>
        <v>3690.072106</v>
      </c>
      <c r="H46" s="8">
        <f t="shared" si="4"/>
        <v>19382.39106</v>
      </c>
      <c r="I46" s="8">
        <f t="shared" si="5"/>
        <v>423426.2616</v>
      </c>
    </row>
    <row r="47">
      <c r="E47" s="3">
        <v>5.0</v>
      </c>
      <c r="F47" s="8">
        <f t="shared" si="2"/>
        <v>23072.46317</v>
      </c>
      <c r="G47" s="8">
        <f t="shared" si="3"/>
        <v>3528.55218</v>
      </c>
      <c r="H47" s="8">
        <f t="shared" si="4"/>
        <v>19543.91099</v>
      </c>
      <c r="I47" s="8">
        <f t="shared" si="5"/>
        <v>403882.3506</v>
      </c>
    </row>
    <row r="48">
      <c r="A48" s="9" t="s">
        <v>89</v>
      </c>
      <c r="B48" s="11">
        <f>TODAY()</f>
        <v>45723</v>
      </c>
      <c r="D48" s="12">
        <f>DATE(B52,B51,B50)</f>
        <v>45723</v>
      </c>
      <c r="E48" s="3">
        <v>6.0</v>
      </c>
      <c r="F48" s="8">
        <f t="shared" si="2"/>
        <v>23072.46317</v>
      </c>
      <c r="G48" s="8">
        <f t="shared" si="3"/>
        <v>3365.686255</v>
      </c>
      <c r="H48" s="8">
        <f t="shared" si="4"/>
        <v>19706.77691</v>
      </c>
      <c r="I48" s="8">
        <f t="shared" si="5"/>
        <v>384175.5737</v>
      </c>
    </row>
    <row r="49">
      <c r="A49" s="9" t="s">
        <v>90</v>
      </c>
      <c r="B49" s="13">
        <f>NOW()</f>
        <v>45723.83973</v>
      </c>
      <c r="E49" s="3">
        <v>7.0</v>
      </c>
      <c r="F49" s="8">
        <f t="shared" si="2"/>
        <v>23072.46317</v>
      </c>
      <c r="G49" s="8">
        <f t="shared" si="3"/>
        <v>3201.463114</v>
      </c>
      <c r="H49" s="8">
        <f t="shared" si="4"/>
        <v>19871.00005</v>
      </c>
      <c r="I49" s="8">
        <f t="shared" si="5"/>
        <v>364304.5737</v>
      </c>
    </row>
    <row r="50">
      <c r="A50" s="9" t="s">
        <v>91</v>
      </c>
      <c r="B50" s="14">
        <f>DAY(B48)</f>
        <v>7</v>
      </c>
      <c r="E50" s="3">
        <v>8.0</v>
      </c>
      <c r="F50" s="8">
        <f t="shared" si="2"/>
        <v>23072.46317</v>
      </c>
      <c r="G50" s="8">
        <f t="shared" si="3"/>
        <v>3035.871447</v>
      </c>
      <c r="H50" s="8">
        <f t="shared" si="4"/>
        <v>20036.59172</v>
      </c>
      <c r="I50" s="8">
        <f t="shared" si="5"/>
        <v>344267.9819</v>
      </c>
    </row>
    <row r="51">
      <c r="A51" s="9" t="s">
        <v>81</v>
      </c>
      <c r="B51" s="14">
        <f>MONTH(B48)</f>
        <v>3</v>
      </c>
      <c r="E51" s="3">
        <v>9.0</v>
      </c>
      <c r="F51" s="8">
        <f t="shared" si="2"/>
        <v>23072.46317</v>
      </c>
      <c r="G51" s="8">
        <f t="shared" si="3"/>
        <v>2868.899849</v>
      </c>
      <c r="H51" s="8">
        <f t="shared" si="4"/>
        <v>20203.56332</v>
      </c>
      <c r="I51" s="8">
        <f t="shared" si="5"/>
        <v>324064.4186</v>
      </c>
    </row>
    <row r="52">
      <c r="A52" s="9" t="s">
        <v>92</v>
      </c>
      <c r="B52" s="14">
        <f>YEAR(B48)</f>
        <v>2025</v>
      </c>
      <c r="E52" s="3">
        <v>10.0</v>
      </c>
      <c r="F52" s="8">
        <f t="shared" si="2"/>
        <v>23072.46317</v>
      </c>
      <c r="G52" s="8">
        <f t="shared" si="3"/>
        <v>2700.536822</v>
      </c>
      <c r="H52" s="8">
        <f t="shared" si="4"/>
        <v>20371.92635</v>
      </c>
      <c r="I52" s="8">
        <f t="shared" si="5"/>
        <v>303692.4923</v>
      </c>
    </row>
    <row r="53">
      <c r="A53" s="9" t="s">
        <v>93</v>
      </c>
      <c r="B53" s="11">
        <f>DATE(B52,B51,B50)</f>
        <v>45723</v>
      </c>
      <c r="E53" s="3">
        <v>11.0</v>
      </c>
      <c r="F53" s="8">
        <f t="shared" si="2"/>
        <v>23072.46317</v>
      </c>
      <c r="G53" s="8">
        <f t="shared" si="3"/>
        <v>2530.770769</v>
      </c>
      <c r="H53" s="8">
        <f t="shared" si="4"/>
        <v>20541.6924</v>
      </c>
      <c r="I53" s="8">
        <f t="shared" si="5"/>
        <v>283150.7999</v>
      </c>
    </row>
    <row r="54">
      <c r="A54" s="14"/>
      <c r="B54" s="11">
        <f>10+B53</f>
        <v>45733</v>
      </c>
      <c r="E54" s="3">
        <v>12.0</v>
      </c>
      <c r="F54" s="8">
        <f t="shared" si="2"/>
        <v>23072.46317</v>
      </c>
      <c r="G54" s="8">
        <f t="shared" si="3"/>
        <v>2359.589999</v>
      </c>
      <c r="H54" s="8">
        <f t="shared" si="4"/>
        <v>20712.87317</v>
      </c>
      <c r="I54" s="8">
        <f t="shared" si="5"/>
        <v>262437.9267</v>
      </c>
    </row>
    <row r="55">
      <c r="A55" s="9" t="s">
        <v>94</v>
      </c>
      <c r="B55" s="11">
        <f>EDATE(B48,10)</f>
        <v>46029</v>
      </c>
      <c r="E55" s="3">
        <v>13.0</v>
      </c>
      <c r="F55" s="8">
        <f t="shared" si="2"/>
        <v>23072.46317</v>
      </c>
      <c r="G55" s="8">
        <f t="shared" si="3"/>
        <v>2186.982723</v>
      </c>
      <c r="H55" s="8">
        <f t="shared" si="4"/>
        <v>20885.48045</v>
      </c>
      <c r="I55" s="8">
        <f t="shared" si="5"/>
        <v>241552.4463</v>
      </c>
    </row>
    <row r="56">
      <c r="A56" s="14"/>
      <c r="B56" s="11">
        <f>EDATE(B48,2*12)</f>
        <v>46453</v>
      </c>
      <c r="E56" s="3">
        <v>14.0</v>
      </c>
      <c r="F56" s="8">
        <f t="shared" si="2"/>
        <v>23072.46317</v>
      </c>
      <c r="G56" s="8">
        <f t="shared" si="3"/>
        <v>2012.937052</v>
      </c>
      <c r="H56" s="8">
        <f t="shared" si="4"/>
        <v>21059.52612</v>
      </c>
      <c r="I56" s="8">
        <f t="shared" si="5"/>
        <v>220492.9201</v>
      </c>
    </row>
    <row r="57">
      <c r="A57" s="9" t="s">
        <v>95</v>
      </c>
      <c r="B57" s="9" t="s">
        <v>96</v>
      </c>
      <c r="E57" s="3">
        <v>15.0</v>
      </c>
      <c r="F57" s="8">
        <f t="shared" si="2"/>
        <v>23072.46317</v>
      </c>
      <c r="G57" s="8">
        <f t="shared" si="3"/>
        <v>1837.441001</v>
      </c>
      <c r="H57" s="8">
        <f t="shared" si="4"/>
        <v>21235.02217</v>
      </c>
      <c r="I57" s="8">
        <f t="shared" si="5"/>
        <v>199257.898</v>
      </c>
    </row>
    <row r="58">
      <c r="A58" s="11">
        <f>date(2025,2,1)</f>
        <v>45689</v>
      </c>
      <c r="B58" s="11">
        <f>B53</f>
        <v>45723</v>
      </c>
      <c r="E58" s="3">
        <v>16.0</v>
      </c>
      <c r="F58" s="8">
        <f t="shared" si="2"/>
        <v>23072.46317</v>
      </c>
      <c r="G58" s="8">
        <f t="shared" si="3"/>
        <v>1660.482483</v>
      </c>
      <c r="H58" s="8">
        <f t="shared" si="4"/>
        <v>21411.98069</v>
      </c>
      <c r="I58" s="8">
        <f t="shared" si="5"/>
        <v>177845.9173</v>
      </c>
    </row>
    <row r="59">
      <c r="A59" s="9" t="s">
        <v>97</v>
      </c>
      <c r="B59" s="14">
        <f>NETWORKDAYS(A58,B58)</f>
        <v>25</v>
      </c>
      <c r="E59" s="3">
        <v>17.0</v>
      </c>
      <c r="F59" s="8">
        <f t="shared" si="2"/>
        <v>23072.46317</v>
      </c>
      <c r="G59" s="8">
        <f t="shared" si="3"/>
        <v>1482.049311</v>
      </c>
      <c r="H59" s="8">
        <f t="shared" si="4"/>
        <v>21590.41386</v>
      </c>
      <c r="I59" s="8">
        <f t="shared" si="5"/>
        <v>156255.5034</v>
      </c>
    </row>
    <row r="60">
      <c r="A60" s="9" t="s">
        <v>98</v>
      </c>
      <c r="B60" s="14">
        <f>_xlfn.NETWORKDAYS.INTL(A58,B58,11,D48:D56)</f>
        <v>29</v>
      </c>
      <c r="E60" s="3">
        <v>18.0</v>
      </c>
      <c r="F60" s="8">
        <f t="shared" si="2"/>
        <v>23072.46317</v>
      </c>
      <c r="G60" s="8">
        <f t="shared" si="3"/>
        <v>1302.129195</v>
      </c>
      <c r="H60" s="8">
        <f t="shared" si="4"/>
        <v>21770.33397</v>
      </c>
      <c r="I60" s="8">
        <f t="shared" si="5"/>
        <v>134485.1695</v>
      </c>
    </row>
    <row r="61">
      <c r="A61" s="9" t="s">
        <v>99</v>
      </c>
      <c r="B61" s="9" t="s">
        <v>100</v>
      </c>
      <c r="E61" s="3">
        <v>19.0</v>
      </c>
      <c r="F61" s="8">
        <f t="shared" si="2"/>
        <v>23072.46317</v>
      </c>
      <c r="G61" s="8">
        <f t="shared" si="3"/>
        <v>1120.709745</v>
      </c>
      <c r="H61" s="8">
        <f t="shared" si="4"/>
        <v>21951.75342</v>
      </c>
      <c r="I61" s="8">
        <f t="shared" si="5"/>
        <v>112533.416</v>
      </c>
    </row>
    <row r="62">
      <c r="A62" s="11">
        <f>date(2006,8,26)</f>
        <v>38955</v>
      </c>
      <c r="B62" s="11">
        <f>TODAY()</f>
        <v>45723</v>
      </c>
      <c r="E62" s="3">
        <v>20.0</v>
      </c>
      <c r="F62" s="8">
        <f t="shared" si="2"/>
        <v>23072.46317</v>
      </c>
      <c r="G62" s="8">
        <f t="shared" si="3"/>
        <v>937.7784669</v>
      </c>
      <c r="H62" s="8">
        <f t="shared" si="4"/>
        <v>22134.6847</v>
      </c>
      <c r="I62" s="8">
        <f t="shared" si="5"/>
        <v>90398.73133</v>
      </c>
    </row>
    <row r="63">
      <c r="A63" s="9" t="s">
        <v>101</v>
      </c>
      <c r="B63" s="14">
        <f>DATEDIF(A62,B62,"Y")</f>
        <v>18</v>
      </c>
      <c r="E63" s="1" t="s">
        <v>102</v>
      </c>
      <c r="F63" s="15">
        <f t="shared" ref="F63:I63" si="6">SUM(F43:F62)</f>
        <v>461449.2634</v>
      </c>
      <c r="G63" s="15">
        <f t="shared" si="6"/>
        <v>51847.9947</v>
      </c>
      <c r="H63" s="15">
        <f t="shared" si="6"/>
        <v>409601.2687</v>
      </c>
      <c r="I63" s="15">
        <f t="shared" si="6"/>
        <v>5812158.096</v>
      </c>
    </row>
    <row r="66">
      <c r="B66" s="16" t="s">
        <v>103</v>
      </c>
      <c r="C66" s="17"/>
      <c r="E66" s="1" t="s">
        <v>104</v>
      </c>
      <c r="F66" s="1" t="s">
        <v>105</v>
      </c>
      <c r="G66" s="1" t="s">
        <v>106</v>
      </c>
      <c r="H66" s="1" t="s">
        <v>107</v>
      </c>
      <c r="I66" s="1" t="s">
        <v>108</v>
      </c>
      <c r="J66" s="1" t="s">
        <v>109</v>
      </c>
      <c r="K66" s="1" t="s">
        <v>110</v>
      </c>
      <c r="L66" s="1" t="s">
        <v>111</v>
      </c>
      <c r="M66" s="1" t="s">
        <v>112</v>
      </c>
    </row>
    <row r="67">
      <c r="B67" s="1" t="s">
        <v>113</v>
      </c>
      <c r="C67" s="1" t="s">
        <v>114</v>
      </c>
      <c r="E67" s="3" t="s">
        <v>8</v>
      </c>
      <c r="F67" s="3">
        <v>85.0</v>
      </c>
      <c r="G67" s="3">
        <v>88.0</v>
      </c>
      <c r="H67" s="2" t="b">
        <f t="shared" ref="H67:H76" si="7">AND(F67&gt;=60,G67&gt;=40)</f>
        <v>1</v>
      </c>
      <c r="I67" s="14" t="b">
        <f t="shared" ref="I67:I76" si="8">OR(F67&gt;=60,G67&gt;=40)</f>
        <v>1</v>
      </c>
      <c r="J67" s="2" t="str">
        <f t="shared" ref="J67:J76" si="9">if(F67&gt;=60,"Pass","Fail")</f>
        <v>Pass</v>
      </c>
      <c r="K67" s="14" t="b">
        <f t="shared" ref="K67:K76" si="10">NOT(H67)</f>
        <v>0</v>
      </c>
      <c r="L67" s="2" t="b">
        <f t="shared" ref="L67:L76" si="11">F67&lt;&gt;80</f>
        <v>1</v>
      </c>
      <c r="M67" s="2" t="str">
        <f t="shared" ref="M67:M76" si="12">IF(F67&lt;&gt;60,"not=60","it's 90")</f>
        <v>not=60</v>
      </c>
    </row>
    <row r="68">
      <c r="B68" s="3" t="s">
        <v>115</v>
      </c>
      <c r="C68" s="18">
        <v>400.0</v>
      </c>
      <c r="E68" s="3" t="s">
        <v>11</v>
      </c>
      <c r="F68" s="3">
        <v>78.0</v>
      </c>
      <c r="G68" s="3">
        <v>82.0</v>
      </c>
      <c r="H68" s="2" t="b">
        <f t="shared" si="7"/>
        <v>1</v>
      </c>
      <c r="I68" s="14" t="b">
        <f t="shared" si="8"/>
        <v>1</v>
      </c>
      <c r="J68" s="2" t="str">
        <f t="shared" si="9"/>
        <v>Pass</v>
      </c>
      <c r="K68" s="14" t="b">
        <f t="shared" si="10"/>
        <v>0</v>
      </c>
      <c r="L68" s="2" t="b">
        <f t="shared" si="11"/>
        <v>1</v>
      </c>
      <c r="M68" s="2" t="str">
        <f t="shared" si="12"/>
        <v>not=60</v>
      </c>
    </row>
    <row r="69">
      <c r="B69" s="3" t="s">
        <v>116</v>
      </c>
      <c r="C69" s="18">
        <v>33.0</v>
      </c>
      <c r="E69" s="3" t="s">
        <v>14</v>
      </c>
      <c r="F69" s="3">
        <v>92.0</v>
      </c>
      <c r="G69" s="3">
        <v>90.0</v>
      </c>
      <c r="H69" s="2" t="b">
        <f t="shared" si="7"/>
        <v>1</v>
      </c>
      <c r="I69" s="14" t="b">
        <f t="shared" si="8"/>
        <v>1</v>
      </c>
      <c r="J69" s="2" t="str">
        <f t="shared" si="9"/>
        <v>Pass</v>
      </c>
      <c r="K69" s="14" t="b">
        <f t="shared" si="10"/>
        <v>0</v>
      </c>
      <c r="L69" s="2" t="b">
        <f t="shared" si="11"/>
        <v>1</v>
      </c>
      <c r="M69" s="2" t="str">
        <f t="shared" si="12"/>
        <v>not=60</v>
      </c>
    </row>
    <row r="70">
      <c r="B70" s="3" t="s">
        <v>117</v>
      </c>
      <c r="C70" s="18">
        <v>20.0</v>
      </c>
      <c r="E70" s="3" t="s">
        <v>17</v>
      </c>
      <c r="F70" s="3">
        <v>65.0</v>
      </c>
      <c r="G70" s="3">
        <v>34.0</v>
      </c>
      <c r="H70" s="2" t="b">
        <f t="shared" si="7"/>
        <v>0</v>
      </c>
      <c r="I70" s="14" t="b">
        <f t="shared" si="8"/>
        <v>1</v>
      </c>
      <c r="J70" s="2" t="str">
        <f t="shared" si="9"/>
        <v>Pass</v>
      </c>
      <c r="K70" s="14" t="b">
        <f t="shared" si="10"/>
        <v>1</v>
      </c>
      <c r="L70" s="2" t="b">
        <f t="shared" si="11"/>
        <v>1</v>
      </c>
      <c r="M70" s="2" t="str">
        <f t="shared" si="12"/>
        <v>not=60</v>
      </c>
    </row>
    <row r="71">
      <c r="B71" s="3" t="s">
        <v>118</v>
      </c>
      <c r="C71" s="18">
        <v>68.0</v>
      </c>
      <c r="E71" s="3" t="s">
        <v>119</v>
      </c>
      <c r="F71" s="3">
        <v>74.0</v>
      </c>
      <c r="G71" s="3">
        <v>80.0</v>
      </c>
      <c r="H71" s="2" t="b">
        <f t="shared" si="7"/>
        <v>1</v>
      </c>
      <c r="I71" s="14" t="b">
        <f t="shared" si="8"/>
        <v>1</v>
      </c>
      <c r="J71" s="2" t="str">
        <f t="shared" si="9"/>
        <v>Pass</v>
      </c>
      <c r="K71" s="14" t="b">
        <f t="shared" si="10"/>
        <v>0</v>
      </c>
      <c r="L71" s="2" t="b">
        <f t="shared" si="11"/>
        <v>1</v>
      </c>
      <c r="M71" s="2" t="str">
        <f t="shared" si="12"/>
        <v>not=60</v>
      </c>
    </row>
    <row r="72">
      <c r="B72" s="3" t="s">
        <v>120</v>
      </c>
      <c r="C72" s="18">
        <v>240.0</v>
      </c>
      <c r="E72" s="3" t="s">
        <v>22</v>
      </c>
      <c r="F72" s="3">
        <v>80.0</v>
      </c>
      <c r="G72" s="3">
        <v>30.0</v>
      </c>
      <c r="H72" s="2" t="b">
        <f t="shared" si="7"/>
        <v>0</v>
      </c>
      <c r="I72" s="14" t="b">
        <f t="shared" si="8"/>
        <v>1</v>
      </c>
      <c r="J72" s="2" t="str">
        <f t="shared" si="9"/>
        <v>Pass</v>
      </c>
      <c r="K72" s="14" t="b">
        <f t="shared" si="10"/>
        <v>1</v>
      </c>
      <c r="L72" s="2" t="b">
        <f t="shared" si="11"/>
        <v>0</v>
      </c>
      <c r="M72" s="2" t="str">
        <f t="shared" si="12"/>
        <v>not=60</v>
      </c>
    </row>
    <row r="73">
      <c r="B73" s="1" t="s">
        <v>121</v>
      </c>
      <c r="C73" s="15">
        <f>SUM(C68:C72)</f>
        <v>761</v>
      </c>
      <c r="E73" s="3" t="s">
        <v>25</v>
      </c>
      <c r="F73" s="3">
        <v>90.0</v>
      </c>
      <c r="G73" s="3">
        <v>95.0</v>
      </c>
      <c r="H73" s="2" t="b">
        <f t="shared" si="7"/>
        <v>1</v>
      </c>
      <c r="I73" s="14" t="b">
        <f t="shared" si="8"/>
        <v>1</v>
      </c>
      <c r="J73" s="2" t="str">
        <f t="shared" si="9"/>
        <v>Pass</v>
      </c>
      <c r="K73" s="14" t="b">
        <f t="shared" si="10"/>
        <v>0</v>
      </c>
      <c r="L73" s="2" t="b">
        <f t="shared" si="11"/>
        <v>1</v>
      </c>
      <c r="M73" s="2" t="str">
        <f t="shared" si="12"/>
        <v>not=60</v>
      </c>
    </row>
    <row r="74">
      <c r="E74" s="3" t="s">
        <v>27</v>
      </c>
      <c r="F74" s="3">
        <v>30.0</v>
      </c>
      <c r="G74" s="3">
        <v>22.0</v>
      </c>
      <c r="H74" s="2" t="b">
        <f t="shared" si="7"/>
        <v>0</v>
      </c>
      <c r="I74" s="14" t="b">
        <f t="shared" si="8"/>
        <v>0</v>
      </c>
      <c r="J74" s="2" t="str">
        <f t="shared" si="9"/>
        <v>Fail</v>
      </c>
      <c r="K74" s="14" t="b">
        <f t="shared" si="10"/>
        <v>1</v>
      </c>
      <c r="L74" s="2" t="b">
        <f t="shared" si="11"/>
        <v>1</v>
      </c>
      <c r="M74" s="2" t="str">
        <f t="shared" si="12"/>
        <v>not=60</v>
      </c>
    </row>
    <row r="75">
      <c r="B75" s="9" t="s">
        <v>122</v>
      </c>
      <c r="C75" s="19">
        <v>8.0</v>
      </c>
      <c r="E75" s="3" t="s">
        <v>123</v>
      </c>
      <c r="F75" s="3">
        <v>88.0</v>
      </c>
      <c r="G75" s="3">
        <v>84.0</v>
      </c>
      <c r="H75" s="2" t="b">
        <f t="shared" si="7"/>
        <v>1</v>
      </c>
      <c r="I75" s="14" t="b">
        <f t="shared" si="8"/>
        <v>1</v>
      </c>
      <c r="J75" s="2" t="str">
        <f t="shared" si="9"/>
        <v>Pass</v>
      </c>
      <c r="K75" s="14" t="b">
        <f t="shared" si="10"/>
        <v>0</v>
      </c>
      <c r="L75" s="2" t="b">
        <f t="shared" si="11"/>
        <v>1</v>
      </c>
      <c r="M75" s="2" t="str">
        <f t="shared" si="12"/>
        <v>not=60</v>
      </c>
    </row>
    <row r="76">
      <c r="B76" s="9" t="s">
        <v>124</v>
      </c>
      <c r="C76" s="20">
        <f>C73/8</f>
        <v>95.125</v>
      </c>
      <c r="E76" s="3" t="s">
        <v>31</v>
      </c>
      <c r="F76" s="3">
        <v>76.0</v>
      </c>
      <c r="G76" s="3">
        <v>79.0</v>
      </c>
      <c r="H76" s="2" t="b">
        <f t="shared" si="7"/>
        <v>1</v>
      </c>
      <c r="I76" s="14" t="b">
        <f t="shared" si="8"/>
        <v>1</v>
      </c>
      <c r="J76" s="2" t="str">
        <f t="shared" si="9"/>
        <v>Pass</v>
      </c>
      <c r="K76" s="14" t="b">
        <f t="shared" si="10"/>
        <v>0</v>
      </c>
      <c r="L76" s="2" t="b">
        <f t="shared" si="11"/>
        <v>1</v>
      </c>
      <c r="M76" s="2" t="str">
        <f t="shared" si="12"/>
        <v>not=60</v>
      </c>
    </row>
    <row r="77">
      <c r="B77" s="9" t="s">
        <v>125</v>
      </c>
      <c r="C77" s="20">
        <f>ROUND(C76,0)</f>
        <v>95</v>
      </c>
    </row>
    <row r="78">
      <c r="B78" s="9" t="s">
        <v>126</v>
      </c>
      <c r="C78" s="14">
        <f>ROUNDUP(C76,0)</f>
        <v>96</v>
      </c>
    </row>
    <row r="79">
      <c r="B79" s="9" t="s">
        <v>127</v>
      </c>
      <c r="C79" s="14">
        <f>ROUNDDOWN(C76,0)</f>
        <v>95</v>
      </c>
    </row>
    <row r="80">
      <c r="B80" s="9" t="s">
        <v>128</v>
      </c>
      <c r="C80" s="19" t="s">
        <v>129</v>
      </c>
    </row>
    <row r="81">
      <c r="B81" s="9" t="s">
        <v>130</v>
      </c>
      <c r="C81" s="14"/>
    </row>
    <row r="82">
      <c r="B82" s="9" t="s">
        <v>131</v>
      </c>
      <c r="C82" s="14"/>
    </row>
  </sheetData>
  <mergeCells count="1">
    <mergeCell ref="B66:C66"/>
  </mergeCells>
  <drawing r:id="rId1"/>
</worksheet>
</file>