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7\Desktop\"/>
    </mc:Choice>
  </mc:AlternateContent>
  <xr:revisionPtr revIDLastSave="0" documentId="8_{CBF4B427-9084-4160-95E4-E255E14EFA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Результат запроса" sheetId="1" r:id="rId1"/>
    <sheet name="Доп.Информация" sheetId="2" r:id="rId2"/>
    <sheet name="Визулизация" sheetId="3" r:id="rId3"/>
  </sheets>
  <definedNames>
    <definedName name="_xlnm._FilterDatabase" localSheetId="0" hidden="1">'Результат запроса'!$A$1:$Z$128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3" l="1"/>
  <c r="C48" i="3"/>
  <c r="D43" i="3"/>
  <c r="C43" i="3"/>
  <c r="D44" i="3"/>
  <c r="D42" i="3"/>
  <c r="D41" i="3"/>
  <c r="D40" i="3"/>
  <c r="D39" i="3"/>
  <c r="C44" i="3"/>
  <c r="C42" i="3"/>
  <c r="C41" i="3"/>
  <c r="C40" i="3"/>
  <c r="C39" i="3"/>
  <c r="B28" i="3"/>
  <c r="B27" i="3"/>
  <c r="E25" i="3"/>
  <c r="E24" i="3"/>
  <c r="B25" i="3"/>
  <c r="B24" i="3"/>
  <c r="B21" i="3"/>
  <c r="B20" i="3"/>
  <c r="F18" i="3"/>
  <c r="E18" i="3"/>
  <c r="D18" i="3"/>
  <c r="C18" i="3"/>
  <c r="G17" i="3"/>
  <c r="B17" i="3"/>
  <c r="C17" i="3" s="1"/>
  <c r="D17" i="3" s="1"/>
  <c r="E17" i="3" s="1"/>
  <c r="F17" i="3" s="1"/>
  <c r="G15" i="3"/>
  <c r="F16" i="3"/>
  <c r="E16" i="3"/>
  <c r="D16" i="3"/>
  <c r="C16" i="3"/>
  <c r="B15" i="3"/>
  <c r="C15" i="3" s="1"/>
  <c r="D15" i="3" s="1"/>
  <c r="E15" i="3" s="1"/>
  <c r="F15" i="3" s="1"/>
  <c r="D35" i="3"/>
  <c r="C35" i="3"/>
  <c r="D34" i="3"/>
  <c r="C34" i="3"/>
  <c r="B35" i="3"/>
  <c r="B34" i="3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C5" i="3"/>
  <c r="B5" i="3"/>
  <c r="E5" i="3" s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B27" i="2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C4" i="3" s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3" s="1"/>
  <c r="B23" i="2"/>
  <c r="W98" i="1"/>
  <c r="W114" i="1"/>
  <c r="B20" i="2"/>
  <c r="W3" i="1" s="1"/>
  <c r="B4" i="2"/>
  <c r="B11" i="2" s="1"/>
  <c r="X113" i="1" s="1"/>
  <c r="C8" i="3" l="1"/>
  <c r="B4" i="3"/>
  <c r="E4" i="3" s="1"/>
  <c r="C9" i="3"/>
  <c r="C10" i="3"/>
  <c r="B3" i="3"/>
  <c r="W66" i="1"/>
  <c r="X82" i="1"/>
  <c r="W33" i="1"/>
  <c r="X115" i="1"/>
  <c r="W34" i="1"/>
  <c r="X34" i="1"/>
  <c r="X114" i="1"/>
  <c r="W113" i="1"/>
  <c r="W17" i="1"/>
  <c r="X3" i="1"/>
  <c r="X51" i="1"/>
  <c r="X99" i="1"/>
  <c r="W128" i="1"/>
  <c r="W112" i="1"/>
  <c r="W96" i="1"/>
  <c r="W80" i="1"/>
  <c r="W64" i="1"/>
  <c r="W48" i="1"/>
  <c r="W32" i="1"/>
  <c r="W16" i="1"/>
  <c r="X4" i="1"/>
  <c r="X20" i="1"/>
  <c r="X36" i="1"/>
  <c r="X52" i="1"/>
  <c r="X68" i="1"/>
  <c r="X84" i="1"/>
  <c r="X100" i="1"/>
  <c r="X116" i="1"/>
  <c r="W82" i="1"/>
  <c r="X2" i="1"/>
  <c r="X66" i="1"/>
  <c r="W81" i="1"/>
  <c r="X35" i="1"/>
  <c r="W95" i="1"/>
  <c r="W79" i="1"/>
  <c r="W63" i="1"/>
  <c r="W47" i="1"/>
  <c r="W31" i="1"/>
  <c r="W15" i="1"/>
  <c r="X5" i="1"/>
  <c r="X21" i="1"/>
  <c r="X37" i="1"/>
  <c r="X53" i="1"/>
  <c r="X69" i="1"/>
  <c r="X85" i="1"/>
  <c r="X101" i="1"/>
  <c r="X117" i="1"/>
  <c r="W50" i="1"/>
  <c r="X18" i="1"/>
  <c r="X98" i="1"/>
  <c r="W65" i="1"/>
  <c r="X83" i="1"/>
  <c r="W126" i="1"/>
  <c r="W110" i="1"/>
  <c r="W94" i="1"/>
  <c r="W78" i="1"/>
  <c r="W62" i="1"/>
  <c r="W46" i="1"/>
  <c r="W30" i="1"/>
  <c r="W14" i="1"/>
  <c r="X6" i="1"/>
  <c r="X22" i="1"/>
  <c r="X38" i="1"/>
  <c r="X54" i="1"/>
  <c r="X70" i="1"/>
  <c r="X86" i="1"/>
  <c r="X102" i="1"/>
  <c r="X118" i="1"/>
  <c r="W2" i="1"/>
  <c r="W49" i="1"/>
  <c r="X19" i="1"/>
  <c r="W111" i="1"/>
  <c r="W125" i="1"/>
  <c r="W109" i="1"/>
  <c r="W93" i="1"/>
  <c r="W77" i="1"/>
  <c r="W61" i="1"/>
  <c r="W45" i="1"/>
  <c r="W29" i="1"/>
  <c r="W13" i="1"/>
  <c r="X7" i="1"/>
  <c r="X23" i="1"/>
  <c r="X39" i="1"/>
  <c r="X55" i="1"/>
  <c r="X71" i="1"/>
  <c r="X87" i="1"/>
  <c r="X103" i="1"/>
  <c r="X119" i="1"/>
  <c r="W18" i="1"/>
  <c r="X50" i="1"/>
  <c r="W97" i="1"/>
  <c r="X67" i="1"/>
  <c r="W127" i="1"/>
  <c r="W124" i="1"/>
  <c r="W108" i="1"/>
  <c r="W92" i="1"/>
  <c r="W76" i="1"/>
  <c r="W60" i="1"/>
  <c r="W44" i="1"/>
  <c r="W28" i="1"/>
  <c r="W12" i="1"/>
  <c r="X8" i="1"/>
  <c r="X24" i="1"/>
  <c r="X40" i="1"/>
  <c r="X56" i="1"/>
  <c r="X72" i="1"/>
  <c r="X88" i="1"/>
  <c r="X104" i="1"/>
  <c r="X120" i="1"/>
  <c r="W123" i="1"/>
  <c r="W107" i="1"/>
  <c r="W91" i="1"/>
  <c r="W75" i="1"/>
  <c r="W59" i="1"/>
  <c r="W43" i="1"/>
  <c r="W27" i="1"/>
  <c r="W11" i="1"/>
  <c r="X9" i="1"/>
  <c r="X25" i="1"/>
  <c r="X41" i="1"/>
  <c r="X57" i="1"/>
  <c r="X73" i="1"/>
  <c r="X89" i="1"/>
  <c r="X105" i="1"/>
  <c r="X121" i="1"/>
  <c r="W122" i="1"/>
  <c r="W106" i="1"/>
  <c r="W90" i="1"/>
  <c r="W74" i="1"/>
  <c r="W58" i="1"/>
  <c r="W42" i="1"/>
  <c r="W26" i="1"/>
  <c r="W10" i="1"/>
  <c r="X10" i="1"/>
  <c r="X26" i="1"/>
  <c r="X42" i="1"/>
  <c r="X58" i="1"/>
  <c r="X74" i="1"/>
  <c r="X90" i="1"/>
  <c r="X106" i="1"/>
  <c r="X122" i="1"/>
  <c r="W121" i="1"/>
  <c r="W105" i="1"/>
  <c r="W89" i="1"/>
  <c r="W73" i="1"/>
  <c r="W57" i="1"/>
  <c r="W41" i="1"/>
  <c r="W25" i="1"/>
  <c r="W9" i="1"/>
  <c r="X11" i="1"/>
  <c r="X27" i="1"/>
  <c r="X43" i="1"/>
  <c r="X59" i="1"/>
  <c r="X75" i="1"/>
  <c r="X91" i="1"/>
  <c r="X107" i="1"/>
  <c r="X123" i="1"/>
  <c r="W120" i="1"/>
  <c r="W104" i="1"/>
  <c r="W88" i="1"/>
  <c r="W72" i="1"/>
  <c r="W56" i="1"/>
  <c r="W40" i="1"/>
  <c r="W24" i="1"/>
  <c r="W8" i="1"/>
  <c r="X12" i="1"/>
  <c r="X28" i="1"/>
  <c r="X44" i="1"/>
  <c r="X60" i="1"/>
  <c r="X76" i="1"/>
  <c r="X92" i="1"/>
  <c r="X108" i="1"/>
  <c r="X124" i="1"/>
  <c r="W103" i="1"/>
  <c r="W87" i="1"/>
  <c r="W71" i="1"/>
  <c r="W55" i="1"/>
  <c r="W39" i="1"/>
  <c r="W23" i="1"/>
  <c r="W7" i="1"/>
  <c r="X13" i="1"/>
  <c r="X29" i="1"/>
  <c r="X45" i="1"/>
  <c r="X61" i="1"/>
  <c r="X77" i="1"/>
  <c r="X93" i="1"/>
  <c r="X109" i="1"/>
  <c r="X125" i="1"/>
  <c r="W86" i="1"/>
  <c r="W54" i="1"/>
  <c r="W22" i="1"/>
  <c r="W6" i="1"/>
  <c r="X14" i="1"/>
  <c r="X30" i="1"/>
  <c r="X46" i="1"/>
  <c r="X62" i="1"/>
  <c r="X78" i="1"/>
  <c r="X94" i="1"/>
  <c r="X110" i="1"/>
  <c r="X126" i="1"/>
  <c r="W119" i="1"/>
  <c r="W118" i="1"/>
  <c r="W102" i="1"/>
  <c r="W70" i="1"/>
  <c r="W38" i="1"/>
  <c r="W117" i="1"/>
  <c r="W101" i="1"/>
  <c r="W85" i="1"/>
  <c r="W69" i="1"/>
  <c r="W53" i="1"/>
  <c r="W37" i="1"/>
  <c r="W21" i="1"/>
  <c r="W5" i="1"/>
  <c r="X15" i="1"/>
  <c r="X31" i="1"/>
  <c r="X47" i="1"/>
  <c r="X63" i="1"/>
  <c r="X79" i="1"/>
  <c r="X95" i="1"/>
  <c r="X111" i="1"/>
  <c r="X127" i="1"/>
  <c r="W116" i="1"/>
  <c r="W100" i="1"/>
  <c r="W84" i="1"/>
  <c r="W68" i="1"/>
  <c r="W52" i="1"/>
  <c r="W36" i="1"/>
  <c r="W20" i="1"/>
  <c r="W4" i="1"/>
  <c r="X16" i="1"/>
  <c r="X32" i="1"/>
  <c r="X48" i="1"/>
  <c r="X64" i="1"/>
  <c r="X80" i="1"/>
  <c r="X96" i="1"/>
  <c r="X112" i="1"/>
  <c r="X128" i="1"/>
  <c r="W115" i="1"/>
  <c r="W99" i="1"/>
  <c r="W83" i="1"/>
  <c r="W67" i="1"/>
  <c r="W51" i="1"/>
  <c r="W35" i="1"/>
  <c r="W19" i="1"/>
  <c r="X17" i="1"/>
  <c r="X33" i="1"/>
  <c r="X49" i="1"/>
  <c r="X65" i="1"/>
  <c r="X81" i="1"/>
  <c r="X97" i="1"/>
  <c r="B7" i="2"/>
  <c r="B8" i="2"/>
  <c r="B8" i="3" l="1"/>
  <c r="E3" i="3"/>
  <c r="E9" i="3"/>
  <c r="B10" i="3"/>
  <c r="B9" i="3"/>
  <c r="V118" i="1"/>
  <c r="V102" i="1"/>
  <c r="V86" i="1"/>
  <c r="V70" i="1"/>
  <c r="V54" i="1"/>
  <c r="V38" i="1"/>
  <c r="V22" i="1"/>
  <c r="V6" i="1"/>
  <c r="V117" i="1"/>
  <c r="V101" i="1"/>
  <c r="V85" i="1"/>
  <c r="V69" i="1"/>
  <c r="V53" i="1"/>
  <c r="V37" i="1"/>
  <c r="V21" i="1"/>
  <c r="V5" i="1"/>
  <c r="V116" i="1"/>
  <c r="V100" i="1"/>
  <c r="V84" i="1"/>
  <c r="V68" i="1"/>
  <c r="V52" i="1"/>
  <c r="V36" i="1"/>
  <c r="V20" i="1"/>
  <c r="V4" i="1"/>
  <c r="V83" i="1"/>
  <c r="V51" i="1"/>
  <c r="V35" i="1"/>
  <c r="V3" i="1"/>
  <c r="V66" i="1"/>
  <c r="V2" i="1"/>
  <c r="V115" i="1"/>
  <c r="V99" i="1"/>
  <c r="V67" i="1"/>
  <c r="V19" i="1"/>
  <c r="V114" i="1"/>
  <c r="V82" i="1"/>
  <c r="V50" i="1"/>
  <c r="V18" i="1"/>
  <c r="V65" i="1"/>
  <c r="V17" i="1"/>
  <c r="V98" i="1"/>
  <c r="V34" i="1"/>
  <c r="V33" i="1"/>
  <c r="V16" i="1"/>
  <c r="V55" i="1"/>
  <c r="V113" i="1"/>
  <c r="V97" i="1"/>
  <c r="V81" i="1"/>
  <c r="V49" i="1"/>
  <c r="V30" i="1"/>
  <c r="V112" i="1"/>
  <c r="V96" i="1"/>
  <c r="V80" i="1"/>
  <c r="V64" i="1"/>
  <c r="V48" i="1"/>
  <c r="V32" i="1"/>
  <c r="V46" i="1"/>
  <c r="V111" i="1"/>
  <c r="V95" i="1"/>
  <c r="V79" i="1"/>
  <c r="V63" i="1"/>
  <c r="V47" i="1"/>
  <c r="V31" i="1"/>
  <c r="V15" i="1"/>
  <c r="V7" i="1"/>
  <c r="V110" i="1"/>
  <c r="V94" i="1"/>
  <c r="V78" i="1"/>
  <c r="V62" i="1"/>
  <c r="V14" i="1"/>
  <c r="V109" i="1"/>
  <c r="V93" i="1"/>
  <c r="V77" i="1"/>
  <c r="V61" i="1"/>
  <c r="V45" i="1"/>
  <c r="V29" i="1"/>
  <c r="V13" i="1"/>
  <c r="V42" i="1"/>
  <c r="V88" i="1"/>
  <c r="V56" i="1"/>
  <c r="V119" i="1"/>
  <c r="V87" i="1"/>
  <c r="V23" i="1"/>
  <c r="V108" i="1"/>
  <c r="V92" i="1"/>
  <c r="V76" i="1"/>
  <c r="V60" i="1"/>
  <c r="V44" i="1"/>
  <c r="V28" i="1"/>
  <c r="V12" i="1"/>
  <c r="V10" i="1"/>
  <c r="V8" i="1"/>
  <c r="V107" i="1"/>
  <c r="V91" i="1"/>
  <c r="V75" i="1"/>
  <c r="V59" i="1"/>
  <c r="V43" i="1"/>
  <c r="V27" i="1"/>
  <c r="V11" i="1"/>
  <c r="V106" i="1"/>
  <c r="V90" i="1"/>
  <c r="V58" i="1"/>
  <c r="V26" i="1"/>
  <c r="V104" i="1"/>
  <c r="V24" i="1"/>
  <c r="V71" i="1"/>
  <c r="V74" i="1"/>
  <c r="V72" i="1"/>
  <c r="V103" i="1"/>
  <c r="V105" i="1"/>
  <c r="V89" i="1"/>
  <c r="V73" i="1"/>
  <c r="V57" i="1"/>
  <c r="V41" i="1"/>
  <c r="V25" i="1"/>
  <c r="V9" i="1"/>
  <c r="V40" i="1"/>
  <c r="V39" i="1"/>
  <c r="E8" i="3" l="1"/>
  <c r="E10" i="3"/>
</calcChain>
</file>

<file path=xl/sharedStrings.xml><?xml version="1.0" encoding="utf-8"?>
<sst xmlns="http://schemas.openxmlformats.org/spreadsheetml/2006/main" count="918" uniqueCount="74">
  <si>
    <t>flight_id</t>
  </si>
  <si>
    <t>flight_no</t>
  </si>
  <si>
    <t>actual_departure</t>
  </si>
  <si>
    <t>actual_arrival</t>
  </si>
  <si>
    <t>flight_time</t>
  </si>
  <si>
    <t>departure_airport</t>
  </si>
  <si>
    <t>arrival_airport</t>
  </si>
  <si>
    <t>airport_name</t>
  </si>
  <si>
    <t>city</t>
  </si>
  <si>
    <t>longitude</t>
  </si>
  <si>
    <t>latitude</t>
  </si>
  <si>
    <t>aircraft_code</t>
  </si>
  <si>
    <t>model</t>
  </si>
  <si>
    <t>business_seats_total</t>
  </si>
  <si>
    <t>economy_seats_total</t>
  </si>
  <si>
    <t>business_seats_occupied</t>
  </si>
  <si>
    <t>business_paid</t>
  </si>
  <si>
    <t>economy_seats_occupied</t>
  </si>
  <si>
    <t>economy_paid</t>
  </si>
  <si>
    <t>total_paid</t>
  </si>
  <si>
    <t>PG0252</t>
  </si>
  <si>
    <t>AAQ</t>
  </si>
  <si>
    <t>SVO</t>
  </si>
  <si>
    <t>Sheremetyevo International Airport</t>
  </si>
  <si>
    <t>Moscow</t>
  </si>
  <si>
    <t>Boeing 737-300</t>
  </si>
  <si>
    <t>PG0480</t>
  </si>
  <si>
    <t>EGO</t>
  </si>
  <si>
    <t>Belgorod International Airport</t>
  </si>
  <si>
    <t>Belgorod</t>
  </si>
  <si>
    <t>SU9</t>
  </si>
  <si>
    <t>Sukhoi Superjet-100</t>
  </si>
  <si>
    <t>PG0194</t>
  </si>
  <si>
    <t>NOZ</t>
  </si>
  <si>
    <t>Spichenkovo Airport</t>
  </si>
  <si>
    <t>Novokuznetsk</t>
  </si>
  <si>
    <t>Курс доллара в 2017</t>
  </si>
  <si>
    <t>min</t>
  </si>
  <si>
    <t>max</t>
  </si>
  <si>
    <t>avg</t>
  </si>
  <si>
    <t>Стоимость питания на 1 пассажира</t>
  </si>
  <si>
    <t>business</t>
  </si>
  <si>
    <t>economy</t>
  </si>
  <si>
    <t>Стоимость расчета 1 рейса</t>
  </si>
  <si>
    <t>Средний расход топлива л/ч</t>
  </si>
  <si>
    <t>Стоимость 1т топлива</t>
  </si>
  <si>
    <t>Стоимость 1т</t>
  </si>
  <si>
    <t>Заправка 1т</t>
  </si>
  <si>
    <t>Итого</t>
  </si>
  <si>
    <t>meal_cost</t>
  </si>
  <si>
    <t>fuel_cost</t>
  </si>
  <si>
    <t>OFP_cost</t>
  </si>
  <si>
    <t>wage_per_flight</t>
  </si>
  <si>
    <t>Зарплата</t>
  </si>
  <si>
    <t>Кабинный экипаж (5 чел.)</t>
  </si>
  <si>
    <t>Командир</t>
  </si>
  <si>
    <t>Второй пилот</t>
  </si>
  <si>
    <t>месяц</t>
  </si>
  <si>
    <t>Среднее количество рейсов в месяц</t>
  </si>
  <si>
    <t>Итого за рейс</t>
  </si>
  <si>
    <t>Январь</t>
  </si>
  <si>
    <t>Февраль</t>
  </si>
  <si>
    <t>profit</t>
  </si>
  <si>
    <t>Эконом</t>
  </si>
  <si>
    <t>Бизнес</t>
  </si>
  <si>
    <t>Стоимость билетов</t>
  </si>
  <si>
    <t>Расходы на питание</t>
  </si>
  <si>
    <t>Расходы на топливо</t>
  </si>
  <si>
    <t>Расходы на просчет рейса</t>
  </si>
  <si>
    <t>Расходы на зарплату</t>
  </si>
  <si>
    <t>Относительная прибыль</t>
  </si>
  <si>
    <t>total_cost</t>
  </si>
  <si>
    <t>Прибыль</t>
  </si>
  <si>
    <t>Общие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</si>
</sst>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/d/yy\ hh:mm:ss"/>
    <numFmt numFmtId="165" formatCode="_-* #,##0.00\ _₽_-;\-* #,##0.00\ _₽_-;_-* &quot;-&quot;??\ _₽_-;_-@_-"/>
    <numFmt numFmtId="166" formatCode="_-* #,##0_-;\-* #,##0_-;_-* &quot;-&quot;??_-;_-@_-"/>
    <numFmt numFmtId="167" formatCode="0.0%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43" fontId="0" fillId="0" borderId="4" xfId="1" applyFont="1" applyBorder="1"/>
    <xf numFmtId="0" fontId="0" fillId="0" borderId="5" xfId="0" applyBorder="1"/>
    <xf numFmtId="43" fontId="0" fillId="0" borderId="6" xfId="1" applyFont="1" applyBorder="1"/>
    <xf numFmtId="165" fontId="0" fillId="0" borderId="6" xfId="0" applyNumberFormat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4" fontId="0" fillId="0" borderId="4" xfId="0" applyNumberFormat="1" applyBorder="1"/>
    <xf numFmtId="4" fontId="0" fillId="0" borderId="6" xfId="0" applyNumberFormat="1" applyBorder="1"/>
    <xf numFmtId="166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66" fontId="0" fillId="0" borderId="6" xfId="1" applyNumberFormat="1" applyFont="1" applyBorder="1"/>
    <xf numFmtId="0" fontId="0" fillId="0" borderId="7" xfId="0" applyBorder="1"/>
    <xf numFmtId="0" fontId="0" fillId="0" borderId="0" xfId="0" applyBorder="1"/>
    <xf numFmtId="166" fontId="0" fillId="0" borderId="0" xfId="1" applyNumberFormat="1" applyFont="1" applyBorder="1"/>
    <xf numFmtId="166" fontId="0" fillId="0" borderId="4" xfId="1" applyNumberFormat="1" applyFont="1" applyBorder="1"/>
    <xf numFmtId="166" fontId="0" fillId="0" borderId="8" xfId="1" applyNumberFormat="1" applyFont="1" applyBorder="1"/>
    <xf numFmtId="9" fontId="0" fillId="0" borderId="2" xfId="2" applyFont="1" applyBorder="1"/>
    <xf numFmtId="9" fontId="0" fillId="0" borderId="6" xfId="2" applyFont="1" applyBorder="1"/>
    <xf numFmtId="167" fontId="0" fillId="0" borderId="0" xfId="2" applyNumberFormat="1" applyFont="1" applyBorder="1"/>
    <xf numFmtId="167" fontId="0" fillId="0" borderId="4" xfId="2" applyNumberFormat="1" applyFont="1" applyBorder="1"/>
    <xf numFmtId="167" fontId="0" fillId="0" borderId="8" xfId="2" applyNumberFormat="1" applyFont="1" applyBorder="1"/>
    <xf numFmtId="167" fontId="0" fillId="0" borderId="6" xfId="2" applyNumberFormat="1" applyFont="1" applyBorder="1"/>
    <xf numFmtId="0" fontId="0" fillId="0" borderId="8" xfId="0" applyBorder="1"/>
    <xf numFmtId="166" fontId="0" fillId="0" borderId="7" xfId="1" applyNumberFormat="1" applyFont="1" applyBorder="1"/>
    <xf numFmtId="166" fontId="0" fillId="0" borderId="2" xfId="0" applyNumberFormat="1" applyBorder="1"/>
    <xf numFmtId="166" fontId="0" fillId="0" borderId="6" xfId="0" applyNumberFormat="1" applyBorder="1"/>
    <xf numFmtId="9" fontId="0" fillId="0" borderId="4" xfId="2" applyNumberFormat="1" applyFont="1" applyBorder="1"/>
    <xf numFmtId="9" fontId="0" fillId="0" borderId="6" xfId="2" applyNumberFormat="1" applyFont="1" applyBorder="1"/>
    <xf numFmtId="0" fontId="0" fillId="0" borderId="3" xfId="0" applyFill="1" applyBorder="1"/>
    <xf numFmtId="9" fontId="0" fillId="0" borderId="5" xfId="2" applyFon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400"/>
              <a:t>Количество рейсов по направлениям</a:t>
            </a:r>
            <a:r>
              <a:rPr lang="ru-RU" sz="1400" baseline="0"/>
              <a:t> по</a:t>
            </a:r>
            <a:r>
              <a:rPr lang="ru-RU" sz="1400"/>
              <a:t>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Визулизация!$A$3</c:f>
              <c:strCache>
                <c:ptCount val="1"/>
                <c:pt idx="0">
                  <c:v>Moscow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Визулизация!$B$2:$E$2</c:f>
              <c:strCache>
                <c:ptCount val="4"/>
                <c:pt idx="0">
                  <c:v>Январь</c:v>
                </c:pt>
                <c:pt idx="1">
                  <c:v>Февраль</c:v>
                </c:pt>
                <c:pt idx="3">
                  <c:v>Итого</c:v>
                </c:pt>
              </c:strCache>
            </c:strRef>
          </c:cat>
          <c:val>
            <c:numRef>
              <c:f>Визулизация!$B$3:$E$3</c:f>
              <c:numCache>
                <c:formatCode>General</c:formatCode>
                <c:ptCount val="4"/>
                <c:pt idx="0">
                  <c:v>31</c:v>
                </c:pt>
                <c:pt idx="1">
                  <c:v>28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7-4C99-A399-49BFA05EF948}"/>
            </c:ext>
          </c:extLst>
        </c:ser>
        <c:ser>
          <c:idx val="1"/>
          <c:order val="1"/>
          <c:tx>
            <c:strRef>
              <c:f>Визулизация!$A$4</c:f>
              <c:strCache>
                <c:ptCount val="1"/>
                <c:pt idx="0">
                  <c:v>Belgorod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Визулизация!$B$2:$E$2</c:f>
              <c:strCache>
                <c:ptCount val="4"/>
                <c:pt idx="0">
                  <c:v>Январь</c:v>
                </c:pt>
                <c:pt idx="1">
                  <c:v>Февраль</c:v>
                </c:pt>
                <c:pt idx="3">
                  <c:v>Итого</c:v>
                </c:pt>
              </c:strCache>
            </c:strRef>
          </c:cat>
          <c:val>
            <c:numRef>
              <c:f>Визулизация!$B$4:$E$4</c:f>
              <c:numCache>
                <c:formatCode>General</c:formatCode>
                <c:ptCount val="4"/>
                <c:pt idx="0">
                  <c:v>31</c:v>
                </c:pt>
                <c:pt idx="1">
                  <c:v>28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7-4C99-A399-49BFA05EF948}"/>
            </c:ext>
          </c:extLst>
        </c:ser>
        <c:ser>
          <c:idx val="2"/>
          <c:order val="2"/>
          <c:tx>
            <c:strRef>
              <c:f>Визулизация!$A$5</c:f>
              <c:strCache>
                <c:ptCount val="1"/>
                <c:pt idx="0">
                  <c:v>Novokuznetsk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Визулизация!$B$2:$E$2</c:f>
              <c:strCache>
                <c:ptCount val="4"/>
                <c:pt idx="0">
                  <c:v>Январь</c:v>
                </c:pt>
                <c:pt idx="1">
                  <c:v>Февраль</c:v>
                </c:pt>
                <c:pt idx="3">
                  <c:v>Итого</c:v>
                </c:pt>
              </c:strCache>
            </c:strRef>
          </c:cat>
          <c:val>
            <c:numRef>
              <c:f>Визулизация!$B$5:$E$5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7-4C99-A399-49BFA05EF9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197018784"/>
        <c:axId val="197019200"/>
      </c:barChart>
      <c:catAx>
        <c:axId val="1970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19200"/>
        <c:crosses val="autoZero"/>
        <c:auto val="1"/>
        <c:lblAlgn val="ctr"/>
        <c:lblOffset val="100"/>
        <c:noMultiLvlLbl val="0"/>
      </c:catAx>
      <c:valAx>
        <c:axId val="1970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расходов в прибыли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07-4F41-8955-136168AC36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07-4F41-8955-136168AC36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Визулизация!$C$47:$D$47</c:f>
              <c:strCache>
                <c:ptCount val="2"/>
                <c:pt idx="0">
                  <c:v>Moscow</c:v>
                </c:pt>
                <c:pt idx="1">
                  <c:v>Belgorod</c:v>
                </c:pt>
              </c:strCache>
            </c:strRef>
          </c:cat>
          <c:val>
            <c:numRef>
              <c:f>Визулизация!$C$48:$D$48</c:f>
              <c:numCache>
                <c:formatCode>0%</c:formatCode>
                <c:ptCount val="2"/>
                <c:pt idx="0">
                  <c:v>0.30404595494733527</c:v>
                </c:pt>
                <c:pt idx="1">
                  <c:v>0.43192227511751241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7-4F41-8955-136168AC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904688"/>
        <c:axId val="203907184"/>
      </c:barChart>
      <c:catAx>
        <c:axId val="2039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7184"/>
        <c:crosses val="autoZero"/>
        <c:auto val="1"/>
        <c:lblAlgn val="ctr"/>
        <c:lblOffset val="100"/>
        <c:noMultiLvlLbl val="0"/>
      </c:catAx>
      <c:valAx>
        <c:axId val="20390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400"/>
              <a:t>Количество рейсов по направлениям (доли по месяцам)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Визулизация!$A$8</c:f>
              <c:strCache>
                <c:ptCount val="1"/>
                <c:pt idx="0">
                  <c:v>Moscow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Визулизация!$B$2:$E$2</c:f>
              <c:strCache>
                <c:ptCount val="4"/>
                <c:pt idx="0">
                  <c:v>Январь</c:v>
                </c:pt>
                <c:pt idx="1">
                  <c:v>Февраль</c:v>
                </c:pt>
                <c:pt idx="3">
                  <c:v>Итого</c:v>
                </c:pt>
              </c:strCache>
            </c:strRef>
          </c:cat>
          <c:val>
            <c:numRef>
              <c:f>Визулизация!$B$8:$E$8</c:f>
              <c:numCache>
                <c:formatCode>0.0%</c:formatCode>
                <c:ptCount val="4"/>
                <c:pt idx="0">
                  <c:v>0.46268656716417911</c:v>
                </c:pt>
                <c:pt idx="1">
                  <c:v>0.46666666666666667</c:v>
                </c:pt>
                <c:pt idx="3">
                  <c:v>0.46456692913385828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2-428B-8D99-C04AD7FC59A4}"/>
            </c:ext>
          </c:extLst>
        </c:ser>
        <c:ser>
          <c:idx val="1"/>
          <c:order val="1"/>
          <c:tx>
            <c:strRef>
              <c:f>Визулизация!$A$9</c:f>
              <c:strCache>
                <c:ptCount val="1"/>
                <c:pt idx="0">
                  <c:v>Belgorod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Визулизация!$B$2:$E$2</c:f>
              <c:strCache>
                <c:ptCount val="4"/>
                <c:pt idx="0">
                  <c:v>Январь</c:v>
                </c:pt>
                <c:pt idx="1">
                  <c:v>Февраль</c:v>
                </c:pt>
                <c:pt idx="3">
                  <c:v>Итого</c:v>
                </c:pt>
              </c:strCache>
            </c:strRef>
          </c:cat>
          <c:val>
            <c:numRef>
              <c:f>Визулизация!$B$9:$E$9</c:f>
              <c:numCache>
                <c:formatCode>0.0%</c:formatCode>
                <c:ptCount val="4"/>
                <c:pt idx="0">
                  <c:v>0.46268656716417911</c:v>
                </c:pt>
                <c:pt idx="1">
                  <c:v>0.46666666666666667</c:v>
                </c:pt>
                <c:pt idx="3">
                  <c:v>0.46456692913385828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2-428B-8D99-C04AD7FC59A4}"/>
            </c:ext>
          </c:extLst>
        </c:ser>
        <c:ser>
          <c:idx val="2"/>
          <c:order val="2"/>
          <c:tx>
            <c:strRef>
              <c:f>Визулизация!$A$10</c:f>
              <c:strCache>
                <c:ptCount val="1"/>
                <c:pt idx="0">
                  <c:v>Novokuznetsk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Визулизация!$B$2:$E$2</c:f>
              <c:strCache>
                <c:ptCount val="4"/>
                <c:pt idx="0">
                  <c:v>Январь</c:v>
                </c:pt>
                <c:pt idx="1">
                  <c:v>Февраль</c:v>
                </c:pt>
                <c:pt idx="3">
                  <c:v>Итого</c:v>
                </c:pt>
              </c:strCache>
            </c:strRef>
          </c:cat>
          <c:val>
            <c:numRef>
              <c:f>Визулизация!$B$10:$E$10</c:f>
              <c:numCache>
                <c:formatCode>0.0%</c:formatCode>
                <c:ptCount val="4"/>
                <c:pt idx="0">
                  <c:v>7.4626865671641784E-2</c:v>
                </c:pt>
                <c:pt idx="1">
                  <c:v>6.6666666666666666E-2</c:v>
                </c:pt>
                <c:pt idx="3">
                  <c:v>7.0866141732283464E-2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2-428B-8D99-C04AD7FC59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197018784"/>
        <c:axId val="197019200"/>
      </c:barChart>
      <c:catAx>
        <c:axId val="1970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19200"/>
        <c:crosses val="autoZero"/>
        <c:auto val="1"/>
        <c:lblAlgn val="ctr"/>
        <c:lblOffset val="100"/>
        <c:noMultiLvlLbl val="0"/>
      </c:catAx>
      <c:valAx>
        <c:axId val="19701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Средняя</a:t>
            </a:r>
            <a:r>
              <a:rPr lang="ru-RU" baseline="0"/>
              <a:t> заполненность на направлениях по классам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Визулизация!$A$34</c:f>
              <c:strCache>
                <c:ptCount val="1"/>
                <c:pt idx="0">
                  <c:v>Эконом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Визулизация!$B$33:$D$33</c:f>
              <c:strCache>
                <c:ptCount val="3"/>
                <c:pt idx="0">
                  <c:v>Moscow</c:v>
                </c:pt>
                <c:pt idx="1">
                  <c:v>Belgorod</c:v>
                </c:pt>
                <c:pt idx="2">
                  <c:v>Novokuznetsk</c:v>
                </c:pt>
              </c:strCache>
            </c:strRef>
          </c:cat>
          <c:val>
            <c:numRef>
              <c:f>Визулизация!$B$34:$D$34</c:f>
              <c:numCache>
                <c:formatCode>0.0%</c:formatCode>
                <c:ptCount val="3"/>
                <c:pt idx="0">
                  <c:v>0.86957770755530017</c:v>
                </c:pt>
                <c:pt idx="1">
                  <c:v>0.93080757726819541</c:v>
                </c:pt>
                <c:pt idx="2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A-4CD1-A6DB-066E9879DD45}"/>
            </c:ext>
          </c:extLst>
        </c:ser>
        <c:ser>
          <c:idx val="1"/>
          <c:order val="1"/>
          <c:tx>
            <c:strRef>
              <c:f>Визулизация!$A$35</c:f>
              <c:strCache>
                <c:ptCount val="1"/>
                <c:pt idx="0">
                  <c:v>Бизнес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Визулизация!$B$33:$D$33</c:f>
              <c:strCache>
                <c:ptCount val="3"/>
                <c:pt idx="0">
                  <c:v>Moscow</c:v>
                </c:pt>
                <c:pt idx="1">
                  <c:v>Belgorod</c:v>
                </c:pt>
                <c:pt idx="2">
                  <c:v>Novokuznetsk</c:v>
                </c:pt>
              </c:strCache>
            </c:strRef>
          </c:cat>
          <c:val>
            <c:numRef>
              <c:f>Визулизация!$B$35:$D$35</c:f>
              <c:numCache>
                <c:formatCode>0.0%</c:formatCode>
                <c:ptCount val="3"/>
                <c:pt idx="0">
                  <c:v>0.87570621468926557</c:v>
                </c:pt>
                <c:pt idx="1">
                  <c:v>0.92231638418079098</c:v>
                </c:pt>
                <c:pt idx="2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A-4CD1-A6DB-066E9879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0575680"/>
        <c:axId val="270568608"/>
      </c:barChart>
      <c:catAx>
        <c:axId val="2705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568608"/>
        <c:crosses val="autoZero"/>
        <c:auto val="1"/>
        <c:lblAlgn val="ctr"/>
        <c:lblOffset val="100"/>
        <c:noMultiLvlLbl val="0"/>
      </c:catAx>
      <c:valAx>
        <c:axId val="2705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5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Структура средней относительной прибыли с рейса (Москва)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Визулизация!$A$15</c:f>
              <c:strCache>
                <c:ptCount val="1"/>
                <c:pt idx="0">
                  <c:v>Moscow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F9-419B-B927-4003B0A77DC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8F9-419B-B927-4003B0A77DC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F9-419B-B927-4003B0A77DCC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F9-419B-B927-4003B0A77DC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Визулизация!$B$14:$H$14</c:f>
              <c:strCache>
                <c:ptCount val="6"/>
                <c:pt idx="0">
                  <c:v>Стоимость билетов</c:v>
                </c:pt>
                <c:pt idx="1">
                  <c:v>Расходы на питание</c:v>
                </c:pt>
                <c:pt idx="2">
                  <c:v>Расходы на топливо</c:v>
                </c:pt>
                <c:pt idx="3">
                  <c:v>Расходы на просчет рейса</c:v>
                </c:pt>
                <c:pt idx="4">
                  <c:v>Расходы на зарплату</c:v>
                </c:pt>
                <c:pt idx="5">
                  <c:v>Относительная прибыль</c:v>
                </c:pt>
              </c:strCache>
            </c:strRef>
          </c:cat>
          <c:val>
            <c:numRef>
              <c:f>Визулизация!$B$15:$H$15</c:f>
              <c:numCache>
                <c:formatCode>_-* #\ ##0_-;\-* #\ ##0_-;_-* "-"??_-;_-@_-</c:formatCode>
                <c:ptCount val="7"/>
                <c:pt idx="0">
                  <c:v>1642576.2711864407</c:v>
                </c:pt>
                <c:pt idx="1">
                  <c:v>1570215.8561084745</c:v>
                </c:pt>
                <c:pt idx="2">
                  <c:v>1323516.3008542371</c:v>
                </c:pt>
                <c:pt idx="3">
                  <c:v>1322933.3228542372</c:v>
                </c:pt>
                <c:pt idx="4">
                  <c:v>1259599.9895209037</c:v>
                </c:pt>
                <c:pt idx="5">
                  <c:v>1259599.9895209041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9-419B-B927-4003B0A77DCC}"/>
            </c:ext>
          </c:extLst>
        </c:ser>
        <c:ser>
          <c:idx val="1"/>
          <c:order val="1"/>
          <c:tx>
            <c:strRef>
              <c:f>Визулизация!$A$16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4.8548479672138559E-17"/>
                  <c:y val="-5.503793836760178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F9-419B-B927-4003B0A77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Визулизация!$B$14:$H$14</c:f>
              <c:strCache>
                <c:ptCount val="6"/>
                <c:pt idx="0">
                  <c:v>Стоимость билетов</c:v>
                </c:pt>
                <c:pt idx="1">
                  <c:v>Расходы на питание</c:v>
                </c:pt>
                <c:pt idx="2">
                  <c:v>Расходы на топливо</c:v>
                </c:pt>
                <c:pt idx="3">
                  <c:v>Расходы на просчет рейса</c:v>
                </c:pt>
                <c:pt idx="4">
                  <c:v>Расходы на зарплату</c:v>
                </c:pt>
                <c:pt idx="5">
                  <c:v>Относительная прибыль</c:v>
                </c:pt>
              </c:strCache>
            </c:strRef>
          </c:cat>
          <c:val>
            <c:numRef>
              <c:f>Визулизация!$B$16:$H$16</c:f>
              <c:numCache>
                <c:formatCode>_-* #\ ##0_-;\-* #\ ##0_-;_-* "-"??_-;_-@_-</c:formatCode>
                <c:ptCount val="7"/>
                <c:pt idx="1">
                  <c:v>72360.41507796607</c:v>
                </c:pt>
                <c:pt idx="2">
                  <c:v>246699.55525423741</c:v>
                </c:pt>
                <c:pt idx="3">
                  <c:v>582.97799999999961</c:v>
                </c:pt>
                <c:pt idx="4">
                  <c:v>63333.333333333387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9-419B-B927-4003B0A7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13008"/>
        <c:axId val="203910512"/>
      </c:barChart>
      <c:catAx>
        <c:axId val="2039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10512"/>
        <c:crosses val="autoZero"/>
        <c:auto val="1"/>
        <c:lblAlgn val="ctr"/>
        <c:lblOffset val="100"/>
        <c:noMultiLvlLbl val="0"/>
      </c:catAx>
      <c:valAx>
        <c:axId val="203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Структура средней относительной прибыли с рейса (Белгород)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Визулизация!$A$17</c:f>
              <c:strCache>
                <c:ptCount val="1"/>
                <c:pt idx="0">
                  <c:v>Belgorod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8F-4913-B738-2B4C04FEF1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8F-4913-B738-2B4C04FEF1B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8F-4913-B738-2B4C04FEF1B3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8F-4913-B738-2B4C04FEF1B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Визулизация!$B$14:$H$14</c:f>
              <c:strCache>
                <c:ptCount val="6"/>
                <c:pt idx="0">
                  <c:v>Стоимость билетов</c:v>
                </c:pt>
                <c:pt idx="1">
                  <c:v>Расходы на питание</c:v>
                </c:pt>
                <c:pt idx="2">
                  <c:v>Расходы на топливо</c:v>
                </c:pt>
                <c:pt idx="3">
                  <c:v>Расходы на просчет рейса</c:v>
                </c:pt>
                <c:pt idx="4">
                  <c:v>Расходы на зарплату</c:v>
                </c:pt>
                <c:pt idx="5">
                  <c:v>Относительная прибыль</c:v>
                </c:pt>
              </c:strCache>
            </c:strRef>
          </c:cat>
          <c:val>
            <c:numRef>
              <c:f>Визулизация!$B$17:$H$17</c:f>
              <c:numCache>
                <c:formatCode>_-* #\ ##0_-;\-* #\ ##0_-;_-* "-"??_-;_-@_-</c:formatCode>
                <c:ptCount val="7"/>
                <c:pt idx="0">
                  <c:v>710435.59322033904</c:v>
                </c:pt>
                <c:pt idx="1">
                  <c:v>647726.9223864408</c:v>
                </c:pt>
                <c:pt idx="2">
                  <c:v>560057.48153898318</c:v>
                </c:pt>
                <c:pt idx="3">
                  <c:v>559474.50353898318</c:v>
                </c:pt>
                <c:pt idx="4">
                  <c:v>496141.1702056498</c:v>
                </c:pt>
                <c:pt idx="5">
                  <c:v>496141.1702056498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F-4913-B738-2B4C04FEF1B3}"/>
            </c:ext>
          </c:extLst>
        </c:ser>
        <c:ser>
          <c:idx val="1"/>
          <c:order val="1"/>
          <c:tx>
            <c:strRef>
              <c:f>Визулизация!$A$18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4.8548479672138559E-17"/>
                  <c:y val="-5.503793836760178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8F-4913-B738-2B4C04FEF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Визулизация!$B$14:$H$14</c:f>
              <c:strCache>
                <c:ptCount val="6"/>
                <c:pt idx="0">
                  <c:v>Стоимость билетов</c:v>
                </c:pt>
                <c:pt idx="1">
                  <c:v>Расходы на питание</c:v>
                </c:pt>
                <c:pt idx="2">
                  <c:v>Расходы на топливо</c:v>
                </c:pt>
                <c:pt idx="3">
                  <c:v>Расходы на просчет рейса</c:v>
                </c:pt>
                <c:pt idx="4">
                  <c:v>Расходы на зарплату</c:v>
                </c:pt>
                <c:pt idx="5">
                  <c:v>Относительная прибыль</c:v>
                </c:pt>
              </c:strCache>
            </c:strRef>
          </c:cat>
          <c:val>
            <c:numRef>
              <c:f>Визулизация!$B$18:$H$18</c:f>
              <c:numCache>
                <c:formatCode>_-* #\ ##0_-;\-* #\ ##0_-;_-* "-"??_-;_-@_-</c:formatCode>
                <c:ptCount val="7"/>
                <c:pt idx="1">
                  <c:v>62708.670833898264</c:v>
                </c:pt>
                <c:pt idx="2">
                  <c:v>87669.44084745759</c:v>
                </c:pt>
                <c:pt idx="3">
                  <c:v>582.97799999999961</c:v>
                </c:pt>
                <c:pt idx="4">
                  <c:v>63333.333333333387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F-4913-B738-2B4C04FE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13008"/>
        <c:axId val="203910512"/>
      </c:barChart>
      <c:catAx>
        <c:axId val="2039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10512"/>
        <c:crosses val="autoZero"/>
        <c:auto val="1"/>
        <c:lblAlgn val="ctr"/>
        <c:lblOffset val="100"/>
        <c:noMultiLvlLbl val="0"/>
      </c:catAx>
      <c:valAx>
        <c:axId val="203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Относительная маржинальность</a:t>
            </a:r>
            <a:r>
              <a:rPr lang="ru-RU" baseline="0"/>
              <a:t> из расчета среднего рейса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F2D-4ECA-B957-4CE81534B2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2D-4ECA-B957-4CE81534B2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Визулизация!$A$20:$A$21</c:f>
              <c:strCache>
                <c:ptCount val="2"/>
                <c:pt idx="0">
                  <c:v>Moscow</c:v>
                </c:pt>
                <c:pt idx="1">
                  <c:v>Belgorod</c:v>
                </c:pt>
              </c:strCache>
            </c:strRef>
          </c:cat>
          <c:val>
            <c:numRef>
              <c:f>Визулизация!$B$20:$B$21</c:f>
              <c:numCache>
                <c:formatCode>0%</c:formatCode>
                <c:ptCount val="2"/>
                <c:pt idx="0">
                  <c:v>0.76684414088795338</c:v>
                </c:pt>
                <c:pt idx="1">
                  <c:v>0.6983619274432572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D-4ECA-B957-4CE81534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904688"/>
        <c:axId val="203907184"/>
      </c:barChart>
      <c:catAx>
        <c:axId val="2039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7184"/>
        <c:crosses val="autoZero"/>
        <c:auto val="1"/>
        <c:lblAlgn val="ctr"/>
        <c:lblOffset val="100"/>
        <c:noMultiLvlLbl val="0"/>
      </c:catAx>
      <c:valAx>
        <c:axId val="20390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</a:t>
            </a:r>
            <a:r>
              <a:rPr lang="ru-RU"/>
              <a:t>относительная прибыль</a:t>
            </a:r>
            <a:r>
              <a:rPr lang="ru-RU" baseline="0"/>
              <a:t> по всем рейсам за 2 месяца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7D-4BB1-90A4-DBB576518E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7D-4BB1-90A4-DBB576518E6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Визулизация!$A$24:$A$25</c:f>
              <c:strCache>
                <c:ptCount val="2"/>
                <c:pt idx="0">
                  <c:v>Moscow</c:v>
                </c:pt>
                <c:pt idx="1">
                  <c:v>Belgorod</c:v>
                </c:pt>
              </c:strCache>
            </c:strRef>
          </c:cat>
          <c:val>
            <c:numRef>
              <c:f>Визулизация!$B$24:$B$25</c:f>
              <c:numCache>
                <c:formatCode>_-* #\ ##0_-;\-* #\ ##0_-;_-* "-"??_-;_-@_-</c:formatCode>
                <c:ptCount val="2"/>
                <c:pt idx="0">
                  <c:v>74316399.381733343</c:v>
                </c:pt>
                <c:pt idx="1">
                  <c:v>29272329.042133339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D-4BB1-90A4-DBB576518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904688"/>
        <c:axId val="203907184"/>
      </c:barChart>
      <c:catAx>
        <c:axId val="2039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7184"/>
        <c:crosses val="autoZero"/>
        <c:auto val="1"/>
        <c:lblAlgn val="ctr"/>
        <c:lblOffset val="100"/>
        <c:noMultiLvlLbl val="0"/>
      </c:catAx>
      <c:valAx>
        <c:axId val="2039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направления в прибыли (из расчета</a:t>
            </a:r>
            <a:r>
              <a:rPr lang="ru-RU" baseline="0"/>
              <a:t> за два месяца)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Визулизация!$D$24</c:f>
              <c:strCache>
                <c:ptCount val="1"/>
                <c:pt idx="0">
                  <c:v>Moscow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6F-4BE2-B518-86F148C35D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6F-4BE2-B518-86F148C35D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Визулизация!$E$24</c:f>
              <c:numCache>
                <c:formatCode>0%</c:formatCode>
                <c:ptCount val="1"/>
                <c:pt idx="0">
                  <c:v>0.71741781671113702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6F-4BE2-B518-86F148C35D7C}"/>
            </c:ext>
          </c:extLst>
        </c:ser>
        <c:ser>
          <c:idx val="1"/>
          <c:order val="1"/>
          <c:tx>
            <c:strRef>
              <c:f>Визулизация!$D$25</c:f>
              <c:strCache>
                <c:ptCount val="1"/>
                <c:pt idx="0">
                  <c:v>Belgorod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Визулизация!$E$25</c:f>
              <c:numCache>
                <c:formatCode>0%</c:formatCode>
                <c:ptCount val="1"/>
                <c:pt idx="0">
                  <c:v>0.28258218328886292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6F-4BE2-B518-86F148C3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3904688"/>
        <c:axId val="203907184"/>
      </c:barChart>
      <c:catAx>
        <c:axId val="20390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907184"/>
        <c:crosses val="autoZero"/>
        <c:auto val="1"/>
        <c:lblAlgn val="ctr"/>
        <c:lblOffset val="100"/>
        <c:noMultiLvlLbl val="0"/>
      </c:catAx>
      <c:valAx>
        <c:axId val="20390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</a:t>
            </a:r>
            <a:r>
              <a:rPr lang="ru-RU"/>
              <a:t>относительная прибыль</a:t>
            </a:r>
            <a:r>
              <a:rPr lang="ru-RU" baseline="0"/>
              <a:t> по всем рейсам на 1 пассажира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22-4FEE-9B60-804FF86695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22-4FEE-9B60-804FF866957C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Визулизация!$A$27:$A$28</c:f>
              <c:strCache>
                <c:ptCount val="2"/>
                <c:pt idx="0">
                  <c:v>Moscow</c:v>
                </c:pt>
                <c:pt idx="1">
                  <c:v>Belgorod</c:v>
                </c:pt>
              </c:strCache>
            </c:strRef>
          </c:cat>
          <c:val>
            <c:numRef>
              <c:f>Визулизация!$B$27:$B$28</c:f>
              <c:numCache>
                <c:formatCode>_-* #\ ##0_-;\-* #\ ##0_-;_-* "-"??_-;_-@_-</c:formatCode>
                <c:ptCount val="2"/>
                <c:pt idx="0">
                  <c:v>11135.211174967537</c:v>
                </c:pt>
                <c:pt idx="1">
                  <c:v>5501.2834132932412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22-4FEE-9B60-804FF866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904688"/>
        <c:axId val="203907184"/>
      </c:barChart>
      <c:catAx>
        <c:axId val="2039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7184"/>
        <c:crosses val="autoZero"/>
        <c:auto val="1"/>
        <c:lblAlgn val="ctr"/>
        <c:lblOffset val="100"/>
        <c:noMultiLvlLbl val="0"/>
      </c:catAx>
      <c:valAx>
        <c:axId val="2039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109537</xdr:rowOff>
    </xdr:from>
    <xdr:to>
      <xdr:col>14</xdr:col>
      <xdr:colOff>171450</xdr:colOff>
      <xdr:row>23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3B5188-E92B-450D-8E5B-2961A3491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257175</xdr:colOff>
      <xdr:row>0</xdr:row>
      <xdr:rowOff>104775</xdr:rowOff>
    </xdr:from>
    <xdr:to>
      <xdr:col>19</xdr:col>
      <xdr:colOff>104775</xdr:colOff>
      <xdr:row>23</xdr:row>
      <xdr:rowOff>138113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C71E91-593B-47B6-A6DB-EF7711F1B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338137</xdr:colOff>
      <xdr:row>24</xdr:row>
      <xdr:rowOff>33337</xdr:rowOff>
    </xdr:from>
    <xdr:to>
      <xdr:col>17</xdr:col>
      <xdr:colOff>33337</xdr:colOff>
      <xdr:row>38</xdr:row>
      <xdr:rowOff>109537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8243878-93D9-4F3D-924E-DF52387D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347662</xdr:colOff>
      <xdr:row>39</xdr:row>
      <xdr:rowOff>42862</xdr:rowOff>
    </xdr:from>
    <xdr:to>
      <xdr:col>17</xdr:col>
      <xdr:colOff>266700</xdr:colOff>
      <xdr:row>57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521AD1-4553-4FE5-B16B-1A5D20C5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438150</xdr:colOff>
      <xdr:row>39</xdr:row>
      <xdr:rowOff>47625</xdr:rowOff>
    </xdr:from>
    <xdr:to>
      <xdr:col>25</xdr:col>
      <xdr:colOff>357188</xdr:colOff>
      <xdr:row>57</xdr:row>
      <xdr:rowOff>42863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B3AE048-FE40-4D7A-B744-2587A76CA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347662</xdr:colOff>
      <xdr:row>57</xdr:row>
      <xdr:rowOff>128587</xdr:rowOff>
    </xdr:from>
    <xdr:to>
      <xdr:col>14</xdr:col>
      <xdr:colOff>438150</xdr:colOff>
      <xdr:row>79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9E892AC-3B7C-4DF2-A956-9FAB39EB3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590550</xdr:colOff>
      <xdr:row>57</xdr:row>
      <xdr:rowOff>133350</xdr:rowOff>
    </xdr:from>
    <xdr:to>
      <xdr:col>20</xdr:col>
      <xdr:colOff>71438</xdr:colOff>
      <xdr:row>79</xdr:row>
      <xdr:rowOff>33338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56AE161-5DBF-4910-B4CD-EE6C8E7CD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161925</xdr:colOff>
      <xdr:row>57</xdr:row>
      <xdr:rowOff>152400</xdr:rowOff>
    </xdr:from>
    <xdr:to>
      <xdr:col>25</xdr:col>
      <xdr:colOff>252413</xdr:colOff>
      <xdr:row>79</xdr:row>
      <xdr:rowOff>52388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78E5883-5B4F-4BFF-BF99-3BF7362BF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342900</xdr:colOff>
      <xdr:row>79</xdr:row>
      <xdr:rowOff>142875</xdr:rowOff>
    </xdr:from>
    <xdr:to>
      <xdr:col>14</xdr:col>
      <xdr:colOff>433388</xdr:colOff>
      <xdr:row>101</xdr:row>
      <xdr:rowOff>42863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D081039-9066-4BF6-847F-F69858A0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80</xdr:row>
      <xdr:rowOff>9525</xdr:rowOff>
    </xdr:from>
    <xdr:to>
      <xdr:col>20</xdr:col>
      <xdr:colOff>147638</xdr:colOff>
      <xdr:row>101</xdr:row>
      <xdr:rowOff>100013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EF41E7C-73DC-4C22-88BD-1215526EE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8"/>
  <sheetViews>
    <sheetView tabSelected="1" topLeftCell="J1" zoomScale="85" zoomScaleNormal="85" workbookViewId="0">
      <selection activeCell="S1" sqref="S1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9.85546875" bestFit="1" customWidth="1"/>
    <col min="4" max="4" width="16.5703125" bestFit="1" customWidth="1"/>
    <col min="5" max="5" width="9.42578125" bestFit="1" customWidth="1"/>
    <col min="6" max="6" width="13.85546875" bestFit="1" customWidth="1"/>
    <col min="7" max="7" width="20.42578125" bestFit="1" customWidth="1"/>
    <col min="8" max="8" width="17.140625" bestFit="1" customWidth="1"/>
    <col min="9" max="9" width="34.42578125" bestFit="1" customWidth="1"/>
    <col min="10" max="10" width="13.85546875" bestFit="1" customWidth="1"/>
    <col min="11" max="11" width="12.7109375" bestFit="1" customWidth="1"/>
    <col min="12" max="12" width="12.28515625" bestFit="1" customWidth="1"/>
    <col min="13" max="13" width="15.7109375" bestFit="1" customWidth="1"/>
    <col min="14" max="14" width="19.42578125" bestFit="1" customWidth="1"/>
    <col min="15" max="15" width="24" bestFit="1" customWidth="1"/>
    <col min="16" max="16" width="23.7109375" bestFit="1" customWidth="1"/>
    <col min="17" max="17" width="28" bestFit="1" customWidth="1"/>
    <col min="18" max="18" width="17.5703125" customWidth="1"/>
    <col min="19" max="19" width="27.7109375" bestFit="1" customWidth="1"/>
    <col min="20" max="20" width="17.28515625" bestFit="1" customWidth="1"/>
    <col min="21" max="21" width="13.42578125" bestFit="1" customWidth="1"/>
    <col min="22" max="22" width="13.28515625" bestFit="1" customWidth="1"/>
    <col min="23" max="23" width="12.28515625" bestFit="1" customWidth="1"/>
    <col min="24" max="24" width="11.85546875" bestFit="1" customWidth="1"/>
    <col min="25" max="25" width="18.85546875" bestFit="1" customWidth="1"/>
    <col min="26" max="26" width="14.71093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49</v>
      </c>
      <c r="W1" t="s">
        <v>50</v>
      </c>
      <c r="X1" t="s">
        <v>51</v>
      </c>
      <c r="Y1" t="s">
        <v>52</v>
      </c>
      <c r="Z1" t="s">
        <v>62</v>
      </c>
    </row>
    <row r="2" spans="1:26" x14ac:dyDescent="0.25">
      <c r="A2">
        <v>136119</v>
      </c>
      <c r="B2" t="s">
        <v>20</v>
      </c>
      <c r="C2" s="1">
        <v>42738.422222222223</v>
      </c>
      <c r="D2" s="1">
        <v>42738.492361111108</v>
      </c>
      <c r="E2" s="17">
        <f>MONTH(D2)</f>
        <v>1</v>
      </c>
      <c r="F2">
        <v>101</v>
      </c>
      <c r="G2" t="s">
        <v>21</v>
      </c>
      <c r="H2" t="s">
        <v>22</v>
      </c>
      <c r="I2" t="s">
        <v>23</v>
      </c>
      <c r="J2" t="s">
        <v>24</v>
      </c>
      <c r="K2">
        <v>37.4146</v>
      </c>
      <c r="L2">
        <v>55.972599000000002</v>
      </c>
      <c r="M2" s="18">
        <v>733</v>
      </c>
      <c r="N2" t="s">
        <v>25</v>
      </c>
      <c r="O2">
        <v>12</v>
      </c>
      <c r="P2">
        <v>118</v>
      </c>
      <c r="Q2">
        <v>11</v>
      </c>
      <c r="R2">
        <v>402600</v>
      </c>
      <c r="S2">
        <v>102</v>
      </c>
      <c r="T2">
        <v>1250400</v>
      </c>
      <c r="U2" s="15">
        <v>1653000</v>
      </c>
      <c r="V2" s="16">
        <f>Q2*Доп.Информация!$B$7 + S2*Доп.Информация!$B$8</f>
        <v>73222.036800000002</v>
      </c>
      <c r="W2" s="15">
        <f>(VLOOKUP('Результат запроса'!$M2,Доп.Информация!$A$14:$B$15,2,0)/1000) * (F2/60) * Доп.Информация!$B$20</f>
        <v>249589.584</v>
      </c>
      <c r="X2">
        <f>Доп.Информация!$B$11</f>
        <v>582.97800000000007</v>
      </c>
      <c r="Y2" s="15">
        <f>Доп.Информация!$B$27</f>
        <v>63333.333333333336</v>
      </c>
      <c r="Z2" s="16">
        <f>U2-SUM(V2:Y2)</f>
        <v>1266272.0678666667</v>
      </c>
    </row>
    <row r="3" spans="1:26" x14ac:dyDescent="0.25">
      <c r="A3">
        <v>136120</v>
      </c>
      <c r="B3" t="s">
        <v>20</v>
      </c>
      <c r="C3" s="1">
        <v>42790.421527777777</v>
      </c>
      <c r="D3" s="1">
        <v>42790.490277777775</v>
      </c>
      <c r="E3" s="17">
        <f t="shared" ref="E3:E66" si="0">MONTH(D3)</f>
        <v>2</v>
      </c>
      <c r="F3">
        <v>99</v>
      </c>
      <c r="G3" t="s">
        <v>21</v>
      </c>
      <c r="H3" t="s">
        <v>22</v>
      </c>
      <c r="I3" t="s">
        <v>23</v>
      </c>
      <c r="J3" t="s">
        <v>24</v>
      </c>
      <c r="K3">
        <v>37.4146</v>
      </c>
      <c r="L3">
        <v>55.972599000000002</v>
      </c>
      <c r="M3" s="18">
        <v>733</v>
      </c>
      <c r="N3" t="s">
        <v>25</v>
      </c>
      <c r="O3">
        <v>12</v>
      </c>
      <c r="P3">
        <v>118</v>
      </c>
      <c r="Q3">
        <v>11</v>
      </c>
      <c r="R3">
        <v>402600</v>
      </c>
      <c r="S3">
        <v>98</v>
      </c>
      <c r="T3">
        <v>1202800</v>
      </c>
      <c r="U3" s="15">
        <v>1605400</v>
      </c>
      <c r="V3" s="16">
        <f>Q3*Доп.Информация!$B$7 + S3*Доп.Информация!$B$8</f>
        <v>71356.507200000007</v>
      </c>
      <c r="W3" s="15">
        <f>(VLOOKUP('Результат запроса'!$M3,Доп.Информация!$A$14:$B$15,2,0)/1000) * (F3/60) * Доп.Информация!$B$20</f>
        <v>244647.21599999996</v>
      </c>
      <c r="X3">
        <f>Доп.Информация!$B$11</f>
        <v>582.97800000000007</v>
      </c>
      <c r="Y3" s="15">
        <f>Доп.Информация!$B$27</f>
        <v>63333.333333333336</v>
      </c>
      <c r="Z3" s="16">
        <f t="shared" ref="Z3:Z66" si="1">U3-SUM(V3:Y3)</f>
        <v>1225479.9654666667</v>
      </c>
    </row>
    <row r="4" spans="1:26" x14ac:dyDescent="0.25">
      <c r="A4">
        <v>136122</v>
      </c>
      <c r="B4" t="s">
        <v>20</v>
      </c>
      <c r="C4" s="1">
        <v>42743.422222222223</v>
      </c>
      <c r="D4" s="1">
        <v>42743.491666666669</v>
      </c>
      <c r="E4" s="17">
        <f t="shared" si="0"/>
        <v>1</v>
      </c>
      <c r="F4">
        <v>100</v>
      </c>
      <c r="G4" t="s">
        <v>21</v>
      </c>
      <c r="H4" t="s">
        <v>22</v>
      </c>
      <c r="I4" t="s">
        <v>23</v>
      </c>
      <c r="J4" t="s">
        <v>24</v>
      </c>
      <c r="K4">
        <v>37.4146</v>
      </c>
      <c r="L4">
        <v>55.972599000000002</v>
      </c>
      <c r="M4" s="18">
        <v>733</v>
      </c>
      <c r="N4" t="s">
        <v>25</v>
      </c>
      <c r="O4">
        <v>12</v>
      </c>
      <c r="P4">
        <v>118</v>
      </c>
      <c r="Q4">
        <v>10</v>
      </c>
      <c r="R4">
        <v>366000</v>
      </c>
      <c r="S4">
        <v>87</v>
      </c>
      <c r="T4">
        <v>1065000</v>
      </c>
      <c r="U4" s="15">
        <v>1431000</v>
      </c>
      <c r="V4" s="16">
        <f>Q4*Доп.Информация!$B$7 + S4*Доп.Информация!$B$8</f>
        <v>63894.388800000001</v>
      </c>
      <c r="W4" s="15">
        <f>(VLOOKUP('Результат запроса'!$M4,Доп.Информация!$A$14:$B$15,2,0)/1000) * (F4/60) * Доп.Информация!$B$20</f>
        <v>247118.4</v>
      </c>
      <c r="X4">
        <f>Доп.Информация!$B$11</f>
        <v>582.97800000000007</v>
      </c>
      <c r="Y4" s="15">
        <f>Доп.Информация!$B$27</f>
        <v>63333.333333333336</v>
      </c>
      <c r="Z4" s="16">
        <f t="shared" si="1"/>
        <v>1056070.8998666666</v>
      </c>
    </row>
    <row r="5" spans="1:26" x14ac:dyDescent="0.25">
      <c r="A5">
        <v>136130</v>
      </c>
      <c r="B5" t="s">
        <v>20</v>
      </c>
      <c r="C5" s="1">
        <v>42779.421527777777</v>
      </c>
      <c r="D5" s="1">
        <v>42779.490277777775</v>
      </c>
      <c r="E5" s="17">
        <f t="shared" si="0"/>
        <v>2</v>
      </c>
      <c r="F5">
        <v>99</v>
      </c>
      <c r="G5" t="s">
        <v>21</v>
      </c>
      <c r="H5" t="s">
        <v>22</v>
      </c>
      <c r="I5" t="s">
        <v>23</v>
      </c>
      <c r="J5" t="s">
        <v>24</v>
      </c>
      <c r="K5">
        <v>37.4146</v>
      </c>
      <c r="L5">
        <v>55.972599000000002</v>
      </c>
      <c r="M5" s="18">
        <v>733</v>
      </c>
      <c r="N5" t="s">
        <v>25</v>
      </c>
      <c r="O5">
        <v>12</v>
      </c>
      <c r="P5">
        <v>118</v>
      </c>
      <c r="Q5">
        <v>10</v>
      </c>
      <c r="R5">
        <v>366000</v>
      </c>
      <c r="S5">
        <v>97</v>
      </c>
      <c r="T5">
        <v>1190600</v>
      </c>
      <c r="U5" s="15">
        <v>1556600</v>
      </c>
      <c r="V5" s="16">
        <f>Q5*Доп.Информация!$B$7 + S5*Доп.Информация!$B$8</f>
        <v>68558.212800000008</v>
      </c>
      <c r="W5" s="15">
        <f>(VLOOKUP('Результат запроса'!$M5,Доп.Информация!$A$14:$B$15,2,0)/1000) * (F5/60) * Доп.Информация!$B$20</f>
        <v>244647.21599999996</v>
      </c>
      <c r="X5">
        <f>Доп.Информация!$B$11</f>
        <v>582.97800000000007</v>
      </c>
      <c r="Y5" s="15">
        <f>Доп.Информация!$B$27</f>
        <v>63333.333333333336</v>
      </c>
      <c r="Z5" s="16">
        <f t="shared" si="1"/>
        <v>1179478.2598666667</v>
      </c>
    </row>
    <row r="6" spans="1:26" x14ac:dyDescent="0.25">
      <c r="A6">
        <v>136131</v>
      </c>
      <c r="B6" t="s">
        <v>20</v>
      </c>
      <c r="C6" s="1">
        <v>42763.421527777777</v>
      </c>
      <c r="D6" s="1">
        <v>42763.490277777775</v>
      </c>
      <c r="E6" s="17">
        <f t="shared" si="0"/>
        <v>1</v>
      </c>
      <c r="F6">
        <v>99</v>
      </c>
      <c r="G6" t="s">
        <v>21</v>
      </c>
      <c r="H6" t="s">
        <v>22</v>
      </c>
      <c r="I6" t="s">
        <v>23</v>
      </c>
      <c r="J6" t="s">
        <v>24</v>
      </c>
      <c r="K6">
        <v>37.4146</v>
      </c>
      <c r="L6">
        <v>55.972599000000002</v>
      </c>
      <c r="M6" s="18">
        <v>733</v>
      </c>
      <c r="N6" t="s">
        <v>25</v>
      </c>
      <c r="O6">
        <v>12</v>
      </c>
      <c r="P6">
        <v>118</v>
      </c>
      <c r="Q6">
        <v>12</v>
      </c>
      <c r="R6">
        <v>439200</v>
      </c>
      <c r="S6">
        <v>112</v>
      </c>
      <c r="T6">
        <v>1373600</v>
      </c>
      <c r="U6" s="15">
        <v>1812800</v>
      </c>
      <c r="V6" s="16">
        <f>Q6*Доп.Информация!$B$7 + S6*Доп.Информация!$B$8</f>
        <v>80217.772800000006</v>
      </c>
      <c r="W6" s="15">
        <f>(VLOOKUP('Результат запроса'!$M6,Доп.Информация!$A$14:$B$15,2,0)/1000) * (F6/60) * Доп.Информация!$B$20</f>
        <v>244647.21599999996</v>
      </c>
      <c r="X6">
        <f>Доп.Информация!$B$11</f>
        <v>582.97800000000007</v>
      </c>
      <c r="Y6" s="15">
        <f>Доп.Информация!$B$27</f>
        <v>63333.333333333336</v>
      </c>
      <c r="Z6" s="16">
        <f t="shared" si="1"/>
        <v>1424018.6998666667</v>
      </c>
    </row>
    <row r="7" spans="1:26" x14ac:dyDescent="0.25">
      <c r="A7">
        <v>136132</v>
      </c>
      <c r="B7" t="s">
        <v>20</v>
      </c>
      <c r="C7" s="1">
        <v>42781.42291666667</v>
      </c>
      <c r="D7" s="1">
        <v>42781.491666666669</v>
      </c>
      <c r="E7" s="17">
        <f t="shared" si="0"/>
        <v>2</v>
      </c>
      <c r="F7">
        <v>99</v>
      </c>
      <c r="G7" t="s">
        <v>21</v>
      </c>
      <c r="H7" t="s">
        <v>22</v>
      </c>
      <c r="I7" t="s">
        <v>23</v>
      </c>
      <c r="J7" t="s">
        <v>24</v>
      </c>
      <c r="K7">
        <v>37.4146</v>
      </c>
      <c r="L7">
        <v>55.972599000000002</v>
      </c>
      <c r="M7" s="18">
        <v>733</v>
      </c>
      <c r="N7" t="s">
        <v>25</v>
      </c>
      <c r="O7">
        <v>12</v>
      </c>
      <c r="P7">
        <v>118</v>
      </c>
      <c r="Q7">
        <v>12</v>
      </c>
      <c r="R7">
        <v>439200</v>
      </c>
      <c r="S7">
        <v>104</v>
      </c>
      <c r="T7">
        <v>1274800</v>
      </c>
      <c r="U7" s="15">
        <v>1714000</v>
      </c>
      <c r="V7" s="16">
        <f>Q7*Доп.Информация!$B$7 + S7*Доп.Информация!$B$8</f>
        <v>76486.713600000003</v>
      </c>
      <c r="W7" s="15">
        <f>(VLOOKUP('Результат запроса'!$M7,Доп.Информация!$A$14:$B$15,2,0)/1000) * (F7/60) * Доп.Информация!$B$20</f>
        <v>244647.21599999996</v>
      </c>
      <c r="X7">
        <f>Доп.Информация!$B$11</f>
        <v>582.97800000000007</v>
      </c>
      <c r="Y7" s="15">
        <f>Доп.Информация!$B$27</f>
        <v>63333.333333333336</v>
      </c>
      <c r="Z7" s="16">
        <f t="shared" si="1"/>
        <v>1328949.7590666667</v>
      </c>
    </row>
    <row r="8" spans="1:26" x14ac:dyDescent="0.25">
      <c r="A8">
        <v>136135</v>
      </c>
      <c r="B8" t="s">
        <v>20</v>
      </c>
      <c r="C8" s="1">
        <v>42767.422222222223</v>
      </c>
      <c r="D8" s="1">
        <v>42767.491666666669</v>
      </c>
      <c r="E8" s="17">
        <f t="shared" si="0"/>
        <v>2</v>
      </c>
      <c r="F8">
        <v>100</v>
      </c>
      <c r="G8" t="s">
        <v>21</v>
      </c>
      <c r="H8" t="s">
        <v>22</v>
      </c>
      <c r="I8" t="s">
        <v>23</v>
      </c>
      <c r="J8" t="s">
        <v>24</v>
      </c>
      <c r="K8">
        <v>37.4146</v>
      </c>
      <c r="L8">
        <v>55.972599000000002</v>
      </c>
      <c r="M8" s="18">
        <v>733</v>
      </c>
      <c r="N8" t="s">
        <v>25</v>
      </c>
      <c r="O8">
        <v>12</v>
      </c>
      <c r="P8">
        <v>118</v>
      </c>
      <c r="Q8">
        <v>11</v>
      </c>
      <c r="R8">
        <v>402600</v>
      </c>
      <c r="S8">
        <v>104</v>
      </c>
      <c r="T8">
        <v>1276000</v>
      </c>
      <c r="U8" s="15">
        <v>1678600</v>
      </c>
      <c r="V8" s="16">
        <f>Q8*Доп.Информация!$B$7 + S8*Доп.Информация!$B$8</f>
        <v>74154.801600000006</v>
      </c>
      <c r="W8" s="15">
        <f>(VLOOKUP('Результат запроса'!$M8,Доп.Информация!$A$14:$B$15,2,0)/1000) * (F8/60) * Доп.Информация!$B$20</f>
        <v>247118.4</v>
      </c>
      <c r="X8">
        <f>Доп.Информация!$B$11</f>
        <v>582.97800000000007</v>
      </c>
      <c r="Y8" s="15">
        <f>Доп.Информация!$B$27</f>
        <v>63333.333333333336</v>
      </c>
      <c r="Z8" s="16">
        <f t="shared" si="1"/>
        <v>1293410.4870666666</v>
      </c>
    </row>
    <row r="9" spans="1:26" x14ac:dyDescent="0.25">
      <c r="A9">
        <v>136146</v>
      </c>
      <c r="B9" t="s">
        <v>20</v>
      </c>
      <c r="C9" s="1">
        <v>42775.422222222223</v>
      </c>
      <c r="D9" s="1">
        <v>42775.491666666669</v>
      </c>
      <c r="E9" s="17">
        <f t="shared" si="0"/>
        <v>2</v>
      </c>
      <c r="F9">
        <v>100</v>
      </c>
      <c r="G9" t="s">
        <v>21</v>
      </c>
      <c r="H9" t="s">
        <v>22</v>
      </c>
      <c r="I9" t="s">
        <v>23</v>
      </c>
      <c r="J9" t="s">
        <v>24</v>
      </c>
      <c r="K9">
        <v>37.4146</v>
      </c>
      <c r="L9">
        <v>55.972599000000002</v>
      </c>
      <c r="M9" s="18">
        <v>733</v>
      </c>
      <c r="N9" t="s">
        <v>25</v>
      </c>
      <c r="O9">
        <v>12</v>
      </c>
      <c r="P9">
        <v>118</v>
      </c>
      <c r="Q9">
        <v>11</v>
      </c>
      <c r="R9">
        <v>402600</v>
      </c>
      <c r="S9">
        <v>98</v>
      </c>
      <c r="T9">
        <v>1201600</v>
      </c>
      <c r="U9" s="15">
        <v>1604200</v>
      </c>
      <c r="V9" s="16">
        <f>Q9*Доп.Информация!$B$7 + S9*Доп.Информация!$B$8</f>
        <v>71356.507200000007</v>
      </c>
      <c r="W9" s="15">
        <f>(VLOOKUP('Результат запроса'!$M9,Доп.Информация!$A$14:$B$15,2,0)/1000) * (F9/60) * Доп.Информация!$B$20</f>
        <v>247118.4</v>
      </c>
      <c r="X9">
        <f>Доп.Информация!$B$11</f>
        <v>582.97800000000007</v>
      </c>
      <c r="Y9" s="15">
        <f>Доп.Информация!$B$27</f>
        <v>63333.333333333336</v>
      </c>
      <c r="Z9" s="16">
        <f t="shared" si="1"/>
        <v>1221808.7814666666</v>
      </c>
    </row>
    <row r="10" spans="1:26" x14ac:dyDescent="0.25">
      <c r="A10">
        <v>136159</v>
      </c>
      <c r="B10" t="s">
        <v>20</v>
      </c>
      <c r="C10" s="1">
        <v>42739.421527777777</v>
      </c>
      <c r="D10" s="1">
        <v>42739.489583333336</v>
      </c>
      <c r="E10" s="17">
        <f t="shared" si="0"/>
        <v>1</v>
      </c>
      <c r="F10">
        <v>98</v>
      </c>
      <c r="G10" t="s">
        <v>21</v>
      </c>
      <c r="H10" t="s">
        <v>22</v>
      </c>
      <c r="I10" t="s">
        <v>23</v>
      </c>
      <c r="J10" t="s">
        <v>24</v>
      </c>
      <c r="K10">
        <v>37.4146</v>
      </c>
      <c r="L10">
        <v>55.972599000000002</v>
      </c>
      <c r="M10" s="18">
        <v>733</v>
      </c>
      <c r="N10" t="s">
        <v>25</v>
      </c>
      <c r="O10">
        <v>12</v>
      </c>
      <c r="P10">
        <v>118</v>
      </c>
      <c r="Q10">
        <v>12</v>
      </c>
      <c r="R10">
        <v>439200</v>
      </c>
      <c r="S10">
        <v>103</v>
      </c>
      <c r="T10">
        <v>1261400</v>
      </c>
      <c r="U10" s="15">
        <v>1700600</v>
      </c>
      <c r="V10" s="16">
        <f>Q10*Доп.Информация!$B$7 + S10*Доп.Информация!$B$8</f>
        <v>76020.331200000015</v>
      </c>
      <c r="W10" s="15">
        <f>(VLOOKUP('Результат запроса'!$M10,Доп.Информация!$A$14:$B$15,2,0)/1000) * (F10/60) * Доп.Информация!$B$20</f>
        <v>242176.03199999998</v>
      </c>
      <c r="X10">
        <f>Доп.Информация!$B$11</f>
        <v>582.97800000000007</v>
      </c>
      <c r="Y10" s="15">
        <f>Доп.Информация!$B$27</f>
        <v>63333.333333333336</v>
      </c>
      <c r="Z10" s="16">
        <f t="shared" si="1"/>
        <v>1318487.3254666666</v>
      </c>
    </row>
    <row r="11" spans="1:26" x14ac:dyDescent="0.25">
      <c r="A11">
        <v>136164</v>
      </c>
      <c r="B11" t="s">
        <v>20</v>
      </c>
      <c r="C11" s="1">
        <v>42742.421527777777</v>
      </c>
      <c r="D11" s="1">
        <v>42742.490277777775</v>
      </c>
      <c r="E11" s="17">
        <f t="shared" si="0"/>
        <v>1</v>
      </c>
      <c r="F11">
        <v>99</v>
      </c>
      <c r="G11" t="s">
        <v>21</v>
      </c>
      <c r="H11" t="s">
        <v>22</v>
      </c>
      <c r="I11" t="s">
        <v>23</v>
      </c>
      <c r="J11" t="s">
        <v>24</v>
      </c>
      <c r="K11">
        <v>37.4146</v>
      </c>
      <c r="L11">
        <v>55.972599000000002</v>
      </c>
      <c r="M11" s="18">
        <v>733</v>
      </c>
      <c r="N11" t="s">
        <v>25</v>
      </c>
      <c r="O11">
        <v>12</v>
      </c>
      <c r="P11">
        <v>118</v>
      </c>
      <c r="Q11">
        <v>11</v>
      </c>
      <c r="R11">
        <v>402600</v>
      </c>
      <c r="S11">
        <v>109</v>
      </c>
      <c r="T11">
        <v>1335800</v>
      </c>
      <c r="U11" s="15">
        <v>1738400</v>
      </c>
      <c r="V11" s="16">
        <f>Q11*Доп.Информация!$B$7 + S11*Доп.Информация!$B$8</f>
        <v>76486.713600000003</v>
      </c>
      <c r="W11" s="15">
        <f>(VLOOKUP('Результат запроса'!$M11,Доп.Информация!$A$14:$B$15,2,0)/1000) * (F11/60) * Доп.Информация!$B$20</f>
        <v>244647.21599999996</v>
      </c>
      <c r="X11">
        <f>Доп.Информация!$B$11</f>
        <v>582.97800000000007</v>
      </c>
      <c r="Y11" s="15">
        <f>Доп.Информация!$B$27</f>
        <v>63333.333333333336</v>
      </c>
      <c r="Z11" s="16">
        <f t="shared" si="1"/>
        <v>1353349.7590666667</v>
      </c>
    </row>
    <row r="12" spans="1:26" x14ac:dyDescent="0.25">
      <c r="A12">
        <v>136165</v>
      </c>
      <c r="B12" t="s">
        <v>20</v>
      </c>
      <c r="C12" s="1">
        <v>42788.424305555556</v>
      </c>
      <c r="D12" s="1">
        <v>42788.494444444441</v>
      </c>
      <c r="E12" s="17">
        <f t="shared" si="0"/>
        <v>2</v>
      </c>
      <c r="F12">
        <v>101</v>
      </c>
      <c r="G12" t="s">
        <v>21</v>
      </c>
      <c r="H12" t="s">
        <v>22</v>
      </c>
      <c r="I12" t="s">
        <v>23</v>
      </c>
      <c r="J12" t="s">
        <v>24</v>
      </c>
      <c r="K12">
        <v>37.4146</v>
      </c>
      <c r="L12">
        <v>55.972599000000002</v>
      </c>
      <c r="M12" s="18">
        <v>733</v>
      </c>
      <c r="N12" t="s">
        <v>25</v>
      </c>
      <c r="O12">
        <v>12</v>
      </c>
      <c r="P12">
        <v>118</v>
      </c>
      <c r="Q12">
        <v>9</v>
      </c>
      <c r="R12">
        <v>329400</v>
      </c>
      <c r="S12">
        <v>101</v>
      </c>
      <c r="T12">
        <v>1238200</v>
      </c>
      <c r="U12" s="15">
        <v>1567600</v>
      </c>
      <c r="V12" s="16">
        <f>Q12*Доп.Информация!$B$7 + S12*Доп.Информация!$B$8</f>
        <v>68091.830400000006</v>
      </c>
      <c r="W12" s="15">
        <f>(VLOOKUP('Результат запроса'!$M12,Доп.Информация!$A$14:$B$15,2,0)/1000) * (F12/60) * Доп.Информация!$B$20</f>
        <v>249589.584</v>
      </c>
      <c r="X12">
        <f>Доп.Информация!$B$11</f>
        <v>582.97800000000007</v>
      </c>
      <c r="Y12" s="15">
        <f>Доп.Информация!$B$27</f>
        <v>63333.333333333336</v>
      </c>
      <c r="Z12" s="16">
        <f t="shared" si="1"/>
        <v>1186002.2742666667</v>
      </c>
    </row>
    <row r="13" spans="1:26" x14ac:dyDescent="0.25">
      <c r="A13">
        <v>136172</v>
      </c>
      <c r="B13" t="s">
        <v>20</v>
      </c>
      <c r="C13" s="1">
        <v>42750.420138888891</v>
      </c>
      <c r="D13" s="1">
        <v>42750.488888888889</v>
      </c>
      <c r="E13" s="17">
        <f t="shared" si="0"/>
        <v>1</v>
      </c>
      <c r="F13">
        <v>99</v>
      </c>
      <c r="G13" t="s">
        <v>21</v>
      </c>
      <c r="H13" t="s">
        <v>22</v>
      </c>
      <c r="I13" t="s">
        <v>23</v>
      </c>
      <c r="J13" t="s">
        <v>24</v>
      </c>
      <c r="K13">
        <v>37.4146</v>
      </c>
      <c r="L13">
        <v>55.972599000000002</v>
      </c>
      <c r="M13" s="18">
        <v>733</v>
      </c>
      <c r="N13" t="s">
        <v>25</v>
      </c>
      <c r="O13">
        <v>12</v>
      </c>
      <c r="P13">
        <v>118</v>
      </c>
      <c r="Q13">
        <v>11</v>
      </c>
      <c r="R13">
        <v>402600</v>
      </c>
      <c r="S13">
        <v>99</v>
      </c>
      <c r="T13">
        <v>1215000</v>
      </c>
      <c r="U13" s="15">
        <v>1617600</v>
      </c>
      <c r="V13" s="16">
        <f>Q13*Доп.Информация!$B$7 + S13*Доп.Информация!$B$8</f>
        <v>71822.88960000001</v>
      </c>
      <c r="W13" s="15">
        <f>(VLOOKUP('Результат запроса'!$M13,Доп.Информация!$A$14:$B$15,2,0)/1000) * (F13/60) * Доп.Информация!$B$20</f>
        <v>244647.21599999996</v>
      </c>
      <c r="X13">
        <f>Доп.Информация!$B$11</f>
        <v>582.97800000000007</v>
      </c>
      <c r="Y13" s="15">
        <f>Доп.Информация!$B$27</f>
        <v>63333.333333333336</v>
      </c>
      <c r="Z13" s="16">
        <f t="shared" si="1"/>
        <v>1237213.5830666667</v>
      </c>
    </row>
    <row r="14" spans="1:26" x14ac:dyDescent="0.25">
      <c r="A14">
        <v>136178</v>
      </c>
      <c r="B14" t="s">
        <v>20</v>
      </c>
      <c r="C14" s="1">
        <v>42764.423611111109</v>
      </c>
      <c r="D14" s="1">
        <v>42764.492361111108</v>
      </c>
      <c r="E14" s="17">
        <f t="shared" si="0"/>
        <v>1</v>
      </c>
      <c r="F14">
        <v>99</v>
      </c>
      <c r="G14" t="s">
        <v>21</v>
      </c>
      <c r="H14" t="s">
        <v>22</v>
      </c>
      <c r="I14" t="s">
        <v>23</v>
      </c>
      <c r="J14" t="s">
        <v>24</v>
      </c>
      <c r="K14">
        <v>37.4146</v>
      </c>
      <c r="L14">
        <v>55.972599000000002</v>
      </c>
      <c r="M14" s="18">
        <v>733</v>
      </c>
      <c r="N14" t="s">
        <v>25</v>
      </c>
      <c r="O14">
        <v>12</v>
      </c>
      <c r="P14">
        <v>118</v>
      </c>
      <c r="Q14">
        <v>9</v>
      </c>
      <c r="R14">
        <v>329400</v>
      </c>
      <c r="S14">
        <v>90</v>
      </c>
      <c r="T14">
        <v>1105200</v>
      </c>
      <c r="U14" s="15">
        <v>1434600</v>
      </c>
      <c r="V14" s="16">
        <f>Q14*Доп.Информация!$B$7 + S14*Доп.Информация!$B$8</f>
        <v>62961.624000000011</v>
      </c>
      <c r="W14" s="15">
        <f>(VLOOKUP('Результат запроса'!$M14,Доп.Информация!$A$14:$B$15,2,0)/1000) * (F14/60) * Доп.Информация!$B$20</f>
        <v>244647.21599999996</v>
      </c>
      <c r="X14">
        <f>Доп.Информация!$B$11</f>
        <v>582.97800000000007</v>
      </c>
      <c r="Y14" s="15">
        <f>Доп.Информация!$B$27</f>
        <v>63333.333333333336</v>
      </c>
      <c r="Z14" s="16">
        <f t="shared" si="1"/>
        <v>1063074.8486666668</v>
      </c>
    </row>
    <row r="15" spans="1:26" x14ac:dyDescent="0.25">
      <c r="A15">
        <v>136181</v>
      </c>
      <c r="B15" t="s">
        <v>20</v>
      </c>
      <c r="C15" s="1">
        <v>42766.420138888891</v>
      </c>
      <c r="D15" s="1">
        <v>42766.488888888889</v>
      </c>
      <c r="E15" s="17">
        <f t="shared" si="0"/>
        <v>1</v>
      </c>
      <c r="F15">
        <v>99</v>
      </c>
      <c r="G15" t="s">
        <v>21</v>
      </c>
      <c r="H15" t="s">
        <v>22</v>
      </c>
      <c r="I15" t="s">
        <v>23</v>
      </c>
      <c r="J15" t="s">
        <v>24</v>
      </c>
      <c r="K15">
        <v>37.4146</v>
      </c>
      <c r="L15">
        <v>55.972599000000002</v>
      </c>
      <c r="M15" s="18">
        <v>733</v>
      </c>
      <c r="N15" t="s">
        <v>25</v>
      </c>
      <c r="O15">
        <v>12</v>
      </c>
      <c r="P15">
        <v>118</v>
      </c>
      <c r="Q15">
        <v>10</v>
      </c>
      <c r="R15">
        <v>366000</v>
      </c>
      <c r="S15">
        <v>108</v>
      </c>
      <c r="T15">
        <v>1323600</v>
      </c>
      <c r="U15" s="15">
        <v>1689600</v>
      </c>
      <c r="V15" s="16">
        <f>Q15*Доп.Информация!$B$7 + S15*Доп.Информация!$B$8</f>
        <v>73688.419200000004</v>
      </c>
      <c r="W15" s="15">
        <f>(VLOOKUP('Результат запроса'!$M15,Доп.Информация!$A$14:$B$15,2,0)/1000) * (F15/60) * Доп.Информация!$B$20</f>
        <v>244647.21599999996</v>
      </c>
      <c r="X15">
        <f>Доп.Информация!$B$11</f>
        <v>582.97800000000007</v>
      </c>
      <c r="Y15" s="15">
        <f>Доп.Информация!$B$27</f>
        <v>63333.333333333336</v>
      </c>
      <c r="Z15" s="16">
        <f t="shared" si="1"/>
        <v>1307348.0534666667</v>
      </c>
    </row>
    <row r="16" spans="1:26" x14ac:dyDescent="0.25">
      <c r="A16">
        <v>136185</v>
      </c>
      <c r="B16" t="s">
        <v>20</v>
      </c>
      <c r="C16" s="1">
        <v>42749.42083333333</v>
      </c>
      <c r="D16" s="1">
        <v>42749.492361111108</v>
      </c>
      <c r="E16" s="17">
        <f t="shared" si="0"/>
        <v>1</v>
      </c>
      <c r="F16">
        <v>103</v>
      </c>
      <c r="G16" t="s">
        <v>21</v>
      </c>
      <c r="H16" t="s">
        <v>22</v>
      </c>
      <c r="I16" t="s">
        <v>23</v>
      </c>
      <c r="J16" t="s">
        <v>24</v>
      </c>
      <c r="K16">
        <v>37.4146</v>
      </c>
      <c r="L16">
        <v>55.972599000000002</v>
      </c>
      <c r="M16" s="18">
        <v>733</v>
      </c>
      <c r="N16" t="s">
        <v>25</v>
      </c>
      <c r="O16">
        <v>12</v>
      </c>
      <c r="P16">
        <v>118</v>
      </c>
      <c r="Q16">
        <v>10</v>
      </c>
      <c r="R16">
        <v>366000</v>
      </c>
      <c r="S16">
        <v>94</v>
      </c>
      <c r="T16">
        <v>1154000</v>
      </c>
      <c r="U16" s="15">
        <v>1520000</v>
      </c>
      <c r="V16" s="16">
        <f>Q16*Доп.Информация!$B$7 + S16*Доп.Информация!$B$8</f>
        <v>67159.065600000002</v>
      </c>
      <c r="W16" s="15">
        <f>(VLOOKUP('Результат запроса'!$M16,Доп.Информация!$A$14:$B$15,2,0)/1000) * (F16/60) * Доп.Информация!$B$20</f>
        <v>254531.95199999993</v>
      </c>
      <c r="X16">
        <f>Доп.Информация!$B$11</f>
        <v>582.97800000000007</v>
      </c>
      <c r="Y16" s="15">
        <f>Доп.Информация!$B$27</f>
        <v>63333.333333333336</v>
      </c>
      <c r="Z16" s="16">
        <f t="shared" si="1"/>
        <v>1134392.6710666667</v>
      </c>
    </row>
    <row r="17" spans="1:26" x14ac:dyDescent="0.25">
      <c r="A17">
        <v>136202</v>
      </c>
      <c r="B17" t="s">
        <v>20</v>
      </c>
      <c r="C17" s="1">
        <v>42740.421527777777</v>
      </c>
      <c r="D17" s="1">
        <v>42740.492361111108</v>
      </c>
      <c r="E17" s="17">
        <f t="shared" si="0"/>
        <v>1</v>
      </c>
      <c r="F17">
        <v>102</v>
      </c>
      <c r="G17" t="s">
        <v>21</v>
      </c>
      <c r="H17" t="s">
        <v>22</v>
      </c>
      <c r="I17" t="s">
        <v>23</v>
      </c>
      <c r="J17" t="s">
        <v>24</v>
      </c>
      <c r="K17">
        <v>37.4146</v>
      </c>
      <c r="L17">
        <v>55.972599000000002</v>
      </c>
      <c r="M17" s="18">
        <v>733</v>
      </c>
      <c r="N17" t="s">
        <v>25</v>
      </c>
      <c r="O17">
        <v>12</v>
      </c>
      <c r="P17">
        <v>118</v>
      </c>
      <c r="Q17">
        <v>11</v>
      </c>
      <c r="R17">
        <v>402600</v>
      </c>
      <c r="S17">
        <v>89</v>
      </c>
      <c r="T17">
        <v>1093000</v>
      </c>
      <c r="U17" s="15">
        <v>1495600</v>
      </c>
      <c r="V17" s="16">
        <f>Q17*Доп.Информация!$B$7 + S17*Доп.Информация!$B$8</f>
        <v>67159.065600000002</v>
      </c>
      <c r="W17" s="15">
        <f>(VLOOKUP('Результат запроса'!$M17,Доп.Информация!$A$14:$B$15,2,0)/1000) * (F17/60) * Доп.Информация!$B$20</f>
        <v>252060.76800000001</v>
      </c>
      <c r="X17">
        <f>Доп.Информация!$B$11</f>
        <v>582.97800000000007</v>
      </c>
      <c r="Y17" s="15">
        <f>Доп.Информация!$B$27</f>
        <v>63333.333333333336</v>
      </c>
      <c r="Z17" s="16">
        <f t="shared" si="1"/>
        <v>1112463.8550666666</v>
      </c>
    </row>
    <row r="18" spans="1:26" x14ac:dyDescent="0.25">
      <c r="A18">
        <v>136204</v>
      </c>
      <c r="B18" t="s">
        <v>20</v>
      </c>
      <c r="C18" s="1">
        <v>42789.42083333333</v>
      </c>
      <c r="D18" s="1">
        <v>42789.490277777775</v>
      </c>
      <c r="E18" s="17">
        <f t="shared" si="0"/>
        <v>2</v>
      </c>
      <c r="F18">
        <v>100</v>
      </c>
      <c r="G18" t="s">
        <v>21</v>
      </c>
      <c r="H18" t="s">
        <v>22</v>
      </c>
      <c r="I18" t="s">
        <v>23</v>
      </c>
      <c r="J18" t="s">
        <v>24</v>
      </c>
      <c r="K18">
        <v>37.4146</v>
      </c>
      <c r="L18">
        <v>55.972599000000002</v>
      </c>
      <c r="M18" s="18">
        <v>733</v>
      </c>
      <c r="N18" t="s">
        <v>25</v>
      </c>
      <c r="O18">
        <v>12</v>
      </c>
      <c r="P18">
        <v>118</v>
      </c>
      <c r="Q18">
        <v>6</v>
      </c>
      <c r="R18">
        <v>219600</v>
      </c>
      <c r="S18">
        <v>101</v>
      </c>
      <c r="T18">
        <v>1238200</v>
      </c>
      <c r="U18" s="15">
        <v>1457800</v>
      </c>
      <c r="V18" s="16">
        <f>Q18*Доп.Информация!$B$7 + S18*Доп.Информация!$B$8</f>
        <v>61096.094400000002</v>
      </c>
      <c r="W18" s="15">
        <f>(VLOOKUP('Результат запроса'!$M18,Доп.Информация!$A$14:$B$15,2,0)/1000) * (F18/60) * Доп.Информация!$B$20</f>
        <v>247118.4</v>
      </c>
      <c r="X18">
        <f>Доп.Информация!$B$11</f>
        <v>582.97800000000007</v>
      </c>
      <c r="Y18" s="15">
        <f>Доп.Информация!$B$27</f>
        <v>63333.333333333336</v>
      </c>
      <c r="Z18" s="16">
        <f t="shared" si="1"/>
        <v>1085669.1942666667</v>
      </c>
    </row>
    <row r="19" spans="1:26" x14ac:dyDescent="0.25">
      <c r="A19">
        <v>136209</v>
      </c>
      <c r="B19" t="s">
        <v>20</v>
      </c>
      <c r="C19" s="1">
        <v>42741.42291666667</v>
      </c>
      <c r="D19" s="1">
        <v>42741.492361111108</v>
      </c>
      <c r="E19" s="17">
        <f t="shared" si="0"/>
        <v>1</v>
      </c>
      <c r="F19">
        <v>100</v>
      </c>
      <c r="G19" t="s">
        <v>21</v>
      </c>
      <c r="H19" t="s">
        <v>22</v>
      </c>
      <c r="I19" t="s">
        <v>23</v>
      </c>
      <c r="J19" t="s">
        <v>24</v>
      </c>
      <c r="K19">
        <v>37.4146</v>
      </c>
      <c r="L19">
        <v>55.972599000000002</v>
      </c>
      <c r="M19" s="18">
        <v>733</v>
      </c>
      <c r="N19" t="s">
        <v>25</v>
      </c>
      <c r="O19">
        <v>12</v>
      </c>
      <c r="P19">
        <v>118</v>
      </c>
      <c r="Q19">
        <v>10</v>
      </c>
      <c r="R19">
        <v>366000</v>
      </c>
      <c r="S19">
        <v>102</v>
      </c>
      <c r="T19">
        <v>1249200</v>
      </c>
      <c r="U19" s="15">
        <v>1615200</v>
      </c>
      <c r="V19" s="16">
        <f>Q19*Доп.Информация!$B$7 + S19*Доп.Информация!$B$8</f>
        <v>70890.124800000005</v>
      </c>
      <c r="W19" s="15">
        <f>(VLOOKUP('Результат запроса'!$M19,Доп.Информация!$A$14:$B$15,2,0)/1000) * (F19/60) * Доп.Информация!$B$20</f>
        <v>247118.4</v>
      </c>
      <c r="X19">
        <f>Доп.Информация!$B$11</f>
        <v>582.97800000000007</v>
      </c>
      <c r="Y19" s="15">
        <f>Доп.Информация!$B$27</f>
        <v>63333.333333333336</v>
      </c>
      <c r="Z19" s="16">
        <f t="shared" si="1"/>
        <v>1233275.1638666666</v>
      </c>
    </row>
    <row r="20" spans="1:26" x14ac:dyDescent="0.25">
      <c r="A20">
        <v>136215</v>
      </c>
      <c r="B20" t="s">
        <v>20</v>
      </c>
      <c r="C20" s="1">
        <v>42794.42291666667</v>
      </c>
      <c r="D20" s="1">
        <v>42794.492361111108</v>
      </c>
      <c r="E20" s="17">
        <f t="shared" si="0"/>
        <v>2</v>
      </c>
      <c r="F20">
        <v>100</v>
      </c>
      <c r="G20" t="s">
        <v>21</v>
      </c>
      <c r="H20" t="s">
        <v>22</v>
      </c>
      <c r="I20" t="s">
        <v>23</v>
      </c>
      <c r="J20" t="s">
        <v>24</v>
      </c>
      <c r="K20">
        <v>37.4146</v>
      </c>
      <c r="L20">
        <v>55.972599000000002</v>
      </c>
      <c r="M20" s="18">
        <v>733</v>
      </c>
      <c r="N20" t="s">
        <v>25</v>
      </c>
      <c r="O20">
        <v>12</v>
      </c>
      <c r="P20">
        <v>118</v>
      </c>
      <c r="Q20">
        <v>11</v>
      </c>
      <c r="R20">
        <v>402600</v>
      </c>
      <c r="S20">
        <v>103</v>
      </c>
      <c r="T20">
        <v>1261400</v>
      </c>
      <c r="U20" s="15">
        <v>1664000</v>
      </c>
      <c r="V20" s="16">
        <f>Q20*Доп.Информация!$B$7 + S20*Доп.Информация!$B$8</f>
        <v>73688.419200000004</v>
      </c>
      <c r="W20" s="15">
        <f>(VLOOKUP('Результат запроса'!$M20,Доп.Информация!$A$14:$B$15,2,0)/1000) * (F20/60) * Доп.Информация!$B$20</f>
        <v>247118.4</v>
      </c>
      <c r="X20">
        <f>Доп.Информация!$B$11</f>
        <v>582.97800000000007</v>
      </c>
      <c r="Y20" s="15">
        <f>Доп.Информация!$B$27</f>
        <v>63333.333333333336</v>
      </c>
      <c r="Z20" s="16">
        <f t="shared" si="1"/>
        <v>1279276.8694666666</v>
      </c>
    </row>
    <row r="21" spans="1:26" x14ac:dyDescent="0.25">
      <c r="A21">
        <v>136226</v>
      </c>
      <c r="B21" t="s">
        <v>20</v>
      </c>
      <c r="C21" s="1">
        <v>42765.422222222223</v>
      </c>
      <c r="D21" s="1">
        <v>42765.491666666669</v>
      </c>
      <c r="E21" s="17">
        <f t="shared" si="0"/>
        <v>1</v>
      </c>
      <c r="F21">
        <v>100</v>
      </c>
      <c r="G21" t="s">
        <v>21</v>
      </c>
      <c r="H21" t="s">
        <v>22</v>
      </c>
      <c r="I21" t="s">
        <v>23</v>
      </c>
      <c r="J21" t="s">
        <v>24</v>
      </c>
      <c r="K21">
        <v>37.4146</v>
      </c>
      <c r="L21">
        <v>55.972599000000002</v>
      </c>
      <c r="M21" s="18">
        <v>733</v>
      </c>
      <c r="N21" t="s">
        <v>25</v>
      </c>
      <c r="O21">
        <v>12</v>
      </c>
      <c r="P21">
        <v>118</v>
      </c>
      <c r="Q21">
        <v>12</v>
      </c>
      <c r="R21">
        <v>439200</v>
      </c>
      <c r="S21">
        <v>118</v>
      </c>
      <c r="T21">
        <v>1446800</v>
      </c>
      <c r="U21" s="15">
        <v>1886000</v>
      </c>
      <c r="V21" s="16">
        <f>Q21*Доп.Информация!$B$7 + S21*Доп.Информация!$B$8</f>
        <v>83016.067200000005</v>
      </c>
      <c r="W21" s="15">
        <f>(VLOOKUP('Результат запроса'!$M21,Доп.Информация!$A$14:$B$15,2,0)/1000) * (F21/60) * Доп.Информация!$B$20</f>
        <v>247118.4</v>
      </c>
      <c r="X21">
        <f>Доп.Информация!$B$11</f>
        <v>582.97800000000007</v>
      </c>
      <c r="Y21" s="15">
        <f>Доп.Информация!$B$27</f>
        <v>63333.333333333336</v>
      </c>
      <c r="Z21" s="16">
        <f t="shared" si="1"/>
        <v>1491949.2214666666</v>
      </c>
    </row>
    <row r="22" spans="1:26" x14ac:dyDescent="0.25">
      <c r="A22">
        <v>136249</v>
      </c>
      <c r="B22" t="s">
        <v>20</v>
      </c>
      <c r="C22" s="1">
        <v>42780.422222222223</v>
      </c>
      <c r="D22" s="1">
        <v>42780.490277777775</v>
      </c>
      <c r="E22" s="17">
        <f t="shared" si="0"/>
        <v>2</v>
      </c>
      <c r="F22">
        <v>98</v>
      </c>
      <c r="G22" t="s">
        <v>21</v>
      </c>
      <c r="H22" t="s">
        <v>22</v>
      </c>
      <c r="I22" t="s">
        <v>23</v>
      </c>
      <c r="J22" t="s">
        <v>24</v>
      </c>
      <c r="K22">
        <v>37.4146</v>
      </c>
      <c r="L22">
        <v>55.972599000000002</v>
      </c>
      <c r="M22" s="18">
        <v>733</v>
      </c>
      <c r="N22" t="s">
        <v>25</v>
      </c>
      <c r="O22">
        <v>12</v>
      </c>
      <c r="P22">
        <v>118</v>
      </c>
      <c r="Q22">
        <v>12</v>
      </c>
      <c r="R22">
        <v>439200</v>
      </c>
      <c r="S22">
        <v>111</v>
      </c>
      <c r="T22">
        <v>1361400</v>
      </c>
      <c r="U22" s="15">
        <v>1800600</v>
      </c>
      <c r="V22" s="16">
        <f>Q22*Доп.Информация!$B$7 + S22*Доп.Информация!$B$8</f>
        <v>79751.390400000004</v>
      </c>
      <c r="W22" s="15">
        <f>(VLOOKUP('Результат запроса'!$M22,Доп.Информация!$A$14:$B$15,2,0)/1000) * (F22/60) * Доп.Информация!$B$20</f>
        <v>242176.03199999998</v>
      </c>
      <c r="X22">
        <f>Доп.Информация!$B$11</f>
        <v>582.97800000000007</v>
      </c>
      <c r="Y22" s="15">
        <f>Доп.Информация!$B$27</f>
        <v>63333.333333333336</v>
      </c>
      <c r="Z22" s="16">
        <f t="shared" si="1"/>
        <v>1414756.2662666668</v>
      </c>
    </row>
    <row r="23" spans="1:26" x14ac:dyDescent="0.25">
      <c r="A23">
        <v>136250</v>
      </c>
      <c r="B23" t="s">
        <v>20</v>
      </c>
      <c r="C23" s="1">
        <v>42774.42083333333</v>
      </c>
      <c r="D23" s="1">
        <v>42774.490972222222</v>
      </c>
      <c r="E23" s="17">
        <f t="shared" si="0"/>
        <v>2</v>
      </c>
      <c r="F23">
        <v>101</v>
      </c>
      <c r="G23" t="s">
        <v>21</v>
      </c>
      <c r="H23" t="s">
        <v>22</v>
      </c>
      <c r="I23" t="s">
        <v>23</v>
      </c>
      <c r="J23" t="s">
        <v>24</v>
      </c>
      <c r="K23">
        <v>37.4146</v>
      </c>
      <c r="L23">
        <v>55.972599000000002</v>
      </c>
      <c r="M23" s="18">
        <v>733</v>
      </c>
      <c r="N23" t="s">
        <v>25</v>
      </c>
      <c r="O23">
        <v>12</v>
      </c>
      <c r="P23">
        <v>118</v>
      </c>
      <c r="Q23">
        <v>8</v>
      </c>
      <c r="R23">
        <v>292800</v>
      </c>
      <c r="S23">
        <v>91</v>
      </c>
      <c r="T23">
        <v>1115000</v>
      </c>
      <c r="U23" s="15">
        <v>1407800</v>
      </c>
      <c r="V23" s="16">
        <f>Q23*Доп.Информация!$B$7 + S23*Доп.Информация!$B$8</f>
        <v>61096.094400000002</v>
      </c>
      <c r="W23" s="15">
        <f>(VLOOKUP('Результат запроса'!$M23,Доп.Информация!$A$14:$B$15,2,0)/1000) * (F23/60) * Доп.Информация!$B$20</f>
        <v>249589.584</v>
      </c>
      <c r="X23">
        <f>Доп.Информация!$B$11</f>
        <v>582.97800000000007</v>
      </c>
      <c r="Y23" s="15">
        <f>Доп.Информация!$B$27</f>
        <v>63333.333333333336</v>
      </c>
      <c r="Z23" s="16">
        <f t="shared" si="1"/>
        <v>1033198.0102666668</v>
      </c>
    </row>
    <row r="24" spans="1:26" x14ac:dyDescent="0.25">
      <c r="A24">
        <v>136264</v>
      </c>
      <c r="B24" t="s">
        <v>20</v>
      </c>
      <c r="C24" s="1">
        <v>42784.421527777777</v>
      </c>
      <c r="D24" s="1">
        <v>42784.490972222222</v>
      </c>
      <c r="E24" s="17">
        <f t="shared" si="0"/>
        <v>2</v>
      </c>
      <c r="F24">
        <v>100</v>
      </c>
      <c r="G24" t="s">
        <v>21</v>
      </c>
      <c r="H24" t="s">
        <v>22</v>
      </c>
      <c r="I24" t="s">
        <v>23</v>
      </c>
      <c r="J24" t="s">
        <v>24</v>
      </c>
      <c r="K24">
        <v>37.4146</v>
      </c>
      <c r="L24">
        <v>55.972599000000002</v>
      </c>
      <c r="M24" s="18">
        <v>733</v>
      </c>
      <c r="N24" t="s">
        <v>25</v>
      </c>
      <c r="O24">
        <v>12</v>
      </c>
      <c r="P24">
        <v>118</v>
      </c>
      <c r="Q24">
        <v>11</v>
      </c>
      <c r="R24">
        <v>402600</v>
      </c>
      <c r="S24">
        <v>105</v>
      </c>
      <c r="T24">
        <v>1288200</v>
      </c>
      <c r="U24" s="15">
        <v>1690800</v>
      </c>
      <c r="V24" s="16">
        <f>Q24*Доп.Информация!$B$7 + S24*Доп.Информация!$B$8</f>
        <v>74621.184000000008</v>
      </c>
      <c r="W24" s="15">
        <f>(VLOOKUP('Результат запроса'!$M24,Доп.Информация!$A$14:$B$15,2,0)/1000) * (F24/60) * Доп.Информация!$B$20</f>
        <v>247118.4</v>
      </c>
      <c r="X24">
        <f>Доп.Информация!$B$11</f>
        <v>582.97800000000007</v>
      </c>
      <c r="Y24" s="15">
        <f>Доп.Информация!$B$27</f>
        <v>63333.333333333336</v>
      </c>
      <c r="Z24" s="16">
        <f t="shared" si="1"/>
        <v>1305144.1046666666</v>
      </c>
    </row>
    <row r="25" spans="1:26" x14ac:dyDescent="0.25">
      <c r="A25">
        <v>136266</v>
      </c>
      <c r="B25" t="s">
        <v>20</v>
      </c>
      <c r="C25" s="1">
        <v>42793.422222222223</v>
      </c>
      <c r="D25" s="1">
        <v>42793.491666666669</v>
      </c>
      <c r="E25" s="17">
        <f t="shared" si="0"/>
        <v>2</v>
      </c>
      <c r="F25">
        <v>100</v>
      </c>
      <c r="G25" t="s">
        <v>21</v>
      </c>
      <c r="H25" t="s">
        <v>22</v>
      </c>
      <c r="I25" t="s">
        <v>23</v>
      </c>
      <c r="J25" t="s">
        <v>24</v>
      </c>
      <c r="K25">
        <v>37.4146</v>
      </c>
      <c r="L25">
        <v>55.972599000000002</v>
      </c>
      <c r="M25" s="18">
        <v>733</v>
      </c>
      <c r="N25" t="s">
        <v>25</v>
      </c>
      <c r="O25">
        <v>12</v>
      </c>
      <c r="P25">
        <v>118</v>
      </c>
      <c r="Q25">
        <v>10</v>
      </c>
      <c r="R25">
        <v>366000</v>
      </c>
      <c r="S25">
        <v>98</v>
      </c>
      <c r="T25">
        <v>1200400</v>
      </c>
      <c r="U25" s="15">
        <v>1566400</v>
      </c>
      <c r="V25" s="16">
        <f>Q25*Доп.Информация!$B$7 + S25*Доп.Информация!$B$8</f>
        <v>69024.595200000011</v>
      </c>
      <c r="W25" s="15">
        <f>(VLOOKUP('Результат запроса'!$M25,Доп.Информация!$A$14:$B$15,2,0)/1000) * (F25/60) * Доп.Информация!$B$20</f>
        <v>247118.4</v>
      </c>
      <c r="X25">
        <f>Доп.Информация!$B$11</f>
        <v>582.97800000000007</v>
      </c>
      <c r="Y25" s="15">
        <f>Доп.Информация!$B$27</f>
        <v>63333.333333333336</v>
      </c>
      <c r="Z25" s="16">
        <f t="shared" si="1"/>
        <v>1186340.6934666666</v>
      </c>
    </row>
    <row r="26" spans="1:26" x14ac:dyDescent="0.25">
      <c r="A26">
        <v>136268</v>
      </c>
      <c r="B26" t="s">
        <v>20</v>
      </c>
      <c r="C26" s="1">
        <v>42782.422222222223</v>
      </c>
      <c r="D26" s="1">
        <v>42782.492361111108</v>
      </c>
      <c r="E26" s="17">
        <f t="shared" si="0"/>
        <v>2</v>
      </c>
      <c r="F26">
        <v>101</v>
      </c>
      <c r="G26" t="s">
        <v>21</v>
      </c>
      <c r="H26" t="s">
        <v>22</v>
      </c>
      <c r="I26" t="s">
        <v>23</v>
      </c>
      <c r="J26" t="s">
        <v>24</v>
      </c>
      <c r="K26">
        <v>37.4146</v>
      </c>
      <c r="L26">
        <v>55.972599000000002</v>
      </c>
      <c r="M26" s="18">
        <v>733</v>
      </c>
      <c r="N26" t="s">
        <v>25</v>
      </c>
      <c r="O26">
        <v>12</v>
      </c>
      <c r="P26">
        <v>118</v>
      </c>
      <c r="Q26">
        <v>11</v>
      </c>
      <c r="R26">
        <v>402600</v>
      </c>
      <c r="S26">
        <v>104</v>
      </c>
      <c r="T26">
        <v>1273600</v>
      </c>
      <c r="U26" s="15">
        <v>1676200</v>
      </c>
      <c r="V26" s="16">
        <f>Q26*Доп.Информация!$B$7 + S26*Доп.Информация!$B$8</f>
        <v>74154.801600000006</v>
      </c>
      <c r="W26" s="15">
        <f>(VLOOKUP('Результат запроса'!$M26,Доп.Информация!$A$14:$B$15,2,0)/1000) * (F26/60) * Доп.Информация!$B$20</f>
        <v>249589.584</v>
      </c>
      <c r="X26">
        <f>Доп.Информация!$B$11</f>
        <v>582.97800000000007</v>
      </c>
      <c r="Y26" s="15">
        <f>Доп.Информация!$B$27</f>
        <v>63333.333333333336</v>
      </c>
      <c r="Z26" s="16">
        <f t="shared" si="1"/>
        <v>1288539.3030666667</v>
      </c>
    </row>
    <row r="27" spans="1:26" x14ac:dyDescent="0.25">
      <c r="A27">
        <v>136269</v>
      </c>
      <c r="B27" t="s">
        <v>20</v>
      </c>
      <c r="C27" s="1">
        <v>42777.425694444442</v>
      </c>
      <c r="D27" s="1">
        <v>42777.495138888888</v>
      </c>
      <c r="E27" s="17">
        <f t="shared" si="0"/>
        <v>2</v>
      </c>
      <c r="F27">
        <v>100</v>
      </c>
      <c r="G27" t="s">
        <v>21</v>
      </c>
      <c r="H27" t="s">
        <v>22</v>
      </c>
      <c r="I27" t="s">
        <v>23</v>
      </c>
      <c r="J27" t="s">
        <v>24</v>
      </c>
      <c r="K27">
        <v>37.4146</v>
      </c>
      <c r="L27">
        <v>55.972599000000002</v>
      </c>
      <c r="M27" s="18">
        <v>733</v>
      </c>
      <c r="N27" t="s">
        <v>25</v>
      </c>
      <c r="O27">
        <v>12</v>
      </c>
      <c r="P27">
        <v>118</v>
      </c>
      <c r="Q27">
        <v>11</v>
      </c>
      <c r="R27">
        <v>402600</v>
      </c>
      <c r="S27">
        <v>98</v>
      </c>
      <c r="T27">
        <v>1202800</v>
      </c>
      <c r="U27" s="15">
        <v>1605400</v>
      </c>
      <c r="V27" s="16">
        <f>Q27*Доп.Информация!$B$7 + S27*Доп.Информация!$B$8</f>
        <v>71356.507200000007</v>
      </c>
      <c r="W27" s="15">
        <f>(VLOOKUP('Результат запроса'!$M27,Доп.Информация!$A$14:$B$15,2,0)/1000) * (F27/60) * Доп.Информация!$B$20</f>
        <v>247118.4</v>
      </c>
      <c r="X27">
        <f>Доп.Информация!$B$11</f>
        <v>582.97800000000007</v>
      </c>
      <c r="Y27" s="15">
        <f>Доп.Информация!$B$27</f>
        <v>63333.333333333336</v>
      </c>
      <c r="Z27" s="16">
        <f t="shared" si="1"/>
        <v>1223008.7814666666</v>
      </c>
    </row>
    <row r="28" spans="1:26" x14ac:dyDescent="0.25">
      <c r="A28">
        <v>136270</v>
      </c>
      <c r="B28" t="s">
        <v>20</v>
      </c>
      <c r="C28" s="1">
        <v>42778.425000000003</v>
      </c>
      <c r="D28" s="1">
        <v>42778.493750000001</v>
      </c>
      <c r="E28" s="17">
        <f t="shared" si="0"/>
        <v>2</v>
      </c>
      <c r="F28">
        <v>99</v>
      </c>
      <c r="G28" t="s">
        <v>21</v>
      </c>
      <c r="H28" t="s">
        <v>22</v>
      </c>
      <c r="I28" t="s">
        <v>23</v>
      </c>
      <c r="J28" t="s">
        <v>24</v>
      </c>
      <c r="K28">
        <v>37.4146</v>
      </c>
      <c r="L28">
        <v>55.972599000000002</v>
      </c>
      <c r="M28" s="18">
        <v>733</v>
      </c>
      <c r="N28" t="s">
        <v>25</v>
      </c>
      <c r="O28">
        <v>12</v>
      </c>
      <c r="P28">
        <v>118</v>
      </c>
      <c r="Q28">
        <v>11</v>
      </c>
      <c r="R28">
        <v>402600</v>
      </c>
      <c r="S28">
        <v>100</v>
      </c>
      <c r="T28">
        <v>1226000</v>
      </c>
      <c r="U28" s="15">
        <v>1628600</v>
      </c>
      <c r="V28" s="16">
        <f>Q28*Доп.Информация!$B$7 + S28*Доп.Информация!$B$8</f>
        <v>72289.272000000012</v>
      </c>
      <c r="W28" s="15">
        <f>(VLOOKUP('Результат запроса'!$M28,Доп.Информация!$A$14:$B$15,2,0)/1000) * (F28/60) * Доп.Информация!$B$20</f>
        <v>244647.21599999996</v>
      </c>
      <c r="X28">
        <f>Доп.Информация!$B$11</f>
        <v>582.97800000000007</v>
      </c>
      <c r="Y28" s="15">
        <f>Доп.Информация!$B$27</f>
        <v>63333.333333333336</v>
      </c>
      <c r="Z28" s="16">
        <f t="shared" si="1"/>
        <v>1247747.2006666667</v>
      </c>
    </row>
    <row r="29" spans="1:26" x14ac:dyDescent="0.25">
      <c r="A29">
        <v>136275</v>
      </c>
      <c r="B29" t="s">
        <v>20</v>
      </c>
      <c r="C29" s="1">
        <v>42748.422222222223</v>
      </c>
      <c r="D29" s="1">
        <v>42748.490277777775</v>
      </c>
      <c r="E29" s="17">
        <f t="shared" si="0"/>
        <v>1</v>
      </c>
      <c r="F29">
        <v>98</v>
      </c>
      <c r="G29" t="s">
        <v>21</v>
      </c>
      <c r="H29" t="s">
        <v>22</v>
      </c>
      <c r="I29" t="s">
        <v>23</v>
      </c>
      <c r="J29" t="s">
        <v>24</v>
      </c>
      <c r="K29">
        <v>37.4146</v>
      </c>
      <c r="L29">
        <v>55.972599000000002</v>
      </c>
      <c r="M29" s="18">
        <v>733</v>
      </c>
      <c r="N29" t="s">
        <v>25</v>
      </c>
      <c r="O29">
        <v>12</v>
      </c>
      <c r="P29">
        <v>118</v>
      </c>
      <c r="Q29">
        <v>12</v>
      </c>
      <c r="R29">
        <v>439200</v>
      </c>
      <c r="S29">
        <v>113</v>
      </c>
      <c r="T29">
        <v>1385800</v>
      </c>
      <c r="U29" s="15">
        <v>1825000</v>
      </c>
      <c r="V29" s="16">
        <f>Q29*Доп.Информация!$B$7 + S29*Доп.Информация!$B$8</f>
        <v>80684.155200000008</v>
      </c>
      <c r="W29" s="15">
        <f>(VLOOKUP('Результат запроса'!$M29,Доп.Информация!$A$14:$B$15,2,0)/1000) * (F29/60) * Доп.Информация!$B$20</f>
        <v>242176.03199999998</v>
      </c>
      <c r="X29">
        <f>Доп.Информация!$B$11</f>
        <v>582.97800000000007</v>
      </c>
      <c r="Y29" s="15">
        <f>Доп.Информация!$B$27</f>
        <v>63333.333333333336</v>
      </c>
      <c r="Z29" s="16">
        <f t="shared" si="1"/>
        <v>1438223.5014666668</v>
      </c>
    </row>
    <row r="30" spans="1:26" x14ac:dyDescent="0.25">
      <c r="A30">
        <v>136282</v>
      </c>
      <c r="B30" t="s">
        <v>20</v>
      </c>
      <c r="C30" s="1">
        <v>42751.421527777777</v>
      </c>
      <c r="D30" s="1">
        <v>42751.491666666669</v>
      </c>
      <c r="E30" s="17">
        <f t="shared" si="0"/>
        <v>1</v>
      </c>
      <c r="F30">
        <v>101</v>
      </c>
      <c r="G30" t="s">
        <v>21</v>
      </c>
      <c r="H30" t="s">
        <v>22</v>
      </c>
      <c r="I30" t="s">
        <v>23</v>
      </c>
      <c r="J30" t="s">
        <v>24</v>
      </c>
      <c r="K30">
        <v>37.4146</v>
      </c>
      <c r="L30">
        <v>55.972599000000002</v>
      </c>
      <c r="M30" s="18">
        <v>733</v>
      </c>
      <c r="N30" t="s">
        <v>25</v>
      </c>
      <c r="O30">
        <v>12</v>
      </c>
      <c r="P30">
        <v>118</v>
      </c>
      <c r="Q30">
        <v>9</v>
      </c>
      <c r="R30">
        <v>329400</v>
      </c>
      <c r="S30">
        <v>97</v>
      </c>
      <c r="T30">
        <v>1189400</v>
      </c>
      <c r="U30" s="15">
        <v>1518800</v>
      </c>
      <c r="V30" s="16">
        <f>Q30*Доп.Информация!$B$7 + S30*Доп.Информация!$B$8</f>
        <v>66226.300799999997</v>
      </c>
      <c r="W30" s="15">
        <f>(VLOOKUP('Результат запроса'!$M30,Доп.Информация!$A$14:$B$15,2,0)/1000) * (F30/60) * Доп.Информация!$B$20</f>
        <v>249589.584</v>
      </c>
      <c r="X30">
        <f>Доп.Информация!$B$11</f>
        <v>582.97800000000007</v>
      </c>
      <c r="Y30" s="15">
        <f>Доп.Информация!$B$27</f>
        <v>63333.333333333336</v>
      </c>
      <c r="Z30" s="16">
        <f t="shared" si="1"/>
        <v>1139067.8038666667</v>
      </c>
    </row>
    <row r="31" spans="1:26" x14ac:dyDescent="0.25">
      <c r="A31">
        <v>136284</v>
      </c>
      <c r="B31" t="s">
        <v>20</v>
      </c>
      <c r="C31" s="1">
        <v>42773.421527777777</v>
      </c>
      <c r="D31" s="1">
        <v>42773.491666666669</v>
      </c>
      <c r="E31" s="17">
        <f t="shared" si="0"/>
        <v>2</v>
      </c>
      <c r="F31">
        <v>101</v>
      </c>
      <c r="G31" t="s">
        <v>21</v>
      </c>
      <c r="H31" t="s">
        <v>22</v>
      </c>
      <c r="I31" t="s">
        <v>23</v>
      </c>
      <c r="J31" t="s">
        <v>24</v>
      </c>
      <c r="K31">
        <v>37.4146</v>
      </c>
      <c r="L31">
        <v>55.972599000000002</v>
      </c>
      <c r="M31" s="18">
        <v>733</v>
      </c>
      <c r="N31" t="s">
        <v>25</v>
      </c>
      <c r="O31">
        <v>12</v>
      </c>
      <c r="P31">
        <v>118</v>
      </c>
      <c r="Q31">
        <v>10</v>
      </c>
      <c r="R31">
        <v>366000</v>
      </c>
      <c r="S31">
        <v>107</v>
      </c>
      <c r="T31">
        <v>1311400</v>
      </c>
      <c r="U31" s="15">
        <v>1677400</v>
      </c>
      <c r="V31" s="16">
        <f>Q31*Доп.Информация!$B$7 + S31*Доп.Информация!$B$8</f>
        <v>73222.036800000002</v>
      </c>
      <c r="W31" s="15">
        <f>(VLOOKUP('Результат запроса'!$M31,Доп.Информация!$A$14:$B$15,2,0)/1000) * (F31/60) * Доп.Информация!$B$20</f>
        <v>249589.584</v>
      </c>
      <c r="X31">
        <f>Доп.Информация!$B$11</f>
        <v>582.97800000000007</v>
      </c>
      <c r="Y31" s="15">
        <f>Доп.Информация!$B$27</f>
        <v>63333.333333333336</v>
      </c>
      <c r="Z31" s="16">
        <f t="shared" si="1"/>
        <v>1290672.0678666667</v>
      </c>
    </row>
    <row r="32" spans="1:26" x14ac:dyDescent="0.25">
      <c r="A32">
        <v>136293</v>
      </c>
      <c r="B32" t="s">
        <v>20</v>
      </c>
      <c r="C32" s="1">
        <v>42758.42291666667</v>
      </c>
      <c r="D32" s="1">
        <v>42758.491666666669</v>
      </c>
      <c r="E32" s="17">
        <f t="shared" si="0"/>
        <v>1</v>
      </c>
      <c r="F32">
        <v>99</v>
      </c>
      <c r="G32" t="s">
        <v>21</v>
      </c>
      <c r="H32" t="s">
        <v>22</v>
      </c>
      <c r="I32" t="s">
        <v>23</v>
      </c>
      <c r="J32" t="s">
        <v>24</v>
      </c>
      <c r="K32">
        <v>37.4146</v>
      </c>
      <c r="L32">
        <v>55.972599000000002</v>
      </c>
      <c r="M32" s="18">
        <v>733</v>
      </c>
      <c r="N32" t="s">
        <v>25</v>
      </c>
      <c r="O32">
        <v>12</v>
      </c>
      <c r="P32">
        <v>118</v>
      </c>
      <c r="Q32">
        <v>12</v>
      </c>
      <c r="R32">
        <v>439200</v>
      </c>
      <c r="S32">
        <v>102</v>
      </c>
      <c r="T32">
        <v>1250400</v>
      </c>
      <c r="U32" s="15">
        <v>1689600</v>
      </c>
      <c r="V32" s="16">
        <f>Q32*Доп.Информация!$B$7 + S32*Доп.Информация!$B$8</f>
        <v>75553.948800000013</v>
      </c>
      <c r="W32" s="15">
        <f>(VLOOKUP('Результат запроса'!$M32,Доп.Информация!$A$14:$B$15,2,0)/1000) * (F32/60) * Доп.Информация!$B$20</f>
        <v>244647.21599999996</v>
      </c>
      <c r="X32">
        <f>Доп.Информация!$B$11</f>
        <v>582.97800000000007</v>
      </c>
      <c r="Y32" s="15">
        <f>Доп.Информация!$B$27</f>
        <v>63333.333333333336</v>
      </c>
      <c r="Z32" s="16">
        <f t="shared" si="1"/>
        <v>1305482.5238666667</v>
      </c>
    </row>
    <row r="33" spans="1:26" x14ac:dyDescent="0.25">
      <c r="A33">
        <v>136310</v>
      </c>
      <c r="B33" t="s">
        <v>20</v>
      </c>
      <c r="C33" s="1">
        <v>42757.421527777777</v>
      </c>
      <c r="D33" s="1">
        <v>42757.490972222222</v>
      </c>
      <c r="E33" s="17">
        <f t="shared" si="0"/>
        <v>1</v>
      </c>
      <c r="F33">
        <v>100</v>
      </c>
      <c r="G33" t="s">
        <v>21</v>
      </c>
      <c r="H33" t="s">
        <v>22</v>
      </c>
      <c r="I33" t="s">
        <v>23</v>
      </c>
      <c r="J33" t="s">
        <v>24</v>
      </c>
      <c r="K33">
        <v>37.4146</v>
      </c>
      <c r="L33">
        <v>55.972599000000002</v>
      </c>
      <c r="M33" s="18">
        <v>733</v>
      </c>
      <c r="N33" t="s">
        <v>25</v>
      </c>
      <c r="O33">
        <v>12</v>
      </c>
      <c r="P33">
        <v>118</v>
      </c>
      <c r="Q33">
        <v>9</v>
      </c>
      <c r="R33">
        <v>329400</v>
      </c>
      <c r="S33">
        <v>108</v>
      </c>
      <c r="T33">
        <v>1324800</v>
      </c>
      <c r="U33" s="15">
        <v>1654200</v>
      </c>
      <c r="V33" s="16">
        <f>Q33*Доп.Информация!$B$7 + S33*Доп.Информация!$B$8</f>
        <v>71356.507200000007</v>
      </c>
      <c r="W33" s="15">
        <f>(VLOOKUP('Результат запроса'!$M33,Доп.Информация!$A$14:$B$15,2,0)/1000) * (F33/60) * Доп.Информация!$B$20</f>
        <v>247118.4</v>
      </c>
      <c r="X33">
        <f>Доп.Информация!$B$11</f>
        <v>582.97800000000007</v>
      </c>
      <c r="Y33" s="15">
        <f>Доп.Информация!$B$27</f>
        <v>63333.333333333336</v>
      </c>
      <c r="Z33" s="16">
        <f t="shared" si="1"/>
        <v>1271808.7814666666</v>
      </c>
    </row>
    <row r="34" spans="1:26" x14ac:dyDescent="0.25">
      <c r="A34">
        <v>136316</v>
      </c>
      <c r="B34" t="s">
        <v>20</v>
      </c>
      <c r="C34" s="1">
        <v>42747.421527777777</v>
      </c>
      <c r="D34" s="1">
        <v>42747.490972222222</v>
      </c>
      <c r="E34" s="17">
        <f t="shared" si="0"/>
        <v>1</v>
      </c>
      <c r="F34">
        <v>100</v>
      </c>
      <c r="G34" t="s">
        <v>21</v>
      </c>
      <c r="H34" t="s">
        <v>22</v>
      </c>
      <c r="I34" t="s">
        <v>23</v>
      </c>
      <c r="J34" t="s">
        <v>24</v>
      </c>
      <c r="K34">
        <v>37.4146</v>
      </c>
      <c r="L34">
        <v>55.972599000000002</v>
      </c>
      <c r="M34" s="18">
        <v>733</v>
      </c>
      <c r="N34" t="s">
        <v>25</v>
      </c>
      <c r="O34">
        <v>12</v>
      </c>
      <c r="P34">
        <v>118</v>
      </c>
      <c r="Q34">
        <v>12</v>
      </c>
      <c r="R34">
        <v>439200</v>
      </c>
      <c r="S34">
        <v>118</v>
      </c>
      <c r="T34">
        <v>1446800</v>
      </c>
      <c r="U34" s="15">
        <v>1886000</v>
      </c>
      <c r="V34" s="16">
        <f>Q34*Доп.Информация!$B$7 + S34*Доп.Информация!$B$8</f>
        <v>83016.067200000005</v>
      </c>
      <c r="W34" s="15">
        <f>(VLOOKUP('Результат запроса'!$M34,Доп.Информация!$A$14:$B$15,2,0)/1000) * (F34/60) * Доп.Информация!$B$20</f>
        <v>247118.4</v>
      </c>
      <c r="X34">
        <f>Доп.Информация!$B$11</f>
        <v>582.97800000000007</v>
      </c>
      <c r="Y34" s="15">
        <f>Доп.Информация!$B$27</f>
        <v>63333.333333333336</v>
      </c>
      <c r="Z34" s="16">
        <f t="shared" si="1"/>
        <v>1491949.2214666666</v>
      </c>
    </row>
    <row r="35" spans="1:26" x14ac:dyDescent="0.25">
      <c r="A35">
        <v>136320</v>
      </c>
      <c r="B35" t="s">
        <v>20</v>
      </c>
      <c r="C35" s="1">
        <v>42785.420138888891</v>
      </c>
      <c r="D35" s="1">
        <v>42785.489583333336</v>
      </c>
      <c r="E35" s="17">
        <f t="shared" si="0"/>
        <v>2</v>
      </c>
      <c r="F35">
        <v>100</v>
      </c>
      <c r="G35" t="s">
        <v>21</v>
      </c>
      <c r="H35" t="s">
        <v>22</v>
      </c>
      <c r="I35" t="s">
        <v>23</v>
      </c>
      <c r="J35" t="s">
        <v>24</v>
      </c>
      <c r="K35">
        <v>37.4146</v>
      </c>
      <c r="L35">
        <v>55.972599000000002</v>
      </c>
      <c r="M35" s="18">
        <v>733</v>
      </c>
      <c r="N35" t="s">
        <v>25</v>
      </c>
      <c r="O35">
        <v>12</v>
      </c>
      <c r="P35">
        <v>118</v>
      </c>
      <c r="Q35">
        <v>10</v>
      </c>
      <c r="R35">
        <v>366000</v>
      </c>
      <c r="S35">
        <v>96</v>
      </c>
      <c r="T35">
        <v>1178400</v>
      </c>
      <c r="U35" s="15">
        <v>1544400</v>
      </c>
      <c r="V35" s="16">
        <f>Q35*Доп.Информация!$B$7 + S35*Доп.Информация!$B$8</f>
        <v>68091.830400000006</v>
      </c>
      <c r="W35" s="15">
        <f>(VLOOKUP('Результат запроса'!$M35,Доп.Информация!$A$14:$B$15,2,0)/1000) * (F35/60) * Доп.Информация!$B$20</f>
        <v>247118.4</v>
      </c>
      <c r="X35">
        <f>Доп.Информация!$B$11</f>
        <v>582.97800000000007</v>
      </c>
      <c r="Y35" s="15">
        <f>Доп.Информация!$B$27</f>
        <v>63333.333333333336</v>
      </c>
      <c r="Z35" s="16">
        <f t="shared" si="1"/>
        <v>1165273.4582666666</v>
      </c>
    </row>
    <row r="36" spans="1:26" x14ac:dyDescent="0.25">
      <c r="A36">
        <v>136322</v>
      </c>
      <c r="B36" t="s">
        <v>20</v>
      </c>
      <c r="C36" s="1">
        <v>42772.424305555556</v>
      </c>
      <c r="D36" s="1">
        <v>42772.494444444441</v>
      </c>
      <c r="E36" s="17">
        <f t="shared" si="0"/>
        <v>2</v>
      </c>
      <c r="F36">
        <v>101</v>
      </c>
      <c r="G36" t="s">
        <v>21</v>
      </c>
      <c r="H36" t="s">
        <v>22</v>
      </c>
      <c r="I36" t="s">
        <v>23</v>
      </c>
      <c r="J36" t="s">
        <v>24</v>
      </c>
      <c r="K36">
        <v>37.4146</v>
      </c>
      <c r="L36">
        <v>55.972599000000002</v>
      </c>
      <c r="M36" s="18">
        <v>733</v>
      </c>
      <c r="N36" t="s">
        <v>25</v>
      </c>
      <c r="O36">
        <v>12</v>
      </c>
      <c r="P36">
        <v>118</v>
      </c>
      <c r="Q36">
        <v>10</v>
      </c>
      <c r="R36">
        <v>366000</v>
      </c>
      <c r="S36">
        <v>98</v>
      </c>
      <c r="T36">
        <v>1201600</v>
      </c>
      <c r="U36" s="15">
        <v>1567600</v>
      </c>
      <c r="V36" s="16">
        <f>Q36*Доп.Информация!$B$7 + S36*Доп.Информация!$B$8</f>
        <v>69024.595200000011</v>
      </c>
      <c r="W36" s="15">
        <f>(VLOOKUP('Результат запроса'!$M36,Доп.Информация!$A$14:$B$15,2,0)/1000) * (F36/60) * Доп.Информация!$B$20</f>
        <v>249589.584</v>
      </c>
      <c r="X36">
        <f>Доп.Информация!$B$11</f>
        <v>582.97800000000007</v>
      </c>
      <c r="Y36" s="15">
        <f>Доп.Информация!$B$27</f>
        <v>63333.333333333336</v>
      </c>
      <c r="Z36" s="16">
        <f t="shared" si="1"/>
        <v>1185069.5094666667</v>
      </c>
    </row>
    <row r="37" spans="1:26" x14ac:dyDescent="0.25">
      <c r="A37">
        <v>136345</v>
      </c>
      <c r="B37" t="s">
        <v>20</v>
      </c>
      <c r="C37" s="1">
        <v>42759.563888888886</v>
      </c>
      <c r="D37" s="1">
        <v>42759.633333333331</v>
      </c>
      <c r="E37" s="17">
        <f t="shared" si="0"/>
        <v>1</v>
      </c>
      <c r="F37">
        <v>100</v>
      </c>
      <c r="G37" t="s">
        <v>21</v>
      </c>
      <c r="H37" t="s">
        <v>22</v>
      </c>
      <c r="I37" t="s">
        <v>23</v>
      </c>
      <c r="J37" t="s">
        <v>24</v>
      </c>
      <c r="K37">
        <v>37.4146</v>
      </c>
      <c r="L37">
        <v>55.972599000000002</v>
      </c>
      <c r="M37" s="18">
        <v>733</v>
      </c>
      <c r="N37" t="s">
        <v>25</v>
      </c>
      <c r="O37">
        <v>12</v>
      </c>
      <c r="P37">
        <v>118</v>
      </c>
      <c r="Q37">
        <v>8</v>
      </c>
      <c r="R37">
        <v>292800</v>
      </c>
      <c r="S37">
        <v>100</v>
      </c>
      <c r="T37">
        <v>1224800</v>
      </c>
      <c r="U37" s="15">
        <v>1517600</v>
      </c>
      <c r="V37" s="16">
        <f>Q37*Доп.Информация!$B$7 + S37*Доп.Информация!$B$8</f>
        <v>65293.536000000007</v>
      </c>
      <c r="W37" s="15">
        <f>(VLOOKUP('Результат запроса'!$M37,Доп.Информация!$A$14:$B$15,2,0)/1000) * (F37/60) * Доп.Информация!$B$20</f>
        <v>247118.4</v>
      </c>
      <c r="X37">
        <f>Доп.Информация!$B$11</f>
        <v>582.97800000000007</v>
      </c>
      <c r="Y37" s="15">
        <f>Доп.Информация!$B$27</f>
        <v>63333.333333333336</v>
      </c>
      <c r="Z37" s="16">
        <f t="shared" si="1"/>
        <v>1141271.7526666666</v>
      </c>
    </row>
    <row r="38" spans="1:26" x14ac:dyDescent="0.25">
      <c r="A38">
        <v>136348</v>
      </c>
      <c r="B38" t="s">
        <v>20</v>
      </c>
      <c r="C38" s="1">
        <v>42776.420138888891</v>
      </c>
      <c r="D38" s="1">
        <v>42776.489583333336</v>
      </c>
      <c r="E38" s="17">
        <f t="shared" si="0"/>
        <v>2</v>
      </c>
      <c r="F38">
        <v>100</v>
      </c>
      <c r="G38" t="s">
        <v>21</v>
      </c>
      <c r="H38" t="s">
        <v>22</v>
      </c>
      <c r="I38" t="s">
        <v>23</v>
      </c>
      <c r="J38" t="s">
        <v>24</v>
      </c>
      <c r="K38">
        <v>37.4146</v>
      </c>
      <c r="L38">
        <v>55.972599000000002</v>
      </c>
      <c r="M38" s="18">
        <v>733</v>
      </c>
      <c r="N38" t="s">
        <v>25</v>
      </c>
      <c r="O38">
        <v>12</v>
      </c>
      <c r="P38">
        <v>118</v>
      </c>
      <c r="Q38">
        <v>12</v>
      </c>
      <c r="R38">
        <v>439200</v>
      </c>
      <c r="S38">
        <v>108</v>
      </c>
      <c r="T38">
        <v>1323600</v>
      </c>
      <c r="U38" s="15">
        <v>1762800</v>
      </c>
      <c r="V38" s="16">
        <f>Q38*Доп.Информация!$B$7 + S38*Доп.Информация!$B$8</f>
        <v>78352.243199999997</v>
      </c>
      <c r="W38" s="15">
        <f>(VLOOKUP('Результат запроса'!$M38,Доп.Информация!$A$14:$B$15,2,0)/1000) * (F38/60) * Доп.Информация!$B$20</f>
        <v>247118.4</v>
      </c>
      <c r="X38">
        <f>Доп.Информация!$B$11</f>
        <v>582.97800000000007</v>
      </c>
      <c r="Y38" s="15">
        <f>Доп.Информация!$B$27</f>
        <v>63333.333333333336</v>
      </c>
      <c r="Z38" s="16">
        <f t="shared" si="1"/>
        <v>1373413.0454666666</v>
      </c>
    </row>
    <row r="39" spans="1:26" x14ac:dyDescent="0.25">
      <c r="A39">
        <v>136351</v>
      </c>
      <c r="B39" t="s">
        <v>20</v>
      </c>
      <c r="C39" s="1">
        <v>42792.425694444442</v>
      </c>
      <c r="D39" s="1">
        <v>42792.495138888888</v>
      </c>
      <c r="E39" s="17">
        <f t="shared" si="0"/>
        <v>2</v>
      </c>
      <c r="F39">
        <v>100</v>
      </c>
      <c r="G39" t="s">
        <v>21</v>
      </c>
      <c r="H39" t="s">
        <v>22</v>
      </c>
      <c r="I39" t="s">
        <v>23</v>
      </c>
      <c r="J39" t="s">
        <v>24</v>
      </c>
      <c r="K39">
        <v>37.4146</v>
      </c>
      <c r="L39">
        <v>55.972599000000002</v>
      </c>
      <c r="M39" s="18">
        <v>733</v>
      </c>
      <c r="N39" t="s">
        <v>25</v>
      </c>
      <c r="O39">
        <v>12</v>
      </c>
      <c r="P39">
        <v>118</v>
      </c>
      <c r="Q39">
        <v>11</v>
      </c>
      <c r="R39">
        <v>402600</v>
      </c>
      <c r="S39">
        <v>94</v>
      </c>
      <c r="T39">
        <v>1152800</v>
      </c>
      <c r="U39" s="15">
        <v>1555400</v>
      </c>
      <c r="V39" s="16">
        <f>Q39*Доп.Информация!$B$7 + S39*Доп.Информация!$B$8</f>
        <v>69490.977599999998</v>
      </c>
      <c r="W39" s="15">
        <f>(VLOOKUP('Результат запроса'!$M39,Доп.Информация!$A$14:$B$15,2,0)/1000) * (F39/60) * Доп.Информация!$B$20</f>
        <v>247118.4</v>
      </c>
      <c r="X39">
        <f>Доп.Информация!$B$11</f>
        <v>582.97800000000007</v>
      </c>
      <c r="Y39" s="15">
        <f>Доп.Информация!$B$27</f>
        <v>63333.333333333336</v>
      </c>
      <c r="Z39" s="16">
        <f t="shared" si="1"/>
        <v>1174874.3110666666</v>
      </c>
    </row>
    <row r="40" spans="1:26" x14ac:dyDescent="0.25">
      <c r="A40">
        <v>136360</v>
      </c>
      <c r="B40" t="s">
        <v>20</v>
      </c>
      <c r="C40" s="1">
        <v>42771.422222222223</v>
      </c>
      <c r="D40" s="1">
        <v>42771.491666666669</v>
      </c>
      <c r="E40" s="17">
        <f t="shared" si="0"/>
        <v>2</v>
      </c>
      <c r="F40">
        <v>100</v>
      </c>
      <c r="G40" t="s">
        <v>21</v>
      </c>
      <c r="H40" t="s">
        <v>22</v>
      </c>
      <c r="I40" t="s">
        <v>23</v>
      </c>
      <c r="J40" t="s">
        <v>24</v>
      </c>
      <c r="K40">
        <v>37.4146</v>
      </c>
      <c r="L40">
        <v>55.972599000000002</v>
      </c>
      <c r="M40" s="18">
        <v>733</v>
      </c>
      <c r="N40" t="s">
        <v>25</v>
      </c>
      <c r="O40">
        <v>12</v>
      </c>
      <c r="P40">
        <v>118</v>
      </c>
      <c r="Q40">
        <v>11</v>
      </c>
      <c r="R40">
        <v>402600</v>
      </c>
      <c r="S40">
        <v>86</v>
      </c>
      <c r="T40">
        <v>1052800</v>
      </c>
      <c r="U40" s="15">
        <v>1455400</v>
      </c>
      <c r="V40" s="16">
        <f>Q40*Доп.Информация!$B$7 + S40*Доп.Информация!$B$8</f>
        <v>65759.91840000001</v>
      </c>
      <c r="W40" s="15">
        <f>(VLOOKUP('Результат запроса'!$M40,Доп.Информация!$A$14:$B$15,2,0)/1000) * (F40/60) * Доп.Информация!$B$20</f>
        <v>247118.4</v>
      </c>
      <c r="X40">
        <f>Доп.Информация!$B$11</f>
        <v>582.97800000000007</v>
      </c>
      <c r="Y40" s="15">
        <f>Доп.Информация!$B$27</f>
        <v>63333.333333333336</v>
      </c>
      <c r="Z40" s="16">
        <f t="shared" si="1"/>
        <v>1078605.3702666666</v>
      </c>
    </row>
    <row r="41" spans="1:26" x14ac:dyDescent="0.25">
      <c r="A41">
        <v>136366</v>
      </c>
      <c r="B41" t="s">
        <v>20</v>
      </c>
      <c r="C41" s="1">
        <v>42746.422222222223</v>
      </c>
      <c r="D41" s="1">
        <v>42746.490972222222</v>
      </c>
      <c r="E41" s="17">
        <f t="shared" si="0"/>
        <v>1</v>
      </c>
      <c r="F41">
        <v>99</v>
      </c>
      <c r="G41" t="s">
        <v>21</v>
      </c>
      <c r="H41" t="s">
        <v>22</v>
      </c>
      <c r="I41" t="s">
        <v>23</v>
      </c>
      <c r="J41" t="s">
        <v>24</v>
      </c>
      <c r="K41">
        <v>37.4146</v>
      </c>
      <c r="L41">
        <v>55.972599000000002</v>
      </c>
      <c r="M41" s="18">
        <v>733</v>
      </c>
      <c r="N41" t="s">
        <v>25</v>
      </c>
      <c r="O41">
        <v>12</v>
      </c>
      <c r="P41">
        <v>118</v>
      </c>
      <c r="Q41">
        <v>11</v>
      </c>
      <c r="R41">
        <v>402600</v>
      </c>
      <c r="S41">
        <v>92</v>
      </c>
      <c r="T41">
        <v>1124800</v>
      </c>
      <c r="U41" s="15">
        <v>1527400</v>
      </c>
      <c r="V41" s="16">
        <f>Q41*Доп.Информация!$B$7 + S41*Доп.Информация!$B$8</f>
        <v>68558.212800000008</v>
      </c>
      <c r="W41" s="15">
        <f>(VLOOKUP('Результат запроса'!$M41,Доп.Информация!$A$14:$B$15,2,0)/1000) * (F41/60) * Доп.Информация!$B$20</f>
        <v>244647.21599999996</v>
      </c>
      <c r="X41">
        <f>Доп.Информация!$B$11</f>
        <v>582.97800000000007</v>
      </c>
      <c r="Y41" s="15">
        <f>Доп.Информация!$B$27</f>
        <v>63333.333333333336</v>
      </c>
      <c r="Z41" s="16">
        <f t="shared" si="1"/>
        <v>1150278.2598666667</v>
      </c>
    </row>
    <row r="42" spans="1:26" x14ac:dyDescent="0.25">
      <c r="A42">
        <v>136383</v>
      </c>
      <c r="B42" t="s">
        <v>20</v>
      </c>
      <c r="C42" s="1">
        <v>42760.42291666667</v>
      </c>
      <c r="D42" s="1">
        <v>42760.493750000001</v>
      </c>
      <c r="E42" s="17">
        <f t="shared" si="0"/>
        <v>1</v>
      </c>
      <c r="F42">
        <v>102</v>
      </c>
      <c r="G42" t="s">
        <v>21</v>
      </c>
      <c r="H42" t="s">
        <v>22</v>
      </c>
      <c r="I42" t="s">
        <v>23</v>
      </c>
      <c r="J42" t="s">
        <v>24</v>
      </c>
      <c r="K42">
        <v>37.4146</v>
      </c>
      <c r="L42">
        <v>55.972599000000002</v>
      </c>
      <c r="M42" s="18">
        <v>733</v>
      </c>
      <c r="N42" t="s">
        <v>25</v>
      </c>
      <c r="O42">
        <v>12</v>
      </c>
      <c r="P42">
        <v>118</v>
      </c>
      <c r="Q42">
        <v>8</v>
      </c>
      <c r="R42">
        <v>292800</v>
      </c>
      <c r="S42">
        <v>98</v>
      </c>
      <c r="T42">
        <v>1200400</v>
      </c>
      <c r="U42" s="15">
        <v>1493200</v>
      </c>
      <c r="V42" s="16">
        <f>Q42*Доп.Информация!$B$7 + S42*Доп.Информация!$B$8</f>
        <v>64360.771200000003</v>
      </c>
      <c r="W42" s="15">
        <f>(VLOOKUP('Результат запроса'!$M42,Доп.Информация!$A$14:$B$15,2,0)/1000) * (F42/60) * Доп.Информация!$B$20</f>
        <v>252060.76800000001</v>
      </c>
      <c r="X42">
        <f>Доп.Информация!$B$11</f>
        <v>582.97800000000007</v>
      </c>
      <c r="Y42" s="15">
        <f>Доп.Информация!$B$27</f>
        <v>63333.333333333336</v>
      </c>
      <c r="Z42" s="16">
        <f t="shared" si="1"/>
        <v>1112862.1494666666</v>
      </c>
    </row>
    <row r="43" spans="1:26" x14ac:dyDescent="0.25">
      <c r="A43">
        <v>136387</v>
      </c>
      <c r="B43" t="s">
        <v>20</v>
      </c>
      <c r="C43" s="1">
        <v>42754.422222222223</v>
      </c>
      <c r="D43" s="1">
        <v>42754.490972222222</v>
      </c>
      <c r="E43" s="17">
        <f t="shared" si="0"/>
        <v>1</v>
      </c>
      <c r="F43">
        <v>99</v>
      </c>
      <c r="G43" t="s">
        <v>21</v>
      </c>
      <c r="H43" t="s">
        <v>22</v>
      </c>
      <c r="I43" t="s">
        <v>23</v>
      </c>
      <c r="J43" t="s">
        <v>24</v>
      </c>
      <c r="K43">
        <v>37.4146</v>
      </c>
      <c r="L43">
        <v>55.972599000000002</v>
      </c>
      <c r="M43" s="18">
        <v>733</v>
      </c>
      <c r="N43" t="s">
        <v>25</v>
      </c>
      <c r="O43">
        <v>12</v>
      </c>
      <c r="P43">
        <v>118</v>
      </c>
      <c r="Q43">
        <v>12</v>
      </c>
      <c r="R43">
        <v>439200</v>
      </c>
      <c r="S43">
        <v>109</v>
      </c>
      <c r="T43">
        <v>1335800</v>
      </c>
      <c r="U43" s="15">
        <v>1775000</v>
      </c>
      <c r="V43" s="16">
        <f>Q43*Доп.Информация!$B$7 + S43*Доп.Информация!$B$8</f>
        <v>78818.625599999999</v>
      </c>
      <c r="W43" s="15">
        <f>(VLOOKUP('Результат запроса'!$M43,Доп.Информация!$A$14:$B$15,2,0)/1000) * (F43/60) * Доп.Информация!$B$20</f>
        <v>244647.21599999996</v>
      </c>
      <c r="X43">
        <f>Доп.Информация!$B$11</f>
        <v>582.97800000000007</v>
      </c>
      <c r="Y43" s="15">
        <f>Доп.Информация!$B$27</f>
        <v>63333.333333333336</v>
      </c>
      <c r="Z43" s="16">
        <f t="shared" si="1"/>
        <v>1387617.8470666667</v>
      </c>
    </row>
    <row r="44" spans="1:26" x14ac:dyDescent="0.25">
      <c r="A44">
        <v>136389</v>
      </c>
      <c r="B44" t="s">
        <v>20</v>
      </c>
      <c r="C44" s="1">
        <v>42753.423611111109</v>
      </c>
      <c r="D44" s="1">
        <v>42753.493055555555</v>
      </c>
      <c r="E44" s="17">
        <f t="shared" si="0"/>
        <v>1</v>
      </c>
      <c r="F44">
        <v>100</v>
      </c>
      <c r="G44" t="s">
        <v>21</v>
      </c>
      <c r="H44" t="s">
        <v>22</v>
      </c>
      <c r="I44" t="s">
        <v>23</v>
      </c>
      <c r="J44" t="s">
        <v>24</v>
      </c>
      <c r="K44">
        <v>37.4146</v>
      </c>
      <c r="L44">
        <v>55.972599000000002</v>
      </c>
      <c r="M44" s="18">
        <v>733</v>
      </c>
      <c r="N44" t="s">
        <v>25</v>
      </c>
      <c r="O44">
        <v>12</v>
      </c>
      <c r="P44">
        <v>118</v>
      </c>
      <c r="Q44">
        <v>12</v>
      </c>
      <c r="R44">
        <v>439200</v>
      </c>
      <c r="S44">
        <v>117</v>
      </c>
      <c r="T44">
        <v>1434600</v>
      </c>
      <c r="U44" s="15">
        <v>1873800</v>
      </c>
      <c r="V44" s="16">
        <f>Q44*Доп.Информация!$B$7 + S44*Доп.Информация!$B$8</f>
        <v>82549.684800000003</v>
      </c>
      <c r="W44" s="15">
        <f>(VLOOKUP('Результат запроса'!$M44,Доп.Информация!$A$14:$B$15,2,0)/1000) * (F44/60) * Доп.Информация!$B$20</f>
        <v>247118.4</v>
      </c>
      <c r="X44">
        <f>Доп.Информация!$B$11</f>
        <v>582.97800000000007</v>
      </c>
      <c r="Y44" s="15">
        <f>Доп.Информация!$B$27</f>
        <v>63333.333333333336</v>
      </c>
      <c r="Z44" s="16">
        <f t="shared" si="1"/>
        <v>1480215.6038666666</v>
      </c>
    </row>
    <row r="45" spans="1:26" x14ac:dyDescent="0.25">
      <c r="A45">
        <v>136403</v>
      </c>
      <c r="B45" t="s">
        <v>20</v>
      </c>
      <c r="C45" s="1">
        <v>42786.42083333333</v>
      </c>
      <c r="D45" s="1">
        <v>42786.490277777775</v>
      </c>
      <c r="E45" s="17">
        <f t="shared" si="0"/>
        <v>2</v>
      </c>
      <c r="F45">
        <v>100</v>
      </c>
      <c r="G45" t="s">
        <v>21</v>
      </c>
      <c r="H45" t="s">
        <v>22</v>
      </c>
      <c r="I45" t="s">
        <v>23</v>
      </c>
      <c r="J45" t="s">
        <v>24</v>
      </c>
      <c r="K45">
        <v>37.4146</v>
      </c>
      <c r="L45">
        <v>55.972599000000002</v>
      </c>
      <c r="M45" s="18">
        <v>733</v>
      </c>
      <c r="N45" t="s">
        <v>25</v>
      </c>
      <c r="O45">
        <v>12</v>
      </c>
      <c r="P45">
        <v>118</v>
      </c>
      <c r="Q45">
        <v>12</v>
      </c>
      <c r="R45">
        <v>439200</v>
      </c>
      <c r="S45">
        <v>117</v>
      </c>
      <c r="T45">
        <v>1434600</v>
      </c>
      <c r="U45" s="15">
        <v>1873800</v>
      </c>
      <c r="V45" s="16">
        <f>Q45*Доп.Информация!$B$7 + S45*Доп.Информация!$B$8</f>
        <v>82549.684800000003</v>
      </c>
      <c r="W45" s="15">
        <f>(VLOOKUP('Результат запроса'!$M45,Доп.Информация!$A$14:$B$15,2,0)/1000) * (F45/60) * Доп.Информация!$B$20</f>
        <v>247118.4</v>
      </c>
      <c r="X45">
        <f>Доп.Информация!$B$11</f>
        <v>582.97800000000007</v>
      </c>
      <c r="Y45" s="15">
        <f>Доп.Информация!$B$27</f>
        <v>63333.333333333336</v>
      </c>
      <c r="Z45" s="16">
        <f t="shared" si="1"/>
        <v>1480215.6038666666</v>
      </c>
    </row>
    <row r="46" spans="1:26" x14ac:dyDescent="0.25">
      <c r="A46">
        <v>136411</v>
      </c>
      <c r="B46" t="s">
        <v>20</v>
      </c>
      <c r="C46" s="1">
        <v>42770.42083333333</v>
      </c>
      <c r="D46" s="1">
        <v>42770.490277777775</v>
      </c>
      <c r="E46" s="17">
        <f t="shared" si="0"/>
        <v>2</v>
      </c>
      <c r="F46">
        <v>100</v>
      </c>
      <c r="G46" t="s">
        <v>21</v>
      </c>
      <c r="H46" t="s">
        <v>22</v>
      </c>
      <c r="I46" t="s">
        <v>23</v>
      </c>
      <c r="J46" t="s">
        <v>24</v>
      </c>
      <c r="K46">
        <v>37.4146</v>
      </c>
      <c r="L46">
        <v>55.972599000000002</v>
      </c>
      <c r="M46" s="18">
        <v>733</v>
      </c>
      <c r="N46" t="s">
        <v>25</v>
      </c>
      <c r="O46">
        <v>12</v>
      </c>
      <c r="P46">
        <v>118</v>
      </c>
      <c r="Q46">
        <v>10</v>
      </c>
      <c r="R46">
        <v>366000</v>
      </c>
      <c r="S46">
        <v>100</v>
      </c>
      <c r="T46">
        <v>1224800</v>
      </c>
      <c r="U46" s="15">
        <v>1590800</v>
      </c>
      <c r="V46" s="16">
        <f>Q46*Доп.Информация!$B$7 + S46*Доп.Информация!$B$8</f>
        <v>69957.360000000015</v>
      </c>
      <c r="W46" s="15">
        <f>(VLOOKUP('Результат запроса'!$M46,Доп.Информация!$A$14:$B$15,2,0)/1000) * (F46/60) * Доп.Информация!$B$20</f>
        <v>247118.4</v>
      </c>
      <c r="X46">
        <f>Доп.Информация!$B$11</f>
        <v>582.97800000000007</v>
      </c>
      <c r="Y46" s="15">
        <f>Доп.Информация!$B$27</f>
        <v>63333.333333333336</v>
      </c>
      <c r="Z46" s="16">
        <f t="shared" si="1"/>
        <v>1209807.9286666666</v>
      </c>
    </row>
    <row r="47" spans="1:26" x14ac:dyDescent="0.25">
      <c r="A47">
        <v>136420</v>
      </c>
      <c r="B47" t="s">
        <v>20</v>
      </c>
      <c r="C47" s="1">
        <v>42736.42291666667</v>
      </c>
      <c r="D47" s="1">
        <v>42736.490972222222</v>
      </c>
      <c r="E47" s="17">
        <f t="shared" si="0"/>
        <v>1</v>
      </c>
      <c r="F47">
        <v>98</v>
      </c>
      <c r="G47" t="s">
        <v>21</v>
      </c>
      <c r="H47" t="s">
        <v>22</v>
      </c>
      <c r="I47" t="s">
        <v>23</v>
      </c>
      <c r="J47" t="s">
        <v>24</v>
      </c>
      <c r="K47">
        <v>37.4146</v>
      </c>
      <c r="L47">
        <v>55.972599000000002</v>
      </c>
      <c r="M47" s="18">
        <v>733</v>
      </c>
      <c r="N47" t="s">
        <v>25</v>
      </c>
      <c r="O47">
        <v>12</v>
      </c>
      <c r="P47">
        <v>118</v>
      </c>
      <c r="Q47">
        <v>11</v>
      </c>
      <c r="R47">
        <v>402600</v>
      </c>
      <c r="S47">
        <v>93</v>
      </c>
      <c r="T47">
        <v>1139400</v>
      </c>
      <c r="U47" s="15">
        <v>1542000</v>
      </c>
      <c r="V47" s="16">
        <f>Q47*Доп.Информация!$B$7 + S47*Доп.Информация!$B$8</f>
        <v>69024.595200000011</v>
      </c>
      <c r="W47" s="15">
        <f>(VLOOKUP('Результат запроса'!$M47,Доп.Информация!$A$14:$B$15,2,0)/1000) * (F47/60) * Доп.Информация!$B$20</f>
        <v>242176.03199999998</v>
      </c>
      <c r="X47">
        <f>Доп.Информация!$B$11</f>
        <v>582.97800000000007</v>
      </c>
      <c r="Y47" s="15">
        <f>Доп.Информация!$B$27</f>
        <v>63333.333333333336</v>
      </c>
      <c r="Z47" s="16">
        <f t="shared" si="1"/>
        <v>1166883.0614666666</v>
      </c>
    </row>
    <row r="48" spans="1:26" x14ac:dyDescent="0.25">
      <c r="A48">
        <v>136423</v>
      </c>
      <c r="B48" t="s">
        <v>20</v>
      </c>
      <c r="C48" s="1">
        <v>42745.425000000003</v>
      </c>
      <c r="D48" s="1">
        <v>42745.494444444441</v>
      </c>
      <c r="E48" s="17">
        <f t="shared" si="0"/>
        <v>1</v>
      </c>
      <c r="F48">
        <v>100</v>
      </c>
      <c r="G48" t="s">
        <v>21</v>
      </c>
      <c r="H48" t="s">
        <v>22</v>
      </c>
      <c r="I48" t="s">
        <v>23</v>
      </c>
      <c r="J48" t="s">
        <v>24</v>
      </c>
      <c r="K48">
        <v>37.4146</v>
      </c>
      <c r="L48">
        <v>55.972599000000002</v>
      </c>
      <c r="M48" s="18">
        <v>733</v>
      </c>
      <c r="N48" t="s">
        <v>25</v>
      </c>
      <c r="O48">
        <v>12</v>
      </c>
      <c r="P48">
        <v>118</v>
      </c>
      <c r="Q48">
        <v>11</v>
      </c>
      <c r="R48">
        <v>402600</v>
      </c>
      <c r="S48">
        <v>118</v>
      </c>
      <c r="T48">
        <v>1446800</v>
      </c>
      <c r="U48" s="15">
        <v>1849400</v>
      </c>
      <c r="V48" s="16">
        <f>Q48*Доп.Информация!$B$7 + S48*Доп.Информация!$B$8</f>
        <v>80684.155200000008</v>
      </c>
      <c r="W48" s="15">
        <f>(VLOOKUP('Результат запроса'!$M48,Доп.Информация!$A$14:$B$15,2,0)/1000) * (F48/60) * Доп.Информация!$B$20</f>
        <v>247118.4</v>
      </c>
      <c r="X48">
        <f>Доп.Информация!$B$11</f>
        <v>582.97800000000007</v>
      </c>
      <c r="Y48" s="15">
        <f>Доп.Информация!$B$27</f>
        <v>63333.333333333336</v>
      </c>
      <c r="Z48" s="16">
        <f t="shared" si="1"/>
        <v>1457681.1334666666</v>
      </c>
    </row>
    <row r="49" spans="1:26" x14ac:dyDescent="0.25">
      <c r="A49">
        <v>136428</v>
      </c>
      <c r="B49" t="s">
        <v>20</v>
      </c>
      <c r="C49" s="1">
        <v>42756.422222222223</v>
      </c>
      <c r="D49" s="1">
        <v>42756.490972222222</v>
      </c>
      <c r="E49" s="17">
        <f t="shared" si="0"/>
        <v>1</v>
      </c>
      <c r="F49">
        <v>99</v>
      </c>
      <c r="G49" t="s">
        <v>21</v>
      </c>
      <c r="H49" t="s">
        <v>22</v>
      </c>
      <c r="I49" t="s">
        <v>23</v>
      </c>
      <c r="J49" t="s">
        <v>24</v>
      </c>
      <c r="K49">
        <v>37.4146</v>
      </c>
      <c r="L49">
        <v>55.972599000000002</v>
      </c>
      <c r="M49" s="18">
        <v>733</v>
      </c>
      <c r="N49" t="s">
        <v>25</v>
      </c>
      <c r="O49">
        <v>12</v>
      </c>
      <c r="P49">
        <v>118</v>
      </c>
      <c r="Q49">
        <v>11</v>
      </c>
      <c r="R49">
        <v>402600</v>
      </c>
      <c r="S49">
        <v>104</v>
      </c>
      <c r="T49">
        <v>1276000</v>
      </c>
      <c r="U49" s="15">
        <v>1678600</v>
      </c>
      <c r="V49" s="16">
        <f>Q49*Доп.Информация!$B$7 + S49*Доп.Информация!$B$8</f>
        <v>74154.801600000006</v>
      </c>
      <c r="W49" s="15">
        <f>(VLOOKUP('Результат запроса'!$M49,Доп.Информация!$A$14:$B$15,2,0)/1000) * (F49/60) * Доп.Информация!$B$20</f>
        <v>244647.21599999996</v>
      </c>
      <c r="X49">
        <f>Доп.Информация!$B$11</f>
        <v>582.97800000000007</v>
      </c>
      <c r="Y49" s="15">
        <f>Доп.Информация!$B$27</f>
        <v>63333.333333333336</v>
      </c>
      <c r="Z49" s="16">
        <f t="shared" si="1"/>
        <v>1295881.6710666667</v>
      </c>
    </row>
    <row r="50" spans="1:26" x14ac:dyDescent="0.25">
      <c r="A50">
        <v>136436</v>
      </c>
      <c r="B50" t="s">
        <v>20</v>
      </c>
      <c r="C50" s="1">
        <v>42761.422222222223</v>
      </c>
      <c r="D50" s="1">
        <v>42761.490972222222</v>
      </c>
      <c r="E50" s="17">
        <f t="shared" si="0"/>
        <v>1</v>
      </c>
      <c r="F50">
        <v>99</v>
      </c>
      <c r="G50" t="s">
        <v>21</v>
      </c>
      <c r="H50" t="s">
        <v>22</v>
      </c>
      <c r="I50" t="s">
        <v>23</v>
      </c>
      <c r="J50" t="s">
        <v>24</v>
      </c>
      <c r="K50">
        <v>37.4146</v>
      </c>
      <c r="L50">
        <v>55.972599000000002</v>
      </c>
      <c r="M50" s="18">
        <v>733</v>
      </c>
      <c r="N50" t="s">
        <v>25</v>
      </c>
      <c r="O50">
        <v>12</v>
      </c>
      <c r="P50">
        <v>118</v>
      </c>
      <c r="Q50">
        <v>12</v>
      </c>
      <c r="R50">
        <v>439200</v>
      </c>
      <c r="S50">
        <v>112</v>
      </c>
      <c r="T50">
        <v>1372400</v>
      </c>
      <c r="U50" s="15">
        <v>1811600</v>
      </c>
      <c r="V50" s="16">
        <f>Q50*Доп.Информация!$B$7 + S50*Доп.Информация!$B$8</f>
        <v>80217.772800000006</v>
      </c>
      <c r="W50" s="15">
        <f>(VLOOKUP('Результат запроса'!$M50,Доп.Информация!$A$14:$B$15,2,0)/1000) * (F50/60) * Доп.Информация!$B$20</f>
        <v>244647.21599999996</v>
      </c>
      <c r="X50">
        <f>Доп.Информация!$B$11</f>
        <v>582.97800000000007</v>
      </c>
      <c r="Y50" s="15">
        <f>Доп.Информация!$B$27</f>
        <v>63333.333333333336</v>
      </c>
      <c r="Z50" s="16">
        <f t="shared" si="1"/>
        <v>1422818.6998666667</v>
      </c>
    </row>
    <row r="51" spans="1:26" x14ac:dyDescent="0.25">
      <c r="A51">
        <v>136439</v>
      </c>
      <c r="B51" t="s">
        <v>20</v>
      </c>
      <c r="C51" s="1">
        <v>42791.422222222223</v>
      </c>
      <c r="D51" s="1">
        <v>42791.491666666669</v>
      </c>
      <c r="E51" s="17">
        <f t="shared" si="0"/>
        <v>2</v>
      </c>
      <c r="F51">
        <v>100</v>
      </c>
      <c r="G51" t="s">
        <v>21</v>
      </c>
      <c r="H51" t="s">
        <v>22</v>
      </c>
      <c r="I51" t="s">
        <v>23</v>
      </c>
      <c r="J51" t="s">
        <v>24</v>
      </c>
      <c r="K51">
        <v>37.4146</v>
      </c>
      <c r="L51">
        <v>55.972599000000002</v>
      </c>
      <c r="M51" s="18">
        <v>733</v>
      </c>
      <c r="N51" t="s">
        <v>25</v>
      </c>
      <c r="O51">
        <v>12</v>
      </c>
      <c r="P51">
        <v>118</v>
      </c>
      <c r="Q51">
        <v>11</v>
      </c>
      <c r="R51">
        <v>402600</v>
      </c>
      <c r="S51">
        <v>106</v>
      </c>
      <c r="T51">
        <v>1299200</v>
      </c>
      <c r="U51" s="15">
        <v>1701800</v>
      </c>
      <c r="V51" s="16">
        <f>Q51*Доп.Информация!$B$7 + S51*Доп.Информация!$B$8</f>
        <v>75087.566400000011</v>
      </c>
      <c r="W51" s="15">
        <f>(VLOOKUP('Результат запроса'!$M51,Доп.Информация!$A$14:$B$15,2,0)/1000) * (F51/60) * Доп.Информация!$B$20</f>
        <v>247118.4</v>
      </c>
      <c r="X51">
        <f>Доп.Информация!$B$11</f>
        <v>582.97800000000007</v>
      </c>
      <c r="Y51" s="15">
        <f>Доп.Информация!$B$27</f>
        <v>63333.333333333336</v>
      </c>
      <c r="Z51" s="16">
        <f t="shared" si="1"/>
        <v>1315677.7222666666</v>
      </c>
    </row>
    <row r="52" spans="1:26" x14ac:dyDescent="0.25">
      <c r="A52">
        <v>136441</v>
      </c>
      <c r="B52" t="s">
        <v>20</v>
      </c>
      <c r="C52" s="1">
        <v>42769.421527777777</v>
      </c>
      <c r="D52" s="1">
        <v>42769.490972222222</v>
      </c>
      <c r="E52" s="17">
        <f t="shared" si="0"/>
        <v>2</v>
      </c>
      <c r="F52">
        <v>100</v>
      </c>
      <c r="G52" t="s">
        <v>21</v>
      </c>
      <c r="H52" t="s">
        <v>22</v>
      </c>
      <c r="I52" t="s">
        <v>23</v>
      </c>
      <c r="J52" t="s">
        <v>24</v>
      </c>
      <c r="K52">
        <v>37.4146</v>
      </c>
      <c r="L52">
        <v>55.972599000000002</v>
      </c>
      <c r="M52" s="18">
        <v>733</v>
      </c>
      <c r="N52" t="s">
        <v>25</v>
      </c>
      <c r="O52">
        <v>12</v>
      </c>
      <c r="P52">
        <v>118</v>
      </c>
      <c r="Q52">
        <v>11</v>
      </c>
      <c r="R52">
        <v>402600</v>
      </c>
      <c r="S52">
        <v>117</v>
      </c>
      <c r="T52">
        <v>1434600</v>
      </c>
      <c r="U52" s="15">
        <v>1837200</v>
      </c>
      <c r="V52" s="16">
        <f>Q52*Доп.Информация!$B$7 + S52*Доп.Информация!$B$8</f>
        <v>80217.772800000006</v>
      </c>
      <c r="W52" s="15">
        <f>(VLOOKUP('Результат запроса'!$M52,Доп.Информация!$A$14:$B$15,2,0)/1000) * (F52/60) * Доп.Информация!$B$20</f>
        <v>247118.4</v>
      </c>
      <c r="X52">
        <f>Доп.Информация!$B$11</f>
        <v>582.97800000000007</v>
      </c>
      <c r="Y52" s="15">
        <f>Доп.Информация!$B$27</f>
        <v>63333.333333333336</v>
      </c>
      <c r="Z52" s="16">
        <f t="shared" si="1"/>
        <v>1445947.5158666666</v>
      </c>
    </row>
    <row r="53" spans="1:26" x14ac:dyDescent="0.25">
      <c r="A53">
        <v>136452</v>
      </c>
      <c r="B53" t="s">
        <v>20</v>
      </c>
      <c r="C53" s="1">
        <v>42783.422222222223</v>
      </c>
      <c r="D53" s="1">
        <v>42783.491666666669</v>
      </c>
      <c r="E53" s="17">
        <f t="shared" si="0"/>
        <v>2</v>
      </c>
      <c r="F53">
        <v>100</v>
      </c>
      <c r="G53" t="s">
        <v>21</v>
      </c>
      <c r="H53" t="s">
        <v>22</v>
      </c>
      <c r="I53" t="s">
        <v>23</v>
      </c>
      <c r="J53" t="s">
        <v>24</v>
      </c>
      <c r="K53">
        <v>37.4146</v>
      </c>
      <c r="L53">
        <v>55.972599000000002</v>
      </c>
      <c r="M53" s="18">
        <v>733</v>
      </c>
      <c r="N53" t="s">
        <v>25</v>
      </c>
      <c r="O53">
        <v>12</v>
      </c>
      <c r="P53">
        <v>118</v>
      </c>
      <c r="Q53">
        <v>11</v>
      </c>
      <c r="R53">
        <v>402600</v>
      </c>
      <c r="S53">
        <v>98</v>
      </c>
      <c r="T53">
        <v>1200400</v>
      </c>
      <c r="U53" s="15">
        <v>1603000</v>
      </c>
      <c r="V53" s="16">
        <f>Q53*Доп.Информация!$B$7 + S53*Доп.Информация!$B$8</f>
        <v>71356.507200000007</v>
      </c>
      <c r="W53" s="15">
        <f>(VLOOKUP('Результат запроса'!$M53,Доп.Информация!$A$14:$B$15,2,0)/1000) * (F53/60) * Доп.Информация!$B$20</f>
        <v>247118.4</v>
      </c>
      <c r="X53">
        <f>Доп.Информация!$B$11</f>
        <v>582.97800000000007</v>
      </c>
      <c r="Y53" s="15">
        <f>Доп.Информация!$B$27</f>
        <v>63333.333333333336</v>
      </c>
      <c r="Z53" s="16">
        <f t="shared" si="1"/>
        <v>1220608.7814666666</v>
      </c>
    </row>
    <row r="54" spans="1:26" x14ac:dyDescent="0.25">
      <c r="A54">
        <v>136458</v>
      </c>
      <c r="B54" t="s">
        <v>20</v>
      </c>
      <c r="C54" s="1">
        <v>42737.421527777777</v>
      </c>
      <c r="D54" s="1">
        <v>42737.490277777775</v>
      </c>
      <c r="E54" s="17">
        <f t="shared" si="0"/>
        <v>1</v>
      </c>
      <c r="F54">
        <v>99</v>
      </c>
      <c r="G54" t="s">
        <v>21</v>
      </c>
      <c r="H54" t="s">
        <v>22</v>
      </c>
      <c r="I54" t="s">
        <v>23</v>
      </c>
      <c r="J54" t="s">
        <v>24</v>
      </c>
      <c r="K54">
        <v>37.4146</v>
      </c>
      <c r="L54">
        <v>55.972599000000002</v>
      </c>
      <c r="M54" s="18">
        <v>733</v>
      </c>
      <c r="N54" t="s">
        <v>25</v>
      </c>
      <c r="O54">
        <v>12</v>
      </c>
      <c r="P54">
        <v>118</v>
      </c>
      <c r="Q54">
        <v>9</v>
      </c>
      <c r="R54">
        <v>329400</v>
      </c>
      <c r="S54">
        <v>101</v>
      </c>
      <c r="T54">
        <v>1239400</v>
      </c>
      <c r="U54" s="15">
        <v>1568800</v>
      </c>
      <c r="V54" s="16">
        <f>Q54*Доп.Информация!$B$7 + S54*Доп.Информация!$B$8</f>
        <v>68091.830400000006</v>
      </c>
      <c r="W54" s="15">
        <f>(VLOOKUP('Результат запроса'!$M54,Доп.Информация!$A$14:$B$15,2,0)/1000) * (F54/60) * Доп.Информация!$B$20</f>
        <v>244647.21599999996</v>
      </c>
      <c r="X54">
        <f>Доп.Информация!$B$11</f>
        <v>582.97800000000007</v>
      </c>
      <c r="Y54" s="15">
        <f>Доп.Информация!$B$27</f>
        <v>63333.333333333336</v>
      </c>
      <c r="Z54" s="16">
        <f t="shared" si="1"/>
        <v>1192144.6422666667</v>
      </c>
    </row>
    <row r="55" spans="1:26" x14ac:dyDescent="0.25">
      <c r="A55">
        <v>136463</v>
      </c>
      <c r="B55" t="s">
        <v>20</v>
      </c>
      <c r="C55" s="1">
        <v>42755.42083333333</v>
      </c>
      <c r="D55" s="1">
        <v>42755.489583333336</v>
      </c>
      <c r="E55" s="17">
        <f t="shared" si="0"/>
        <v>1</v>
      </c>
      <c r="F55">
        <v>99</v>
      </c>
      <c r="G55" t="s">
        <v>21</v>
      </c>
      <c r="H55" t="s">
        <v>22</v>
      </c>
      <c r="I55" t="s">
        <v>23</v>
      </c>
      <c r="J55" t="s">
        <v>24</v>
      </c>
      <c r="K55">
        <v>37.4146</v>
      </c>
      <c r="L55">
        <v>55.972599000000002</v>
      </c>
      <c r="M55" s="18">
        <v>733</v>
      </c>
      <c r="N55" t="s">
        <v>25</v>
      </c>
      <c r="O55">
        <v>12</v>
      </c>
      <c r="P55">
        <v>118</v>
      </c>
      <c r="Q55">
        <v>12</v>
      </c>
      <c r="R55">
        <v>439200</v>
      </c>
      <c r="S55">
        <v>110</v>
      </c>
      <c r="T55">
        <v>1349200</v>
      </c>
      <c r="U55" s="15">
        <v>1788400</v>
      </c>
      <c r="V55" s="16">
        <f>Q55*Доп.Информация!$B$7 + S55*Доп.Информация!$B$8</f>
        <v>79285.008000000002</v>
      </c>
      <c r="W55" s="15">
        <f>(VLOOKUP('Результат запроса'!$M55,Доп.Информация!$A$14:$B$15,2,0)/1000) * (F55/60) * Доп.Информация!$B$20</f>
        <v>244647.21599999996</v>
      </c>
      <c r="X55">
        <f>Доп.Информация!$B$11</f>
        <v>582.97800000000007</v>
      </c>
      <c r="Y55" s="15">
        <f>Доп.Информация!$B$27</f>
        <v>63333.333333333336</v>
      </c>
      <c r="Z55" s="16">
        <f t="shared" si="1"/>
        <v>1400551.4646666667</v>
      </c>
    </row>
    <row r="56" spans="1:26" x14ac:dyDescent="0.25">
      <c r="A56">
        <v>136464</v>
      </c>
      <c r="B56" t="s">
        <v>20</v>
      </c>
      <c r="C56" s="1">
        <v>42744.421527777777</v>
      </c>
      <c r="D56" s="1">
        <v>42744.490972222222</v>
      </c>
      <c r="E56" s="17">
        <f t="shared" si="0"/>
        <v>1</v>
      </c>
      <c r="F56">
        <v>100</v>
      </c>
      <c r="G56" t="s">
        <v>21</v>
      </c>
      <c r="H56" t="s">
        <v>22</v>
      </c>
      <c r="I56" t="s">
        <v>23</v>
      </c>
      <c r="J56" t="s">
        <v>24</v>
      </c>
      <c r="K56">
        <v>37.4146</v>
      </c>
      <c r="L56">
        <v>55.972599000000002</v>
      </c>
      <c r="M56" s="18">
        <v>733</v>
      </c>
      <c r="N56" t="s">
        <v>25</v>
      </c>
      <c r="O56">
        <v>12</v>
      </c>
      <c r="P56">
        <v>118</v>
      </c>
      <c r="Q56">
        <v>7</v>
      </c>
      <c r="R56">
        <v>256200</v>
      </c>
      <c r="S56">
        <v>93</v>
      </c>
      <c r="T56">
        <v>1141800</v>
      </c>
      <c r="U56" s="15">
        <v>1398000</v>
      </c>
      <c r="V56" s="16">
        <f>Q56*Доп.Информация!$B$7 + S56*Доп.Информация!$B$8</f>
        <v>59696.94720000001</v>
      </c>
      <c r="W56" s="15">
        <f>(VLOOKUP('Результат запроса'!$M56,Доп.Информация!$A$14:$B$15,2,0)/1000) * (F56/60) * Доп.Информация!$B$20</f>
        <v>247118.4</v>
      </c>
      <c r="X56">
        <f>Доп.Информация!$B$11</f>
        <v>582.97800000000007</v>
      </c>
      <c r="Y56" s="15">
        <f>Доп.Информация!$B$27</f>
        <v>63333.333333333336</v>
      </c>
      <c r="Z56" s="16">
        <f t="shared" si="1"/>
        <v>1027268.3414666667</v>
      </c>
    </row>
    <row r="57" spans="1:26" x14ac:dyDescent="0.25">
      <c r="A57">
        <v>136471</v>
      </c>
      <c r="B57" t="s">
        <v>20</v>
      </c>
      <c r="C57" s="1">
        <v>42752.424305555556</v>
      </c>
      <c r="D57" s="1">
        <v>42752.493750000001</v>
      </c>
      <c r="E57" s="17">
        <f t="shared" si="0"/>
        <v>1</v>
      </c>
      <c r="F57">
        <v>100</v>
      </c>
      <c r="G57" t="s">
        <v>21</v>
      </c>
      <c r="H57" t="s">
        <v>22</v>
      </c>
      <c r="I57" t="s">
        <v>23</v>
      </c>
      <c r="J57" t="s">
        <v>24</v>
      </c>
      <c r="K57">
        <v>37.4146</v>
      </c>
      <c r="L57">
        <v>55.972599000000002</v>
      </c>
      <c r="M57" s="18">
        <v>733</v>
      </c>
      <c r="N57" t="s">
        <v>25</v>
      </c>
      <c r="O57">
        <v>12</v>
      </c>
      <c r="P57">
        <v>118</v>
      </c>
      <c r="Q57">
        <v>12</v>
      </c>
      <c r="R57">
        <v>439200</v>
      </c>
      <c r="S57">
        <v>108</v>
      </c>
      <c r="T57">
        <v>1323600</v>
      </c>
      <c r="U57" s="15">
        <v>1762800</v>
      </c>
      <c r="V57" s="16">
        <f>Q57*Доп.Информация!$B$7 + S57*Доп.Информация!$B$8</f>
        <v>78352.243199999997</v>
      </c>
      <c r="W57" s="15">
        <f>(VLOOKUP('Результат запроса'!$M57,Доп.Информация!$A$14:$B$15,2,0)/1000) * (F57/60) * Доп.Информация!$B$20</f>
        <v>247118.4</v>
      </c>
      <c r="X57">
        <f>Доп.Информация!$B$11</f>
        <v>582.97800000000007</v>
      </c>
      <c r="Y57" s="15">
        <f>Доп.Информация!$B$27</f>
        <v>63333.333333333336</v>
      </c>
      <c r="Z57" s="16">
        <f t="shared" si="1"/>
        <v>1373413.0454666666</v>
      </c>
    </row>
    <row r="58" spans="1:26" x14ac:dyDescent="0.25">
      <c r="A58">
        <v>136479</v>
      </c>
      <c r="B58" t="s">
        <v>20</v>
      </c>
      <c r="C58" s="1">
        <v>42787.422222222223</v>
      </c>
      <c r="D58" s="1">
        <v>42787.490972222222</v>
      </c>
      <c r="E58" s="17">
        <f t="shared" si="0"/>
        <v>2</v>
      </c>
      <c r="F58">
        <v>99</v>
      </c>
      <c r="G58" t="s">
        <v>21</v>
      </c>
      <c r="H58" t="s">
        <v>22</v>
      </c>
      <c r="I58" t="s">
        <v>23</v>
      </c>
      <c r="J58" t="s">
        <v>24</v>
      </c>
      <c r="K58">
        <v>37.4146</v>
      </c>
      <c r="L58">
        <v>55.972599000000002</v>
      </c>
      <c r="M58" s="18">
        <v>733</v>
      </c>
      <c r="N58" t="s">
        <v>25</v>
      </c>
      <c r="O58">
        <v>12</v>
      </c>
      <c r="P58">
        <v>118</v>
      </c>
      <c r="Q58">
        <v>10</v>
      </c>
      <c r="R58">
        <v>366000</v>
      </c>
      <c r="S58">
        <v>112</v>
      </c>
      <c r="T58">
        <v>1372400</v>
      </c>
      <c r="U58" s="15">
        <v>1738400</v>
      </c>
      <c r="V58" s="16">
        <f>Q58*Доп.Информация!$B$7 + S58*Доп.Информация!$B$8</f>
        <v>75553.948800000013</v>
      </c>
      <c r="W58" s="15">
        <f>(VLOOKUP('Результат запроса'!$M58,Доп.Информация!$A$14:$B$15,2,0)/1000) * (F58/60) * Доп.Информация!$B$20</f>
        <v>244647.21599999996</v>
      </c>
      <c r="X58">
        <f>Доп.Информация!$B$11</f>
        <v>582.97800000000007</v>
      </c>
      <c r="Y58" s="15">
        <f>Доп.Информация!$B$27</f>
        <v>63333.333333333336</v>
      </c>
      <c r="Z58" s="16">
        <f t="shared" si="1"/>
        <v>1354282.5238666667</v>
      </c>
    </row>
    <row r="59" spans="1:26" x14ac:dyDescent="0.25">
      <c r="A59">
        <v>136485</v>
      </c>
      <c r="B59" t="s">
        <v>20</v>
      </c>
      <c r="C59" s="1">
        <v>42762.421527777777</v>
      </c>
      <c r="D59" s="1">
        <v>42762.490972222222</v>
      </c>
      <c r="E59" s="17">
        <f t="shared" si="0"/>
        <v>1</v>
      </c>
      <c r="F59">
        <v>100</v>
      </c>
      <c r="G59" t="s">
        <v>21</v>
      </c>
      <c r="H59" t="s">
        <v>22</v>
      </c>
      <c r="I59" t="s">
        <v>23</v>
      </c>
      <c r="J59" t="s">
        <v>24</v>
      </c>
      <c r="K59">
        <v>37.4146</v>
      </c>
      <c r="L59">
        <v>55.972599000000002</v>
      </c>
      <c r="M59" s="18">
        <v>733</v>
      </c>
      <c r="N59" t="s">
        <v>25</v>
      </c>
      <c r="O59">
        <v>12</v>
      </c>
      <c r="P59">
        <v>118</v>
      </c>
      <c r="Q59">
        <v>9</v>
      </c>
      <c r="R59">
        <v>329400</v>
      </c>
      <c r="S59">
        <v>97</v>
      </c>
      <c r="T59">
        <v>1190600</v>
      </c>
      <c r="U59" s="15">
        <v>1520000</v>
      </c>
      <c r="V59" s="16">
        <f>Q59*Доп.Информация!$B$7 + S59*Доп.Информация!$B$8</f>
        <v>66226.300799999997</v>
      </c>
      <c r="W59" s="15">
        <f>(VLOOKUP('Результат запроса'!$M59,Доп.Информация!$A$14:$B$15,2,0)/1000) * (F59/60) * Доп.Информация!$B$20</f>
        <v>247118.4</v>
      </c>
      <c r="X59">
        <f>Доп.Информация!$B$11</f>
        <v>582.97800000000007</v>
      </c>
      <c r="Y59" s="15">
        <f>Доп.Информация!$B$27</f>
        <v>63333.333333333336</v>
      </c>
      <c r="Z59" s="16">
        <f t="shared" si="1"/>
        <v>1142738.9878666666</v>
      </c>
    </row>
    <row r="60" spans="1:26" x14ac:dyDescent="0.25">
      <c r="A60">
        <v>136486</v>
      </c>
      <c r="B60" t="s">
        <v>20</v>
      </c>
      <c r="C60" s="1">
        <v>42768.421527777777</v>
      </c>
      <c r="D60" s="1">
        <v>42768.491666666669</v>
      </c>
      <c r="E60" s="17">
        <f t="shared" si="0"/>
        <v>2</v>
      </c>
      <c r="F60">
        <v>101</v>
      </c>
      <c r="G60" t="s">
        <v>21</v>
      </c>
      <c r="H60" t="s">
        <v>22</v>
      </c>
      <c r="I60" t="s">
        <v>23</v>
      </c>
      <c r="J60" t="s">
        <v>24</v>
      </c>
      <c r="K60">
        <v>37.4146</v>
      </c>
      <c r="L60">
        <v>55.972599000000002</v>
      </c>
      <c r="M60" s="18">
        <v>733</v>
      </c>
      <c r="N60" t="s">
        <v>25</v>
      </c>
      <c r="O60">
        <v>12</v>
      </c>
      <c r="P60">
        <v>118</v>
      </c>
      <c r="Q60">
        <v>8</v>
      </c>
      <c r="R60">
        <v>292800</v>
      </c>
      <c r="S60">
        <v>99</v>
      </c>
      <c r="T60">
        <v>1212600</v>
      </c>
      <c r="U60" s="15">
        <v>1505400</v>
      </c>
      <c r="V60" s="16">
        <f>Q60*Доп.Информация!$B$7 + S60*Доп.Информация!$B$8</f>
        <v>64827.153600000005</v>
      </c>
      <c r="W60" s="15">
        <f>(VLOOKUP('Результат запроса'!$M60,Доп.Информация!$A$14:$B$15,2,0)/1000) * (F60/60) * Доп.Информация!$B$20</f>
        <v>249589.584</v>
      </c>
      <c r="X60">
        <f>Доп.Информация!$B$11</f>
        <v>582.97800000000007</v>
      </c>
      <c r="Y60" s="15">
        <f>Доп.Информация!$B$27</f>
        <v>63333.333333333336</v>
      </c>
      <c r="Z60" s="16">
        <f t="shared" si="1"/>
        <v>1127066.9510666667</v>
      </c>
    </row>
    <row r="61" spans="1:26" x14ac:dyDescent="0.25">
      <c r="A61">
        <v>136571</v>
      </c>
      <c r="B61" t="s">
        <v>26</v>
      </c>
      <c r="C61" s="1">
        <v>42760.394444444442</v>
      </c>
      <c r="D61" s="1">
        <v>42760.429166666669</v>
      </c>
      <c r="E61" s="17">
        <f t="shared" si="0"/>
        <v>1</v>
      </c>
      <c r="F61">
        <v>50</v>
      </c>
      <c r="G61" t="s">
        <v>21</v>
      </c>
      <c r="H61" t="s">
        <v>27</v>
      </c>
      <c r="I61" t="s">
        <v>28</v>
      </c>
      <c r="J61" t="s">
        <v>29</v>
      </c>
      <c r="K61">
        <v>36.590099334716797</v>
      </c>
      <c r="L61">
        <v>50.643798828125</v>
      </c>
      <c r="M61" s="19" t="s">
        <v>30</v>
      </c>
      <c r="N61" t="s">
        <v>31</v>
      </c>
      <c r="O61">
        <v>12</v>
      </c>
      <c r="P61">
        <v>85</v>
      </c>
      <c r="Q61">
        <v>12</v>
      </c>
      <c r="R61">
        <v>226800</v>
      </c>
      <c r="S61">
        <v>83</v>
      </c>
      <c r="T61">
        <v>525900</v>
      </c>
      <c r="U61" s="15">
        <v>752700</v>
      </c>
      <c r="V61" s="16">
        <f>Q61*Доп.Информация!$B$7 + S61*Доп.Информация!$B$8</f>
        <v>66692.683199999999</v>
      </c>
      <c r="W61" s="15">
        <f>(VLOOKUP('Результат запроса'!$M61,Доп.Информация!$A$14:$B$15,2,0)/1000) * (F61/60) * Доп.Информация!$B$20</f>
        <v>87521.1</v>
      </c>
      <c r="X61">
        <f>Доп.Информация!$B$11</f>
        <v>582.97800000000007</v>
      </c>
      <c r="Y61" s="15">
        <f>Доп.Информация!$B$27</f>
        <v>63333.333333333336</v>
      </c>
      <c r="Z61" s="16">
        <f t="shared" si="1"/>
        <v>534569.90546666668</v>
      </c>
    </row>
    <row r="62" spans="1:26" x14ac:dyDescent="0.25">
      <c r="A62">
        <v>136586</v>
      </c>
      <c r="B62" t="s">
        <v>26</v>
      </c>
      <c r="C62" s="1">
        <v>42745.394444444442</v>
      </c>
      <c r="D62" s="1">
        <v>42745.429166666669</v>
      </c>
      <c r="E62" s="17">
        <f t="shared" si="0"/>
        <v>1</v>
      </c>
      <c r="F62">
        <v>50</v>
      </c>
      <c r="G62" t="s">
        <v>21</v>
      </c>
      <c r="H62" t="s">
        <v>27</v>
      </c>
      <c r="I62" t="s">
        <v>28</v>
      </c>
      <c r="J62" t="s">
        <v>29</v>
      </c>
      <c r="K62">
        <v>36.590099334716797</v>
      </c>
      <c r="L62">
        <v>50.643798828125</v>
      </c>
      <c r="M62" s="19" t="s">
        <v>30</v>
      </c>
      <c r="N62" t="s">
        <v>31</v>
      </c>
      <c r="O62">
        <v>12</v>
      </c>
      <c r="P62">
        <v>85</v>
      </c>
      <c r="Q62">
        <v>12</v>
      </c>
      <c r="R62">
        <v>226800</v>
      </c>
      <c r="S62">
        <v>84</v>
      </c>
      <c r="T62">
        <v>532200</v>
      </c>
      <c r="U62" s="15">
        <v>759000</v>
      </c>
      <c r="V62" s="16">
        <f>Q62*Доп.Информация!$B$7 + S62*Доп.Информация!$B$8</f>
        <v>67159.065600000002</v>
      </c>
      <c r="W62" s="15">
        <f>(VLOOKUP('Результат запроса'!$M62,Доп.Информация!$A$14:$B$15,2,0)/1000) * (F62/60) * Доп.Информация!$B$20</f>
        <v>87521.1</v>
      </c>
      <c r="X62">
        <f>Доп.Информация!$B$11</f>
        <v>582.97800000000007</v>
      </c>
      <c r="Y62" s="15">
        <f>Доп.Информация!$B$27</f>
        <v>63333.333333333336</v>
      </c>
      <c r="Z62" s="16">
        <f t="shared" si="1"/>
        <v>540403.52306666668</v>
      </c>
    </row>
    <row r="63" spans="1:26" x14ac:dyDescent="0.25">
      <c r="A63">
        <v>136600</v>
      </c>
      <c r="B63" t="s">
        <v>26</v>
      </c>
      <c r="C63" s="1">
        <v>42774.393055555556</v>
      </c>
      <c r="D63" s="1">
        <v>42774.427777777775</v>
      </c>
      <c r="E63" s="17">
        <f t="shared" si="0"/>
        <v>2</v>
      </c>
      <c r="F63">
        <v>50</v>
      </c>
      <c r="G63" t="s">
        <v>21</v>
      </c>
      <c r="H63" t="s">
        <v>27</v>
      </c>
      <c r="I63" t="s">
        <v>28</v>
      </c>
      <c r="J63" t="s">
        <v>29</v>
      </c>
      <c r="K63">
        <v>36.590099334716797</v>
      </c>
      <c r="L63">
        <v>50.643798828125</v>
      </c>
      <c r="M63" s="19" t="s">
        <v>30</v>
      </c>
      <c r="N63" t="s">
        <v>31</v>
      </c>
      <c r="O63">
        <v>12</v>
      </c>
      <c r="P63">
        <v>85</v>
      </c>
      <c r="Q63">
        <v>12</v>
      </c>
      <c r="R63">
        <v>226800</v>
      </c>
      <c r="S63">
        <v>85</v>
      </c>
      <c r="T63">
        <v>538500</v>
      </c>
      <c r="U63" s="15">
        <v>765300</v>
      </c>
      <c r="V63" s="16">
        <f>Q63*Доп.Информация!$B$7 + S63*Доп.Информация!$B$8</f>
        <v>67625.448000000004</v>
      </c>
      <c r="W63" s="15">
        <f>(VLOOKUP('Результат запроса'!$M63,Доп.Информация!$A$14:$B$15,2,0)/1000) * (F63/60) * Доп.Информация!$B$20</f>
        <v>87521.1</v>
      </c>
      <c r="X63">
        <f>Доп.Информация!$B$11</f>
        <v>582.97800000000007</v>
      </c>
      <c r="Y63" s="15">
        <f>Доп.Информация!$B$27</f>
        <v>63333.333333333336</v>
      </c>
      <c r="Z63" s="16">
        <f t="shared" si="1"/>
        <v>546237.14066666667</v>
      </c>
    </row>
    <row r="64" spans="1:26" x14ac:dyDescent="0.25">
      <c r="A64">
        <v>136605</v>
      </c>
      <c r="B64" t="s">
        <v>26</v>
      </c>
      <c r="C64" s="1">
        <v>42781.394444444442</v>
      </c>
      <c r="D64" s="1">
        <v>42781.429861111108</v>
      </c>
      <c r="E64" s="17">
        <f t="shared" si="0"/>
        <v>2</v>
      </c>
      <c r="F64">
        <v>51</v>
      </c>
      <c r="G64" t="s">
        <v>21</v>
      </c>
      <c r="H64" t="s">
        <v>27</v>
      </c>
      <c r="I64" t="s">
        <v>28</v>
      </c>
      <c r="J64" t="s">
        <v>29</v>
      </c>
      <c r="K64">
        <v>36.590099334716797</v>
      </c>
      <c r="L64">
        <v>50.643798828125</v>
      </c>
      <c r="M64" s="19" t="s">
        <v>30</v>
      </c>
      <c r="N64" t="s">
        <v>31</v>
      </c>
      <c r="O64">
        <v>12</v>
      </c>
      <c r="P64">
        <v>85</v>
      </c>
      <c r="Q64">
        <v>12</v>
      </c>
      <c r="R64">
        <v>226800</v>
      </c>
      <c r="S64">
        <v>85</v>
      </c>
      <c r="T64">
        <v>538500</v>
      </c>
      <c r="U64" s="15">
        <v>765300</v>
      </c>
      <c r="V64" s="16">
        <f>Q64*Доп.Информация!$B$7 + S64*Доп.Информация!$B$8</f>
        <v>67625.448000000004</v>
      </c>
      <c r="W64" s="15">
        <f>(VLOOKUP('Результат запроса'!$M64,Доп.Информация!$A$14:$B$15,2,0)/1000) * (F64/60) * Доп.Информация!$B$20</f>
        <v>89271.521999999983</v>
      </c>
      <c r="X64">
        <f>Доп.Информация!$B$11</f>
        <v>582.97800000000007</v>
      </c>
      <c r="Y64" s="15">
        <f>Доп.Информация!$B$27</f>
        <v>63333.333333333336</v>
      </c>
      <c r="Z64" s="16">
        <f t="shared" si="1"/>
        <v>544486.71866666665</v>
      </c>
    </row>
    <row r="65" spans="1:26" x14ac:dyDescent="0.25">
      <c r="A65">
        <v>136609</v>
      </c>
      <c r="B65" t="s">
        <v>26</v>
      </c>
      <c r="C65" s="1">
        <v>42743.394444444442</v>
      </c>
      <c r="D65" s="1">
        <v>42743.429166666669</v>
      </c>
      <c r="E65" s="17">
        <f t="shared" si="0"/>
        <v>1</v>
      </c>
      <c r="F65">
        <v>50</v>
      </c>
      <c r="G65" t="s">
        <v>21</v>
      </c>
      <c r="H65" t="s">
        <v>27</v>
      </c>
      <c r="I65" t="s">
        <v>28</v>
      </c>
      <c r="J65" t="s">
        <v>29</v>
      </c>
      <c r="K65">
        <v>36.590099334716797</v>
      </c>
      <c r="L65">
        <v>50.643798828125</v>
      </c>
      <c r="M65" s="19" t="s">
        <v>30</v>
      </c>
      <c r="N65" t="s">
        <v>31</v>
      </c>
      <c r="O65">
        <v>12</v>
      </c>
      <c r="P65">
        <v>85</v>
      </c>
      <c r="Q65">
        <v>10</v>
      </c>
      <c r="R65">
        <v>189000</v>
      </c>
      <c r="S65">
        <v>71</v>
      </c>
      <c r="T65">
        <v>450300</v>
      </c>
      <c r="U65" s="15">
        <v>639300</v>
      </c>
      <c r="V65" s="16">
        <f>Q65*Доп.Информация!$B$7 + S65*Доп.Информация!$B$8</f>
        <v>56432.270400000001</v>
      </c>
      <c r="W65" s="15">
        <f>(VLOOKUP('Результат запроса'!$M65,Доп.Информация!$A$14:$B$15,2,0)/1000) * (F65/60) * Доп.Информация!$B$20</f>
        <v>87521.1</v>
      </c>
      <c r="X65">
        <f>Доп.Информация!$B$11</f>
        <v>582.97800000000007</v>
      </c>
      <c r="Y65" s="15">
        <f>Доп.Информация!$B$27</f>
        <v>63333.333333333336</v>
      </c>
      <c r="Z65" s="16">
        <f t="shared" si="1"/>
        <v>431430.31826666661</v>
      </c>
    </row>
    <row r="66" spans="1:26" x14ac:dyDescent="0.25">
      <c r="A66">
        <v>136612</v>
      </c>
      <c r="B66" t="s">
        <v>26</v>
      </c>
      <c r="C66" s="1">
        <v>42787.393750000003</v>
      </c>
      <c r="D66" s="1">
        <v>42787.428472222222</v>
      </c>
      <c r="E66" s="17">
        <f t="shared" si="0"/>
        <v>2</v>
      </c>
      <c r="F66">
        <v>50</v>
      </c>
      <c r="G66" t="s">
        <v>21</v>
      </c>
      <c r="H66" t="s">
        <v>27</v>
      </c>
      <c r="I66" t="s">
        <v>28</v>
      </c>
      <c r="J66" t="s">
        <v>29</v>
      </c>
      <c r="K66">
        <v>36.590099334716797</v>
      </c>
      <c r="L66">
        <v>50.643798828125</v>
      </c>
      <c r="M66" s="19" t="s">
        <v>30</v>
      </c>
      <c r="N66" t="s">
        <v>31</v>
      </c>
      <c r="O66">
        <v>12</v>
      </c>
      <c r="P66">
        <v>85</v>
      </c>
      <c r="Q66">
        <v>12</v>
      </c>
      <c r="R66">
        <v>226800</v>
      </c>
      <c r="S66">
        <v>82</v>
      </c>
      <c r="T66">
        <v>519600</v>
      </c>
      <c r="U66" s="15">
        <v>746400</v>
      </c>
      <c r="V66" s="16">
        <f>Q66*Доп.Информация!$B$7 + S66*Доп.Информация!$B$8</f>
        <v>66226.300799999997</v>
      </c>
      <c r="W66" s="15">
        <f>(VLOOKUP('Результат запроса'!$M66,Доп.Информация!$A$14:$B$15,2,0)/1000) * (F66/60) * Доп.Информация!$B$20</f>
        <v>87521.1</v>
      </c>
      <c r="X66">
        <f>Доп.Информация!$B$11</f>
        <v>582.97800000000007</v>
      </c>
      <c r="Y66" s="15">
        <f>Доп.Информация!$B$27</f>
        <v>63333.333333333336</v>
      </c>
      <c r="Z66" s="16">
        <f t="shared" si="1"/>
        <v>528736.28786666668</v>
      </c>
    </row>
    <row r="67" spans="1:26" x14ac:dyDescent="0.25">
      <c r="A67">
        <v>136620</v>
      </c>
      <c r="B67" t="s">
        <v>26</v>
      </c>
      <c r="C67" s="1">
        <v>42783.395833333336</v>
      </c>
      <c r="D67" s="1">
        <v>42783.429861111108</v>
      </c>
      <c r="E67" s="17">
        <f t="shared" ref="E67:E128" si="2">MONTH(D67)</f>
        <v>2</v>
      </c>
      <c r="F67">
        <v>49</v>
      </c>
      <c r="G67" t="s">
        <v>21</v>
      </c>
      <c r="H67" t="s">
        <v>27</v>
      </c>
      <c r="I67" t="s">
        <v>28</v>
      </c>
      <c r="J67" t="s">
        <v>29</v>
      </c>
      <c r="K67">
        <v>36.590099334716797</v>
      </c>
      <c r="L67">
        <v>50.643798828125</v>
      </c>
      <c r="M67" s="19" t="s">
        <v>30</v>
      </c>
      <c r="N67" t="s">
        <v>31</v>
      </c>
      <c r="O67">
        <v>12</v>
      </c>
      <c r="P67">
        <v>85</v>
      </c>
      <c r="Q67">
        <v>9</v>
      </c>
      <c r="R67">
        <v>170100</v>
      </c>
      <c r="S67">
        <v>70</v>
      </c>
      <c r="T67">
        <v>443400</v>
      </c>
      <c r="U67" s="15">
        <v>613500</v>
      </c>
      <c r="V67" s="16">
        <f>Q67*Доп.Информация!$B$7 + S67*Доп.Информация!$B$8</f>
        <v>53633.976000000002</v>
      </c>
      <c r="W67" s="15">
        <f>(VLOOKUP('Результат запроса'!$M67,Доп.Информация!$A$14:$B$15,2,0)/1000) * (F67/60) * Доп.Информация!$B$20</f>
        <v>85770.677999999985</v>
      </c>
      <c r="X67">
        <f>Доп.Информация!$B$11</f>
        <v>582.97800000000007</v>
      </c>
      <c r="Y67" s="15">
        <f>Доп.Информация!$B$27</f>
        <v>63333.333333333336</v>
      </c>
      <c r="Z67" s="16">
        <f t="shared" ref="Z67:Z128" si="3">U67-SUM(V67:Y67)</f>
        <v>410179.03466666664</v>
      </c>
    </row>
    <row r="68" spans="1:26" x14ac:dyDescent="0.25">
      <c r="A68">
        <v>136630</v>
      </c>
      <c r="B68" t="s">
        <v>26</v>
      </c>
      <c r="C68" s="1">
        <v>42791.397222222222</v>
      </c>
      <c r="D68" s="1">
        <v>42791.431944444441</v>
      </c>
      <c r="E68" s="17">
        <f t="shared" si="2"/>
        <v>2</v>
      </c>
      <c r="F68">
        <v>50</v>
      </c>
      <c r="G68" t="s">
        <v>21</v>
      </c>
      <c r="H68" t="s">
        <v>27</v>
      </c>
      <c r="I68" t="s">
        <v>28</v>
      </c>
      <c r="J68" t="s">
        <v>29</v>
      </c>
      <c r="K68">
        <v>36.590099334716797</v>
      </c>
      <c r="L68">
        <v>50.643798828125</v>
      </c>
      <c r="M68" s="19" t="s">
        <v>30</v>
      </c>
      <c r="N68" t="s">
        <v>31</v>
      </c>
      <c r="O68">
        <v>12</v>
      </c>
      <c r="P68">
        <v>85</v>
      </c>
      <c r="Q68">
        <v>12</v>
      </c>
      <c r="R68">
        <v>226800</v>
      </c>
      <c r="S68">
        <v>82</v>
      </c>
      <c r="T68">
        <v>519600</v>
      </c>
      <c r="U68" s="15">
        <v>746400</v>
      </c>
      <c r="V68" s="16">
        <f>Q68*Доп.Информация!$B$7 + S68*Доп.Информация!$B$8</f>
        <v>66226.300799999997</v>
      </c>
      <c r="W68" s="15">
        <f>(VLOOKUP('Результат запроса'!$M68,Доп.Информация!$A$14:$B$15,2,0)/1000) * (F68/60) * Доп.Информация!$B$20</f>
        <v>87521.1</v>
      </c>
      <c r="X68">
        <f>Доп.Информация!$B$11</f>
        <v>582.97800000000007</v>
      </c>
      <c r="Y68" s="15">
        <f>Доп.Информация!$B$27</f>
        <v>63333.333333333336</v>
      </c>
      <c r="Z68" s="16">
        <f t="shared" si="3"/>
        <v>528736.28786666668</v>
      </c>
    </row>
    <row r="69" spans="1:26" x14ac:dyDescent="0.25">
      <c r="A69">
        <v>136632</v>
      </c>
      <c r="B69" t="s">
        <v>26</v>
      </c>
      <c r="C69" s="1">
        <v>42742.529166666667</v>
      </c>
      <c r="D69" s="1">
        <v>42742.564583333333</v>
      </c>
      <c r="E69" s="17">
        <f t="shared" si="2"/>
        <v>1</v>
      </c>
      <c r="F69">
        <v>51</v>
      </c>
      <c r="G69" t="s">
        <v>21</v>
      </c>
      <c r="H69" t="s">
        <v>27</v>
      </c>
      <c r="I69" t="s">
        <v>28</v>
      </c>
      <c r="J69" t="s">
        <v>29</v>
      </c>
      <c r="K69">
        <v>36.590099334716797</v>
      </c>
      <c r="L69">
        <v>50.643798828125</v>
      </c>
      <c r="M69" s="19" t="s">
        <v>30</v>
      </c>
      <c r="N69" t="s">
        <v>31</v>
      </c>
      <c r="O69">
        <v>12</v>
      </c>
      <c r="P69">
        <v>85</v>
      </c>
      <c r="Q69">
        <v>11</v>
      </c>
      <c r="R69">
        <v>207900</v>
      </c>
      <c r="S69">
        <v>80</v>
      </c>
      <c r="T69">
        <v>506400</v>
      </c>
      <c r="U69" s="15">
        <v>714300</v>
      </c>
      <c r="V69" s="16">
        <f>Q69*Доп.Информация!$B$7 + S69*Доп.Информация!$B$8</f>
        <v>62961.624000000011</v>
      </c>
      <c r="W69" s="15">
        <f>(VLOOKUP('Результат запроса'!$M69,Доп.Информация!$A$14:$B$15,2,0)/1000) * (F69/60) * Доп.Информация!$B$20</f>
        <v>89271.521999999983</v>
      </c>
      <c r="X69">
        <f>Доп.Информация!$B$11</f>
        <v>582.97800000000007</v>
      </c>
      <c r="Y69" s="15">
        <f>Доп.Информация!$B$27</f>
        <v>63333.333333333336</v>
      </c>
      <c r="Z69" s="16">
        <f t="shared" si="3"/>
        <v>498150.54266666668</v>
      </c>
    </row>
    <row r="70" spans="1:26" x14ac:dyDescent="0.25">
      <c r="A70">
        <v>136642</v>
      </c>
      <c r="B70" t="s">
        <v>26</v>
      </c>
      <c r="C70" s="1">
        <v>42765.394444444442</v>
      </c>
      <c r="D70" s="1">
        <v>42765.428472222222</v>
      </c>
      <c r="E70" s="17">
        <f t="shared" si="2"/>
        <v>1</v>
      </c>
      <c r="F70">
        <v>49</v>
      </c>
      <c r="G70" t="s">
        <v>21</v>
      </c>
      <c r="H70" t="s">
        <v>27</v>
      </c>
      <c r="I70" t="s">
        <v>28</v>
      </c>
      <c r="J70" t="s">
        <v>29</v>
      </c>
      <c r="K70">
        <v>36.590099334716797</v>
      </c>
      <c r="L70">
        <v>50.643798828125</v>
      </c>
      <c r="M70" s="19" t="s">
        <v>30</v>
      </c>
      <c r="N70" t="s">
        <v>31</v>
      </c>
      <c r="O70">
        <v>12</v>
      </c>
      <c r="P70">
        <v>85</v>
      </c>
      <c r="Q70">
        <v>10</v>
      </c>
      <c r="R70">
        <v>189000</v>
      </c>
      <c r="S70">
        <v>54</v>
      </c>
      <c r="T70">
        <v>342000</v>
      </c>
      <c r="U70" s="15">
        <v>531000</v>
      </c>
      <c r="V70" s="16">
        <f>Q70*Доп.Информация!$B$7 + S70*Доп.Информация!$B$8</f>
        <v>48503.7696</v>
      </c>
      <c r="W70" s="15">
        <f>(VLOOKUP('Результат запроса'!$M70,Доп.Информация!$A$14:$B$15,2,0)/1000) * (F70/60) * Доп.Информация!$B$20</f>
        <v>85770.677999999985</v>
      </c>
      <c r="X70">
        <f>Доп.Информация!$B$11</f>
        <v>582.97800000000007</v>
      </c>
      <c r="Y70" s="15">
        <f>Доп.Информация!$B$27</f>
        <v>63333.333333333336</v>
      </c>
      <c r="Z70" s="16">
        <f t="shared" si="3"/>
        <v>332809.24106666667</v>
      </c>
    </row>
    <row r="71" spans="1:26" x14ac:dyDescent="0.25">
      <c r="A71">
        <v>136645</v>
      </c>
      <c r="B71" t="s">
        <v>26</v>
      </c>
      <c r="C71" s="1">
        <v>42740.395138888889</v>
      </c>
      <c r="D71" s="1">
        <v>42740.430555555555</v>
      </c>
      <c r="E71" s="17">
        <f t="shared" si="2"/>
        <v>1</v>
      </c>
      <c r="F71">
        <v>51</v>
      </c>
      <c r="G71" t="s">
        <v>21</v>
      </c>
      <c r="H71" t="s">
        <v>27</v>
      </c>
      <c r="I71" t="s">
        <v>28</v>
      </c>
      <c r="J71" t="s">
        <v>29</v>
      </c>
      <c r="K71">
        <v>36.590099334716797</v>
      </c>
      <c r="L71">
        <v>50.643798828125</v>
      </c>
      <c r="M71" s="19" t="s">
        <v>30</v>
      </c>
      <c r="N71" t="s">
        <v>31</v>
      </c>
      <c r="O71">
        <v>12</v>
      </c>
      <c r="P71">
        <v>85</v>
      </c>
      <c r="Q71">
        <v>9</v>
      </c>
      <c r="R71">
        <v>170100</v>
      </c>
      <c r="S71">
        <v>73</v>
      </c>
      <c r="T71">
        <v>462900</v>
      </c>
      <c r="U71" s="15">
        <v>633000</v>
      </c>
      <c r="V71" s="16">
        <f>Q71*Доп.Информация!$B$7 + S71*Доп.Информация!$B$8</f>
        <v>55033.123200000002</v>
      </c>
      <c r="W71" s="15">
        <f>(VLOOKUP('Результат запроса'!$M71,Доп.Информация!$A$14:$B$15,2,0)/1000) * (F71/60) * Доп.Информация!$B$20</f>
        <v>89271.521999999983</v>
      </c>
      <c r="X71">
        <f>Доп.Информация!$B$11</f>
        <v>582.97800000000007</v>
      </c>
      <c r="Y71" s="15">
        <f>Доп.Информация!$B$27</f>
        <v>63333.333333333336</v>
      </c>
      <c r="Z71" s="16">
        <f t="shared" si="3"/>
        <v>424779.04346666671</v>
      </c>
    </row>
    <row r="72" spans="1:26" x14ac:dyDescent="0.25">
      <c r="A72">
        <v>136649</v>
      </c>
      <c r="B72" t="s">
        <v>26</v>
      </c>
      <c r="C72" s="1">
        <v>42753.392361111109</v>
      </c>
      <c r="D72" s="1">
        <v>42753.427083333336</v>
      </c>
      <c r="E72" s="17">
        <f t="shared" si="2"/>
        <v>1</v>
      </c>
      <c r="F72">
        <v>50</v>
      </c>
      <c r="G72" t="s">
        <v>21</v>
      </c>
      <c r="H72" t="s">
        <v>27</v>
      </c>
      <c r="I72" t="s">
        <v>28</v>
      </c>
      <c r="J72" t="s">
        <v>29</v>
      </c>
      <c r="K72">
        <v>36.590099334716797</v>
      </c>
      <c r="L72">
        <v>50.643798828125</v>
      </c>
      <c r="M72" s="19" t="s">
        <v>30</v>
      </c>
      <c r="N72" t="s">
        <v>31</v>
      </c>
      <c r="O72">
        <v>12</v>
      </c>
      <c r="P72">
        <v>85</v>
      </c>
      <c r="Q72">
        <v>12</v>
      </c>
      <c r="R72">
        <v>226800</v>
      </c>
      <c r="S72">
        <v>84</v>
      </c>
      <c r="T72">
        <v>532200</v>
      </c>
      <c r="U72" s="15">
        <v>759000</v>
      </c>
      <c r="V72" s="16">
        <f>Q72*Доп.Информация!$B$7 + S72*Доп.Информация!$B$8</f>
        <v>67159.065600000002</v>
      </c>
      <c r="W72" s="15">
        <f>(VLOOKUP('Результат запроса'!$M72,Доп.Информация!$A$14:$B$15,2,0)/1000) * (F72/60) * Доп.Информация!$B$20</f>
        <v>87521.1</v>
      </c>
      <c r="X72">
        <f>Доп.Информация!$B$11</f>
        <v>582.97800000000007</v>
      </c>
      <c r="Y72" s="15">
        <f>Доп.Информация!$B$27</f>
        <v>63333.333333333336</v>
      </c>
      <c r="Z72" s="16">
        <f t="shared" si="3"/>
        <v>540403.52306666668</v>
      </c>
    </row>
    <row r="73" spans="1:26" x14ac:dyDescent="0.25">
      <c r="A73">
        <v>136654</v>
      </c>
      <c r="B73" t="s">
        <v>26</v>
      </c>
      <c r="C73" s="1">
        <v>42754.394444444442</v>
      </c>
      <c r="D73" s="1">
        <v>42754.428472222222</v>
      </c>
      <c r="E73" s="17">
        <f t="shared" si="2"/>
        <v>1</v>
      </c>
      <c r="F73">
        <v>49</v>
      </c>
      <c r="G73" t="s">
        <v>21</v>
      </c>
      <c r="H73" t="s">
        <v>27</v>
      </c>
      <c r="I73" t="s">
        <v>28</v>
      </c>
      <c r="J73" t="s">
        <v>29</v>
      </c>
      <c r="K73">
        <v>36.590099334716797</v>
      </c>
      <c r="L73">
        <v>50.643798828125</v>
      </c>
      <c r="M73" s="19" t="s">
        <v>30</v>
      </c>
      <c r="N73" t="s">
        <v>31</v>
      </c>
      <c r="O73">
        <v>12</v>
      </c>
      <c r="P73">
        <v>85</v>
      </c>
      <c r="Q73">
        <v>12</v>
      </c>
      <c r="R73">
        <v>226800</v>
      </c>
      <c r="S73">
        <v>84</v>
      </c>
      <c r="T73">
        <v>532200</v>
      </c>
      <c r="U73" s="15">
        <v>759000</v>
      </c>
      <c r="V73" s="16">
        <f>Q73*Доп.Информация!$B$7 + S73*Доп.Информация!$B$8</f>
        <v>67159.065600000002</v>
      </c>
      <c r="W73" s="15">
        <f>(VLOOKUP('Результат запроса'!$M73,Доп.Информация!$A$14:$B$15,2,0)/1000) * (F73/60) * Доп.Информация!$B$20</f>
        <v>85770.677999999985</v>
      </c>
      <c r="X73">
        <f>Доп.Информация!$B$11</f>
        <v>582.97800000000007</v>
      </c>
      <c r="Y73" s="15">
        <f>Доп.Информация!$B$27</f>
        <v>63333.333333333336</v>
      </c>
      <c r="Z73" s="16">
        <f t="shared" si="3"/>
        <v>542153.9450666667</v>
      </c>
    </row>
    <row r="74" spans="1:26" x14ac:dyDescent="0.25">
      <c r="A74">
        <v>136660</v>
      </c>
      <c r="B74" t="s">
        <v>26</v>
      </c>
      <c r="C74" s="1">
        <v>42786.393055555556</v>
      </c>
      <c r="D74" s="1">
        <v>42786.427083333336</v>
      </c>
      <c r="E74" s="17">
        <f t="shared" si="2"/>
        <v>2</v>
      </c>
      <c r="F74">
        <v>49</v>
      </c>
      <c r="G74" t="s">
        <v>21</v>
      </c>
      <c r="H74" t="s">
        <v>27</v>
      </c>
      <c r="I74" t="s">
        <v>28</v>
      </c>
      <c r="J74" t="s">
        <v>29</v>
      </c>
      <c r="K74">
        <v>36.590099334716797</v>
      </c>
      <c r="L74">
        <v>50.643798828125</v>
      </c>
      <c r="M74" s="19" t="s">
        <v>30</v>
      </c>
      <c r="N74" t="s">
        <v>31</v>
      </c>
      <c r="O74">
        <v>12</v>
      </c>
      <c r="P74">
        <v>85</v>
      </c>
      <c r="Q74">
        <v>10</v>
      </c>
      <c r="R74">
        <v>189000</v>
      </c>
      <c r="S74">
        <v>77</v>
      </c>
      <c r="T74">
        <v>488100</v>
      </c>
      <c r="U74" s="15">
        <v>677100</v>
      </c>
      <c r="V74" s="16">
        <f>Q74*Доп.Информация!$B$7 + S74*Доп.Информация!$B$8</f>
        <v>59230.564800000007</v>
      </c>
      <c r="W74" s="15">
        <f>(VLOOKUP('Результат запроса'!$M74,Доп.Информация!$A$14:$B$15,2,0)/1000) * (F74/60) * Доп.Информация!$B$20</f>
        <v>85770.677999999985</v>
      </c>
      <c r="X74">
        <f>Доп.Информация!$B$11</f>
        <v>582.97800000000007</v>
      </c>
      <c r="Y74" s="15">
        <f>Доп.Информация!$B$27</f>
        <v>63333.333333333336</v>
      </c>
      <c r="Z74" s="16">
        <f t="shared" si="3"/>
        <v>468182.44586666662</v>
      </c>
    </row>
    <row r="75" spans="1:26" x14ac:dyDescent="0.25">
      <c r="A75">
        <v>136661</v>
      </c>
      <c r="B75" t="s">
        <v>26</v>
      </c>
      <c r="C75" s="1">
        <v>42736.393750000003</v>
      </c>
      <c r="D75" s="1">
        <v>42736.428472222222</v>
      </c>
      <c r="E75" s="17">
        <f t="shared" si="2"/>
        <v>1</v>
      </c>
      <c r="F75">
        <v>50</v>
      </c>
      <c r="G75" t="s">
        <v>21</v>
      </c>
      <c r="H75" t="s">
        <v>27</v>
      </c>
      <c r="I75" t="s">
        <v>28</v>
      </c>
      <c r="J75" t="s">
        <v>29</v>
      </c>
      <c r="K75">
        <v>36.590099334716797</v>
      </c>
      <c r="L75">
        <v>50.643798828125</v>
      </c>
      <c r="M75" s="19" t="s">
        <v>30</v>
      </c>
      <c r="N75" t="s">
        <v>31</v>
      </c>
      <c r="O75">
        <v>12</v>
      </c>
      <c r="P75">
        <v>85</v>
      </c>
      <c r="Q75">
        <v>12</v>
      </c>
      <c r="R75">
        <v>226800</v>
      </c>
      <c r="S75">
        <v>84</v>
      </c>
      <c r="T75">
        <v>532200</v>
      </c>
      <c r="U75" s="15">
        <v>759000</v>
      </c>
      <c r="V75" s="16">
        <f>Q75*Доп.Информация!$B$7 + S75*Доп.Информация!$B$8</f>
        <v>67159.065600000002</v>
      </c>
      <c r="W75" s="15">
        <f>(VLOOKUP('Результат запроса'!$M75,Доп.Информация!$A$14:$B$15,2,0)/1000) * (F75/60) * Доп.Информация!$B$20</f>
        <v>87521.1</v>
      </c>
      <c r="X75">
        <f>Доп.Информация!$B$11</f>
        <v>582.97800000000007</v>
      </c>
      <c r="Y75" s="15">
        <f>Доп.Информация!$B$27</f>
        <v>63333.333333333336</v>
      </c>
      <c r="Z75" s="16">
        <f t="shared" si="3"/>
        <v>540403.52306666668</v>
      </c>
    </row>
    <row r="76" spans="1:26" x14ac:dyDescent="0.25">
      <c r="A76">
        <v>136666</v>
      </c>
      <c r="B76" t="s">
        <v>26</v>
      </c>
      <c r="C76" s="1">
        <v>42775.393055555556</v>
      </c>
      <c r="D76" s="1">
        <v>42775.427777777775</v>
      </c>
      <c r="E76" s="17">
        <f t="shared" si="2"/>
        <v>2</v>
      </c>
      <c r="F76">
        <v>50</v>
      </c>
      <c r="G76" t="s">
        <v>21</v>
      </c>
      <c r="H76" t="s">
        <v>27</v>
      </c>
      <c r="I76" t="s">
        <v>28</v>
      </c>
      <c r="J76" t="s">
        <v>29</v>
      </c>
      <c r="K76">
        <v>36.590099334716797</v>
      </c>
      <c r="L76">
        <v>50.643798828125</v>
      </c>
      <c r="M76" s="19" t="s">
        <v>30</v>
      </c>
      <c r="N76" t="s">
        <v>31</v>
      </c>
      <c r="O76">
        <v>12</v>
      </c>
      <c r="P76">
        <v>85</v>
      </c>
      <c r="Q76">
        <v>9</v>
      </c>
      <c r="R76">
        <v>170100</v>
      </c>
      <c r="S76">
        <v>78</v>
      </c>
      <c r="T76">
        <v>494400</v>
      </c>
      <c r="U76" s="15">
        <v>664500</v>
      </c>
      <c r="V76" s="16">
        <f>Q76*Доп.Информация!$B$7 + S76*Доп.Информация!$B$8</f>
        <v>57365.035199999998</v>
      </c>
      <c r="W76" s="15">
        <f>(VLOOKUP('Результат запроса'!$M76,Доп.Информация!$A$14:$B$15,2,0)/1000) * (F76/60) * Доп.Информация!$B$20</f>
        <v>87521.1</v>
      </c>
      <c r="X76">
        <f>Доп.Информация!$B$11</f>
        <v>582.97800000000007</v>
      </c>
      <c r="Y76" s="15">
        <f>Доп.Информация!$B$27</f>
        <v>63333.333333333336</v>
      </c>
      <c r="Z76" s="16">
        <f t="shared" si="3"/>
        <v>455697.55346666661</v>
      </c>
    </row>
    <row r="77" spans="1:26" x14ac:dyDescent="0.25">
      <c r="A77">
        <v>136669</v>
      </c>
      <c r="B77" t="s">
        <v>26</v>
      </c>
      <c r="C77" s="1">
        <v>42752.393055555556</v>
      </c>
      <c r="D77" s="1">
        <v>42752.428472222222</v>
      </c>
      <c r="E77" s="17">
        <f t="shared" si="2"/>
        <v>1</v>
      </c>
      <c r="F77">
        <v>51</v>
      </c>
      <c r="G77" t="s">
        <v>21</v>
      </c>
      <c r="H77" t="s">
        <v>27</v>
      </c>
      <c r="I77" t="s">
        <v>28</v>
      </c>
      <c r="J77" t="s">
        <v>29</v>
      </c>
      <c r="K77">
        <v>36.590099334716797</v>
      </c>
      <c r="L77">
        <v>50.643798828125</v>
      </c>
      <c r="M77" s="19" t="s">
        <v>30</v>
      </c>
      <c r="N77" t="s">
        <v>31</v>
      </c>
      <c r="O77">
        <v>12</v>
      </c>
      <c r="P77">
        <v>85</v>
      </c>
      <c r="Q77">
        <v>12</v>
      </c>
      <c r="R77">
        <v>226800</v>
      </c>
      <c r="S77">
        <v>83</v>
      </c>
      <c r="T77">
        <v>525900</v>
      </c>
      <c r="U77" s="15">
        <v>752700</v>
      </c>
      <c r="V77" s="16">
        <f>Q77*Доп.Информация!$B$7 + S77*Доп.Информация!$B$8</f>
        <v>66692.683199999999</v>
      </c>
      <c r="W77" s="15">
        <f>(VLOOKUP('Результат запроса'!$M77,Доп.Информация!$A$14:$B$15,2,0)/1000) * (F77/60) * Доп.Информация!$B$20</f>
        <v>89271.521999999983</v>
      </c>
      <c r="X77">
        <f>Доп.Информация!$B$11</f>
        <v>582.97800000000007</v>
      </c>
      <c r="Y77" s="15">
        <f>Доп.Информация!$B$27</f>
        <v>63333.333333333336</v>
      </c>
      <c r="Z77" s="16">
        <f t="shared" si="3"/>
        <v>532819.48346666666</v>
      </c>
    </row>
    <row r="78" spans="1:26" x14ac:dyDescent="0.25">
      <c r="A78">
        <v>136672</v>
      </c>
      <c r="B78" t="s">
        <v>26</v>
      </c>
      <c r="C78" s="1">
        <v>42769.394444444442</v>
      </c>
      <c r="D78" s="1">
        <v>42769.429166666669</v>
      </c>
      <c r="E78" s="17">
        <f t="shared" si="2"/>
        <v>2</v>
      </c>
      <c r="F78">
        <v>50</v>
      </c>
      <c r="G78" t="s">
        <v>21</v>
      </c>
      <c r="H78" t="s">
        <v>27</v>
      </c>
      <c r="I78" t="s">
        <v>28</v>
      </c>
      <c r="J78" t="s">
        <v>29</v>
      </c>
      <c r="K78">
        <v>36.590099334716797</v>
      </c>
      <c r="L78">
        <v>50.643798828125</v>
      </c>
      <c r="M78" s="19" t="s">
        <v>30</v>
      </c>
      <c r="N78" t="s">
        <v>31</v>
      </c>
      <c r="O78">
        <v>12</v>
      </c>
      <c r="P78">
        <v>85</v>
      </c>
      <c r="Q78">
        <v>12</v>
      </c>
      <c r="R78">
        <v>226800</v>
      </c>
      <c r="S78">
        <v>84</v>
      </c>
      <c r="T78">
        <v>532200</v>
      </c>
      <c r="U78" s="15">
        <v>759000</v>
      </c>
      <c r="V78" s="16">
        <f>Q78*Доп.Информация!$B$7 + S78*Доп.Информация!$B$8</f>
        <v>67159.065600000002</v>
      </c>
      <c r="W78" s="15">
        <f>(VLOOKUP('Результат запроса'!$M78,Доп.Информация!$A$14:$B$15,2,0)/1000) * (F78/60) * Доп.Информация!$B$20</f>
        <v>87521.1</v>
      </c>
      <c r="X78">
        <f>Доп.Информация!$B$11</f>
        <v>582.97800000000007</v>
      </c>
      <c r="Y78" s="15">
        <f>Доп.Информация!$B$27</f>
        <v>63333.333333333336</v>
      </c>
      <c r="Z78" s="16">
        <f t="shared" si="3"/>
        <v>540403.52306666668</v>
      </c>
    </row>
    <row r="79" spans="1:26" x14ac:dyDescent="0.25">
      <c r="A79">
        <v>136678</v>
      </c>
      <c r="B79" t="s">
        <v>26</v>
      </c>
      <c r="C79" s="1">
        <v>42763.393750000003</v>
      </c>
      <c r="D79" s="1">
        <v>42763.428472222222</v>
      </c>
      <c r="E79" s="17">
        <f t="shared" si="2"/>
        <v>1</v>
      </c>
      <c r="F79">
        <v>50</v>
      </c>
      <c r="G79" t="s">
        <v>21</v>
      </c>
      <c r="H79" t="s">
        <v>27</v>
      </c>
      <c r="I79" t="s">
        <v>28</v>
      </c>
      <c r="J79" t="s">
        <v>29</v>
      </c>
      <c r="K79">
        <v>36.590099334716797</v>
      </c>
      <c r="L79">
        <v>50.643798828125</v>
      </c>
      <c r="M79" s="19" t="s">
        <v>30</v>
      </c>
      <c r="N79" t="s">
        <v>31</v>
      </c>
      <c r="O79">
        <v>12</v>
      </c>
      <c r="P79">
        <v>85</v>
      </c>
      <c r="Q79">
        <v>10</v>
      </c>
      <c r="R79">
        <v>189000</v>
      </c>
      <c r="S79">
        <v>70</v>
      </c>
      <c r="T79">
        <v>442200</v>
      </c>
      <c r="U79" s="15">
        <v>631200</v>
      </c>
      <c r="V79" s="16">
        <f>Q79*Доп.Информация!$B$7 + S79*Доп.Информация!$B$8</f>
        <v>55965.888000000006</v>
      </c>
      <c r="W79" s="15">
        <f>(VLOOKUP('Результат запроса'!$M79,Доп.Информация!$A$14:$B$15,2,0)/1000) * (F79/60) * Доп.Информация!$B$20</f>
        <v>87521.1</v>
      </c>
      <c r="X79">
        <f>Доп.Информация!$B$11</f>
        <v>582.97800000000007</v>
      </c>
      <c r="Y79" s="15">
        <f>Доп.Информация!$B$27</f>
        <v>63333.333333333336</v>
      </c>
      <c r="Z79" s="16">
        <f t="shared" si="3"/>
        <v>423796.70066666661</v>
      </c>
    </row>
    <row r="80" spans="1:26" x14ac:dyDescent="0.25">
      <c r="A80">
        <v>136706</v>
      </c>
      <c r="B80" t="s">
        <v>26</v>
      </c>
      <c r="C80" s="1">
        <v>42741.395833333336</v>
      </c>
      <c r="D80" s="1">
        <v>42741.430555555555</v>
      </c>
      <c r="E80" s="17">
        <f t="shared" si="2"/>
        <v>1</v>
      </c>
      <c r="F80">
        <v>50</v>
      </c>
      <c r="G80" t="s">
        <v>21</v>
      </c>
      <c r="H80" t="s">
        <v>27</v>
      </c>
      <c r="I80" t="s">
        <v>28</v>
      </c>
      <c r="J80" t="s">
        <v>29</v>
      </c>
      <c r="K80">
        <v>36.590099334716797</v>
      </c>
      <c r="L80">
        <v>50.643798828125</v>
      </c>
      <c r="M80" s="19" t="s">
        <v>30</v>
      </c>
      <c r="N80" t="s">
        <v>31</v>
      </c>
      <c r="O80">
        <v>12</v>
      </c>
      <c r="P80">
        <v>85</v>
      </c>
      <c r="Q80">
        <v>11</v>
      </c>
      <c r="R80">
        <v>207900</v>
      </c>
      <c r="S80">
        <v>84</v>
      </c>
      <c r="T80">
        <v>532200</v>
      </c>
      <c r="U80" s="15">
        <v>740100</v>
      </c>
      <c r="V80" s="16">
        <f>Q80*Доп.Информация!$B$7 + S80*Доп.Информация!$B$8</f>
        <v>64827.153600000005</v>
      </c>
      <c r="W80" s="15">
        <f>(VLOOKUP('Результат запроса'!$M80,Доп.Информация!$A$14:$B$15,2,0)/1000) * (F80/60) * Доп.Информация!$B$20</f>
        <v>87521.1</v>
      </c>
      <c r="X80">
        <f>Доп.Информация!$B$11</f>
        <v>582.97800000000007</v>
      </c>
      <c r="Y80" s="15">
        <f>Доп.Информация!$B$27</f>
        <v>63333.333333333336</v>
      </c>
      <c r="Z80" s="16">
        <f t="shared" si="3"/>
        <v>523835.43506666669</v>
      </c>
    </row>
    <row r="81" spans="1:26" x14ac:dyDescent="0.25">
      <c r="A81">
        <v>136709</v>
      </c>
      <c r="B81" t="s">
        <v>26</v>
      </c>
      <c r="C81" s="1">
        <v>42750.394444444442</v>
      </c>
      <c r="D81" s="1">
        <v>42750.429166666669</v>
      </c>
      <c r="E81" s="17">
        <f t="shared" si="2"/>
        <v>1</v>
      </c>
      <c r="F81">
        <v>50</v>
      </c>
      <c r="G81" t="s">
        <v>21</v>
      </c>
      <c r="H81" t="s">
        <v>27</v>
      </c>
      <c r="I81" t="s">
        <v>28</v>
      </c>
      <c r="J81" t="s">
        <v>29</v>
      </c>
      <c r="K81">
        <v>36.590099334716797</v>
      </c>
      <c r="L81">
        <v>50.643798828125</v>
      </c>
      <c r="M81" s="19" t="s">
        <v>30</v>
      </c>
      <c r="N81" t="s">
        <v>31</v>
      </c>
      <c r="O81">
        <v>12</v>
      </c>
      <c r="P81">
        <v>85</v>
      </c>
      <c r="Q81">
        <v>11</v>
      </c>
      <c r="R81">
        <v>207900</v>
      </c>
      <c r="S81">
        <v>76</v>
      </c>
      <c r="T81">
        <v>481800</v>
      </c>
      <c r="U81" s="15">
        <v>689700</v>
      </c>
      <c r="V81" s="16">
        <f>Q81*Доп.Информация!$B$7 + S81*Доп.Информация!$B$8</f>
        <v>61096.094400000002</v>
      </c>
      <c r="W81" s="15">
        <f>(VLOOKUP('Результат запроса'!$M81,Доп.Информация!$A$14:$B$15,2,0)/1000) * (F81/60) * Доп.Информация!$B$20</f>
        <v>87521.1</v>
      </c>
      <c r="X81">
        <f>Доп.Информация!$B$11</f>
        <v>582.97800000000007</v>
      </c>
      <c r="Y81" s="15">
        <f>Доп.Информация!$B$27</f>
        <v>63333.333333333336</v>
      </c>
      <c r="Z81" s="16">
        <f t="shared" si="3"/>
        <v>477166.49426666665</v>
      </c>
    </row>
    <row r="82" spans="1:26" x14ac:dyDescent="0.25">
      <c r="A82">
        <v>136720</v>
      </c>
      <c r="B82" t="s">
        <v>26</v>
      </c>
      <c r="C82" s="1">
        <v>42761.395138888889</v>
      </c>
      <c r="D82" s="1">
        <v>42761.429861111108</v>
      </c>
      <c r="E82" s="17">
        <f t="shared" si="2"/>
        <v>1</v>
      </c>
      <c r="F82">
        <v>50</v>
      </c>
      <c r="G82" t="s">
        <v>21</v>
      </c>
      <c r="H82" t="s">
        <v>27</v>
      </c>
      <c r="I82" t="s">
        <v>28</v>
      </c>
      <c r="J82" t="s">
        <v>29</v>
      </c>
      <c r="K82">
        <v>36.590099334716797</v>
      </c>
      <c r="L82">
        <v>50.643798828125</v>
      </c>
      <c r="M82" s="19" t="s">
        <v>30</v>
      </c>
      <c r="N82" t="s">
        <v>31</v>
      </c>
      <c r="O82">
        <v>12</v>
      </c>
      <c r="P82">
        <v>85</v>
      </c>
      <c r="Q82">
        <v>12</v>
      </c>
      <c r="R82">
        <v>226800</v>
      </c>
      <c r="S82">
        <v>83</v>
      </c>
      <c r="T82">
        <v>525900</v>
      </c>
      <c r="U82" s="15">
        <v>752700</v>
      </c>
      <c r="V82" s="16">
        <f>Q82*Доп.Информация!$B$7 + S82*Доп.Информация!$B$8</f>
        <v>66692.683199999999</v>
      </c>
      <c r="W82" s="15">
        <f>(VLOOKUP('Результат запроса'!$M82,Доп.Информация!$A$14:$B$15,2,0)/1000) * (F82/60) * Доп.Информация!$B$20</f>
        <v>87521.1</v>
      </c>
      <c r="X82">
        <f>Доп.Информация!$B$11</f>
        <v>582.97800000000007</v>
      </c>
      <c r="Y82" s="15">
        <f>Доп.Информация!$B$27</f>
        <v>63333.333333333336</v>
      </c>
      <c r="Z82" s="16">
        <f t="shared" si="3"/>
        <v>534569.90546666668</v>
      </c>
    </row>
    <row r="83" spans="1:26" x14ac:dyDescent="0.25">
      <c r="A83">
        <v>136729</v>
      </c>
      <c r="B83" t="s">
        <v>26</v>
      </c>
      <c r="C83" s="1">
        <v>42764.395138888889</v>
      </c>
      <c r="D83" s="1">
        <v>42764.429861111108</v>
      </c>
      <c r="E83" s="17">
        <f t="shared" si="2"/>
        <v>1</v>
      </c>
      <c r="F83">
        <v>50</v>
      </c>
      <c r="G83" t="s">
        <v>21</v>
      </c>
      <c r="H83" t="s">
        <v>27</v>
      </c>
      <c r="I83" t="s">
        <v>28</v>
      </c>
      <c r="J83" t="s">
        <v>29</v>
      </c>
      <c r="K83">
        <v>36.590099334716797</v>
      </c>
      <c r="L83">
        <v>50.643798828125</v>
      </c>
      <c r="M83" s="19" t="s">
        <v>30</v>
      </c>
      <c r="N83" t="s">
        <v>31</v>
      </c>
      <c r="O83">
        <v>12</v>
      </c>
      <c r="P83">
        <v>85</v>
      </c>
      <c r="Q83">
        <v>11</v>
      </c>
      <c r="R83">
        <v>207900</v>
      </c>
      <c r="S83">
        <v>77</v>
      </c>
      <c r="T83">
        <v>487500</v>
      </c>
      <c r="U83" s="15">
        <v>695400</v>
      </c>
      <c r="V83" s="16">
        <f>Q83*Доп.Информация!$B$7 + S83*Доп.Информация!$B$8</f>
        <v>61562.476800000004</v>
      </c>
      <c r="W83" s="15">
        <f>(VLOOKUP('Результат запроса'!$M83,Доп.Информация!$A$14:$B$15,2,0)/1000) * (F83/60) * Доп.Информация!$B$20</f>
        <v>87521.1</v>
      </c>
      <c r="X83">
        <f>Доп.Информация!$B$11</f>
        <v>582.97800000000007</v>
      </c>
      <c r="Y83" s="15">
        <f>Доп.Информация!$B$27</f>
        <v>63333.333333333336</v>
      </c>
      <c r="Z83" s="16">
        <f t="shared" si="3"/>
        <v>482400.11186666664</v>
      </c>
    </row>
    <row r="84" spans="1:26" x14ac:dyDescent="0.25">
      <c r="A84">
        <v>136733</v>
      </c>
      <c r="B84" t="s">
        <v>26</v>
      </c>
      <c r="C84" s="1">
        <v>42744.393750000003</v>
      </c>
      <c r="D84" s="1">
        <v>42744.429166666669</v>
      </c>
      <c r="E84" s="17">
        <f t="shared" si="2"/>
        <v>1</v>
      </c>
      <c r="F84">
        <v>51</v>
      </c>
      <c r="G84" t="s">
        <v>21</v>
      </c>
      <c r="H84" t="s">
        <v>27</v>
      </c>
      <c r="I84" t="s">
        <v>28</v>
      </c>
      <c r="J84" t="s">
        <v>29</v>
      </c>
      <c r="K84">
        <v>36.590099334716797</v>
      </c>
      <c r="L84">
        <v>50.643798828125</v>
      </c>
      <c r="M84" s="19" t="s">
        <v>30</v>
      </c>
      <c r="N84" t="s">
        <v>31</v>
      </c>
      <c r="O84">
        <v>12</v>
      </c>
      <c r="P84">
        <v>85</v>
      </c>
      <c r="Q84">
        <v>12</v>
      </c>
      <c r="R84">
        <v>226800</v>
      </c>
      <c r="S84">
        <v>82</v>
      </c>
      <c r="T84">
        <v>519600</v>
      </c>
      <c r="U84" s="15">
        <v>746400</v>
      </c>
      <c r="V84" s="16">
        <f>Q84*Доп.Информация!$B$7 + S84*Доп.Информация!$B$8</f>
        <v>66226.300799999997</v>
      </c>
      <c r="W84" s="15">
        <f>(VLOOKUP('Результат запроса'!$M84,Доп.Информация!$A$14:$B$15,2,0)/1000) * (F84/60) * Доп.Информация!$B$20</f>
        <v>89271.521999999983</v>
      </c>
      <c r="X84">
        <f>Доп.Информация!$B$11</f>
        <v>582.97800000000007</v>
      </c>
      <c r="Y84" s="15">
        <f>Доп.Информация!$B$27</f>
        <v>63333.333333333336</v>
      </c>
      <c r="Z84" s="16">
        <f t="shared" si="3"/>
        <v>526985.86586666666</v>
      </c>
    </row>
    <row r="85" spans="1:26" x14ac:dyDescent="0.25">
      <c r="A85">
        <v>136754</v>
      </c>
      <c r="B85" t="s">
        <v>26</v>
      </c>
      <c r="C85" s="1">
        <v>42772.395138888889</v>
      </c>
      <c r="D85" s="1">
        <v>42772.429166666669</v>
      </c>
      <c r="E85" s="17">
        <f t="shared" si="2"/>
        <v>2</v>
      </c>
      <c r="F85">
        <v>49</v>
      </c>
      <c r="G85" t="s">
        <v>21</v>
      </c>
      <c r="H85" t="s">
        <v>27</v>
      </c>
      <c r="I85" t="s">
        <v>28</v>
      </c>
      <c r="J85" t="s">
        <v>29</v>
      </c>
      <c r="K85">
        <v>36.590099334716797</v>
      </c>
      <c r="L85">
        <v>50.643798828125</v>
      </c>
      <c r="M85" s="19" t="s">
        <v>30</v>
      </c>
      <c r="N85" t="s">
        <v>31</v>
      </c>
      <c r="O85">
        <v>12</v>
      </c>
      <c r="P85">
        <v>85</v>
      </c>
      <c r="Q85">
        <v>12</v>
      </c>
      <c r="R85">
        <v>226800</v>
      </c>
      <c r="S85">
        <v>78</v>
      </c>
      <c r="T85">
        <v>494400</v>
      </c>
      <c r="U85" s="15">
        <v>721200</v>
      </c>
      <c r="V85" s="16">
        <f>Q85*Доп.Информация!$B$7 + S85*Доп.Информация!$B$8</f>
        <v>64360.771200000003</v>
      </c>
      <c r="W85" s="15">
        <f>(VLOOKUP('Результат запроса'!$M85,Доп.Информация!$A$14:$B$15,2,0)/1000) * (F85/60) * Доп.Информация!$B$20</f>
        <v>85770.677999999985</v>
      </c>
      <c r="X85">
        <f>Доп.Информация!$B$11</f>
        <v>582.97800000000007</v>
      </c>
      <c r="Y85" s="15">
        <f>Доп.Информация!$B$27</f>
        <v>63333.333333333336</v>
      </c>
      <c r="Z85" s="16">
        <f t="shared" si="3"/>
        <v>507152.23946666671</v>
      </c>
    </row>
    <row r="86" spans="1:26" x14ac:dyDescent="0.25">
      <c r="A86">
        <v>136755</v>
      </c>
      <c r="B86" t="s">
        <v>26</v>
      </c>
      <c r="C86" s="1">
        <v>42756.395833333336</v>
      </c>
      <c r="D86" s="1">
        <v>42756.430555555555</v>
      </c>
      <c r="E86" s="17">
        <f t="shared" si="2"/>
        <v>1</v>
      </c>
      <c r="F86">
        <v>50</v>
      </c>
      <c r="G86" t="s">
        <v>21</v>
      </c>
      <c r="H86" t="s">
        <v>27</v>
      </c>
      <c r="I86" t="s">
        <v>28</v>
      </c>
      <c r="J86" t="s">
        <v>29</v>
      </c>
      <c r="K86">
        <v>36.590099334716797</v>
      </c>
      <c r="L86">
        <v>50.643798828125</v>
      </c>
      <c r="M86" s="19" t="s">
        <v>30</v>
      </c>
      <c r="N86" t="s">
        <v>31</v>
      </c>
      <c r="O86">
        <v>12</v>
      </c>
      <c r="P86">
        <v>85</v>
      </c>
      <c r="Q86">
        <v>12</v>
      </c>
      <c r="R86">
        <v>226800</v>
      </c>
      <c r="S86">
        <v>85</v>
      </c>
      <c r="T86">
        <v>538500</v>
      </c>
      <c r="U86" s="15">
        <v>765300</v>
      </c>
      <c r="V86" s="16">
        <f>Q86*Доп.Информация!$B$7 + S86*Доп.Информация!$B$8</f>
        <v>67625.448000000004</v>
      </c>
      <c r="W86" s="15">
        <f>(VLOOKUP('Результат запроса'!$M86,Доп.Информация!$A$14:$B$15,2,0)/1000) * (F86/60) * Доп.Информация!$B$20</f>
        <v>87521.1</v>
      </c>
      <c r="X86">
        <f>Доп.Информация!$B$11</f>
        <v>582.97800000000007</v>
      </c>
      <c r="Y86" s="15">
        <f>Доп.Информация!$B$27</f>
        <v>63333.333333333336</v>
      </c>
      <c r="Z86" s="16">
        <f t="shared" si="3"/>
        <v>546237.14066666667</v>
      </c>
    </row>
    <row r="87" spans="1:26" x14ac:dyDescent="0.25">
      <c r="A87">
        <v>136757</v>
      </c>
      <c r="B87" t="s">
        <v>26</v>
      </c>
      <c r="C87" s="1">
        <v>42762.395833333336</v>
      </c>
      <c r="D87" s="1">
        <v>42762.429861111108</v>
      </c>
      <c r="E87" s="17">
        <f t="shared" si="2"/>
        <v>1</v>
      </c>
      <c r="F87">
        <v>49</v>
      </c>
      <c r="G87" t="s">
        <v>21</v>
      </c>
      <c r="H87" t="s">
        <v>27</v>
      </c>
      <c r="I87" t="s">
        <v>28</v>
      </c>
      <c r="J87" t="s">
        <v>29</v>
      </c>
      <c r="K87">
        <v>36.590099334716797</v>
      </c>
      <c r="L87">
        <v>50.643798828125</v>
      </c>
      <c r="M87" s="19" t="s">
        <v>30</v>
      </c>
      <c r="N87" t="s">
        <v>31</v>
      </c>
      <c r="O87">
        <v>12</v>
      </c>
      <c r="P87">
        <v>85</v>
      </c>
      <c r="Q87">
        <v>12</v>
      </c>
      <c r="R87">
        <v>226800</v>
      </c>
      <c r="S87">
        <v>85</v>
      </c>
      <c r="T87">
        <v>538500</v>
      </c>
      <c r="U87" s="15">
        <v>765300</v>
      </c>
      <c r="V87" s="16">
        <f>Q87*Доп.Информация!$B$7 + S87*Доп.Информация!$B$8</f>
        <v>67625.448000000004</v>
      </c>
      <c r="W87" s="15">
        <f>(VLOOKUP('Результат запроса'!$M87,Доп.Информация!$A$14:$B$15,2,0)/1000) * (F87/60) * Доп.Информация!$B$20</f>
        <v>85770.677999999985</v>
      </c>
      <c r="X87">
        <f>Доп.Информация!$B$11</f>
        <v>582.97800000000007</v>
      </c>
      <c r="Y87" s="15">
        <f>Доп.Информация!$B$27</f>
        <v>63333.333333333336</v>
      </c>
      <c r="Z87" s="16">
        <f t="shared" si="3"/>
        <v>547987.56266666669</v>
      </c>
    </row>
    <row r="88" spans="1:26" x14ac:dyDescent="0.25">
      <c r="A88">
        <v>136758</v>
      </c>
      <c r="B88" t="s">
        <v>26</v>
      </c>
      <c r="C88" s="1">
        <v>42747.393055555556</v>
      </c>
      <c r="D88" s="1">
        <v>42747.427083333336</v>
      </c>
      <c r="E88" s="17">
        <f t="shared" si="2"/>
        <v>1</v>
      </c>
      <c r="F88">
        <v>49</v>
      </c>
      <c r="G88" t="s">
        <v>21</v>
      </c>
      <c r="H88" t="s">
        <v>27</v>
      </c>
      <c r="I88" t="s">
        <v>28</v>
      </c>
      <c r="J88" t="s">
        <v>29</v>
      </c>
      <c r="K88">
        <v>36.590099334716797</v>
      </c>
      <c r="L88">
        <v>50.643798828125</v>
      </c>
      <c r="M88" s="19" t="s">
        <v>30</v>
      </c>
      <c r="N88" t="s">
        <v>31</v>
      </c>
      <c r="O88">
        <v>12</v>
      </c>
      <c r="P88">
        <v>85</v>
      </c>
      <c r="Q88">
        <v>12</v>
      </c>
      <c r="R88">
        <v>226800</v>
      </c>
      <c r="S88">
        <v>85</v>
      </c>
      <c r="T88">
        <v>538500</v>
      </c>
      <c r="U88" s="15">
        <v>765300</v>
      </c>
      <c r="V88" s="16">
        <f>Q88*Доп.Информация!$B$7 + S88*Доп.Информация!$B$8</f>
        <v>67625.448000000004</v>
      </c>
      <c r="W88" s="15">
        <f>(VLOOKUP('Результат запроса'!$M88,Доп.Информация!$A$14:$B$15,2,0)/1000) * (F88/60) * Доп.Информация!$B$20</f>
        <v>85770.677999999985</v>
      </c>
      <c r="X88">
        <f>Доп.Информация!$B$11</f>
        <v>582.97800000000007</v>
      </c>
      <c r="Y88" s="15">
        <f>Доп.Информация!$B$27</f>
        <v>63333.333333333336</v>
      </c>
      <c r="Z88" s="16">
        <f t="shared" si="3"/>
        <v>547987.56266666669</v>
      </c>
    </row>
    <row r="89" spans="1:26" x14ac:dyDescent="0.25">
      <c r="A89">
        <v>136767</v>
      </c>
      <c r="B89" t="s">
        <v>26</v>
      </c>
      <c r="C89" s="1">
        <v>42758.393750000003</v>
      </c>
      <c r="D89" s="1">
        <v>42758.429166666669</v>
      </c>
      <c r="E89" s="17">
        <f t="shared" si="2"/>
        <v>1</v>
      </c>
      <c r="F89">
        <v>51</v>
      </c>
      <c r="G89" t="s">
        <v>21</v>
      </c>
      <c r="H89" t="s">
        <v>27</v>
      </c>
      <c r="I89" t="s">
        <v>28</v>
      </c>
      <c r="J89" t="s">
        <v>29</v>
      </c>
      <c r="K89">
        <v>36.590099334716797</v>
      </c>
      <c r="L89">
        <v>50.643798828125</v>
      </c>
      <c r="M89" s="19" t="s">
        <v>30</v>
      </c>
      <c r="N89" t="s">
        <v>31</v>
      </c>
      <c r="O89">
        <v>12</v>
      </c>
      <c r="P89">
        <v>85</v>
      </c>
      <c r="Q89">
        <v>10</v>
      </c>
      <c r="R89">
        <v>189000</v>
      </c>
      <c r="S89">
        <v>73</v>
      </c>
      <c r="T89">
        <v>462300</v>
      </c>
      <c r="U89" s="15">
        <v>651300</v>
      </c>
      <c r="V89" s="16">
        <f>Q89*Доп.Информация!$B$7 + S89*Доп.Информация!$B$8</f>
        <v>57365.035200000006</v>
      </c>
      <c r="W89" s="15">
        <f>(VLOOKUP('Результат запроса'!$M89,Доп.Информация!$A$14:$B$15,2,0)/1000) * (F89/60) * Доп.Информация!$B$20</f>
        <v>89271.521999999983</v>
      </c>
      <c r="X89">
        <f>Доп.Информация!$B$11</f>
        <v>582.97800000000007</v>
      </c>
      <c r="Y89" s="15">
        <f>Доп.Информация!$B$27</f>
        <v>63333.333333333336</v>
      </c>
      <c r="Z89" s="16">
        <f t="shared" si="3"/>
        <v>440747.1314666667</v>
      </c>
    </row>
    <row r="90" spans="1:26" x14ac:dyDescent="0.25">
      <c r="A90">
        <v>136769</v>
      </c>
      <c r="B90" t="s">
        <v>26</v>
      </c>
      <c r="C90" s="1">
        <v>42776.395833333336</v>
      </c>
      <c r="D90" s="1">
        <v>42776.431250000001</v>
      </c>
      <c r="E90" s="17">
        <f t="shared" si="2"/>
        <v>2</v>
      </c>
      <c r="F90">
        <v>51</v>
      </c>
      <c r="G90" t="s">
        <v>21</v>
      </c>
      <c r="H90" t="s">
        <v>27</v>
      </c>
      <c r="I90" t="s">
        <v>28</v>
      </c>
      <c r="J90" t="s">
        <v>29</v>
      </c>
      <c r="K90">
        <v>36.590099334716797</v>
      </c>
      <c r="L90">
        <v>50.643798828125</v>
      </c>
      <c r="M90" s="19" t="s">
        <v>30</v>
      </c>
      <c r="N90" t="s">
        <v>31</v>
      </c>
      <c r="O90">
        <v>12</v>
      </c>
      <c r="P90">
        <v>85</v>
      </c>
      <c r="Q90">
        <v>11</v>
      </c>
      <c r="R90">
        <v>207900</v>
      </c>
      <c r="S90">
        <v>77</v>
      </c>
      <c r="T90">
        <v>488100</v>
      </c>
      <c r="U90" s="15">
        <v>696000</v>
      </c>
      <c r="V90" s="16">
        <f>Q90*Доп.Информация!$B$7 + S90*Доп.Информация!$B$8</f>
        <v>61562.476800000004</v>
      </c>
      <c r="W90" s="15">
        <f>(VLOOKUP('Результат запроса'!$M90,Доп.Информация!$A$14:$B$15,2,0)/1000) * (F90/60) * Доп.Информация!$B$20</f>
        <v>89271.521999999983</v>
      </c>
      <c r="X90">
        <f>Доп.Информация!$B$11</f>
        <v>582.97800000000007</v>
      </c>
      <c r="Y90" s="15">
        <f>Доп.Информация!$B$27</f>
        <v>63333.333333333336</v>
      </c>
      <c r="Z90" s="16">
        <f t="shared" si="3"/>
        <v>481249.68986666668</v>
      </c>
    </row>
    <row r="91" spans="1:26" x14ac:dyDescent="0.25">
      <c r="A91">
        <v>136778</v>
      </c>
      <c r="B91" t="s">
        <v>26</v>
      </c>
      <c r="C91" s="1">
        <v>42788.393055555556</v>
      </c>
      <c r="D91" s="1">
        <v>42788.427777777775</v>
      </c>
      <c r="E91" s="17">
        <f t="shared" si="2"/>
        <v>2</v>
      </c>
      <c r="F91">
        <v>50</v>
      </c>
      <c r="G91" t="s">
        <v>21</v>
      </c>
      <c r="H91" t="s">
        <v>27</v>
      </c>
      <c r="I91" t="s">
        <v>28</v>
      </c>
      <c r="J91" t="s">
        <v>29</v>
      </c>
      <c r="K91">
        <v>36.590099334716797</v>
      </c>
      <c r="L91">
        <v>50.643798828125</v>
      </c>
      <c r="M91" s="19" t="s">
        <v>30</v>
      </c>
      <c r="N91" t="s">
        <v>31</v>
      </c>
      <c r="O91">
        <v>12</v>
      </c>
      <c r="P91">
        <v>85</v>
      </c>
      <c r="Q91">
        <v>12</v>
      </c>
      <c r="R91">
        <v>226800</v>
      </c>
      <c r="S91">
        <v>84</v>
      </c>
      <c r="T91">
        <v>532200</v>
      </c>
      <c r="U91" s="15">
        <v>759000</v>
      </c>
      <c r="V91" s="16">
        <f>Q91*Доп.Информация!$B$7 + S91*Доп.Информация!$B$8</f>
        <v>67159.065600000002</v>
      </c>
      <c r="W91" s="15">
        <f>(VLOOKUP('Результат запроса'!$M91,Доп.Информация!$A$14:$B$15,2,0)/1000) * (F91/60) * Доп.Информация!$B$20</f>
        <v>87521.1</v>
      </c>
      <c r="X91">
        <f>Доп.Информация!$B$11</f>
        <v>582.97800000000007</v>
      </c>
      <c r="Y91" s="15">
        <f>Доп.Информация!$B$27</f>
        <v>63333.333333333336</v>
      </c>
      <c r="Z91" s="16">
        <f t="shared" si="3"/>
        <v>540403.52306666668</v>
      </c>
    </row>
    <row r="92" spans="1:26" x14ac:dyDescent="0.25">
      <c r="A92">
        <v>136780</v>
      </c>
      <c r="B92" t="s">
        <v>26</v>
      </c>
      <c r="C92" s="1">
        <v>42790.395833333336</v>
      </c>
      <c r="D92" s="1">
        <v>42790.430555555555</v>
      </c>
      <c r="E92" s="17">
        <f t="shared" si="2"/>
        <v>2</v>
      </c>
      <c r="F92">
        <v>50</v>
      </c>
      <c r="G92" t="s">
        <v>21</v>
      </c>
      <c r="H92" t="s">
        <v>27</v>
      </c>
      <c r="I92" t="s">
        <v>28</v>
      </c>
      <c r="J92" t="s">
        <v>29</v>
      </c>
      <c r="K92">
        <v>36.590099334716797</v>
      </c>
      <c r="L92">
        <v>50.643798828125</v>
      </c>
      <c r="M92" s="19" t="s">
        <v>30</v>
      </c>
      <c r="N92" t="s">
        <v>31</v>
      </c>
      <c r="O92">
        <v>12</v>
      </c>
      <c r="P92">
        <v>85</v>
      </c>
      <c r="Q92">
        <v>12</v>
      </c>
      <c r="R92">
        <v>226800</v>
      </c>
      <c r="S92">
        <v>77</v>
      </c>
      <c r="T92">
        <v>488100</v>
      </c>
      <c r="U92" s="15">
        <v>714900</v>
      </c>
      <c r="V92" s="16">
        <f>Q92*Доп.Информация!$B$7 + S92*Доп.Информация!$B$8</f>
        <v>63894.388800000008</v>
      </c>
      <c r="W92" s="15">
        <f>(VLOOKUP('Результат запроса'!$M92,Доп.Информация!$A$14:$B$15,2,0)/1000) * (F92/60) * Доп.Информация!$B$20</f>
        <v>87521.1</v>
      </c>
      <c r="X92">
        <f>Доп.Информация!$B$11</f>
        <v>582.97800000000007</v>
      </c>
      <c r="Y92" s="15">
        <f>Доп.Информация!$B$27</f>
        <v>63333.333333333336</v>
      </c>
      <c r="Z92" s="16">
        <f t="shared" si="3"/>
        <v>499568.19986666663</v>
      </c>
    </row>
    <row r="93" spans="1:26" x14ac:dyDescent="0.25">
      <c r="A93">
        <v>136781</v>
      </c>
      <c r="B93" t="s">
        <v>26</v>
      </c>
      <c r="C93" s="1">
        <v>42749.393055555556</v>
      </c>
      <c r="D93" s="1">
        <v>42749.427777777775</v>
      </c>
      <c r="E93" s="17">
        <f t="shared" si="2"/>
        <v>1</v>
      </c>
      <c r="F93">
        <v>50</v>
      </c>
      <c r="G93" t="s">
        <v>21</v>
      </c>
      <c r="H93" t="s">
        <v>27</v>
      </c>
      <c r="I93" t="s">
        <v>28</v>
      </c>
      <c r="J93" t="s">
        <v>29</v>
      </c>
      <c r="K93">
        <v>36.590099334716797</v>
      </c>
      <c r="L93">
        <v>50.643798828125</v>
      </c>
      <c r="M93" s="19" t="s">
        <v>30</v>
      </c>
      <c r="N93" t="s">
        <v>31</v>
      </c>
      <c r="O93">
        <v>12</v>
      </c>
      <c r="P93">
        <v>85</v>
      </c>
      <c r="Q93">
        <v>12</v>
      </c>
      <c r="R93">
        <v>226800</v>
      </c>
      <c r="S93">
        <v>85</v>
      </c>
      <c r="T93">
        <v>538500</v>
      </c>
      <c r="U93" s="15">
        <v>765300</v>
      </c>
      <c r="V93" s="16">
        <f>Q93*Доп.Информация!$B$7 + S93*Доп.Информация!$B$8</f>
        <v>67625.448000000004</v>
      </c>
      <c r="W93" s="15">
        <f>(VLOOKUP('Результат запроса'!$M93,Доп.Информация!$A$14:$B$15,2,0)/1000) * (F93/60) * Доп.Информация!$B$20</f>
        <v>87521.1</v>
      </c>
      <c r="X93">
        <f>Доп.Информация!$B$11</f>
        <v>582.97800000000007</v>
      </c>
      <c r="Y93" s="15">
        <f>Доп.Информация!$B$27</f>
        <v>63333.333333333336</v>
      </c>
      <c r="Z93" s="16">
        <f t="shared" si="3"/>
        <v>546237.14066666667</v>
      </c>
    </row>
    <row r="94" spans="1:26" x14ac:dyDescent="0.25">
      <c r="A94">
        <v>136802</v>
      </c>
      <c r="B94" t="s">
        <v>26</v>
      </c>
      <c r="C94" s="1">
        <v>42792.397222222222</v>
      </c>
      <c r="D94" s="1">
        <v>42792.431944444441</v>
      </c>
      <c r="E94" s="17">
        <f t="shared" si="2"/>
        <v>2</v>
      </c>
      <c r="F94">
        <v>50</v>
      </c>
      <c r="G94" t="s">
        <v>21</v>
      </c>
      <c r="H94" t="s">
        <v>27</v>
      </c>
      <c r="I94" t="s">
        <v>28</v>
      </c>
      <c r="J94" t="s">
        <v>29</v>
      </c>
      <c r="K94">
        <v>36.590099334716797</v>
      </c>
      <c r="L94">
        <v>50.643798828125</v>
      </c>
      <c r="M94" s="19" t="s">
        <v>30</v>
      </c>
      <c r="N94" t="s">
        <v>31</v>
      </c>
      <c r="O94">
        <v>12</v>
      </c>
      <c r="P94">
        <v>85</v>
      </c>
      <c r="Q94">
        <v>11</v>
      </c>
      <c r="R94">
        <v>207900</v>
      </c>
      <c r="S94">
        <v>85</v>
      </c>
      <c r="T94">
        <v>538500</v>
      </c>
      <c r="U94" s="15">
        <v>746400</v>
      </c>
      <c r="V94" s="16">
        <f>Q94*Доп.Информация!$B$7 + S94*Доп.Информация!$B$8</f>
        <v>65293.536000000007</v>
      </c>
      <c r="W94" s="15">
        <f>(VLOOKUP('Результат запроса'!$M94,Доп.Информация!$A$14:$B$15,2,0)/1000) * (F94/60) * Доп.Информация!$B$20</f>
        <v>87521.1</v>
      </c>
      <c r="X94">
        <f>Доп.Информация!$B$11</f>
        <v>582.97800000000007</v>
      </c>
      <c r="Y94" s="15">
        <f>Доп.Информация!$B$27</f>
        <v>63333.333333333336</v>
      </c>
      <c r="Z94" s="16">
        <f t="shared" si="3"/>
        <v>529669.05266666668</v>
      </c>
    </row>
    <row r="95" spans="1:26" x14ac:dyDescent="0.25">
      <c r="A95">
        <v>136807</v>
      </c>
      <c r="B95" t="s">
        <v>26</v>
      </c>
      <c r="C95" s="1">
        <v>42789.394444444442</v>
      </c>
      <c r="D95" s="1">
        <v>42789.429166666669</v>
      </c>
      <c r="E95" s="17">
        <f t="shared" si="2"/>
        <v>2</v>
      </c>
      <c r="F95">
        <v>50</v>
      </c>
      <c r="G95" t="s">
        <v>21</v>
      </c>
      <c r="H95" t="s">
        <v>27</v>
      </c>
      <c r="I95" t="s">
        <v>28</v>
      </c>
      <c r="J95" t="s">
        <v>29</v>
      </c>
      <c r="K95">
        <v>36.590099334716797</v>
      </c>
      <c r="L95">
        <v>50.643798828125</v>
      </c>
      <c r="M95" s="19" t="s">
        <v>30</v>
      </c>
      <c r="N95" t="s">
        <v>31</v>
      </c>
      <c r="O95">
        <v>12</v>
      </c>
      <c r="P95">
        <v>85</v>
      </c>
      <c r="Q95">
        <v>8</v>
      </c>
      <c r="R95">
        <v>151200</v>
      </c>
      <c r="S95">
        <v>60</v>
      </c>
      <c r="T95">
        <v>379800</v>
      </c>
      <c r="U95" s="15">
        <v>531000</v>
      </c>
      <c r="V95" s="16">
        <f>Q95*Доп.Информация!$B$7 + S95*Доп.Информация!$B$8</f>
        <v>46638.240000000005</v>
      </c>
      <c r="W95" s="15">
        <f>(VLOOKUP('Результат запроса'!$M95,Доп.Информация!$A$14:$B$15,2,0)/1000) * (F95/60) * Доп.Информация!$B$20</f>
        <v>87521.1</v>
      </c>
      <c r="X95">
        <f>Доп.Информация!$B$11</f>
        <v>582.97800000000007</v>
      </c>
      <c r="Y95" s="15">
        <f>Доп.Информация!$B$27</f>
        <v>63333.333333333336</v>
      </c>
      <c r="Z95" s="16">
        <f t="shared" si="3"/>
        <v>332924.34866666666</v>
      </c>
    </row>
    <row r="96" spans="1:26" x14ac:dyDescent="0.25">
      <c r="A96">
        <v>136815</v>
      </c>
      <c r="B96" t="s">
        <v>26</v>
      </c>
      <c r="C96" s="1">
        <v>42785.393055555556</v>
      </c>
      <c r="D96" s="1">
        <v>42785.428472222222</v>
      </c>
      <c r="E96" s="17">
        <f t="shared" si="2"/>
        <v>2</v>
      </c>
      <c r="F96">
        <v>51</v>
      </c>
      <c r="G96" t="s">
        <v>21</v>
      </c>
      <c r="H96" t="s">
        <v>27</v>
      </c>
      <c r="I96" t="s">
        <v>28</v>
      </c>
      <c r="J96" t="s">
        <v>29</v>
      </c>
      <c r="K96">
        <v>36.590099334716797</v>
      </c>
      <c r="L96">
        <v>50.643798828125</v>
      </c>
      <c r="M96" s="19" t="s">
        <v>30</v>
      </c>
      <c r="N96" t="s">
        <v>31</v>
      </c>
      <c r="O96">
        <v>12</v>
      </c>
      <c r="P96">
        <v>85</v>
      </c>
      <c r="Q96">
        <v>12</v>
      </c>
      <c r="R96">
        <v>226800</v>
      </c>
      <c r="S96">
        <v>85</v>
      </c>
      <c r="T96">
        <v>538500</v>
      </c>
      <c r="U96" s="15">
        <v>765300</v>
      </c>
      <c r="V96" s="16">
        <f>Q96*Доп.Информация!$B$7 + S96*Доп.Информация!$B$8</f>
        <v>67625.448000000004</v>
      </c>
      <c r="W96" s="15">
        <f>(VLOOKUP('Результат запроса'!$M96,Доп.Информация!$A$14:$B$15,2,0)/1000) * (F96/60) * Доп.Информация!$B$20</f>
        <v>89271.521999999983</v>
      </c>
      <c r="X96">
        <f>Доп.Информация!$B$11</f>
        <v>582.97800000000007</v>
      </c>
      <c r="Y96" s="15">
        <f>Доп.Информация!$B$27</f>
        <v>63333.333333333336</v>
      </c>
      <c r="Z96" s="16">
        <f t="shared" si="3"/>
        <v>544486.71866666665</v>
      </c>
    </row>
    <row r="97" spans="1:26" x14ac:dyDescent="0.25">
      <c r="A97">
        <v>136819</v>
      </c>
      <c r="B97" t="s">
        <v>26</v>
      </c>
      <c r="C97" s="1">
        <v>42739.395138888889</v>
      </c>
      <c r="D97" s="1">
        <v>42739.429861111108</v>
      </c>
      <c r="E97" s="17">
        <f t="shared" si="2"/>
        <v>1</v>
      </c>
      <c r="F97">
        <v>50</v>
      </c>
      <c r="G97" t="s">
        <v>21</v>
      </c>
      <c r="H97" t="s">
        <v>27</v>
      </c>
      <c r="I97" t="s">
        <v>28</v>
      </c>
      <c r="J97" t="s">
        <v>29</v>
      </c>
      <c r="K97">
        <v>36.590099334716797</v>
      </c>
      <c r="L97">
        <v>50.643798828125</v>
      </c>
      <c r="M97" s="19" t="s">
        <v>30</v>
      </c>
      <c r="N97" t="s">
        <v>31</v>
      </c>
      <c r="O97">
        <v>12</v>
      </c>
      <c r="P97">
        <v>85</v>
      </c>
      <c r="Q97">
        <v>12</v>
      </c>
      <c r="R97">
        <v>226800</v>
      </c>
      <c r="S97">
        <v>84</v>
      </c>
      <c r="T97">
        <v>532200</v>
      </c>
      <c r="U97" s="15">
        <v>759000</v>
      </c>
      <c r="V97" s="16">
        <f>Q97*Доп.Информация!$B$7 + S97*Доп.Информация!$B$8</f>
        <v>67159.065600000002</v>
      </c>
      <c r="W97" s="15">
        <f>(VLOOKUP('Результат запроса'!$M97,Доп.Информация!$A$14:$B$15,2,0)/1000) * (F97/60) * Доп.Информация!$B$20</f>
        <v>87521.1</v>
      </c>
      <c r="X97">
        <f>Доп.Информация!$B$11</f>
        <v>582.97800000000007</v>
      </c>
      <c r="Y97" s="15">
        <f>Доп.Информация!$B$27</f>
        <v>63333.333333333336</v>
      </c>
      <c r="Z97" s="16">
        <f t="shared" si="3"/>
        <v>540403.52306666668</v>
      </c>
    </row>
    <row r="98" spans="1:26" x14ac:dyDescent="0.25">
      <c r="A98">
        <v>136823</v>
      </c>
      <c r="B98" t="s">
        <v>26</v>
      </c>
      <c r="C98" s="1">
        <v>42771.393750000003</v>
      </c>
      <c r="D98" s="1">
        <v>42771.429166666669</v>
      </c>
      <c r="E98" s="17">
        <f t="shared" si="2"/>
        <v>2</v>
      </c>
      <c r="F98">
        <v>51</v>
      </c>
      <c r="G98" t="s">
        <v>21</v>
      </c>
      <c r="H98" t="s">
        <v>27</v>
      </c>
      <c r="I98" t="s">
        <v>28</v>
      </c>
      <c r="J98" t="s">
        <v>29</v>
      </c>
      <c r="K98">
        <v>36.590099334716797</v>
      </c>
      <c r="L98">
        <v>50.643798828125</v>
      </c>
      <c r="M98" s="19" t="s">
        <v>30</v>
      </c>
      <c r="N98" t="s">
        <v>31</v>
      </c>
      <c r="O98">
        <v>12</v>
      </c>
      <c r="P98">
        <v>85</v>
      </c>
      <c r="Q98">
        <v>10</v>
      </c>
      <c r="R98">
        <v>189000</v>
      </c>
      <c r="S98">
        <v>68</v>
      </c>
      <c r="T98">
        <v>431400</v>
      </c>
      <c r="U98" s="15">
        <v>620400</v>
      </c>
      <c r="V98" s="16">
        <f>Q98*Доп.Информация!$B$7 + S98*Доп.Информация!$B$8</f>
        <v>55033.123200000002</v>
      </c>
      <c r="W98" s="15">
        <f>(VLOOKUP('Результат запроса'!$M98,Доп.Информация!$A$14:$B$15,2,0)/1000) * (F98/60) * Доп.Информация!$B$20</f>
        <v>89271.521999999983</v>
      </c>
      <c r="X98">
        <f>Доп.Информация!$B$11</f>
        <v>582.97800000000007</v>
      </c>
      <c r="Y98" s="15">
        <f>Доп.Информация!$B$27</f>
        <v>63333.333333333336</v>
      </c>
      <c r="Z98" s="16">
        <f t="shared" si="3"/>
        <v>412179.04346666671</v>
      </c>
    </row>
    <row r="99" spans="1:26" x14ac:dyDescent="0.25">
      <c r="A99">
        <v>136827</v>
      </c>
      <c r="B99" t="s">
        <v>26</v>
      </c>
      <c r="C99" s="1">
        <v>42784.393055555556</v>
      </c>
      <c r="D99" s="1">
        <v>42784.428472222222</v>
      </c>
      <c r="E99" s="17">
        <f t="shared" si="2"/>
        <v>2</v>
      </c>
      <c r="F99">
        <v>51</v>
      </c>
      <c r="G99" t="s">
        <v>21</v>
      </c>
      <c r="H99" t="s">
        <v>27</v>
      </c>
      <c r="I99" t="s">
        <v>28</v>
      </c>
      <c r="J99" t="s">
        <v>29</v>
      </c>
      <c r="K99">
        <v>36.590099334716797</v>
      </c>
      <c r="L99">
        <v>50.643798828125</v>
      </c>
      <c r="M99" s="19" t="s">
        <v>30</v>
      </c>
      <c r="N99" t="s">
        <v>31</v>
      </c>
      <c r="O99">
        <v>12</v>
      </c>
      <c r="P99">
        <v>85</v>
      </c>
      <c r="Q99">
        <v>12</v>
      </c>
      <c r="R99">
        <v>226800</v>
      </c>
      <c r="S99">
        <v>85</v>
      </c>
      <c r="T99">
        <v>538500</v>
      </c>
      <c r="U99" s="15">
        <v>765300</v>
      </c>
      <c r="V99" s="16">
        <f>Q99*Доп.Информация!$B$7 + S99*Доп.Информация!$B$8</f>
        <v>67625.448000000004</v>
      </c>
      <c r="W99" s="15">
        <f>(VLOOKUP('Результат запроса'!$M99,Доп.Информация!$A$14:$B$15,2,0)/1000) * (F99/60) * Доп.Информация!$B$20</f>
        <v>89271.521999999983</v>
      </c>
      <c r="X99">
        <f>Доп.Информация!$B$11</f>
        <v>582.97800000000007</v>
      </c>
      <c r="Y99" s="15">
        <f>Доп.Информация!$B$27</f>
        <v>63333.333333333336</v>
      </c>
      <c r="Z99" s="16">
        <f t="shared" si="3"/>
        <v>544486.71866666665</v>
      </c>
    </row>
    <row r="100" spans="1:26" x14ac:dyDescent="0.25">
      <c r="A100">
        <v>136838</v>
      </c>
      <c r="B100" t="s">
        <v>26</v>
      </c>
      <c r="C100" s="1">
        <v>42759.395833333336</v>
      </c>
      <c r="D100" s="1">
        <v>42759.431250000001</v>
      </c>
      <c r="E100" s="17">
        <f t="shared" si="2"/>
        <v>1</v>
      </c>
      <c r="F100">
        <v>51</v>
      </c>
      <c r="G100" t="s">
        <v>21</v>
      </c>
      <c r="H100" t="s">
        <v>27</v>
      </c>
      <c r="I100" t="s">
        <v>28</v>
      </c>
      <c r="J100" t="s">
        <v>29</v>
      </c>
      <c r="K100">
        <v>36.590099334716797</v>
      </c>
      <c r="L100">
        <v>50.643798828125</v>
      </c>
      <c r="M100" s="19" t="s">
        <v>30</v>
      </c>
      <c r="N100" t="s">
        <v>31</v>
      </c>
      <c r="O100">
        <v>12</v>
      </c>
      <c r="P100">
        <v>85</v>
      </c>
      <c r="Q100">
        <v>10</v>
      </c>
      <c r="R100">
        <v>189000</v>
      </c>
      <c r="S100">
        <v>76</v>
      </c>
      <c r="T100">
        <v>481200</v>
      </c>
      <c r="U100" s="15">
        <v>670200</v>
      </c>
      <c r="V100" s="16">
        <f>Q100*Доп.Информация!$B$7 + S100*Доп.Информация!$B$8</f>
        <v>58764.182400000005</v>
      </c>
      <c r="W100" s="15">
        <f>(VLOOKUP('Результат запроса'!$M100,Доп.Информация!$A$14:$B$15,2,0)/1000) * (F100/60) * Доп.Информация!$B$20</f>
        <v>89271.521999999983</v>
      </c>
      <c r="X100">
        <f>Доп.Информация!$B$11</f>
        <v>582.97800000000007</v>
      </c>
      <c r="Y100" s="15">
        <f>Доп.Информация!$B$27</f>
        <v>63333.333333333336</v>
      </c>
      <c r="Z100" s="16">
        <f t="shared" si="3"/>
        <v>458247.9842666667</v>
      </c>
    </row>
    <row r="101" spans="1:26" x14ac:dyDescent="0.25">
      <c r="A101">
        <v>136841</v>
      </c>
      <c r="B101" t="s">
        <v>26</v>
      </c>
      <c r="C101" s="1">
        <v>42773.392361111109</v>
      </c>
      <c r="D101" s="1">
        <v>42773.427777777775</v>
      </c>
      <c r="E101" s="17">
        <f t="shared" si="2"/>
        <v>2</v>
      </c>
      <c r="F101">
        <v>51</v>
      </c>
      <c r="G101" t="s">
        <v>21</v>
      </c>
      <c r="H101" t="s">
        <v>27</v>
      </c>
      <c r="I101" t="s">
        <v>28</v>
      </c>
      <c r="J101" t="s">
        <v>29</v>
      </c>
      <c r="K101">
        <v>36.590099334716797</v>
      </c>
      <c r="L101">
        <v>50.643798828125</v>
      </c>
      <c r="M101" s="19" t="s">
        <v>30</v>
      </c>
      <c r="N101" t="s">
        <v>31</v>
      </c>
      <c r="O101">
        <v>12</v>
      </c>
      <c r="P101">
        <v>85</v>
      </c>
      <c r="Q101">
        <v>12</v>
      </c>
      <c r="R101">
        <v>226800</v>
      </c>
      <c r="S101">
        <v>85</v>
      </c>
      <c r="T101">
        <v>538500</v>
      </c>
      <c r="U101" s="15">
        <v>765300</v>
      </c>
      <c r="V101" s="16">
        <f>Q101*Доп.Информация!$B$7 + S101*Доп.Информация!$B$8</f>
        <v>67625.448000000004</v>
      </c>
      <c r="W101" s="15">
        <f>(VLOOKUP('Результат запроса'!$M101,Доп.Информация!$A$14:$B$15,2,0)/1000) * (F101/60) * Доп.Информация!$B$20</f>
        <v>89271.521999999983</v>
      </c>
      <c r="X101">
        <f>Доп.Информация!$B$11</f>
        <v>582.97800000000007</v>
      </c>
      <c r="Y101" s="15">
        <f>Доп.Информация!$B$27</f>
        <v>63333.333333333336</v>
      </c>
      <c r="Z101" s="16">
        <f t="shared" si="3"/>
        <v>544486.71866666665</v>
      </c>
    </row>
    <row r="102" spans="1:26" x14ac:dyDescent="0.25">
      <c r="A102">
        <v>136844</v>
      </c>
      <c r="B102" t="s">
        <v>26</v>
      </c>
      <c r="C102" s="1">
        <v>42794.393055555556</v>
      </c>
      <c r="D102" s="1">
        <v>42794.427777777775</v>
      </c>
      <c r="E102" s="17">
        <f t="shared" si="2"/>
        <v>2</v>
      </c>
      <c r="F102">
        <v>50</v>
      </c>
      <c r="G102" t="s">
        <v>21</v>
      </c>
      <c r="H102" t="s">
        <v>27</v>
      </c>
      <c r="I102" t="s">
        <v>28</v>
      </c>
      <c r="J102" t="s">
        <v>29</v>
      </c>
      <c r="K102">
        <v>36.590099334716797</v>
      </c>
      <c r="L102">
        <v>50.643798828125</v>
      </c>
      <c r="M102" s="19" t="s">
        <v>30</v>
      </c>
      <c r="N102" t="s">
        <v>31</v>
      </c>
      <c r="O102">
        <v>12</v>
      </c>
      <c r="P102">
        <v>85</v>
      </c>
      <c r="Q102">
        <v>6</v>
      </c>
      <c r="R102">
        <v>113400</v>
      </c>
      <c r="S102">
        <v>73</v>
      </c>
      <c r="T102">
        <v>461700</v>
      </c>
      <c r="U102" s="15">
        <v>575100</v>
      </c>
      <c r="V102" s="16">
        <f>Q102*Доп.Информация!$B$7 + S102*Доп.Информация!$B$8</f>
        <v>48037.387200000005</v>
      </c>
      <c r="W102" s="15">
        <f>(VLOOKUP('Результат запроса'!$M102,Доп.Информация!$A$14:$B$15,2,0)/1000) * (F102/60) * Доп.Информация!$B$20</f>
        <v>87521.1</v>
      </c>
      <c r="X102">
        <f>Доп.Информация!$B$11</f>
        <v>582.97800000000007</v>
      </c>
      <c r="Y102" s="15">
        <f>Доп.Информация!$B$27</f>
        <v>63333.333333333336</v>
      </c>
      <c r="Z102" s="16">
        <f t="shared" si="3"/>
        <v>375625.20146666665</v>
      </c>
    </row>
    <row r="103" spans="1:26" x14ac:dyDescent="0.25">
      <c r="A103">
        <v>136855</v>
      </c>
      <c r="B103" t="s">
        <v>26</v>
      </c>
      <c r="C103" s="1">
        <v>42746.504861111112</v>
      </c>
      <c r="D103" s="1">
        <v>42746.539583333331</v>
      </c>
      <c r="E103" s="17">
        <f t="shared" si="2"/>
        <v>1</v>
      </c>
      <c r="F103">
        <v>50</v>
      </c>
      <c r="G103" t="s">
        <v>21</v>
      </c>
      <c r="H103" t="s">
        <v>27</v>
      </c>
      <c r="I103" t="s">
        <v>28</v>
      </c>
      <c r="J103" t="s">
        <v>29</v>
      </c>
      <c r="K103">
        <v>36.590099334716797</v>
      </c>
      <c r="L103">
        <v>50.643798828125</v>
      </c>
      <c r="M103" s="19" t="s">
        <v>30</v>
      </c>
      <c r="N103" t="s">
        <v>31</v>
      </c>
      <c r="O103">
        <v>12</v>
      </c>
      <c r="P103">
        <v>85</v>
      </c>
      <c r="Q103">
        <v>12</v>
      </c>
      <c r="R103">
        <v>226800</v>
      </c>
      <c r="S103">
        <v>75</v>
      </c>
      <c r="T103">
        <v>475500</v>
      </c>
      <c r="U103" s="15">
        <v>702300</v>
      </c>
      <c r="V103" s="16">
        <f>Q103*Доп.Информация!$B$7 + S103*Доп.Информация!$B$8</f>
        <v>62961.624000000003</v>
      </c>
      <c r="W103" s="15">
        <f>(VLOOKUP('Результат запроса'!$M103,Доп.Информация!$A$14:$B$15,2,0)/1000) * (F103/60) * Доп.Информация!$B$20</f>
        <v>87521.1</v>
      </c>
      <c r="X103">
        <f>Доп.Информация!$B$11</f>
        <v>582.97800000000007</v>
      </c>
      <c r="Y103" s="15">
        <f>Доп.Информация!$B$27</f>
        <v>63333.333333333336</v>
      </c>
      <c r="Z103" s="16">
        <f t="shared" si="3"/>
        <v>487900.96466666664</v>
      </c>
    </row>
    <row r="104" spans="1:26" x14ac:dyDescent="0.25">
      <c r="A104">
        <v>136857</v>
      </c>
      <c r="B104" t="s">
        <v>26</v>
      </c>
      <c r="C104" s="1">
        <v>42779.396527777775</v>
      </c>
      <c r="D104" s="1">
        <v>42779.431250000001</v>
      </c>
      <c r="E104" s="17">
        <f t="shared" si="2"/>
        <v>2</v>
      </c>
      <c r="F104">
        <v>50</v>
      </c>
      <c r="G104" t="s">
        <v>21</v>
      </c>
      <c r="H104" t="s">
        <v>27</v>
      </c>
      <c r="I104" t="s">
        <v>28</v>
      </c>
      <c r="J104" t="s">
        <v>29</v>
      </c>
      <c r="K104">
        <v>36.590099334716797</v>
      </c>
      <c r="L104">
        <v>50.643798828125</v>
      </c>
      <c r="M104" s="19" t="s">
        <v>30</v>
      </c>
      <c r="N104" t="s">
        <v>31</v>
      </c>
      <c r="O104">
        <v>12</v>
      </c>
      <c r="P104">
        <v>85</v>
      </c>
      <c r="Q104">
        <v>12</v>
      </c>
      <c r="R104">
        <v>226800</v>
      </c>
      <c r="S104">
        <v>85</v>
      </c>
      <c r="T104">
        <v>538500</v>
      </c>
      <c r="U104" s="15">
        <v>765300</v>
      </c>
      <c r="V104" s="16">
        <f>Q104*Доп.Информация!$B$7 + S104*Доп.Информация!$B$8</f>
        <v>67625.448000000004</v>
      </c>
      <c r="W104" s="15">
        <f>(VLOOKUP('Результат запроса'!$M104,Доп.Информация!$A$14:$B$15,2,0)/1000) * (F104/60) * Доп.Информация!$B$20</f>
        <v>87521.1</v>
      </c>
      <c r="X104">
        <f>Доп.Информация!$B$11</f>
        <v>582.97800000000007</v>
      </c>
      <c r="Y104" s="15">
        <f>Доп.Информация!$B$27</f>
        <v>63333.333333333336</v>
      </c>
      <c r="Z104" s="16">
        <f t="shared" si="3"/>
        <v>546237.14066666667</v>
      </c>
    </row>
    <row r="105" spans="1:26" x14ac:dyDescent="0.25">
      <c r="A105">
        <v>136861</v>
      </c>
      <c r="B105" t="s">
        <v>26</v>
      </c>
      <c r="C105" s="1">
        <v>42778.394444444442</v>
      </c>
      <c r="D105" s="1">
        <v>42778.428472222222</v>
      </c>
      <c r="E105" s="17">
        <f t="shared" si="2"/>
        <v>2</v>
      </c>
      <c r="F105">
        <v>49</v>
      </c>
      <c r="G105" t="s">
        <v>21</v>
      </c>
      <c r="H105" t="s">
        <v>27</v>
      </c>
      <c r="I105" t="s">
        <v>28</v>
      </c>
      <c r="J105" t="s">
        <v>29</v>
      </c>
      <c r="K105">
        <v>36.590099334716797</v>
      </c>
      <c r="L105">
        <v>50.643798828125</v>
      </c>
      <c r="M105" s="19" t="s">
        <v>30</v>
      </c>
      <c r="N105" t="s">
        <v>31</v>
      </c>
      <c r="O105">
        <v>12</v>
      </c>
      <c r="P105">
        <v>85</v>
      </c>
      <c r="Q105">
        <v>11</v>
      </c>
      <c r="R105">
        <v>207900</v>
      </c>
      <c r="S105">
        <v>76</v>
      </c>
      <c r="T105">
        <v>481200</v>
      </c>
      <c r="U105" s="15">
        <v>689100</v>
      </c>
      <c r="V105" s="16">
        <f>Q105*Доп.Информация!$B$7 + S105*Доп.Информация!$B$8</f>
        <v>61096.094400000002</v>
      </c>
      <c r="W105" s="15">
        <f>(VLOOKUP('Результат запроса'!$M105,Доп.Информация!$A$14:$B$15,2,0)/1000) * (F105/60) * Доп.Информация!$B$20</f>
        <v>85770.677999999985</v>
      </c>
      <c r="X105">
        <f>Доп.Информация!$B$11</f>
        <v>582.97800000000007</v>
      </c>
      <c r="Y105" s="15">
        <f>Доп.Информация!$B$27</f>
        <v>63333.333333333336</v>
      </c>
      <c r="Z105" s="16">
        <f t="shared" si="3"/>
        <v>478316.91626666667</v>
      </c>
    </row>
    <row r="106" spans="1:26" x14ac:dyDescent="0.25">
      <c r="A106">
        <v>136869</v>
      </c>
      <c r="B106" t="s">
        <v>26</v>
      </c>
      <c r="C106" s="1">
        <v>42766.393055555556</v>
      </c>
      <c r="D106" s="1">
        <v>42766.427777777775</v>
      </c>
      <c r="E106" s="17">
        <f t="shared" si="2"/>
        <v>1</v>
      </c>
      <c r="F106">
        <v>50</v>
      </c>
      <c r="G106" t="s">
        <v>21</v>
      </c>
      <c r="H106" t="s">
        <v>27</v>
      </c>
      <c r="I106" t="s">
        <v>28</v>
      </c>
      <c r="J106" t="s">
        <v>29</v>
      </c>
      <c r="K106">
        <v>36.590099334716797</v>
      </c>
      <c r="L106">
        <v>50.643798828125</v>
      </c>
      <c r="M106" s="19" t="s">
        <v>30</v>
      </c>
      <c r="N106" t="s">
        <v>31</v>
      </c>
      <c r="O106">
        <v>12</v>
      </c>
      <c r="P106">
        <v>85</v>
      </c>
      <c r="Q106">
        <v>12</v>
      </c>
      <c r="R106">
        <v>226800</v>
      </c>
      <c r="S106">
        <v>85</v>
      </c>
      <c r="T106">
        <v>538500</v>
      </c>
      <c r="U106" s="15">
        <v>765300</v>
      </c>
      <c r="V106" s="16">
        <f>Q106*Доп.Информация!$B$7 + S106*Доп.Информация!$B$8</f>
        <v>67625.448000000004</v>
      </c>
      <c r="W106" s="15">
        <f>(VLOOKUP('Результат запроса'!$M106,Доп.Информация!$A$14:$B$15,2,0)/1000) * (F106/60) * Доп.Информация!$B$20</f>
        <v>87521.1</v>
      </c>
      <c r="X106">
        <f>Доп.Информация!$B$11</f>
        <v>582.97800000000007</v>
      </c>
      <c r="Y106" s="15">
        <f>Доп.Информация!$B$27</f>
        <v>63333.333333333336</v>
      </c>
      <c r="Z106" s="16">
        <f t="shared" si="3"/>
        <v>546237.14066666667</v>
      </c>
    </row>
    <row r="107" spans="1:26" x14ac:dyDescent="0.25">
      <c r="A107">
        <v>136871</v>
      </c>
      <c r="B107" t="s">
        <v>26</v>
      </c>
      <c r="C107" s="1">
        <v>42748.394444444442</v>
      </c>
      <c r="D107" s="1">
        <v>42748.429166666669</v>
      </c>
      <c r="E107" s="17">
        <f t="shared" si="2"/>
        <v>1</v>
      </c>
      <c r="F107">
        <v>50</v>
      </c>
      <c r="G107" t="s">
        <v>21</v>
      </c>
      <c r="H107" t="s">
        <v>27</v>
      </c>
      <c r="I107" t="s">
        <v>28</v>
      </c>
      <c r="J107" t="s">
        <v>29</v>
      </c>
      <c r="K107">
        <v>36.590099334716797</v>
      </c>
      <c r="L107">
        <v>50.643798828125</v>
      </c>
      <c r="M107" s="19" t="s">
        <v>30</v>
      </c>
      <c r="N107" t="s">
        <v>31</v>
      </c>
      <c r="O107">
        <v>12</v>
      </c>
      <c r="P107">
        <v>85</v>
      </c>
      <c r="Q107">
        <v>12</v>
      </c>
      <c r="R107">
        <v>226800</v>
      </c>
      <c r="S107">
        <v>85</v>
      </c>
      <c r="T107">
        <v>538500</v>
      </c>
      <c r="U107" s="15">
        <v>765300</v>
      </c>
      <c r="V107" s="16">
        <f>Q107*Доп.Информация!$B$7 + S107*Доп.Информация!$B$8</f>
        <v>67625.448000000004</v>
      </c>
      <c r="W107" s="15">
        <f>(VLOOKUP('Результат запроса'!$M107,Доп.Информация!$A$14:$B$15,2,0)/1000) * (F107/60) * Доп.Информация!$B$20</f>
        <v>87521.1</v>
      </c>
      <c r="X107">
        <f>Доп.Информация!$B$11</f>
        <v>582.97800000000007</v>
      </c>
      <c r="Y107" s="15">
        <f>Доп.Информация!$B$27</f>
        <v>63333.333333333336</v>
      </c>
      <c r="Z107" s="16">
        <f t="shared" si="3"/>
        <v>546237.14066666667</v>
      </c>
    </row>
    <row r="108" spans="1:26" x14ac:dyDescent="0.25">
      <c r="A108">
        <v>136875</v>
      </c>
      <c r="B108" t="s">
        <v>26</v>
      </c>
      <c r="C108" s="1">
        <v>42782.395138888889</v>
      </c>
      <c r="D108" s="1">
        <v>42782.429861111108</v>
      </c>
      <c r="E108" s="17">
        <f t="shared" si="2"/>
        <v>2</v>
      </c>
      <c r="F108">
        <v>50</v>
      </c>
      <c r="G108" t="s">
        <v>21</v>
      </c>
      <c r="H108" t="s">
        <v>27</v>
      </c>
      <c r="I108" t="s">
        <v>28</v>
      </c>
      <c r="J108" t="s">
        <v>29</v>
      </c>
      <c r="K108">
        <v>36.590099334716797</v>
      </c>
      <c r="L108">
        <v>50.643798828125</v>
      </c>
      <c r="M108" s="19" t="s">
        <v>30</v>
      </c>
      <c r="N108" t="s">
        <v>31</v>
      </c>
      <c r="O108">
        <v>12</v>
      </c>
      <c r="P108">
        <v>85</v>
      </c>
      <c r="Q108">
        <v>12</v>
      </c>
      <c r="R108">
        <v>226800</v>
      </c>
      <c r="S108">
        <v>85</v>
      </c>
      <c r="T108">
        <v>538500</v>
      </c>
      <c r="U108" s="15">
        <v>765300</v>
      </c>
      <c r="V108" s="16">
        <f>Q108*Доп.Информация!$B$7 + S108*Доп.Информация!$B$8</f>
        <v>67625.448000000004</v>
      </c>
      <c r="W108" s="15">
        <f>(VLOOKUP('Результат запроса'!$M108,Доп.Информация!$A$14:$B$15,2,0)/1000) * (F108/60) * Доп.Информация!$B$20</f>
        <v>87521.1</v>
      </c>
      <c r="X108">
        <f>Доп.Информация!$B$11</f>
        <v>582.97800000000007</v>
      </c>
      <c r="Y108" s="15">
        <f>Доп.Информация!$B$27</f>
        <v>63333.333333333336</v>
      </c>
      <c r="Z108" s="16">
        <f t="shared" si="3"/>
        <v>546237.14066666667</v>
      </c>
    </row>
    <row r="109" spans="1:26" x14ac:dyDescent="0.25">
      <c r="A109">
        <v>136887</v>
      </c>
      <c r="B109" t="s">
        <v>26</v>
      </c>
      <c r="C109" s="1">
        <v>42755.395833333336</v>
      </c>
      <c r="D109" s="1">
        <v>42755.429861111108</v>
      </c>
      <c r="E109" s="17">
        <f t="shared" si="2"/>
        <v>1</v>
      </c>
      <c r="F109">
        <v>49</v>
      </c>
      <c r="G109" t="s">
        <v>21</v>
      </c>
      <c r="H109" t="s">
        <v>27</v>
      </c>
      <c r="I109" t="s">
        <v>28</v>
      </c>
      <c r="J109" t="s">
        <v>29</v>
      </c>
      <c r="K109">
        <v>36.590099334716797</v>
      </c>
      <c r="L109">
        <v>50.643798828125</v>
      </c>
      <c r="M109" s="19" t="s">
        <v>30</v>
      </c>
      <c r="N109" t="s">
        <v>31</v>
      </c>
      <c r="O109">
        <v>12</v>
      </c>
      <c r="P109">
        <v>85</v>
      </c>
      <c r="Q109">
        <v>8</v>
      </c>
      <c r="R109">
        <v>151200</v>
      </c>
      <c r="S109">
        <v>70</v>
      </c>
      <c r="T109">
        <v>444000</v>
      </c>
      <c r="U109" s="15">
        <v>595200</v>
      </c>
      <c r="V109" s="16">
        <f>Q109*Доп.Информация!$B$7 + S109*Доп.Информация!$B$8</f>
        <v>51302.063999999998</v>
      </c>
      <c r="W109" s="15">
        <f>(VLOOKUP('Результат запроса'!$M109,Доп.Информация!$A$14:$B$15,2,0)/1000) * (F109/60) * Доп.Информация!$B$20</f>
        <v>85770.677999999985</v>
      </c>
      <c r="X109">
        <f>Доп.Информация!$B$11</f>
        <v>582.97800000000007</v>
      </c>
      <c r="Y109" s="15">
        <f>Доп.Информация!$B$27</f>
        <v>63333.333333333336</v>
      </c>
      <c r="Z109" s="16">
        <f t="shared" si="3"/>
        <v>394210.94666666666</v>
      </c>
    </row>
    <row r="110" spans="1:26" x14ac:dyDescent="0.25">
      <c r="A110">
        <v>136888</v>
      </c>
      <c r="B110" t="s">
        <v>26</v>
      </c>
      <c r="C110" s="1">
        <v>42780.395138888889</v>
      </c>
      <c r="D110" s="1">
        <v>42780.429861111108</v>
      </c>
      <c r="E110" s="17">
        <f t="shared" si="2"/>
        <v>2</v>
      </c>
      <c r="F110">
        <v>50</v>
      </c>
      <c r="G110" t="s">
        <v>21</v>
      </c>
      <c r="H110" t="s">
        <v>27</v>
      </c>
      <c r="I110" t="s">
        <v>28</v>
      </c>
      <c r="J110" t="s">
        <v>29</v>
      </c>
      <c r="K110">
        <v>36.590099334716797</v>
      </c>
      <c r="L110">
        <v>50.643798828125</v>
      </c>
      <c r="M110" s="19" t="s">
        <v>30</v>
      </c>
      <c r="N110" t="s">
        <v>31</v>
      </c>
      <c r="O110">
        <v>12</v>
      </c>
      <c r="P110">
        <v>85</v>
      </c>
      <c r="Q110">
        <v>10</v>
      </c>
      <c r="R110">
        <v>189000</v>
      </c>
      <c r="S110">
        <v>69</v>
      </c>
      <c r="T110">
        <v>437100</v>
      </c>
      <c r="U110" s="15">
        <v>626100</v>
      </c>
      <c r="V110" s="16">
        <f>Q110*Доп.Информация!$B$7 + S110*Доп.Информация!$B$8</f>
        <v>55499.505600000004</v>
      </c>
      <c r="W110" s="15">
        <f>(VLOOKUP('Результат запроса'!$M110,Доп.Информация!$A$14:$B$15,2,0)/1000) * (F110/60) * Доп.Информация!$B$20</f>
        <v>87521.1</v>
      </c>
      <c r="X110">
        <f>Доп.Информация!$B$11</f>
        <v>582.97800000000007</v>
      </c>
      <c r="Y110" s="15">
        <f>Доп.Информация!$B$27</f>
        <v>63333.333333333336</v>
      </c>
      <c r="Z110" s="16">
        <f t="shared" si="3"/>
        <v>419163.08306666662</v>
      </c>
    </row>
    <row r="111" spans="1:26" x14ac:dyDescent="0.25">
      <c r="A111">
        <v>136900</v>
      </c>
      <c r="B111" t="s">
        <v>26</v>
      </c>
      <c r="C111" s="1">
        <v>42767.395833333336</v>
      </c>
      <c r="D111" s="1">
        <v>42767.431250000001</v>
      </c>
      <c r="E111" s="17">
        <f t="shared" si="2"/>
        <v>2</v>
      </c>
      <c r="F111">
        <v>51</v>
      </c>
      <c r="G111" t="s">
        <v>21</v>
      </c>
      <c r="H111" t="s">
        <v>27</v>
      </c>
      <c r="I111" t="s">
        <v>28</v>
      </c>
      <c r="J111" t="s">
        <v>29</v>
      </c>
      <c r="K111">
        <v>36.590099334716797</v>
      </c>
      <c r="L111">
        <v>50.643798828125</v>
      </c>
      <c r="M111" s="19" t="s">
        <v>30</v>
      </c>
      <c r="N111" t="s">
        <v>31</v>
      </c>
      <c r="O111">
        <v>12</v>
      </c>
      <c r="P111">
        <v>85</v>
      </c>
      <c r="Q111">
        <v>12</v>
      </c>
      <c r="R111">
        <v>226800</v>
      </c>
      <c r="S111">
        <v>85</v>
      </c>
      <c r="T111">
        <v>538500</v>
      </c>
      <c r="U111" s="15">
        <v>765300</v>
      </c>
      <c r="V111" s="16">
        <f>Q111*Доп.Информация!$B$7 + S111*Доп.Информация!$B$8</f>
        <v>67625.448000000004</v>
      </c>
      <c r="W111" s="15">
        <f>(VLOOKUP('Результат запроса'!$M111,Доп.Информация!$A$14:$B$15,2,0)/1000) * (F111/60) * Доп.Информация!$B$20</f>
        <v>89271.521999999983</v>
      </c>
      <c r="X111">
        <f>Доп.Информация!$B$11</f>
        <v>582.97800000000007</v>
      </c>
      <c r="Y111" s="15">
        <f>Доп.Информация!$B$27</f>
        <v>63333.333333333336</v>
      </c>
      <c r="Z111" s="16">
        <f t="shared" si="3"/>
        <v>544486.71866666665</v>
      </c>
    </row>
    <row r="112" spans="1:26" x14ac:dyDescent="0.25">
      <c r="A112">
        <v>136907</v>
      </c>
      <c r="B112" t="s">
        <v>26</v>
      </c>
      <c r="C112" s="1">
        <v>42751.396527777775</v>
      </c>
      <c r="D112" s="1">
        <v>42751.431944444441</v>
      </c>
      <c r="E112" s="17">
        <f t="shared" si="2"/>
        <v>1</v>
      </c>
      <c r="F112">
        <v>51</v>
      </c>
      <c r="G112" t="s">
        <v>21</v>
      </c>
      <c r="H112" t="s">
        <v>27</v>
      </c>
      <c r="I112" t="s">
        <v>28</v>
      </c>
      <c r="J112" t="s">
        <v>29</v>
      </c>
      <c r="K112">
        <v>36.590099334716797</v>
      </c>
      <c r="L112">
        <v>50.643798828125</v>
      </c>
      <c r="M112" s="19" t="s">
        <v>30</v>
      </c>
      <c r="N112" t="s">
        <v>31</v>
      </c>
      <c r="O112">
        <v>12</v>
      </c>
      <c r="P112">
        <v>85</v>
      </c>
      <c r="Q112">
        <v>12</v>
      </c>
      <c r="R112">
        <v>226800</v>
      </c>
      <c r="S112">
        <v>84</v>
      </c>
      <c r="T112">
        <v>532200</v>
      </c>
      <c r="U112" s="15">
        <v>759000</v>
      </c>
      <c r="V112" s="16">
        <f>Q112*Доп.Информация!$B$7 + S112*Доп.Информация!$B$8</f>
        <v>67159.065600000002</v>
      </c>
      <c r="W112" s="15">
        <f>(VLOOKUP('Результат запроса'!$M112,Доп.Информация!$A$14:$B$15,2,0)/1000) * (F112/60) * Доп.Информация!$B$20</f>
        <v>89271.521999999983</v>
      </c>
      <c r="X112">
        <f>Доп.Информация!$B$11</f>
        <v>582.97800000000007</v>
      </c>
      <c r="Y112" s="15">
        <f>Доп.Информация!$B$27</f>
        <v>63333.333333333336</v>
      </c>
      <c r="Z112" s="16">
        <f t="shared" si="3"/>
        <v>538653.10106666666</v>
      </c>
    </row>
    <row r="113" spans="1:26" x14ac:dyDescent="0.25">
      <c r="A113">
        <v>136922</v>
      </c>
      <c r="B113" t="s">
        <v>26</v>
      </c>
      <c r="C113" s="1">
        <v>42777.393750000003</v>
      </c>
      <c r="D113" s="1">
        <v>42777.428472222222</v>
      </c>
      <c r="E113" s="17">
        <f t="shared" si="2"/>
        <v>2</v>
      </c>
      <c r="F113">
        <v>50</v>
      </c>
      <c r="G113" t="s">
        <v>21</v>
      </c>
      <c r="H113" t="s">
        <v>27</v>
      </c>
      <c r="I113" t="s">
        <v>28</v>
      </c>
      <c r="J113" t="s">
        <v>29</v>
      </c>
      <c r="K113">
        <v>36.590099334716797</v>
      </c>
      <c r="L113">
        <v>50.643798828125</v>
      </c>
      <c r="M113" s="19" t="s">
        <v>30</v>
      </c>
      <c r="N113" t="s">
        <v>31</v>
      </c>
      <c r="O113">
        <v>12</v>
      </c>
      <c r="P113">
        <v>85</v>
      </c>
      <c r="Q113">
        <v>10</v>
      </c>
      <c r="R113">
        <v>189000</v>
      </c>
      <c r="S113">
        <v>66</v>
      </c>
      <c r="T113">
        <v>418800</v>
      </c>
      <c r="U113" s="15">
        <v>607800</v>
      </c>
      <c r="V113" s="16">
        <f>Q113*Доп.Информация!$B$7 + S113*Доп.Информация!$B$8</f>
        <v>54100.358400000005</v>
      </c>
      <c r="W113" s="15">
        <f>(VLOOKUP('Результат запроса'!$M113,Доп.Информация!$A$14:$B$15,2,0)/1000) * (F113/60) * Доп.Информация!$B$20</f>
        <v>87521.1</v>
      </c>
      <c r="X113">
        <f>Доп.Информация!$B$11</f>
        <v>582.97800000000007</v>
      </c>
      <c r="Y113" s="15">
        <f>Доп.Информация!$B$27</f>
        <v>63333.333333333336</v>
      </c>
      <c r="Z113" s="16">
        <f t="shared" si="3"/>
        <v>402262.23026666662</v>
      </c>
    </row>
    <row r="114" spans="1:26" x14ac:dyDescent="0.25">
      <c r="A114">
        <v>136927</v>
      </c>
      <c r="B114" t="s">
        <v>26</v>
      </c>
      <c r="C114" s="1">
        <v>42757.394444444442</v>
      </c>
      <c r="D114" s="1">
        <v>42757.429861111108</v>
      </c>
      <c r="E114" s="17">
        <f t="shared" si="2"/>
        <v>1</v>
      </c>
      <c r="F114">
        <v>51</v>
      </c>
      <c r="G114" t="s">
        <v>21</v>
      </c>
      <c r="H114" t="s">
        <v>27</v>
      </c>
      <c r="I114" t="s">
        <v>28</v>
      </c>
      <c r="J114" t="s">
        <v>29</v>
      </c>
      <c r="K114">
        <v>36.590099334716797</v>
      </c>
      <c r="L114">
        <v>50.643798828125</v>
      </c>
      <c r="M114" s="19" t="s">
        <v>30</v>
      </c>
      <c r="N114" t="s">
        <v>31</v>
      </c>
      <c r="O114">
        <v>12</v>
      </c>
      <c r="P114">
        <v>85</v>
      </c>
      <c r="Q114">
        <v>12</v>
      </c>
      <c r="R114">
        <v>226800</v>
      </c>
      <c r="S114">
        <v>85</v>
      </c>
      <c r="T114">
        <v>538500</v>
      </c>
      <c r="U114" s="15">
        <v>765300</v>
      </c>
      <c r="V114" s="16">
        <f>Q114*Доп.Информация!$B$7 + S114*Доп.Информация!$B$8</f>
        <v>67625.448000000004</v>
      </c>
      <c r="W114" s="15">
        <f>(VLOOKUP('Результат запроса'!$M114,Доп.Информация!$A$14:$B$15,2,0)/1000) * (F114/60) * Доп.Информация!$B$20</f>
        <v>89271.521999999983</v>
      </c>
      <c r="X114">
        <f>Доп.Информация!$B$11</f>
        <v>582.97800000000007</v>
      </c>
      <c r="Y114" s="15">
        <f>Доп.Информация!$B$27</f>
        <v>63333.333333333336</v>
      </c>
      <c r="Z114" s="16">
        <f t="shared" si="3"/>
        <v>544486.71866666665</v>
      </c>
    </row>
    <row r="115" spans="1:26" x14ac:dyDescent="0.25">
      <c r="A115">
        <v>136936</v>
      </c>
      <c r="B115" t="s">
        <v>26</v>
      </c>
      <c r="C115" s="1">
        <v>42737.394444444442</v>
      </c>
      <c r="D115" s="1">
        <v>42737.429166666669</v>
      </c>
      <c r="E115" s="17">
        <f t="shared" si="2"/>
        <v>1</v>
      </c>
      <c r="F115">
        <v>50</v>
      </c>
      <c r="G115" t="s">
        <v>21</v>
      </c>
      <c r="H115" t="s">
        <v>27</v>
      </c>
      <c r="I115" t="s">
        <v>28</v>
      </c>
      <c r="J115" t="s">
        <v>29</v>
      </c>
      <c r="K115">
        <v>36.590099334716797</v>
      </c>
      <c r="L115">
        <v>50.643798828125</v>
      </c>
      <c r="M115" s="19" t="s">
        <v>30</v>
      </c>
      <c r="N115" t="s">
        <v>31</v>
      </c>
      <c r="O115">
        <v>12</v>
      </c>
      <c r="P115">
        <v>85</v>
      </c>
      <c r="Q115">
        <v>9</v>
      </c>
      <c r="R115">
        <v>170100</v>
      </c>
      <c r="S115">
        <v>73</v>
      </c>
      <c r="T115">
        <v>462300</v>
      </c>
      <c r="U115" s="15">
        <v>632400</v>
      </c>
      <c r="V115" s="16">
        <f>Q115*Доп.Информация!$B$7 + S115*Доп.Информация!$B$8</f>
        <v>55033.123200000002</v>
      </c>
      <c r="W115" s="15">
        <f>(VLOOKUP('Результат запроса'!$M115,Доп.Информация!$A$14:$B$15,2,0)/1000) * (F115/60) * Доп.Информация!$B$20</f>
        <v>87521.1</v>
      </c>
      <c r="X115">
        <f>Доп.Информация!$B$11</f>
        <v>582.97800000000007</v>
      </c>
      <c r="Y115" s="15">
        <f>Доп.Информация!$B$27</f>
        <v>63333.333333333336</v>
      </c>
      <c r="Z115" s="16">
        <f t="shared" si="3"/>
        <v>425929.46546666662</v>
      </c>
    </row>
    <row r="116" spans="1:26" x14ac:dyDescent="0.25">
      <c r="A116">
        <v>136937</v>
      </c>
      <c r="B116" t="s">
        <v>26</v>
      </c>
      <c r="C116" s="1">
        <v>42738.395138888889</v>
      </c>
      <c r="D116" s="1">
        <v>42738.429861111108</v>
      </c>
      <c r="E116" s="17">
        <f t="shared" si="2"/>
        <v>1</v>
      </c>
      <c r="F116">
        <v>50</v>
      </c>
      <c r="G116" t="s">
        <v>21</v>
      </c>
      <c r="H116" t="s">
        <v>27</v>
      </c>
      <c r="I116" t="s">
        <v>28</v>
      </c>
      <c r="J116" t="s">
        <v>29</v>
      </c>
      <c r="K116">
        <v>36.590099334716797</v>
      </c>
      <c r="L116">
        <v>50.643798828125</v>
      </c>
      <c r="M116" s="19" t="s">
        <v>30</v>
      </c>
      <c r="N116" t="s">
        <v>31</v>
      </c>
      <c r="O116">
        <v>12</v>
      </c>
      <c r="P116">
        <v>85</v>
      </c>
      <c r="Q116">
        <v>9</v>
      </c>
      <c r="R116">
        <v>170100</v>
      </c>
      <c r="S116">
        <v>72</v>
      </c>
      <c r="T116">
        <v>456000</v>
      </c>
      <c r="U116" s="15">
        <v>626100</v>
      </c>
      <c r="V116" s="16">
        <f>Q116*Доп.Информация!$B$7 + S116*Доп.Информация!$B$8</f>
        <v>54566.7408</v>
      </c>
      <c r="W116" s="15">
        <f>(VLOOKUP('Результат запроса'!$M116,Доп.Информация!$A$14:$B$15,2,0)/1000) * (F116/60) * Доп.Информация!$B$20</f>
        <v>87521.1</v>
      </c>
      <c r="X116">
        <f>Доп.Информация!$B$11</f>
        <v>582.97800000000007</v>
      </c>
      <c r="Y116" s="15">
        <f>Доп.Информация!$B$27</f>
        <v>63333.333333333336</v>
      </c>
      <c r="Z116" s="16">
        <f t="shared" si="3"/>
        <v>420095.84786666662</v>
      </c>
    </row>
    <row r="117" spans="1:26" x14ac:dyDescent="0.25">
      <c r="A117">
        <v>136951</v>
      </c>
      <c r="B117" t="s">
        <v>26</v>
      </c>
      <c r="C117" s="1">
        <v>42768.394444444442</v>
      </c>
      <c r="D117" s="1">
        <v>42768.428472222222</v>
      </c>
      <c r="E117" s="17">
        <f t="shared" si="2"/>
        <v>2</v>
      </c>
      <c r="F117">
        <v>49</v>
      </c>
      <c r="G117" t="s">
        <v>21</v>
      </c>
      <c r="H117" t="s">
        <v>27</v>
      </c>
      <c r="I117" t="s">
        <v>28</v>
      </c>
      <c r="J117" t="s">
        <v>29</v>
      </c>
      <c r="K117">
        <v>36.590099334716797</v>
      </c>
      <c r="L117">
        <v>50.643798828125</v>
      </c>
      <c r="M117" s="19" t="s">
        <v>30</v>
      </c>
      <c r="N117" t="s">
        <v>31</v>
      </c>
      <c r="O117">
        <v>12</v>
      </c>
      <c r="P117">
        <v>85</v>
      </c>
      <c r="Q117">
        <v>12</v>
      </c>
      <c r="R117">
        <v>226800</v>
      </c>
      <c r="S117">
        <v>78</v>
      </c>
      <c r="T117">
        <v>493800</v>
      </c>
      <c r="U117" s="15">
        <v>720600</v>
      </c>
      <c r="V117" s="16">
        <f>Q117*Доп.Информация!$B$7 + S117*Доп.Информация!$B$8</f>
        <v>64360.771200000003</v>
      </c>
      <c r="W117" s="15">
        <f>(VLOOKUP('Результат запроса'!$M117,Доп.Информация!$A$14:$B$15,2,0)/1000) * (F117/60) * Доп.Информация!$B$20</f>
        <v>85770.677999999985</v>
      </c>
      <c r="X117">
        <f>Доп.Информация!$B$11</f>
        <v>582.97800000000007</v>
      </c>
      <c r="Y117" s="15">
        <f>Доп.Информация!$B$27</f>
        <v>63333.333333333336</v>
      </c>
      <c r="Z117" s="16">
        <f t="shared" si="3"/>
        <v>506552.23946666671</v>
      </c>
    </row>
    <row r="118" spans="1:26" x14ac:dyDescent="0.25">
      <c r="A118">
        <v>136953</v>
      </c>
      <c r="B118" t="s">
        <v>26</v>
      </c>
      <c r="C118" s="1">
        <v>42793.393750000003</v>
      </c>
      <c r="D118" s="1">
        <v>42793.428472222222</v>
      </c>
      <c r="E118" s="17">
        <f t="shared" si="2"/>
        <v>2</v>
      </c>
      <c r="F118">
        <v>50</v>
      </c>
      <c r="G118" t="s">
        <v>21</v>
      </c>
      <c r="H118" t="s">
        <v>27</v>
      </c>
      <c r="I118" t="s">
        <v>28</v>
      </c>
      <c r="J118" t="s">
        <v>29</v>
      </c>
      <c r="K118">
        <v>36.590099334716797</v>
      </c>
      <c r="L118">
        <v>50.643798828125</v>
      </c>
      <c r="M118" s="19" t="s">
        <v>30</v>
      </c>
      <c r="N118" t="s">
        <v>31</v>
      </c>
      <c r="O118">
        <v>12</v>
      </c>
      <c r="P118">
        <v>85</v>
      </c>
      <c r="Q118">
        <v>12</v>
      </c>
      <c r="R118">
        <v>226800</v>
      </c>
      <c r="S118">
        <v>85</v>
      </c>
      <c r="T118">
        <v>538500</v>
      </c>
      <c r="U118" s="15">
        <v>765300</v>
      </c>
      <c r="V118" s="16">
        <f>Q118*Доп.Информация!$B$7 + S118*Доп.Информация!$B$8</f>
        <v>67625.448000000004</v>
      </c>
      <c r="W118" s="15">
        <f>(VLOOKUP('Результат запроса'!$M118,Доп.Информация!$A$14:$B$15,2,0)/1000) * (F118/60) * Доп.Информация!$B$20</f>
        <v>87521.1</v>
      </c>
      <c r="X118">
        <f>Доп.Информация!$B$11</f>
        <v>582.97800000000007</v>
      </c>
      <c r="Y118" s="15">
        <f>Доп.Информация!$B$27</f>
        <v>63333.333333333336</v>
      </c>
      <c r="Z118" s="16">
        <f t="shared" si="3"/>
        <v>546237.14066666667</v>
      </c>
    </row>
    <row r="119" spans="1:26" x14ac:dyDescent="0.25">
      <c r="A119">
        <v>136956</v>
      </c>
      <c r="B119" t="s">
        <v>26</v>
      </c>
      <c r="C119" s="1">
        <v>42770.397916666669</v>
      </c>
      <c r="D119" s="1">
        <v>42770.432638888888</v>
      </c>
      <c r="E119" s="17">
        <f t="shared" si="2"/>
        <v>2</v>
      </c>
      <c r="F119">
        <v>50</v>
      </c>
      <c r="G119" t="s">
        <v>21</v>
      </c>
      <c r="H119" t="s">
        <v>27</v>
      </c>
      <c r="I119" t="s">
        <v>28</v>
      </c>
      <c r="J119" t="s">
        <v>29</v>
      </c>
      <c r="K119">
        <v>36.590099334716797</v>
      </c>
      <c r="L119">
        <v>50.643798828125</v>
      </c>
      <c r="M119" s="19" t="s">
        <v>30</v>
      </c>
      <c r="N119" t="s">
        <v>31</v>
      </c>
      <c r="O119">
        <v>12</v>
      </c>
      <c r="P119">
        <v>85</v>
      </c>
      <c r="Q119">
        <v>11</v>
      </c>
      <c r="R119">
        <v>207900</v>
      </c>
      <c r="S119">
        <v>85</v>
      </c>
      <c r="T119">
        <v>538500</v>
      </c>
      <c r="U119" s="15">
        <v>746400</v>
      </c>
      <c r="V119" s="16">
        <f>Q119*Доп.Информация!$B$7 + S119*Доп.Информация!$B$8</f>
        <v>65293.536000000007</v>
      </c>
      <c r="W119" s="15">
        <f>(VLOOKUP('Результат запроса'!$M119,Доп.Информация!$A$14:$B$15,2,0)/1000) * (F119/60) * Доп.Информация!$B$20</f>
        <v>87521.1</v>
      </c>
      <c r="X119">
        <f>Доп.Информация!$B$11</f>
        <v>582.97800000000007</v>
      </c>
      <c r="Y119" s="15">
        <f>Доп.Информация!$B$27</f>
        <v>63333.333333333336</v>
      </c>
      <c r="Z119" s="16">
        <f t="shared" si="3"/>
        <v>529669.05266666668</v>
      </c>
    </row>
    <row r="120" spans="1:26" x14ac:dyDescent="0.25">
      <c r="A120">
        <v>136523</v>
      </c>
      <c r="B120" t="s">
        <v>32</v>
      </c>
      <c r="C120" s="1">
        <v>42745.259722222225</v>
      </c>
      <c r="D120" s="1">
        <v>42745.476388888892</v>
      </c>
      <c r="E120" s="17">
        <f t="shared" si="2"/>
        <v>1</v>
      </c>
      <c r="F120">
        <v>312</v>
      </c>
      <c r="G120" t="s">
        <v>21</v>
      </c>
      <c r="H120" t="s">
        <v>33</v>
      </c>
      <c r="I120" t="s">
        <v>34</v>
      </c>
      <c r="J120" t="s">
        <v>35</v>
      </c>
      <c r="K120">
        <v>86.877197265625</v>
      </c>
      <c r="L120">
        <v>53.8114013671875</v>
      </c>
      <c r="M120" s="18">
        <v>733</v>
      </c>
      <c r="N120" t="s">
        <v>25</v>
      </c>
      <c r="O120">
        <v>12</v>
      </c>
      <c r="P120">
        <v>118</v>
      </c>
      <c r="W120" s="15">
        <f>(VLOOKUP('Результат запроса'!$M120,Доп.Информация!$A$14:$B$15,2,0)/1000) * (F120/60) * Доп.Информация!$B$20</f>
        <v>771009.40800000005</v>
      </c>
      <c r="X120">
        <f>Доп.Информация!$B$11</f>
        <v>582.97800000000007</v>
      </c>
      <c r="Y120" s="15">
        <f>Доп.Информация!$B$27</f>
        <v>63333.333333333336</v>
      </c>
      <c r="Z120" s="16">
        <f t="shared" si="3"/>
        <v>-834925.71933333343</v>
      </c>
    </row>
    <row r="121" spans="1:26" x14ac:dyDescent="0.25">
      <c r="A121">
        <v>136513</v>
      </c>
      <c r="B121" t="s">
        <v>32</v>
      </c>
      <c r="C121" s="1">
        <v>42794.259027777778</v>
      </c>
      <c r="D121" s="1">
        <v>42794.474305555559</v>
      </c>
      <c r="E121" s="17">
        <f t="shared" si="2"/>
        <v>2</v>
      </c>
      <c r="F121">
        <v>310</v>
      </c>
      <c r="G121" t="s">
        <v>21</v>
      </c>
      <c r="H121" t="s">
        <v>33</v>
      </c>
      <c r="I121" t="s">
        <v>34</v>
      </c>
      <c r="J121" t="s">
        <v>35</v>
      </c>
      <c r="K121">
        <v>86.877197265625</v>
      </c>
      <c r="L121">
        <v>53.8114013671875</v>
      </c>
      <c r="M121" s="18">
        <v>733</v>
      </c>
      <c r="N121" t="s">
        <v>25</v>
      </c>
      <c r="O121">
        <v>12</v>
      </c>
      <c r="P121">
        <v>118</v>
      </c>
      <c r="W121" s="15">
        <f>(VLOOKUP('Результат запроса'!$M121,Доп.Информация!$A$14:$B$15,2,0)/1000) * (F121/60) * Доп.Информация!$B$20</f>
        <v>766067.04</v>
      </c>
      <c r="X121">
        <f>Доп.Информация!$B$11</f>
        <v>582.97800000000007</v>
      </c>
      <c r="Y121" s="15">
        <f>Доп.Информация!$B$27</f>
        <v>63333.333333333336</v>
      </c>
      <c r="Z121" s="16">
        <f t="shared" si="3"/>
        <v>-829983.35133333341</v>
      </c>
    </row>
    <row r="122" spans="1:26" x14ac:dyDescent="0.25">
      <c r="A122">
        <v>136514</v>
      </c>
      <c r="B122" t="s">
        <v>32</v>
      </c>
      <c r="C122" s="1">
        <v>42773.259722222225</v>
      </c>
      <c r="D122" s="1">
        <v>42773.467361111114</v>
      </c>
      <c r="E122" s="17">
        <f t="shared" si="2"/>
        <v>2</v>
      </c>
      <c r="F122">
        <v>299</v>
      </c>
      <c r="G122" t="s">
        <v>21</v>
      </c>
      <c r="H122" t="s">
        <v>33</v>
      </c>
      <c r="I122" t="s">
        <v>34</v>
      </c>
      <c r="J122" t="s">
        <v>35</v>
      </c>
      <c r="K122">
        <v>86.877197265625</v>
      </c>
      <c r="L122">
        <v>53.8114013671875</v>
      </c>
      <c r="M122" s="18">
        <v>733</v>
      </c>
      <c r="N122" t="s">
        <v>25</v>
      </c>
      <c r="O122">
        <v>12</v>
      </c>
      <c r="P122">
        <v>118</v>
      </c>
      <c r="W122" s="15">
        <f>(VLOOKUP('Результат запроса'!$M122,Доп.Информация!$A$14:$B$15,2,0)/1000) * (F122/60) * Доп.Информация!$B$20</f>
        <v>738884.01599999995</v>
      </c>
      <c r="X122">
        <f>Доп.Информация!$B$11</f>
        <v>582.97800000000007</v>
      </c>
      <c r="Y122" s="15">
        <f>Доп.Информация!$B$27</f>
        <v>63333.333333333336</v>
      </c>
      <c r="Z122" s="16">
        <f t="shared" si="3"/>
        <v>-802800.32733333332</v>
      </c>
    </row>
    <row r="123" spans="1:26" x14ac:dyDescent="0.25">
      <c r="A123">
        <v>136560</v>
      </c>
      <c r="B123" t="s">
        <v>32</v>
      </c>
      <c r="C123" s="1">
        <v>42759.259027777778</v>
      </c>
      <c r="D123" s="1">
        <v>42759.470833333333</v>
      </c>
      <c r="E123" s="17">
        <f t="shared" si="2"/>
        <v>1</v>
      </c>
      <c r="F123">
        <v>305</v>
      </c>
      <c r="G123" t="s">
        <v>21</v>
      </c>
      <c r="H123" t="s">
        <v>33</v>
      </c>
      <c r="I123" t="s">
        <v>34</v>
      </c>
      <c r="J123" t="s">
        <v>35</v>
      </c>
      <c r="K123">
        <v>86.877197265625</v>
      </c>
      <c r="L123">
        <v>53.8114013671875</v>
      </c>
      <c r="M123" s="18">
        <v>733</v>
      </c>
      <c r="N123" t="s">
        <v>25</v>
      </c>
      <c r="O123">
        <v>12</v>
      </c>
      <c r="P123">
        <v>118</v>
      </c>
      <c r="W123" s="15">
        <f>(VLOOKUP('Результат запроса'!$M123,Доп.Информация!$A$14:$B$15,2,0)/1000) * (F123/60) * Доп.Информация!$B$20</f>
        <v>753711.12</v>
      </c>
      <c r="X123">
        <f>Доп.Информация!$B$11</f>
        <v>582.97800000000007</v>
      </c>
      <c r="Y123" s="15">
        <f>Доп.Информация!$B$27</f>
        <v>63333.333333333336</v>
      </c>
      <c r="Z123" s="16">
        <f t="shared" si="3"/>
        <v>-817627.43133333337</v>
      </c>
    </row>
    <row r="124" spans="1:26" x14ac:dyDescent="0.25">
      <c r="A124">
        <v>136544</v>
      </c>
      <c r="B124" t="s">
        <v>32</v>
      </c>
      <c r="C124" s="1">
        <v>42766.256944444445</v>
      </c>
      <c r="D124" s="1">
        <v>42766.468055555553</v>
      </c>
      <c r="E124" s="17">
        <f t="shared" si="2"/>
        <v>1</v>
      </c>
      <c r="F124">
        <v>304</v>
      </c>
      <c r="G124" t="s">
        <v>21</v>
      </c>
      <c r="H124" t="s">
        <v>33</v>
      </c>
      <c r="I124" t="s">
        <v>34</v>
      </c>
      <c r="J124" t="s">
        <v>35</v>
      </c>
      <c r="K124">
        <v>86.877197265625</v>
      </c>
      <c r="L124">
        <v>53.8114013671875</v>
      </c>
      <c r="M124" s="18">
        <v>733</v>
      </c>
      <c r="N124" t="s">
        <v>25</v>
      </c>
      <c r="O124">
        <v>12</v>
      </c>
      <c r="P124">
        <v>118</v>
      </c>
      <c r="W124" s="15">
        <f>(VLOOKUP('Результат запроса'!$M124,Доп.Информация!$A$14:$B$15,2,0)/1000) * (F124/60) * Доп.Информация!$B$20</f>
        <v>751239.93599999987</v>
      </c>
      <c r="X124">
        <f>Доп.Информация!$B$11</f>
        <v>582.97800000000007</v>
      </c>
      <c r="Y124" s="15">
        <f>Доп.Информация!$B$27</f>
        <v>63333.333333333336</v>
      </c>
      <c r="Z124" s="16">
        <f t="shared" si="3"/>
        <v>-815156.24733333325</v>
      </c>
    </row>
    <row r="125" spans="1:26" x14ac:dyDescent="0.25">
      <c r="A125">
        <v>136511</v>
      </c>
      <c r="B125" t="s">
        <v>32</v>
      </c>
      <c r="C125" s="1">
        <v>42787.260416666664</v>
      </c>
      <c r="D125" s="1">
        <v>42787.475694444445</v>
      </c>
      <c r="E125" s="17">
        <f t="shared" si="2"/>
        <v>2</v>
      </c>
      <c r="F125">
        <v>310</v>
      </c>
      <c r="G125" t="s">
        <v>21</v>
      </c>
      <c r="H125" t="s">
        <v>33</v>
      </c>
      <c r="I125" t="s">
        <v>34</v>
      </c>
      <c r="J125" t="s">
        <v>35</v>
      </c>
      <c r="K125">
        <v>86.877197265625</v>
      </c>
      <c r="L125">
        <v>53.8114013671875</v>
      </c>
      <c r="M125" s="18">
        <v>733</v>
      </c>
      <c r="N125" t="s">
        <v>25</v>
      </c>
      <c r="O125">
        <v>12</v>
      </c>
      <c r="P125">
        <v>118</v>
      </c>
      <c r="W125" s="15">
        <f>(VLOOKUP('Результат запроса'!$M125,Доп.Информация!$A$14:$B$15,2,0)/1000) * (F125/60) * Доп.Информация!$B$20</f>
        <v>766067.04</v>
      </c>
      <c r="X125">
        <f>Доп.Информация!$B$11</f>
        <v>582.97800000000007</v>
      </c>
      <c r="Y125" s="15">
        <f>Доп.Информация!$B$27</f>
        <v>63333.333333333336</v>
      </c>
      <c r="Z125" s="16">
        <f t="shared" si="3"/>
        <v>-829983.35133333341</v>
      </c>
    </row>
    <row r="126" spans="1:26" x14ac:dyDescent="0.25">
      <c r="A126">
        <v>136540</v>
      </c>
      <c r="B126" t="s">
        <v>32</v>
      </c>
      <c r="C126" s="1">
        <v>42752.259722222225</v>
      </c>
      <c r="D126" s="1">
        <v>42752.472916666666</v>
      </c>
      <c r="E126" s="17">
        <f t="shared" si="2"/>
        <v>1</v>
      </c>
      <c r="F126">
        <v>307</v>
      </c>
      <c r="G126" t="s">
        <v>21</v>
      </c>
      <c r="H126" t="s">
        <v>33</v>
      </c>
      <c r="I126" t="s">
        <v>34</v>
      </c>
      <c r="J126" t="s">
        <v>35</v>
      </c>
      <c r="K126">
        <v>86.877197265625</v>
      </c>
      <c r="L126">
        <v>53.8114013671875</v>
      </c>
      <c r="M126" s="18">
        <v>733</v>
      </c>
      <c r="N126" t="s">
        <v>25</v>
      </c>
      <c r="O126">
        <v>12</v>
      </c>
      <c r="P126">
        <v>118</v>
      </c>
      <c r="W126" s="15">
        <f>(VLOOKUP('Результат запроса'!$M126,Доп.Информация!$A$14:$B$15,2,0)/1000) * (F126/60) * Доп.Информация!$B$20</f>
        <v>758653.4879999999</v>
      </c>
      <c r="X126">
        <f>Доп.Информация!$B$11</f>
        <v>582.97800000000007</v>
      </c>
      <c r="Y126" s="15">
        <f>Доп.Информация!$B$27</f>
        <v>63333.333333333336</v>
      </c>
      <c r="Z126" s="16">
        <f t="shared" si="3"/>
        <v>-822569.79933333327</v>
      </c>
    </row>
    <row r="127" spans="1:26" x14ac:dyDescent="0.25">
      <c r="A127">
        <v>136546</v>
      </c>
      <c r="B127" t="s">
        <v>32</v>
      </c>
      <c r="C127" s="1">
        <v>42738.259027777778</v>
      </c>
      <c r="D127" s="1">
        <v>42738.46875</v>
      </c>
      <c r="E127" s="17">
        <f t="shared" si="2"/>
        <v>1</v>
      </c>
      <c r="F127">
        <v>302</v>
      </c>
      <c r="G127" t="s">
        <v>21</v>
      </c>
      <c r="H127" t="s">
        <v>33</v>
      </c>
      <c r="I127" t="s">
        <v>34</v>
      </c>
      <c r="J127" t="s">
        <v>35</v>
      </c>
      <c r="K127">
        <v>86.877197265625</v>
      </c>
      <c r="L127">
        <v>53.8114013671875</v>
      </c>
      <c r="M127" s="18">
        <v>733</v>
      </c>
      <c r="N127" t="s">
        <v>25</v>
      </c>
      <c r="O127">
        <v>12</v>
      </c>
      <c r="P127">
        <v>118</v>
      </c>
      <c r="W127" s="15">
        <f>(VLOOKUP('Результат запроса'!$M127,Доп.Информация!$A$14:$B$15,2,0)/1000) * (F127/60) * Доп.Информация!$B$20</f>
        <v>746297.56799999997</v>
      </c>
      <c r="X127">
        <f>Доп.Информация!$B$11</f>
        <v>582.97800000000007</v>
      </c>
      <c r="Y127" s="15">
        <f>Доп.Информация!$B$27</f>
        <v>63333.333333333336</v>
      </c>
      <c r="Z127" s="16">
        <f t="shared" si="3"/>
        <v>-810213.87933333335</v>
      </c>
    </row>
    <row r="128" spans="1:26" x14ac:dyDescent="0.25">
      <c r="A128">
        <v>136567</v>
      </c>
      <c r="B128" t="s">
        <v>32</v>
      </c>
      <c r="C128" s="1">
        <v>42780.258333333331</v>
      </c>
      <c r="D128" s="1">
        <v>42780.474305555559</v>
      </c>
      <c r="E128" s="17">
        <f t="shared" si="2"/>
        <v>2</v>
      </c>
      <c r="F128">
        <v>311</v>
      </c>
      <c r="G128" t="s">
        <v>21</v>
      </c>
      <c r="H128" t="s">
        <v>33</v>
      </c>
      <c r="I128" t="s">
        <v>34</v>
      </c>
      <c r="J128" t="s">
        <v>35</v>
      </c>
      <c r="K128">
        <v>86.877197265625</v>
      </c>
      <c r="L128">
        <v>53.8114013671875</v>
      </c>
      <c r="M128" s="18">
        <v>733</v>
      </c>
      <c r="N128" t="s">
        <v>25</v>
      </c>
      <c r="O128">
        <v>12</v>
      </c>
      <c r="P128">
        <v>118</v>
      </c>
      <c r="W128" s="15">
        <f>(VLOOKUP('Результат запроса'!$M128,Доп.Информация!$A$14:$B$15,2,0)/1000) * (F128/60) * Доп.Информация!$B$20</f>
        <v>768538.22399999993</v>
      </c>
      <c r="X128">
        <f>Доп.Информация!$B$11</f>
        <v>582.97800000000007</v>
      </c>
      <c r="Y128" s="15">
        <f>Доп.Информация!$B$27</f>
        <v>63333.333333333336</v>
      </c>
      <c r="Z128" s="16">
        <f t="shared" si="3"/>
        <v>-832454.5353333333</v>
      </c>
    </row>
  </sheetData>
  <autoFilter ref="A1:Z128" xr:uid="{3EEA3164-BD13-4EA6-8D94-F25557C2C33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40BF-2065-44F8-8B8B-731B0ECC7040}">
  <dimension ref="A1:B27"/>
  <sheetViews>
    <sheetView workbookViewId="0">
      <selection activeCell="F20" sqref="F20"/>
    </sheetView>
  </sheetViews>
  <sheetFormatPr defaultRowHeight="15" x14ac:dyDescent="0.25"/>
  <cols>
    <col min="1" max="1" width="35" bestFit="1" customWidth="1"/>
    <col min="2" max="2" width="33.140625" bestFit="1" customWidth="1"/>
    <col min="7" max="7" width="8.140625" customWidth="1"/>
  </cols>
  <sheetData>
    <row r="1" spans="1:2" x14ac:dyDescent="0.25">
      <c r="A1" s="2"/>
      <c r="B1" s="3" t="s">
        <v>36</v>
      </c>
    </row>
    <row r="2" spans="1:2" x14ac:dyDescent="0.25">
      <c r="A2" s="4" t="s">
        <v>37</v>
      </c>
      <c r="B2" s="5">
        <v>55.845300000000002</v>
      </c>
    </row>
    <row r="3" spans="1:2" x14ac:dyDescent="0.25">
      <c r="A3" s="4" t="s">
        <v>38</v>
      </c>
      <c r="B3" s="5">
        <v>60.750300000000003</v>
      </c>
    </row>
    <row r="4" spans="1:2" ht="15.75" thickBot="1" x14ac:dyDescent="0.3">
      <c r="A4" s="6" t="s">
        <v>39</v>
      </c>
      <c r="B4" s="7">
        <f>AVERAGE(B2:B3)</f>
        <v>58.297800000000002</v>
      </c>
    </row>
    <row r="5" spans="1:2" ht="15.75" thickBot="1" x14ac:dyDescent="0.3"/>
    <row r="6" spans="1:2" x14ac:dyDescent="0.25">
      <c r="A6" s="2"/>
      <c r="B6" s="3" t="s">
        <v>40</v>
      </c>
    </row>
    <row r="7" spans="1:2" x14ac:dyDescent="0.25">
      <c r="A7" s="4" t="s">
        <v>41</v>
      </c>
      <c r="B7" s="5">
        <f>40*B4</f>
        <v>2331.9120000000003</v>
      </c>
    </row>
    <row r="8" spans="1:2" ht="15.75" thickBot="1" x14ac:dyDescent="0.3">
      <c r="A8" s="6" t="s">
        <v>42</v>
      </c>
      <c r="B8" s="7">
        <f>8*B4</f>
        <v>466.38240000000002</v>
      </c>
    </row>
    <row r="9" spans="1:2" ht="15.75" thickBot="1" x14ac:dyDescent="0.3"/>
    <row r="10" spans="1:2" x14ac:dyDescent="0.25">
      <c r="A10" s="2"/>
      <c r="B10" s="3" t="s">
        <v>43</v>
      </c>
    </row>
    <row r="11" spans="1:2" ht="15.75" thickBot="1" x14ac:dyDescent="0.3">
      <c r="A11" s="6"/>
      <c r="B11" s="8">
        <f>10*B4</f>
        <v>582.97800000000007</v>
      </c>
    </row>
    <row r="12" spans="1:2" ht="15.75" thickBot="1" x14ac:dyDescent="0.3"/>
    <row r="13" spans="1:2" x14ac:dyDescent="0.25">
      <c r="A13" s="2"/>
      <c r="B13" s="3" t="s">
        <v>44</v>
      </c>
    </row>
    <row r="14" spans="1:2" x14ac:dyDescent="0.25">
      <c r="A14" s="9">
        <v>733</v>
      </c>
      <c r="B14" s="10">
        <v>2400</v>
      </c>
    </row>
    <row r="15" spans="1:2" ht="15.75" thickBot="1" x14ac:dyDescent="0.3">
      <c r="A15" s="11" t="s">
        <v>30</v>
      </c>
      <c r="B15" s="12">
        <v>1700</v>
      </c>
    </row>
    <row r="16" spans="1:2" ht="15.75" thickBot="1" x14ac:dyDescent="0.3"/>
    <row r="17" spans="1:2" x14ac:dyDescent="0.25">
      <c r="A17" s="2"/>
      <c r="B17" s="3" t="s">
        <v>45</v>
      </c>
    </row>
    <row r="18" spans="1:2" x14ac:dyDescent="0.25">
      <c r="A18" s="4" t="s">
        <v>46</v>
      </c>
      <c r="B18" s="13">
        <v>59677.2</v>
      </c>
    </row>
    <row r="19" spans="1:2" x14ac:dyDescent="0.25">
      <c r="A19" s="4" t="s">
        <v>47</v>
      </c>
      <c r="B19" s="13">
        <v>2102.4</v>
      </c>
    </row>
    <row r="20" spans="1:2" ht="15.75" thickBot="1" x14ac:dyDescent="0.3">
      <c r="A20" s="6" t="s">
        <v>48</v>
      </c>
      <c r="B20" s="14">
        <f>SUM(B18:B19)</f>
        <v>61779.6</v>
      </c>
    </row>
    <row r="21" spans="1:2" ht="15.75" thickBot="1" x14ac:dyDescent="0.3"/>
    <row r="22" spans="1:2" x14ac:dyDescent="0.25">
      <c r="A22" s="2"/>
      <c r="B22" s="3" t="s">
        <v>53</v>
      </c>
    </row>
    <row r="23" spans="1:2" x14ac:dyDescent="0.25">
      <c r="A23" s="4" t="s">
        <v>54</v>
      </c>
      <c r="B23" s="10">
        <f>5*80000</f>
        <v>400000</v>
      </c>
    </row>
    <row r="24" spans="1:2" x14ac:dyDescent="0.25">
      <c r="A24" s="4" t="s">
        <v>55</v>
      </c>
      <c r="B24" s="10">
        <v>350000</v>
      </c>
    </row>
    <row r="25" spans="1:2" x14ac:dyDescent="0.25">
      <c r="A25" s="4" t="s">
        <v>56</v>
      </c>
      <c r="B25" s="10">
        <v>200000</v>
      </c>
    </row>
    <row r="26" spans="1:2" x14ac:dyDescent="0.25">
      <c r="A26" s="4" t="s">
        <v>58</v>
      </c>
      <c r="B26" s="10">
        <v>15</v>
      </c>
    </row>
    <row r="27" spans="1:2" ht="15.75" thickBot="1" x14ac:dyDescent="0.3">
      <c r="A27" s="6" t="s">
        <v>59</v>
      </c>
      <c r="B27" s="21">
        <f>SUM(B23:B25)/B26</f>
        <v>63333.333333333336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F170-B88A-4CFB-95E3-11A289834031}">
  <dimension ref="A1:G48"/>
  <sheetViews>
    <sheetView workbookViewId="0">
      <selection activeCell="V82" sqref="V82"/>
    </sheetView>
  </sheetViews>
  <sheetFormatPr defaultRowHeight="15" x14ac:dyDescent="0.25"/>
  <cols>
    <col min="1" max="1" width="13.7109375" bestFit="1" customWidth="1"/>
    <col min="2" max="4" width="14" bestFit="1" customWidth="1"/>
    <col min="5" max="6" width="12.85546875" bestFit="1" customWidth="1"/>
    <col min="7" max="7" width="13" bestFit="1" customWidth="1"/>
  </cols>
  <sheetData>
    <row r="1" spans="1:7" x14ac:dyDescent="0.25">
      <c r="A1" s="2"/>
      <c r="B1" s="22">
        <v>1</v>
      </c>
      <c r="C1" s="22">
        <v>2</v>
      </c>
      <c r="D1" s="22"/>
      <c r="E1" s="20"/>
    </row>
    <row r="2" spans="1:7" x14ac:dyDescent="0.25">
      <c r="A2" s="4"/>
      <c r="B2" s="23" t="s">
        <v>60</v>
      </c>
      <c r="C2" s="23" t="s">
        <v>61</v>
      </c>
      <c r="D2" s="23"/>
      <c r="E2" s="10" t="s">
        <v>48</v>
      </c>
    </row>
    <row r="3" spans="1:7" x14ac:dyDescent="0.25">
      <c r="A3" s="4" t="s">
        <v>24</v>
      </c>
      <c r="B3" s="23">
        <f>COUNTIFS('Результат запроса'!$J$2:$J$128,Визулизация!$A3,'Результат запроса'!$E$2:$E$128,Визулизация!B$1)</f>
        <v>31</v>
      </c>
      <c r="C3" s="23">
        <f>COUNTIFS('Результат запроса'!$J$2:$J$128,Визулизация!$A3,'Результат запроса'!$E$2:$E$128,Визулизация!C$1)</f>
        <v>28</v>
      </c>
      <c r="D3" s="23"/>
      <c r="E3" s="10">
        <f>SUM(B3:C3)</f>
        <v>59</v>
      </c>
    </row>
    <row r="4" spans="1:7" x14ac:dyDescent="0.25">
      <c r="A4" s="4" t="s">
        <v>29</v>
      </c>
      <c r="B4" s="23">
        <f>COUNTIFS('Результат запроса'!$J$2:$J$128,Визулизация!$A4,'Результат запроса'!$E$2:$E$128,Визулизация!B$1)</f>
        <v>31</v>
      </c>
      <c r="C4" s="23">
        <f>COUNTIFS('Результат запроса'!$J$2:$J$128,Визулизация!$A4,'Результат запроса'!$E$2:$E$128,Визулизация!C$1)</f>
        <v>28</v>
      </c>
      <c r="D4" s="23"/>
      <c r="E4" s="10">
        <f t="shared" ref="E4:E5" si="0">SUM(B4:C4)</f>
        <v>59</v>
      </c>
    </row>
    <row r="5" spans="1:7" ht="15.75" thickBot="1" x14ac:dyDescent="0.3">
      <c r="A5" s="6" t="s">
        <v>35</v>
      </c>
      <c r="B5" s="33">
        <f>COUNTIFS('Результат запроса'!$J$2:$J$128,Визулизация!$A5,'Результат запроса'!$E$2:$E$128,Визулизация!B$1)</f>
        <v>5</v>
      </c>
      <c r="C5" s="33">
        <f>COUNTIFS('Результат запроса'!$J$2:$J$128,Визулизация!$A5,'Результат запроса'!$E$2:$E$128,Визулизация!C$1)</f>
        <v>4</v>
      </c>
      <c r="D5" s="33"/>
      <c r="E5" s="12">
        <f t="shared" si="0"/>
        <v>9</v>
      </c>
    </row>
    <row r="6" spans="1:7" ht="15.75" thickBot="1" x14ac:dyDescent="0.3"/>
    <row r="7" spans="1:7" x14ac:dyDescent="0.25">
      <c r="A7" s="2"/>
      <c r="B7" s="22" t="s">
        <v>60</v>
      </c>
      <c r="C7" s="22" t="s">
        <v>61</v>
      </c>
      <c r="D7" s="22"/>
      <c r="E7" s="20" t="s">
        <v>48</v>
      </c>
    </row>
    <row r="8" spans="1:7" x14ac:dyDescent="0.25">
      <c r="A8" s="4" t="s">
        <v>24</v>
      </c>
      <c r="B8" s="29">
        <f>B3/SUM(B$3:B$5)</f>
        <v>0.46268656716417911</v>
      </c>
      <c r="C8" s="29">
        <f t="shared" ref="C8:E10" si="1">C3/SUM(C$3:C$5)</f>
        <v>0.46666666666666667</v>
      </c>
      <c r="D8" s="29"/>
      <c r="E8" s="30">
        <f t="shared" si="1"/>
        <v>0.46456692913385828</v>
      </c>
    </row>
    <row r="9" spans="1:7" x14ac:dyDescent="0.25">
      <c r="A9" s="4" t="s">
        <v>29</v>
      </c>
      <c r="B9" s="29">
        <f t="shared" ref="B9" si="2">B4/SUM(B$3:B$5)</f>
        <v>0.46268656716417911</v>
      </c>
      <c r="C9" s="29">
        <f t="shared" si="1"/>
        <v>0.46666666666666667</v>
      </c>
      <c r="D9" s="29"/>
      <c r="E9" s="30">
        <f t="shared" si="1"/>
        <v>0.46456692913385828</v>
      </c>
    </row>
    <row r="10" spans="1:7" ht="15.75" thickBot="1" x14ac:dyDescent="0.3">
      <c r="A10" s="6" t="s">
        <v>35</v>
      </c>
      <c r="B10" s="31">
        <f t="shared" ref="B10" si="3">B5/SUM(B$3:B$5)</f>
        <v>7.4626865671641784E-2</v>
      </c>
      <c r="C10" s="31">
        <f t="shared" si="1"/>
        <v>6.6666666666666666E-2</v>
      </c>
      <c r="D10" s="31"/>
      <c r="E10" s="32">
        <f t="shared" si="1"/>
        <v>7.0866141732283464E-2</v>
      </c>
    </row>
    <row r="12" spans="1:7" ht="15.75" thickBot="1" x14ac:dyDescent="0.3"/>
    <row r="13" spans="1:7" x14ac:dyDescent="0.25">
      <c r="A13" s="2"/>
      <c r="B13" s="22" t="s">
        <v>19</v>
      </c>
      <c r="C13" s="22" t="s">
        <v>49</v>
      </c>
      <c r="D13" s="22" t="s">
        <v>50</v>
      </c>
      <c r="E13" s="22" t="s">
        <v>51</v>
      </c>
      <c r="F13" s="22" t="s">
        <v>52</v>
      </c>
      <c r="G13" s="20" t="s">
        <v>62</v>
      </c>
    </row>
    <row r="14" spans="1:7" x14ac:dyDescent="0.25">
      <c r="A14" s="4"/>
      <c r="B14" s="23" t="s">
        <v>65</v>
      </c>
      <c r="C14" s="23" t="s">
        <v>66</v>
      </c>
      <c r="D14" s="23" t="s">
        <v>67</v>
      </c>
      <c r="E14" s="23" t="s">
        <v>68</v>
      </c>
      <c r="F14" s="23" t="s">
        <v>69</v>
      </c>
      <c r="G14" s="10" t="s">
        <v>70</v>
      </c>
    </row>
    <row r="15" spans="1:7" x14ac:dyDescent="0.25">
      <c r="A15" s="4" t="s">
        <v>24</v>
      </c>
      <c r="B15" s="24">
        <f>AVERAGEIFS('Результат запроса'!U$2:U$128,'Результат запроса'!$J$2:$J$128,Визулизация!$A15)</f>
        <v>1642576.2711864407</v>
      </c>
      <c r="C15" s="24">
        <f>B15-C16</f>
        <v>1570215.8561084745</v>
      </c>
      <c r="D15" s="24">
        <f>C15-D16</f>
        <v>1323516.3008542371</v>
      </c>
      <c r="E15" s="24">
        <f>D15-E16</f>
        <v>1322933.3228542372</v>
      </c>
      <c r="F15" s="24">
        <f>E15-F16</f>
        <v>1259599.9895209037</v>
      </c>
      <c r="G15" s="25">
        <f>AVERAGEIFS('Результат запроса'!Z$2:Z$128,'Результат запроса'!$J$2:$J$128,Визулизация!$A15)</f>
        <v>1259599.9895209041</v>
      </c>
    </row>
    <row r="16" spans="1:7" x14ac:dyDescent="0.25">
      <c r="A16" s="4"/>
      <c r="B16" s="24"/>
      <c r="C16" s="24">
        <f>AVERAGEIFS('Результат запроса'!V$2:V$128,'Результат запроса'!$J$2:$J$128,Визулизация!$A15)</f>
        <v>72360.41507796607</v>
      </c>
      <c r="D16" s="24">
        <f>AVERAGEIFS('Результат запроса'!W$2:W$128,'Результат запроса'!$J$2:$J$128,Визулизация!$A15)</f>
        <v>246699.55525423741</v>
      </c>
      <c r="E16" s="24">
        <f>AVERAGEIFS('Результат запроса'!X$2:X$128,'Результат запроса'!$J$2:$J$128,Визулизация!$A15)</f>
        <v>582.97799999999961</v>
      </c>
      <c r="F16" s="24">
        <f>AVERAGEIFS('Результат запроса'!Y$2:Y$128,'Результат запроса'!$J$2:$J$128,Визулизация!$A15)</f>
        <v>63333.333333333387</v>
      </c>
      <c r="G16" s="25"/>
    </row>
    <row r="17" spans="1:7" x14ac:dyDescent="0.25">
      <c r="A17" s="4" t="s">
        <v>29</v>
      </c>
      <c r="B17" s="24">
        <f>AVERAGEIFS('Результат запроса'!U$2:U$128,'Результат запроса'!$J$2:$J$128,Визулизация!$A17)</f>
        <v>710435.59322033904</v>
      </c>
      <c r="C17" s="24">
        <f>B17-C18</f>
        <v>647726.9223864408</v>
      </c>
      <c r="D17" s="24">
        <f>C17-D18</f>
        <v>560057.48153898318</v>
      </c>
      <c r="E17" s="24">
        <f>D17-E18</f>
        <v>559474.50353898318</v>
      </c>
      <c r="F17" s="24">
        <f>E17-F18</f>
        <v>496141.1702056498</v>
      </c>
      <c r="G17" s="25">
        <f>AVERAGEIFS('Результат запроса'!Z$2:Z$128,'Результат запроса'!$J$2:$J$128,Визулизация!$A17)</f>
        <v>496141.1702056498</v>
      </c>
    </row>
    <row r="18" spans="1:7" ht="15.75" thickBot="1" x14ac:dyDescent="0.3">
      <c r="A18" s="6"/>
      <c r="B18" s="26"/>
      <c r="C18" s="26">
        <f>AVERAGEIFS('Результат запроса'!V$2:V$128,'Результат запроса'!$J$2:$J$128,Визулизация!$A17)</f>
        <v>62708.670833898264</v>
      </c>
      <c r="D18" s="26">
        <f>AVERAGEIFS('Результат запроса'!W$2:W$128,'Результат запроса'!$J$2:$J$128,Визулизация!$A17)</f>
        <v>87669.44084745759</v>
      </c>
      <c r="E18" s="26">
        <f>AVERAGEIFS('Результат запроса'!X$2:X$128,'Результат запроса'!$J$2:$J$128,Визулизация!$A17)</f>
        <v>582.97799999999961</v>
      </c>
      <c r="F18" s="26">
        <f>AVERAGEIFS('Результат запроса'!Y$2:Y$128,'Результат запроса'!$J$2:$J$128,Визулизация!$A17)</f>
        <v>63333.333333333387</v>
      </c>
      <c r="G18" s="21"/>
    </row>
    <row r="19" spans="1:7" ht="15.75" thickBot="1" x14ac:dyDescent="0.3"/>
    <row r="20" spans="1:7" x14ac:dyDescent="0.25">
      <c r="A20" s="2" t="s">
        <v>24</v>
      </c>
      <c r="B20" s="27">
        <f>G15/B15</f>
        <v>0.76684414088795338</v>
      </c>
    </row>
    <row r="21" spans="1:7" ht="15.75" thickBot="1" x14ac:dyDescent="0.3">
      <c r="A21" s="6" t="s">
        <v>29</v>
      </c>
      <c r="B21" s="28">
        <f>G17/B17</f>
        <v>0.6983619274432572</v>
      </c>
    </row>
    <row r="23" spans="1:7" ht="15.75" thickBot="1" x14ac:dyDescent="0.3"/>
    <row r="24" spans="1:7" x14ac:dyDescent="0.25">
      <c r="A24" s="2" t="s">
        <v>24</v>
      </c>
      <c r="B24" s="34">
        <f>SUMIFS('Результат запроса'!$Z$2:$Z$128,'Результат запроса'!$J$2:$J$128,Визулизация!$A24)</f>
        <v>74316399.381733343</v>
      </c>
      <c r="C24" s="22"/>
      <c r="D24" s="22" t="s">
        <v>24</v>
      </c>
      <c r="E24" s="27">
        <f>B24/SUM($B$24:$B$25)</f>
        <v>0.71741781671113702</v>
      </c>
    </row>
    <row r="25" spans="1:7" ht="15.75" thickBot="1" x14ac:dyDescent="0.3">
      <c r="A25" s="6" t="s">
        <v>29</v>
      </c>
      <c r="B25" s="26">
        <f>SUMIFS('Результат запроса'!$Z$2:$Z$128,'Результат запроса'!$J$2:$J$128,Визулизация!$A25)</f>
        <v>29272329.042133339</v>
      </c>
      <c r="C25" s="33"/>
      <c r="D25" s="33" t="s">
        <v>29</v>
      </c>
      <c r="E25" s="28">
        <f>B25/SUM($B$24:$B$25)</f>
        <v>0.28258218328886292</v>
      </c>
    </row>
    <row r="26" spans="1:7" ht="15.75" thickBot="1" x14ac:dyDescent="0.3"/>
    <row r="27" spans="1:7" x14ac:dyDescent="0.25">
      <c r="A27" s="2" t="s">
        <v>24</v>
      </c>
      <c r="B27" s="35">
        <f>B24/SUM(SUMIFS('Результат запроса'!$S$2:$S$128,'Результат запроса'!$J$2:$J$128,Визулизация!$A27),SUMIFS('Результат запроса'!$Q$2:$Q$128,'Результат запроса'!$J$2:$J$128,Визулизация!$A27))</f>
        <v>11135.211174967537</v>
      </c>
    </row>
    <row r="28" spans="1:7" ht="15.75" thickBot="1" x14ac:dyDescent="0.3">
      <c r="A28" s="6" t="s">
        <v>29</v>
      </c>
      <c r="B28" s="36">
        <f>B25/SUM(SUMIFS('Результат запроса'!$S$2:$S$128,'Результат запроса'!$J$2:$J$128,Визулизация!$A28),SUMIFS('Результат запроса'!$Q$2:$Q$128,'Результат запроса'!$J$2:$J$128,Визулизация!$A28))</f>
        <v>5501.2834132932412</v>
      </c>
    </row>
    <row r="32" spans="1:7" ht="15.75" thickBot="1" x14ac:dyDescent="0.3"/>
    <row r="33" spans="1:4" x14ac:dyDescent="0.25">
      <c r="A33" s="2"/>
      <c r="B33" s="22" t="s">
        <v>24</v>
      </c>
      <c r="C33" s="22" t="s">
        <v>29</v>
      </c>
      <c r="D33" s="20" t="s">
        <v>35</v>
      </c>
    </row>
    <row r="34" spans="1:4" x14ac:dyDescent="0.25">
      <c r="A34" s="4" t="s">
        <v>63</v>
      </c>
      <c r="B34" s="29">
        <f>SUMIFS('Результат запроса'!$S$2:$S$128,'Результат запроса'!$J$2:$J$128,Визулизация!B$33) / SUMIFS('Результат запроса'!$P$2:$P$128,'Результат запроса'!$J$2:$J$128,Визулизация!B$33)</f>
        <v>0.86957770755530017</v>
      </c>
      <c r="C34" s="29">
        <f>SUMIFS('Результат запроса'!$S$2:$S$128,'Результат запроса'!$J$2:$J$128,Визулизация!C$33) / SUMIFS('Результат запроса'!$P$2:$P$128,'Результат запроса'!$J$2:$J$128,Визулизация!C$33)</f>
        <v>0.93080757726819541</v>
      </c>
      <c r="D34" s="37">
        <f>SUMIFS('Результат запроса'!$S$2:$S$128,'Результат запроса'!$J$2:$J$128,Визулизация!D$33) / SUMIFS('Результат запроса'!$P$2:$P$128,'Результат запроса'!$J$2:$J$128,Визулизация!D$33)</f>
        <v>0</v>
      </c>
    </row>
    <row r="35" spans="1:4" ht="15.75" thickBot="1" x14ac:dyDescent="0.3">
      <c r="A35" s="6" t="s">
        <v>64</v>
      </c>
      <c r="B35" s="31">
        <f>SUMIFS('Результат запроса'!$Q$2:$Q$128,'Результат запроса'!$J$2:$J$128,Визулизация!B$33) / SUMIFS('Результат запроса'!$O$2:$O$128,'Результат запроса'!$J$2:$J$128,Визулизация!B$33)</f>
        <v>0.87570621468926557</v>
      </c>
      <c r="C35" s="31">
        <f>SUMIFS('Результат запроса'!$Q$2:$Q$128,'Результат запроса'!$J$2:$J$128,Визулизация!C$33) / SUMIFS('Результат запроса'!$O$2:$O$128,'Результат запроса'!$J$2:$J$128,Визулизация!C$33)</f>
        <v>0.92231638418079098</v>
      </c>
      <c r="D35" s="38">
        <f>SUMIFS('Результат запроса'!$Q$2:$Q$128,'Результат запроса'!$J$2:$J$128,Визулизация!D$33) / SUMIFS('Результат запроса'!$O$2:$O$128,'Результат запроса'!$J$2:$J$128,Визулизация!D$33)</f>
        <v>0</v>
      </c>
    </row>
    <row r="37" spans="1:4" ht="15.75" thickBot="1" x14ac:dyDescent="0.3"/>
    <row r="38" spans="1:4" x14ac:dyDescent="0.25">
      <c r="A38" s="2"/>
      <c r="B38" s="22"/>
      <c r="C38" s="22" t="s">
        <v>24</v>
      </c>
      <c r="D38" s="20" t="s">
        <v>29</v>
      </c>
    </row>
    <row r="39" spans="1:4" x14ac:dyDescent="0.25">
      <c r="A39" s="4" t="s">
        <v>49</v>
      </c>
      <c r="B39" s="23"/>
      <c r="C39" s="24">
        <f>SUMIFS('Результат запроса'!$V$2:$V$119,'Результат запроса'!$J$2:$J$119,Визулизация!C$38)</f>
        <v>4269264.4895999981</v>
      </c>
      <c r="D39" s="25">
        <f>SUMIFS('Результат запроса'!$V$2:$V$119,'Результат запроса'!$J$2:$J$119,Визулизация!D$38)</f>
        <v>3699811.5791999977</v>
      </c>
    </row>
    <row r="40" spans="1:4" x14ac:dyDescent="0.25">
      <c r="A40" s="4" t="s">
        <v>50</v>
      </c>
      <c r="B40" s="23"/>
      <c r="C40" s="24">
        <f>SUMIFS('Результат запроса'!$W$2:$W$119,'Результат запроса'!$J$2:$J$119,Визулизация!C$38)</f>
        <v>14555273.760000007</v>
      </c>
      <c r="D40" s="25">
        <f>SUMIFS('Результат запроса'!$W$2:$W$119,'Результат запроса'!$J$2:$J$119,Визулизация!D$38)</f>
        <v>5172497.0099999979</v>
      </c>
    </row>
    <row r="41" spans="1:4" x14ac:dyDescent="0.25">
      <c r="A41" s="4" t="s">
        <v>51</v>
      </c>
      <c r="B41" s="23"/>
      <c r="C41" s="24">
        <f>SUMIFS('Результат запроса'!$X$2:$X$119,'Результат запроса'!$J$2:$J$119,Визулизация!C$38)</f>
        <v>34395.701999999976</v>
      </c>
      <c r="D41" s="25">
        <f>SUMIFS('Результат запроса'!$X$2:$X$119,'Результат запроса'!$J$2:$J$119,Визулизация!D$38)</f>
        <v>34395.701999999976</v>
      </c>
    </row>
    <row r="42" spans="1:4" x14ac:dyDescent="0.25">
      <c r="A42" s="4" t="s">
        <v>52</v>
      </c>
      <c r="B42" s="23"/>
      <c r="C42" s="24">
        <f>SUMIFS('Результат запроса'!$Y$2:$Y$119,'Результат запроса'!$J$2:$J$119,Визулизация!C$38)</f>
        <v>3736666.6666666698</v>
      </c>
      <c r="D42" s="25">
        <f>SUMIFS('Результат запроса'!$Y$2:$Y$119,'Результат запроса'!$J$2:$J$119,Визулизация!D$38)</f>
        <v>3736666.6666666698</v>
      </c>
    </row>
    <row r="43" spans="1:4" x14ac:dyDescent="0.25">
      <c r="A43" s="39" t="s">
        <v>71</v>
      </c>
      <c r="B43" s="23" t="s">
        <v>73</v>
      </c>
      <c r="C43" s="24">
        <f>SUM(C39:C42)</f>
        <v>22595600.618266672</v>
      </c>
      <c r="D43" s="25">
        <f>SUM(D39:D42)</f>
        <v>12643370.957866665</v>
      </c>
    </row>
    <row r="44" spans="1:4" ht="15.75" thickBot="1" x14ac:dyDescent="0.3">
      <c r="A44" s="6" t="s">
        <v>62</v>
      </c>
      <c r="B44" s="33" t="s">
        <v>72</v>
      </c>
      <c r="C44" s="26">
        <f>SUMIFS('Результат запроса'!$Z$2:$Z$119,'Результат запроса'!$J$2:$J$119,Визулизация!C$38)</f>
        <v>74316399.381733343</v>
      </c>
      <c r="D44" s="21">
        <f>SUMIFS('Результат запроса'!$Z$2:$Z$119,'Результат запроса'!$J$2:$J$119,Визулизация!D$38)</f>
        <v>29272329.042133339</v>
      </c>
    </row>
    <row r="46" spans="1:4" ht="15.75" thickBot="1" x14ac:dyDescent="0.3"/>
    <row r="47" spans="1:4" x14ac:dyDescent="0.25">
      <c r="C47" s="2" t="s">
        <v>24</v>
      </c>
      <c r="D47" s="20" t="s">
        <v>29</v>
      </c>
    </row>
    <row r="48" spans="1:4" ht="15.75" thickBot="1" x14ac:dyDescent="0.3">
      <c r="C48" s="40">
        <f>C43/C44</f>
        <v>0.30404595494733527</v>
      </c>
      <c r="D48" s="28">
        <f>D43/D44</f>
        <v>0.43192227511751241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 запроса</vt:lpstr>
      <vt:lpstr>Доп.Информация</vt:lpstr>
      <vt:lpstr>Визулизация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777</cp:lastModifiedBy>
  <dcterms:created xsi:type="dcterms:W3CDTF">2021-05-08T13:39:08Z</dcterms:created>
  <dcterms:modified xsi:type="dcterms:W3CDTF">2021-06-10T10:40:27Z</dcterms:modified>
</cp:coreProperties>
</file>