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tilisateur\Dropbox\VS\OLD VS\"/>
    </mc:Choice>
  </mc:AlternateContent>
  <xr:revisionPtr revIDLastSave="0" documentId="13_ncr:1_{C744861E-5127-4DFE-93C8-5739F6BA009F}" xr6:coauthVersionLast="45" xr6:coauthVersionMax="45" xr10:uidLastSave="{00000000-0000-0000-0000-000000000000}"/>
  <bookViews>
    <workbookView xWindow="-120" yWindow="-120" windowWidth="29040" windowHeight="15840" tabRatio="500" firstSheet="17" activeTab="21" xr2:uid="{00000000-000D-0000-FFFF-FFFF00000000}"/>
  </bookViews>
  <sheets>
    <sheet name="Golden 20" sheetId="1" r:id="rId1"/>
    <sheet name="King Saga 36" sheetId="2" r:id="rId2"/>
    <sheet name="BYOTT 20" sheetId="3" r:id="rId3"/>
    <sheet name="PCIN05 DSM+DGL 6" sheetId="4" r:id="rId4"/>
    <sheet name="PCAM05 MSM+MMK 6" sheetId="5" r:id="rId5"/>
    <sheet name="PCNY05-MOR-MMK 7" sheetId="6" r:id="rId6"/>
    <sheet name="BYOS 40" sheetId="7" r:id="rId7"/>
    <sheet name="PCLA05 MOR-MAV 15" sheetId="8" r:id="rId8"/>
    <sheet name="PCAT06 MAV-MXM 6" sheetId="9" r:id="rId9"/>
    <sheet name="MOR-MXM 8" sheetId="10" r:id="rId10"/>
    <sheet name="pcsf06 msm-dcr 7" sheetId="11" r:id="rId11"/>
    <sheet name="PCIN06DJL-DCR 5" sheetId="12" r:id="rId12"/>
    <sheet name="PCLA06 MOR-MHG 12" sheetId="13" r:id="rId13"/>
    <sheet name="PCSF 07 MMK-DLS 10" sheetId="14" r:id="rId14"/>
    <sheet name="PCIN07 MHG-DWF 10" sheetId="15" r:id="rId15"/>
    <sheet name="WORLD CHAMP DWF-MUN 10" sheetId="16" r:id="rId16"/>
    <sheet name="MW08 MXM-DCL 8" sheetId="17" r:id="rId17"/>
    <sheet name="MvsD 8" sheetId="18" r:id="rId18"/>
    <sheet name="DV-IDENTITY-0" sheetId="19" state="hidden" r:id="rId19"/>
    <sheet name="RandomPunks 25" sheetId="20" r:id="rId20"/>
    <sheet name="Fanset" sheetId="21" r:id="rId21"/>
    <sheet name="CUBE" sheetId="22" r:id="rId22"/>
  </sheets>
  <externalReferences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2" l="1"/>
  <c r="G15" i="22" s="1"/>
  <c r="C15" i="22"/>
  <c r="H12" i="22"/>
  <c r="H11" i="22"/>
  <c r="H10" i="22"/>
  <c r="H9" i="22"/>
  <c r="H8" i="22"/>
  <c r="H7" i="22"/>
  <c r="H6" i="22"/>
  <c r="H5" i="22"/>
  <c r="H4" i="22"/>
  <c r="H13" i="22" l="1"/>
  <c r="H15" i="22" s="1"/>
  <c r="AM1" i="1" l="1"/>
  <c r="BS1" i="2"/>
  <c r="BK1" i="2"/>
  <c r="S1" i="15"/>
  <c r="Q1" i="15"/>
  <c r="O1" i="15"/>
  <c r="M1" i="15"/>
  <c r="CA1" i="7"/>
  <c r="BY1" i="7"/>
  <c r="BW1" i="7"/>
  <c r="S1" i="16"/>
  <c r="O1" i="17"/>
  <c r="M1" i="17"/>
  <c r="G2" i="18"/>
  <c r="O2" i="18"/>
  <c r="W1" i="13"/>
  <c r="S1" i="14"/>
  <c r="M1" i="11"/>
  <c r="AC1" i="8"/>
  <c r="AM1" i="3"/>
  <c r="AK1" i="3"/>
  <c r="AI1" i="3"/>
  <c r="AG1" i="3"/>
  <c r="AE1" i="3"/>
  <c r="AC1" i="3"/>
  <c r="E1" i="20"/>
  <c r="K1" i="17"/>
  <c r="E1" i="7" l="1"/>
  <c r="M1" i="2" l="1"/>
  <c r="AW1" i="20" l="1"/>
  <c r="S1" i="20" l="1"/>
  <c r="AQ1" i="20" l="1"/>
  <c r="K1" i="20"/>
  <c r="Q1" i="16" l="1"/>
  <c r="M1" i="16"/>
  <c r="I1" i="16"/>
  <c r="E1" i="16"/>
  <c r="C1" i="16"/>
  <c r="C1" i="15"/>
  <c r="E1" i="15"/>
  <c r="G1" i="15"/>
  <c r="I1" i="15"/>
  <c r="K1" i="15"/>
  <c r="A1" i="15"/>
  <c r="O1" i="20" l="1"/>
  <c r="AA1" i="20"/>
  <c r="AG1" i="20"/>
  <c r="AO1" i="21" l="1"/>
  <c r="K1" i="16"/>
  <c r="K1" i="14"/>
  <c r="I1" i="14"/>
  <c r="G1" i="14"/>
  <c r="A1" i="14"/>
  <c r="AL2" i="21" l="1"/>
  <c r="AI2" i="21"/>
  <c r="AF2" i="21"/>
  <c r="AC2" i="21"/>
  <c r="Z2" i="21"/>
  <c r="W2" i="21"/>
  <c r="T2" i="21"/>
  <c r="Q2" i="21"/>
  <c r="N2" i="21"/>
  <c r="J2" i="21"/>
  <c r="G2" i="21"/>
  <c r="D2" i="21"/>
  <c r="A2" i="21"/>
  <c r="AU1" i="20"/>
  <c r="AS1" i="20"/>
  <c r="AO1" i="20"/>
  <c r="AM1" i="20"/>
  <c r="AK1" i="20"/>
  <c r="AI1" i="20"/>
  <c r="AE1" i="20"/>
  <c r="AC1" i="20"/>
  <c r="Y1" i="20"/>
  <c r="W1" i="20"/>
  <c r="U1" i="20"/>
  <c r="Q1" i="20"/>
  <c r="M1" i="20"/>
  <c r="I1" i="20"/>
  <c r="G1" i="20"/>
  <c r="C1" i="20"/>
  <c r="A1" i="20"/>
  <c r="DL57" i="19"/>
  <c r="DK57" i="19"/>
  <c r="DJ57" i="19"/>
  <c r="DI57" i="19"/>
  <c r="DH57" i="19"/>
  <c r="DG57" i="19"/>
  <c r="DF57" i="19"/>
  <c r="DE57" i="19"/>
  <c r="DD57" i="19"/>
  <c r="DC57" i="19"/>
  <c r="DB57" i="19"/>
  <c r="DA57" i="19"/>
  <c r="CZ57" i="19"/>
  <c r="CY57" i="19"/>
  <c r="CX57" i="19"/>
  <c r="CW57" i="19"/>
  <c r="CV57" i="19"/>
  <c r="CU57" i="19"/>
  <c r="CT57" i="19"/>
  <c r="CS57" i="19"/>
  <c r="CR57" i="19"/>
  <c r="CQ57" i="19"/>
  <c r="CP57" i="19"/>
  <c r="CO57" i="19"/>
  <c r="CN57" i="19"/>
  <c r="CM57" i="19"/>
  <c r="CL57" i="19"/>
  <c r="CK57" i="19"/>
  <c r="CJ57" i="19"/>
  <c r="CI57" i="19"/>
  <c r="CH57" i="19"/>
  <c r="CG57" i="19"/>
  <c r="CF57" i="19"/>
  <c r="CE57" i="19"/>
  <c r="CD57" i="19"/>
  <c r="CC57" i="19"/>
  <c r="CB57" i="19"/>
  <c r="CA57" i="19"/>
  <c r="BZ57" i="19"/>
  <c r="BY57" i="19"/>
  <c r="BX57" i="19"/>
  <c r="BW57" i="19"/>
  <c r="BV57" i="19"/>
  <c r="BU57" i="19"/>
  <c r="BT57" i="19"/>
  <c r="BS57" i="19"/>
  <c r="BR57" i="19"/>
  <c r="BQ57" i="19"/>
  <c r="BP57" i="19"/>
  <c r="BO57" i="19"/>
  <c r="BN57" i="19"/>
  <c r="BM57" i="19"/>
  <c r="BL57" i="19"/>
  <c r="BK57" i="19"/>
  <c r="BJ57" i="19"/>
  <c r="BI57" i="19"/>
  <c r="BH57" i="19"/>
  <c r="BG57" i="19"/>
  <c r="BF57" i="19"/>
  <c r="BE57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A57" i="19"/>
  <c r="IV56" i="19"/>
  <c r="IU56" i="19"/>
  <c r="IT56" i="19"/>
  <c r="IS56" i="19"/>
  <c r="IR56" i="19"/>
  <c r="IQ56" i="19"/>
  <c r="IP56" i="19"/>
  <c r="IO56" i="19"/>
  <c r="IN56" i="19"/>
  <c r="IM56" i="19"/>
  <c r="IL56" i="19"/>
  <c r="IK56" i="19"/>
  <c r="IJ56" i="19"/>
  <c r="II56" i="19"/>
  <c r="IH56" i="19"/>
  <c r="IG56" i="19"/>
  <c r="IF56" i="19"/>
  <c r="IE56" i="19"/>
  <c r="ID56" i="19"/>
  <c r="IC56" i="19"/>
  <c r="IB56" i="19"/>
  <c r="IA56" i="19"/>
  <c r="HZ56" i="19"/>
  <c r="HY56" i="19"/>
  <c r="HX56" i="19"/>
  <c r="HW56" i="19"/>
  <c r="HV56" i="19"/>
  <c r="HU56" i="19"/>
  <c r="HT56" i="19"/>
  <c r="HS56" i="19"/>
  <c r="HR56" i="19"/>
  <c r="HQ56" i="19"/>
  <c r="HP56" i="19"/>
  <c r="HO56" i="19"/>
  <c r="HN56" i="19"/>
  <c r="HM56" i="19"/>
  <c r="HL56" i="19"/>
  <c r="HK56" i="19"/>
  <c r="HJ56" i="19"/>
  <c r="HI56" i="19"/>
  <c r="HH56" i="19"/>
  <c r="HG56" i="19"/>
  <c r="HF56" i="19"/>
  <c r="HE56" i="19"/>
  <c r="HD56" i="19"/>
  <c r="HC56" i="19"/>
  <c r="HB56" i="19"/>
  <c r="HA56" i="19"/>
  <c r="GZ56" i="19"/>
  <c r="GY56" i="19"/>
  <c r="GX56" i="19"/>
  <c r="GW56" i="19"/>
  <c r="GV56" i="19"/>
  <c r="GU56" i="19"/>
  <c r="GT56" i="19"/>
  <c r="GS56" i="19"/>
  <c r="GR56" i="19"/>
  <c r="GQ56" i="19"/>
  <c r="GP56" i="19"/>
  <c r="GO56" i="19"/>
  <c r="GN56" i="19"/>
  <c r="GM56" i="19"/>
  <c r="GL56" i="19"/>
  <c r="GK56" i="19"/>
  <c r="GJ56" i="19"/>
  <c r="GI56" i="19"/>
  <c r="GH56" i="19"/>
  <c r="GG56" i="19"/>
  <c r="GF56" i="19"/>
  <c r="GE56" i="19"/>
  <c r="GD56" i="19"/>
  <c r="GC56" i="19"/>
  <c r="GB56" i="19"/>
  <c r="GA56" i="19"/>
  <c r="FZ56" i="19"/>
  <c r="FY56" i="19"/>
  <c r="FX56" i="19"/>
  <c r="FW56" i="19"/>
  <c r="FV56" i="19"/>
  <c r="FU56" i="19"/>
  <c r="FT56" i="19"/>
  <c r="FS56" i="19"/>
  <c r="FR56" i="19"/>
  <c r="FQ56" i="19"/>
  <c r="FP56" i="19"/>
  <c r="FO56" i="19"/>
  <c r="FN56" i="19"/>
  <c r="FM56" i="19"/>
  <c r="FL56" i="19"/>
  <c r="FK56" i="19"/>
  <c r="FJ56" i="19"/>
  <c r="FI56" i="19"/>
  <c r="FH56" i="19"/>
  <c r="FG56" i="19"/>
  <c r="FF56" i="19"/>
  <c r="FE56" i="19"/>
  <c r="FD56" i="19"/>
  <c r="FC56" i="19"/>
  <c r="FB56" i="19"/>
  <c r="FA56" i="19"/>
  <c r="EZ56" i="19"/>
  <c r="EY56" i="19"/>
  <c r="EX56" i="19"/>
  <c r="EW56" i="19"/>
  <c r="EV56" i="19"/>
  <c r="EU56" i="19"/>
  <c r="ET56" i="19"/>
  <c r="ES56" i="19"/>
  <c r="ER56" i="19"/>
  <c r="EQ56" i="19"/>
  <c r="EP56" i="19"/>
  <c r="EO56" i="19"/>
  <c r="EN56" i="19"/>
  <c r="EM56" i="19"/>
  <c r="EL56" i="19"/>
  <c r="EK56" i="19"/>
  <c r="EJ56" i="19"/>
  <c r="EI56" i="19"/>
  <c r="EH56" i="19"/>
  <c r="EG56" i="19"/>
  <c r="EF56" i="19"/>
  <c r="EE56" i="19"/>
  <c r="ED56" i="19"/>
  <c r="EC56" i="19"/>
  <c r="EB56" i="19"/>
  <c r="EA56" i="19"/>
  <c r="DZ56" i="19"/>
  <c r="DY56" i="19"/>
  <c r="DX56" i="19"/>
  <c r="DW56" i="19"/>
  <c r="DV56" i="19"/>
  <c r="DU56" i="19"/>
  <c r="DT56" i="19"/>
  <c r="DS56" i="19"/>
  <c r="DR56" i="19"/>
  <c r="DQ56" i="19"/>
  <c r="DP56" i="19"/>
  <c r="DO56" i="19"/>
  <c r="DN56" i="19"/>
  <c r="DM56" i="19"/>
  <c r="DL56" i="19"/>
  <c r="DK56" i="19"/>
  <c r="DJ56" i="19"/>
  <c r="DI56" i="19"/>
  <c r="DH56" i="19"/>
  <c r="DG56" i="19"/>
  <c r="DF56" i="19"/>
  <c r="DE56" i="19"/>
  <c r="DD56" i="19"/>
  <c r="DC56" i="19"/>
  <c r="DB56" i="19"/>
  <c r="DA56" i="19"/>
  <c r="CZ56" i="19"/>
  <c r="CY56" i="19"/>
  <c r="CX56" i="19"/>
  <c r="CW56" i="19"/>
  <c r="CV56" i="19"/>
  <c r="CU56" i="19"/>
  <c r="CT56" i="19"/>
  <c r="CS56" i="19"/>
  <c r="CR56" i="19"/>
  <c r="CQ56" i="19"/>
  <c r="CP56" i="19"/>
  <c r="CO56" i="19"/>
  <c r="CN56" i="19"/>
  <c r="CM56" i="19"/>
  <c r="CL56" i="19"/>
  <c r="CK56" i="19"/>
  <c r="CJ56" i="19"/>
  <c r="CI56" i="19"/>
  <c r="CH56" i="19"/>
  <c r="CG56" i="19"/>
  <c r="CF56" i="19"/>
  <c r="CE56" i="19"/>
  <c r="CD56" i="19"/>
  <c r="CC56" i="19"/>
  <c r="CB56" i="19"/>
  <c r="CA56" i="19"/>
  <c r="BZ56" i="19"/>
  <c r="BY56" i="19"/>
  <c r="BX56" i="19"/>
  <c r="BW56" i="19"/>
  <c r="BV56" i="19"/>
  <c r="BU56" i="19"/>
  <c r="BT56" i="19"/>
  <c r="BS56" i="19"/>
  <c r="BR56" i="19"/>
  <c r="BQ56" i="19"/>
  <c r="BP56" i="19"/>
  <c r="BO56" i="19"/>
  <c r="BN56" i="19"/>
  <c r="BM56" i="19"/>
  <c r="BL56" i="19"/>
  <c r="BK56" i="19"/>
  <c r="BJ56" i="19"/>
  <c r="BI56" i="19"/>
  <c r="BH56" i="19"/>
  <c r="BG56" i="19"/>
  <c r="BF56" i="19"/>
  <c r="BE56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A56" i="19"/>
  <c r="F55" i="19"/>
  <c r="E55" i="19"/>
  <c r="D55" i="19"/>
  <c r="C55" i="19"/>
  <c r="B55" i="19"/>
  <c r="A55" i="19"/>
  <c r="CL54" i="19"/>
  <c r="CK54" i="19"/>
  <c r="CJ54" i="19"/>
  <c r="CI54" i="19"/>
  <c r="CH54" i="19"/>
  <c r="CG54" i="19"/>
  <c r="CF54" i="19"/>
  <c r="CE54" i="19"/>
  <c r="CD54" i="19"/>
  <c r="CC54" i="19"/>
  <c r="CB54" i="19"/>
  <c r="CA54" i="19"/>
  <c r="BZ54" i="19"/>
  <c r="BY54" i="19"/>
  <c r="BX54" i="19"/>
  <c r="BW54" i="19"/>
  <c r="BV54" i="19"/>
  <c r="BU54" i="19"/>
  <c r="BT54" i="19"/>
  <c r="BS54" i="19"/>
  <c r="BR54" i="19"/>
  <c r="BQ54" i="19"/>
  <c r="BP54" i="19"/>
  <c r="BO54" i="19"/>
  <c r="BN54" i="19"/>
  <c r="BM54" i="19"/>
  <c r="BL54" i="19"/>
  <c r="BK54" i="19"/>
  <c r="BJ54" i="19"/>
  <c r="BI54" i="19"/>
  <c r="BH54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54" i="19"/>
  <c r="F53" i="19"/>
  <c r="E53" i="19"/>
  <c r="D53" i="19"/>
  <c r="C53" i="19"/>
  <c r="B53" i="19"/>
  <c r="A53" i="19"/>
  <c r="IV52" i="19"/>
  <c r="IU52" i="19"/>
  <c r="IT52" i="19"/>
  <c r="IS52" i="19"/>
  <c r="IR52" i="19"/>
  <c r="IQ52" i="19"/>
  <c r="IP52" i="19"/>
  <c r="IO52" i="19"/>
  <c r="IN52" i="19"/>
  <c r="IM52" i="19"/>
  <c r="IL52" i="19"/>
  <c r="IK52" i="19"/>
  <c r="IJ52" i="19"/>
  <c r="II52" i="19"/>
  <c r="IH52" i="19"/>
  <c r="IG52" i="19"/>
  <c r="IF52" i="19"/>
  <c r="IE52" i="19"/>
  <c r="ID52" i="19"/>
  <c r="IC52" i="19"/>
  <c r="IB52" i="19"/>
  <c r="IA52" i="19"/>
  <c r="HZ52" i="19"/>
  <c r="HY52" i="19"/>
  <c r="HX52" i="19"/>
  <c r="HW52" i="19"/>
  <c r="HV52" i="19"/>
  <c r="HU52" i="19"/>
  <c r="HT52" i="19"/>
  <c r="HS52" i="19"/>
  <c r="HR52" i="19"/>
  <c r="HQ52" i="19"/>
  <c r="HP52" i="19"/>
  <c r="HO52" i="19"/>
  <c r="HN52" i="19"/>
  <c r="HM52" i="19"/>
  <c r="HL52" i="19"/>
  <c r="HK52" i="19"/>
  <c r="HJ52" i="19"/>
  <c r="HI52" i="19"/>
  <c r="HH52" i="19"/>
  <c r="HG52" i="19"/>
  <c r="HF52" i="19"/>
  <c r="HE52" i="19"/>
  <c r="HD52" i="19"/>
  <c r="HC52" i="19"/>
  <c r="HB52" i="19"/>
  <c r="HA52" i="19"/>
  <c r="GZ52" i="19"/>
  <c r="GY52" i="19"/>
  <c r="GX52" i="19"/>
  <c r="GW52" i="19"/>
  <c r="GV52" i="19"/>
  <c r="GU52" i="19"/>
  <c r="GT52" i="19"/>
  <c r="GS52" i="19"/>
  <c r="GR52" i="19"/>
  <c r="GQ52" i="19"/>
  <c r="GP52" i="19"/>
  <c r="GO52" i="19"/>
  <c r="GN52" i="19"/>
  <c r="GM52" i="19"/>
  <c r="GL52" i="19"/>
  <c r="GK52" i="19"/>
  <c r="GJ52" i="19"/>
  <c r="GI52" i="19"/>
  <c r="GH52" i="19"/>
  <c r="GG52" i="19"/>
  <c r="GF52" i="19"/>
  <c r="GE52" i="19"/>
  <c r="GD52" i="19"/>
  <c r="GC52" i="19"/>
  <c r="GB52" i="19"/>
  <c r="GA52" i="19"/>
  <c r="FZ52" i="19"/>
  <c r="FY52" i="19"/>
  <c r="FX52" i="19"/>
  <c r="FW52" i="19"/>
  <c r="FV52" i="19"/>
  <c r="FU52" i="19"/>
  <c r="FT52" i="19"/>
  <c r="FS52" i="19"/>
  <c r="FR52" i="19"/>
  <c r="FQ52" i="19"/>
  <c r="FP52" i="19"/>
  <c r="FO52" i="19"/>
  <c r="FN52" i="19"/>
  <c r="FM52" i="19"/>
  <c r="FL52" i="19"/>
  <c r="FK52" i="19"/>
  <c r="FJ52" i="19"/>
  <c r="FI52" i="19"/>
  <c r="FH52" i="19"/>
  <c r="FG52" i="19"/>
  <c r="FF52" i="19"/>
  <c r="FE52" i="19"/>
  <c r="FD52" i="19"/>
  <c r="FC52" i="19"/>
  <c r="FB52" i="19"/>
  <c r="FA52" i="19"/>
  <c r="EZ52" i="19"/>
  <c r="EY52" i="19"/>
  <c r="EX52" i="19"/>
  <c r="EW52" i="19"/>
  <c r="EV52" i="19"/>
  <c r="EU52" i="19"/>
  <c r="ET52" i="19"/>
  <c r="ES52" i="19"/>
  <c r="ER52" i="19"/>
  <c r="EQ52" i="19"/>
  <c r="EP52" i="19"/>
  <c r="EO52" i="19"/>
  <c r="EN52" i="19"/>
  <c r="EM52" i="19"/>
  <c r="EL52" i="19"/>
  <c r="EK52" i="19"/>
  <c r="EJ52" i="19"/>
  <c r="EI52" i="19"/>
  <c r="EH52" i="19"/>
  <c r="EG52" i="19"/>
  <c r="EF52" i="19"/>
  <c r="EE52" i="19"/>
  <c r="ED52" i="19"/>
  <c r="EC52" i="19"/>
  <c r="EB52" i="19"/>
  <c r="EA52" i="19"/>
  <c r="DZ52" i="19"/>
  <c r="DY52" i="19"/>
  <c r="DX52" i="19"/>
  <c r="DW52" i="19"/>
  <c r="DV52" i="19"/>
  <c r="DU52" i="19"/>
  <c r="DT52" i="19"/>
  <c r="DS52" i="19"/>
  <c r="DR52" i="19"/>
  <c r="DQ52" i="19"/>
  <c r="DP52" i="19"/>
  <c r="DO52" i="19"/>
  <c r="DN52" i="19"/>
  <c r="DM52" i="19"/>
  <c r="DL52" i="19"/>
  <c r="DK52" i="19"/>
  <c r="DJ52" i="19"/>
  <c r="DI52" i="19"/>
  <c r="DH52" i="19"/>
  <c r="DG52" i="19"/>
  <c r="DF52" i="19"/>
  <c r="DE52" i="19"/>
  <c r="DD52" i="19"/>
  <c r="DC52" i="19"/>
  <c r="DB52" i="19"/>
  <c r="DA52" i="19"/>
  <c r="CZ52" i="19"/>
  <c r="CY52" i="19"/>
  <c r="CX52" i="19"/>
  <c r="CW52" i="19"/>
  <c r="CV52" i="19"/>
  <c r="CU52" i="19"/>
  <c r="CT52" i="19"/>
  <c r="CS52" i="19"/>
  <c r="CR52" i="19"/>
  <c r="CQ52" i="19"/>
  <c r="CP52" i="19"/>
  <c r="CO52" i="19"/>
  <c r="CN52" i="19"/>
  <c r="CM52" i="19"/>
  <c r="CL52" i="19"/>
  <c r="CK52" i="19"/>
  <c r="CJ52" i="19"/>
  <c r="CI52" i="19"/>
  <c r="CH52" i="19"/>
  <c r="CG52" i="19"/>
  <c r="CF52" i="19"/>
  <c r="CE52" i="19"/>
  <c r="CD52" i="19"/>
  <c r="CC52" i="19"/>
  <c r="CB52" i="19"/>
  <c r="CA52" i="19"/>
  <c r="BZ52" i="19"/>
  <c r="BY52" i="19"/>
  <c r="BX52" i="19"/>
  <c r="BW52" i="19"/>
  <c r="BV52" i="19"/>
  <c r="BU52" i="19"/>
  <c r="BT52" i="19"/>
  <c r="BS52" i="19"/>
  <c r="BR52" i="19"/>
  <c r="BQ52" i="19"/>
  <c r="BP52" i="19"/>
  <c r="BO52" i="19"/>
  <c r="BN52" i="19"/>
  <c r="BM52" i="19"/>
  <c r="BL52" i="19"/>
  <c r="BK52" i="19"/>
  <c r="BJ52" i="19"/>
  <c r="BI52" i="19"/>
  <c r="BH52" i="19"/>
  <c r="BG52" i="19"/>
  <c r="BF52" i="19"/>
  <c r="BE52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B52" i="19"/>
  <c r="GQ51" i="19"/>
  <c r="GP51" i="19"/>
  <c r="GO51" i="19"/>
  <c r="GN51" i="19"/>
  <c r="GM51" i="19"/>
  <c r="GL51" i="19"/>
  <c r="GK51" i="19"/>
  <c r="GJ51" i="19"/>
  <c r="GI51" i="19"/>
  <c r="GH51" i="19"/>
  <c r="GG51" i="19"/>
  <c r="GF51" i="19"/>
  <c r="GE51" i="19"/>
  <c r="GD51" i="19"/>
  <c r="GC51" i="19"/>
  <c r="GB51" i="19"/>
  <c r="GA51" i="19"/>
  <c r="FZ51" i="19"/>
  <c r="FY51" i="19"/>
  <c r="FX51" i="19"/>
  <c r="FW51" i="19"/>
  <c r="FV51" i="19"/>
  <c r="FU51" i="19"/>
  <c r="FT51" i="19"/>
  <c r="FS51" i="19"/>
  <c r="FR51" i="19"/>
  <c r="FQ51" i="19"/>
  <c r="FP51" i="19"/>
  <c r="FO51" i="19"/>
  <c r="FN51" i="19"/>
  <c r="FM51" i="19"/>
  <c r="FL51" i="19"/>
  <c r="FK51" i="19"/>
  <c r="FJ51" i="19"/>
  <c r="FI51" i="19"/>
  <c r="FH51" i="19"/>
  <c r="FG51" i="19"/>
  <c r="FF51" i="19"/>
  <c r="FE51" i="19"/>
  <c r="FD51" i="19"/>
  <c r="FC51" i="19"/>
  <c r="FB51" i="19"/>
  <c r="FA51" i="19"/>
  <c r="EZ51" i="19"/>
  <c r="EY51" i="19"/>
  <c r="EX51" i="19"/>
  <c r="EW51" i="19"/>
  <c r="EV51" i="19"/>
  <c r="EU51" i="19"/>
  <c r="ET51" i="19"/>
  <c r="ES51" i="19"/>
  <c r="ER51" i="19"/>
  <c r="EQ51" i="19"/>
  <c r="EP51" i="19"/>
  <c r="EO51" i="19"/>
  <c r="EN51" i="19"/>
  <c r="EM51" i="19"/>
  <c r="EL51" i="19"/>
  <c r="EK51" i="19"/>
  <c r="EJ51" i="19"/>
  <c r="EI51" i="19"/>
  <c r="EH51" i="19"/>
  <c r="EG51" i="19"/>
  <c r="EF51" i="19"/>
  <c r="EE51" i="19"/>
  <c r="ED51" i="19"/>
  <c r="EC51" i="19"/>
  <c r="EB51" i="19"/>
  <c r="EA51" i="19"/>
  <c r="DZ51" i="19"/>
  <c r="DY51" i="19"/>
  <c r="DX51" i="19"/>
  <c r="DW51" i="19"/>
  <c r="DV51" i="19"/>
  <c r="DU51" i="19"/>
  <c r="DT51" i="19"/>
  <c r="DS51" i="19"/>
  <c r="DR51" i="19"/>
  <c r="DQ51" i="19"/>
  <c r="DP51" i="19"/>
  <c r="DO51" i="19"/>
  <c r="DN51" i="19"/>
  <c r="DM51" i="19"/>
  <c r="DL51" i="19"/>
  <c r="DK51" i="19"/>
  <c r="DJ51" i="19"/>
  <c r="DI51" i="19"/>
  <c r="DH51" i="19"/>
  <c r="DG51" i="19"/>
  <c r="DF51" i="19"/>
  <c r="DE51" i="19"/>
  <c r="DD51" i="19"/>
  <c r="DC51" i="19"/>
  <c r="DB51" i="19"/>
  <c r="DA51" i="19"/>
  <c r="CZ51" i="19"/>
  <c r="CY51" i="19"/>
  <c r="CX51" i="19"/>
  <c r="CW51" i="19"/>
  <c r="CV51" i="19"/>
  <c r="CU51" i="19"/>
  <c r="CT51" i="19"/>
  <c r="CS51" i="19"/>
  <c r="CR51" i="19"/>
  <c r="CQ51" i="19"/>
  <c r="CP51" i="19"/>
  <c r="CO51" i="19"/>
  <c r="CN51" i="19"/>
  <c r="CM51" i="19"/>
  <c r="CL51" i="19"/>
  <c r="CK51" i="19"/>
  <c r="CJ51" i="19"/>
  <c r="CI51" i="19"/>
  <c r="CH51" i="19"/>
  <c r="CG51" i="19"/>
  <c r="CF51" i="19"/>
  <c r="CE51" i="19"/>
  <c r="CD51" i="19"/>
  <c r="CC51" i="19"/>
  <c r="CB51" i="19"/>
  <c r="CA51" i="19"/>
  <c r="BZ51" i="19"/>
  <c r="BY51" i="19"/>
  <c r="BX51" i="19"/>
  <c r="BW51" i="19"/>
  <c r="BV51" i="19"/>
  <c r="BU51" i="19"/>
  <c r="BT51" i="19"/>
  <c r="BS51" i="19"/>
  <c r="BR51" i="19"/>
  <c r="BQ51" i="19"/>
  <c r="BP51" i="19"/>
  <c r="BO51" i="19"/>
  <c r="BN51" i="19"/>
  <c r="BM51" i="19"/>
  <c r="BL51" i="19"/>
  <c r="BK51" i="19"/>
  <c r="BJ51" i="19"/>
  <c r="BI51" i="19"/>
  <c r="BH51" i="19"/>
  <c r="BG51" i="19"/>
  <c r="BF51" i="19"/>
  <c r="BE51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51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50" i="19"/>
  <c r="DK49" i="19"/>
  <c r="DJ49" i="19"/>
  <c r="DI49" i="19"/>
  <c r="DH49" i="19"/>
  <c r="DG49" i="19"/>
  <c r="DF49" i="19"/>
  <c r="DE49" i="19"/>
  <c r="DD49" i="19"/>
  <c r="DC49" i="19"/>
  <c r="DB49" i="19"/>
  <c r="DA49" i="19"/>
  <c r="CZ49" i="19"/>
  <c r="CY49" i="19"/>
  <c r="CX49" i="19"/>
  <c r="CW49" i="19"/>
  <c r="CV49" i="19"/>
  <c r="CU49" i="19"/>
  <c r="CT49" i="19"/>
  <c r="CS49" i="19"/>
  <c r="CR49" i="19"/>
  <c r="CQ49" i="19"/>
  <c r="CP49" i="19"/>
  <c r="CO49" i="19"/>
  <c r="CN49" i="19"/>
  <c r="CM49" i="19"/>
  <c r="CL49" i="19"/>
  <c r="CK49" i="19"/>
  <c r="CJ49" i="19"/>
  <c r="CI49" i="19"/>
  <c r="CH49" i="19"/>
  <c r="CG49" i="19"/>
  <c r="CF49" i="19"/>
  <c r="CE49" i="19"/>
  <c r="CD49" i="19"/>
  <c r="CC49" i="19"/>
  <c r="CB49" i="19"/>
  <c r="CA49" i="19"/>
  <c r="BZ49" i="19"/>
  <c r="BY49" i="19"/>
  <c r="BX49" i="19"/>
  <c r="BW49" i="19"/>
  <c r="BV49" i="19"/>
  <c r="BU49" i="19"/>
  <c r="BT49" i="19"/>
  <c r="BS49" i="19"/>
  <c r="BR49" i="19"/>
  <c r="BQ49" i="19"/>
  <c r="BP49" i="19"/>
  <c r="BO49" i="19"/>
  <c r="BN49" i="19"/>
  <c r="BM49" i="19"/>
  <c r="BL49" i="19"/>
  <c r="BK49" i="19"/>
  <c r="BJ49" i="19"/>
  <c r="BI49" i="19"/>
  <c r="BH49" i="19"/>
  <c r="BG49" i="19"/>
  <c r="BF49" i="19"/>
  <c r="BE49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49" i="19"/>
  <c r="EP48" i="19"/>
  <c r="EO48" i="19"/>
  <c r="EN48" i="19"/>
  <c r="EM48" i="19"/>
  <c r="EL48" i="19"/>
  <c r="EK48" i="19"/>
  <c r="EJ48" i="19"/>
  <c r="EI48" i="19"/>
  <c r="EH48" i="19"/>
  <c r="EG48" i="19"/>
  <c r="EF48" i="19"/>
  <c r="EE48" i="19"/>
  <c r="ED48" i="19"/>
  <c r="EC48" i="19"/>
  <c r="EB48" i="19"/>
  <c r="EA48" i="19"/>
  <c r="DZ48" i="19"/>
  <c r="DY48" i="19"/>
  <c r="DX48" i="19"/>
  <c r="DW48" i="19"/>
  <c r="DV48" i="19"/>
  <c r="DU48" i="19"/>
  <c r="DT48" i="19"/>
  <c r="DS48" i="19"/>
  <c r="DR48" i="19"/>
  <c r="DQ48" i="19"/>
  <c r="DP48" i="19"/>
  <c r="DO48" i="19"/>
  <c r="DN48" i="19"/>
  <c r="DM48" i="19"/>
  <c r="DL48" i="19"/>
  <c r="DK48" i="19"/>
  <c r="DJ48" i="19"/>
  <c r="DI48" i="19"/>
  <c r="DH48" i="19"/>
  <c r="DG48" i="19"/>
  <c r="DF48" i="19"/>
  <c r="DE48" i="19"/>
  <c r="DD48" i="19"/>
  <c r="DC48" i="19"/>
  <c r="DB48" i="19"/>
  <c r="DA48" i="19"/>
  <c r="CZ48" i="19"/>
  <c r="CY48" i="19"/>
  <c r="CX48" i="19"/>
  <c r="CW48" i="19"/>
  <c r="CV48" i="19"/>
  <c r="CU48" i="19"/>
  <c r="CT48" i="19"/>
  <c r="CS48" i="19"/>
  <c r="CR48" i="19"/>
  <c r="CQ48" i="19"/>
  <c r="CP48" i="19"/>
  <c r="CO48" i="19"/>
  <c r="CN48" i="19"/>
  <c r="CM48" i="19"/>
  <c r="CL48" i="19"/>
  <c r="CK48" i="19"/>
  <c r="CJ48" i="19"/>
  <c r="CI48" i="19"/>
  <c r="CH48" i="19"/>
  <c r="CG48" i="19"/>
  <c r="CF48" i="19"/>
  <c r="CE48" i="19"/>
  <c r="CD48" i="19"/>
  <c r="CC48" i="19"/>
  <c r="CB48" i="19"/>
  <c r="CA48" i="19"/>
  <c r="BZ48" i="19"/>
  <c r="BY48" i="19"/>
  <c r="BX48" i="19"/>
  <c r="BW48" i="19"/>
  <c r="BV48" i="19"/>
  <c r="BU48" i="19"/>
  <c r="BT48" i="19"/>
  <c r="BS48" i="19"/>
  <c r="BR48" i="19"/>
  <c r="BQ48" i="19"/>
  <c r="BP48" i="19"/>
  <c r="BO48" i="19"/>
  <c r="BN48" i="19"/>
  <c r="BM48" i="19"/>
  <c r="BL48" i="19"/>
  <c r="BK48" i="19"/>
  <c r="BJ48" i="19"/>
  <c r="BI48" i="19"/>
  <c r="BH48" i="19"/>
  <c r="BG48" i="19"/>
  <c r="BF48" i="19"/>
  <c r="BE48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48" i="19"/>
  <c r="IV47" i="19"/>
  <c r="IU47" i="19"/>
  <c r="IT47" i="19"/>
  <c r="IS47" i="19"/>
  <c r="IR47" i="19"/>
  <c r="IQ47" i="19"/>
  <c r="IP47" i="19"/>
  <c r="IO47" i="19"/>
  <c r="IN47" i="19"/>
  <c r="IM47" i="19"/>
  <c r="IL47" i="19"/>
  <c r="IK47" i="19"/>
  <c r="IJ47" i="19"/>
  <c r="II47" i="19"/>
  <c r="IH47" i="19"/>
  <c r="IG47" i="19"/>
  <c r="IF47" i="19"/>
  <c r="IE47" i="19"/>
  <c r="ID47" i="19"/>
  <c r="IC47" i="19"/>
  <c r="IB47" i="19"/>
  <c r="IA47" i="19"/>
  <c r="HZ47" i="19"/>
  <c r="HY47" i="19"/>
  <c r="HX47" i="19"/>
  <c r="HW47" i="19"/>
  <c r="HV47" i="19"/>
  <c r="HU47" i="19"/>
  <c r="HT47" i="19"/>
  <c r="HS47" i="19"/>
  <c r="HR47" i="19"/>
  <c r="HQ47" i="19"/>
  <c r="HP47" i="19"/>
  <c r="HO47" i="19"/>
  <c r="HN47" i="19"/>
  <c r="HM47" i="19"/>
  <c r="HL47" i="19"/>
  <c r="HK47" i="19"/>
  <c r="HJ47" i="19"/>
  <c r="HI47" i="19"/>
  <c r="HH47" i="19"/>
  <c r="HG47" i="19"/>
  <c r="HF47" i="19"/>
  <c r="HE47" i="19"/>
  <c r="HD47" i="19"/>
  <c r="HC47" i="19"/>
  <c r="HB47" i="19"/>
  <c r="HA47" i="19"/>
  <c r="GZ47" i="19"/>
  <c r="GY47" i="19"/>
  <c r="GX47" i="19"/>
  <c r="GW47" i="19"/>
  <c r="GV47" i="19"/>
  <c r="GU47" i="19"/>
  <c r="GT47" i="19"/>
  <c r="GS47" i="19"/>
  <c r="GR47" i="19"/>
  <c r="GQ47" i="19"/>
  <c r="GP47" i="19"/>
  <c r="GO47" i="19"/>
  <c r="GN47" i="19"/>
  <c r="GM47" i="19"/>
  <c r="GL47" i="19"/>
  <c r="GK47" i="19"/>
  <c r="GJ47" i="19"/>
  <c r="GI47" i="19"/>
  <c r="GH47" i="19"/>
  <c r="GG47" i="19"/>
  <c r="GF47" i="19"/>
  <c r="GE47" i="19"/>
  <c r="GD47" i="19"/>
  <c r="GC47" i="19"/>
  <c r="GB47" i="19"/>
  <c r="GA47" i="19"/>
  <c r="FZ47" i="19"/>
  <c r="FY47" i="19"/>
  <c r="FX47" i="19"/>
  <c r="FW47" i="19"/>
  <c r="FV47" i="19"/>
  <c r="FU47" i="19"/>
  <c r="FT47" i="19"/>
  <c r="FS47" i="19"/>
  <c r="FR47" i="19"/>
  <c r="FQ47" i="19"/>
  <c r="FP47" i="19"/>
  <c r="FO47" i="19"/>
  <c r="FN47" i="19"/>
  <c r="FM47" i="19"/>
  <c r="FL47" i="19"/>
  <c r="FK47" i="19"/>
  <c r="FJ47" i="19"/>
  <c r="FI47" i="19"/>
  <c r="FH47" i="19"/>
  <c r="FG47" i="19"/>
  <c r="FF47" i="19"/>
  <c r="FE47" i="19"/>
  <c r="FD47" i="19"/>
  <c r="FC47" i="19"/>
  <c r="FB47" i="19"/>
  <c r="FA47" i="19"/>
  <c r="EZ47" i="19"/>
  <c r="EY47" i="19"/>
  <c r="EX47" i="19"/>
  <c r="EW47" i="19"/>
  <c r="EV47" i="19"/>
  <c r="EU47" i="19"/>
  <c r="ET47" i="19"/>
  <c r="ES47" i="19"/>
  <c r="ER47" i="19"/>
  <c r="EQ47" i="19"/>
  <c r="EP47" i="19"/>
  <c r="EO47" i="19"/>
  <c r="EN47" i="19"/>
  <c r="EM47" i="19"/>
  <c r="EL47" i="19"/>
  <c r="EK47" i="19"/>
  <c r="EJ47" i="19"/>
  <c r="EI47" i="19"/>
  <c r="EH47" i="19"/>
  <c r="EG47" i="19"/>
  <c r="EF47" i="19"/>
  <c r="EE47" i="19"/>
  <c r="ED47" i="19"/>
  <c r="EC47" i="19"/>
  <c r="EB47" i="19"/>
  <c r="EA47" i="19"/>
  <c r="DZ47" i="19"/>
  <c r="DY47" i="19"/>
  <c r="DX47" i="19"/>
  <c r="DW47" i="19"/>
  <c r="DV47" i="19"/>
  <c r="DU47" i="19"/>
  <c r="DT47" i="19"/>
  <c r="DS47" i="19"/>
  <c r="DR47" i="19"/>
  <c r="DQ47" i="19"/>
  <c r="DP47" i="19"/>
  <c r="DO47" i="19"/>
  <c r="DN47" i="19"/>
  <c r="DM47" i="19"/>
  <c r="DL47" i="19"/>
  <c r="DK47" i="19"/>
  <c r="DJ47" i="19"/>
  <c r="DI47" i="19"/>
  <c r="DH47" i="19"/>
  <c r="DG47" i="19"/>
  <c r="DF47" i="19"/>
  <c r="DE47" i="19"/>
  <c r="DD47" i="19"/>
  <c r="DC47" i="19"/>
  <c r="DB47" i="19"/>
  <c r="DA47" i="19"/>
  <c r="CZ47" i="19"/>
  <c r="CY47" i="19"/>
  <c r="CX47" i="19"/>
  <c r="CW47" i="19"/>
  <c r="CV47" i="19"/>
  <c r="CU47" i="19"/>
  <c r="CT47" i="19"/>
  <c r="CS47" i="19"/>
  <c r="CR47" i="19"/>
  <c r="CQ47" i="19"/>
  <c r="CP47" i="19"/>
  <c r="CO47" i="19"/>
  <c r="CN47" i="19"/>
  <c r="CM47" i="19"/>
  <c r="CL47" i="19"/>
  <c r="CK47" i="19"/>
  <c r="CJ47" i="19"/>
  <c r="CI47" i="19"/>
  <c r="CH47" i="19"/>
  <c r="CG47" i="19"/>
  <c r="CF47" i="19"/>
  <c r="CE47" i="19"/>
  <c r="CD47" i="19"/>
  <c r="CC47" i="19"/>
  <c r="CB47" i="19"/>
  <c r="CA47" i="19"/>
  <c r="BZ47" i="19"/>
  <c r="BY47" i="19"/>
  <c r="BX47" i="19"/>
  <c r="BW47" i="19"/>
  <c r="BV47" i="19"/>
  <c r="BU47" i="19"/>
  <c r="BT47" i="19"/>
  <c r="BS47" i="19"/>
  <c r="BR47" i="19"/>
  <c r="BQ47" i="19"/>
  <c r="BP47" i="19"/>
  <c r="BO47" i="19"/>
  <c r="BN47" i="19"/>
  <c r="BM47" i="19"/>
  <c r="BL47" i="19"/>
  <c r="BK47" i="19"/>
  <c r="BJ47" i="19"/>
  <c r="BI47" i="19"/>
  <c r="BH47" i="19"/>
  <c r="BG47" i="19"/>
  <c r="BF47" i="19"/>
  <c r="BE47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47" i="19"/>
  <c r="IV46" i="19"/>
  <c r="IU46" i="19"/>
  <c r="IT46" i="19"/>
  <c r="IS46" i="19"/>
  <c r="IR46" i="19"/>
  <c r="IQ46" i="19"/>
  <c r="IP46" i="19"/>
  <c r="IO46" i="19"/>
  <c r="IN46" i="19"/>
  <c r="IM46" i="19"/>
  <c r="IL46" i="19"/>
  <c r="IK46" i="19"/>
  <c r="IJ46" i="19"/>
  <c r="II46" i="19"/>
  <c r="IH46" i="19"/>
  <c r="IG46" i="19"/>
  <c r="IF46" i="19"/>
  <c r="IE46" i="19"/>
  <c r="ID46" i="19"/>
  <c r="IC46" i="19"/>
  <c r="IB46" i="19"/>
  <c r="IA46" i="19"/>
  <c r="HZ46" i="19"/>
  <c r="HY46" i="19"/>
  <c r="HX46" i="19"/>
  <c r="HW46" i="19"/>
  <c r="HV46" i="19"/>
  <c r="HU46" i="19"/>
  <c r="HT46" i="19"/>
  <c r="HS46" i="19"/>
  <c r="HR46" i="19"/>
  <c r="HQ46" i="19"/>
  <c r="HP46" i="19"/>
  <c r="HO46" i="19"/>
  <c r="HN46" i="19"/>
  <c r="HM46" i="19"/>
  <c r="HL46" i="19"/>
  <c r="HK46" i="19"/>
  <c r="HJ46" i="19"/>
  <c r="HI46" i="19"/>
  <c r="HH46" i="19"/>
  <c r="HG46" i="19"/>
  <c r="HF46" i="19"/>
  <c r="HE46" i="19"/>
  <c r="HD46" i="19"/>
  <c r="HC46" i="19"/>
  <c r="HB46" i="19"/>
  <c r="HA46" i="19"/>
  <c r="GZ46" i="19"/>
  <c r="GY46" i="19"/>
  <c r="GX46" i="19"/>
  <c r="GW46" i="19"/>
  <c r="GV46" i="19"/>
  <c r="GU46" i="19"/>
  <c r="GT46" i="19"/>
  <c r="GS46" i="19"/>
  <c r="GR46" i="19"/>
  <c r="GQ46" i="19"/>
  <c r="GP46" i="19"/>
  <c r="GO46" i="19"/>
  <c r="GN46" i="19"/>
  <c r="GM46" i="19"/>
  <c r="GL46" i="19"/>
  <c r="GK46" i="19"/>
  <c r="GJ46" i="19"/>
  <c r="GI46" i="19"/>
  <c r="GH46" i="19"/>
  <c r="GG46" i="19"/>
  <c r="GF46" i="19"/>
  <c r="GE46" i="19"/>
  <c r="GD46" i="19"/>
  <c r="GC46" i="19"/>
  <c r="GB46" i="19"/>
  <c r="GA46" i="19"/>
  <c r="FZ46" i="19"/>
  <c r="FY46" i="19"/>
  <c r="FX46" i="19"/>
  <c r="FW46" i="19"/>
  <c r="FV46" i="19"/>
  <c r="FU46" i="19"/>
  <c r="FT46" i="19"/>
  <c r="FS46" i="19"/>
  <c r="FR46" i="19"/>
  <c r="FQ46" i="19"/>
  <c r="FP46" i="19"/>
  <c r="FO46" i="19"/>
  <c r="FN46" i="19"/>
  <c r="FM46" i="19"/>
  <c r="FL46" i="19"/>
  <c r="FK46" i="19"/>
  <c r="FJ46" i="19"/>
  <c r="FI46" i="19"/>
  <c r="FH46" i="19"/>
  <c r="FG46" i="19"/>
  <c r="FF46" i="19"/>
  <c r="FE46" i="19"/>
  <c r="FD46" i="19"/>
  <c r="FC46" i="19"/>
  <c r="FB46" i="19"/>
  <c r="FA46" i="19"/>
  <c r="EZ46" i="19"/>
  <c r="EY46" i="19"/>
  <c r="EX46" i="19"/>
  <c r="EW46" i="19"/>
  <c r="EV46" i="19"/>
  <c r="EU46" i="19"/>
  <c r="ET46" i="19"/>
  <c r="ES46" i="19"/>
  <c r="ER46" i="19"/>
  <c r="EQ46" i="19"/>
  <c r="EP46" i="19"/>
  <c r="EO46" i="19"/>
  <c r="EN46" i="19"/>
  <c r="EM46" i="19"/>
  <c r="EL46" i="19"/>
  <c r="EK46" i="19"/>
  <c r="EJ46" i="19"/>
  <c r="EI46" i="19"/>
  <c r="EH46" i="19"/>
  <c r="EG46" i="19"/>
  <c r="EF46" i="19"/>
  <c r="EE46" i="19"/>
  <c r="ED46" i="19"/>
  <c r="EC46" i="19"/>
  <c r="EB46" i="19"/>
  <c r="EA46" i="19"/>
  <c r="DZ46" i="19"/>
  <c r="DY46" i="19"/>
  <c r="DX46" i="19"/>
  <c r="DW46" i="19"/>
  <c r="DV46" i="19"/>
  <c r="DU46" i="19"/>
  <c r="DT46" i="19"/>
  <c r="DS46" i="19"/>
  <c r="DR46" i="19"/>
  <c r="DQ46" i="19"/>
  <c r="DP46" i="19"/>
  <c r="DO46" i="19"/>
  <c r="DN46" i="19"/>
  <c r="DM46" i="19"/>
  <c r="DL46" i="19"/>
  <c r="DK46" i="19"/>
  <c r="DJ46" i="19"/>
  <c r="DI46" i="19"/>
  <c r="DH46" i="19"/>
  <c r="DG46" i="19"/>
  <c r="DF46" i="19"/>
  <c r="DE46" i="19"/>
  <c r="DD46" i="19"/>
  <c r="DC46" i="19"/>
  <c r="DB46" i="19"/>
  <c r="DA46" i="19"/>
  <c r="CZ46" i="19"/>
  <c r="CY46" i="19"/>
  <c r="CX46" i="19"/>
  <c r="CW46" i="19"/>
  <c r="CV46" i="19"/>
  <c r="CU46" i="19"/>
  <c r="CT46" i="19"/>
  <c r="CS46" i="19"/>
  <c r="CR46" i="19"/>
  <c r="CQ46" i="19"/>
  <c r="CP46" i="19"/>
  <c r="CO46" i="19"/>
  <c r="CN46" i="19"/>
  <c r="CM46" i="19"/>
  <c r="CL46" i="19"/>
  <c r="CK46" i="19"/>
  <c r="CJ46" i="19"/>
  <c r="CI46" i="19"/>
  <c r="CH46" i="19"/>
  <c r="CG46" i="19"/>
  <c r="CF46" i="19"/>
  <c r="CE46" i="19"/>
  <c r="CD46" i="19"/>
  <c r="CC46" i="19"/>
  <c r="CB46" i="19"/>
  <c r="CA46" i="19"/>
  <c r="BZ46" i="19"/>
  <c r="BY46" i="19"/>
  <c r="BX46" i="19"/>
  <c r="BW46" i="19"/>
  <c r="BV46" i="19"/>
  <c r="BU46" i="19"/>
  <c r="BT46" i="19"/>
  <c r="BS46" i="19"/>
  <c r="BR46" i="19"/>
  <c r="BQ46" i="19"/>
  <c r="BP46" i="19"/>
  <c r="BO46" i="19"/>
  <c r="BN46" i="19"/>
  <c r="BM46" i="19"/>
  <c r="BL46" i="19"/>
  <c r="BK46" i="19"/>
  <c r="BJ46" i="19"/>
  <c r="BI46" i="19"/>
  <c r="BH46" i="19"/>
  <c r="BG46" i="19"/>
  <c r="BF46" i="19"/>
  <c r="BE46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46" i="19"/>
  <c r="IV45" i="19"/>
  <c r="IU45" i="19"/>
  <c r="IT45" i="19"/>
  <c r="IS45" i="19"/>
  <c r="IR45" i="19"/>
  <c r="IQ45" i="19"/>
  <c r="IP45" i="19"/>
  <c r="IO45" i="19"/>
  <c r="IN45" i="19"/>
  <c r="IM45" i="19"/>
  <c r="IL45" i="19"/>
  <c r="IK45" i="19"/>
  <c r="IJ45" i="19"/>
  <c r="II45" i="19"/>
  <c r="IH45" i="19"/>
  <c r="IG45" i="19"/>
  <c r="IF45" i="19"/>
  <c r="IE45" i="19"/>
  <c r="ID45" i="19"/>
  <c r="IC45" i="19"/>
  <c r="IB45" i="19"/>
  <c r="IA45" i="19"/>
  <c r="HZ45" i="19"/>
  <c r="HY45" i="19"/>
  <c r="HX45" i="19"/>
  <c r="HW45" i="19"/>
  <c r="HV45" i="19"/>
  <c r="HU45" i="19"/>
  <c r="HT45" i="19"/>
  <c r="HS45" i="19"/>
  <c r="HR45" i="19"/>
  <c r="HQ45" i="19"/>
  <c r="HP45" i="19"/>
  <c r="HO45" i="19"/>
  <c r="HN45" i="19"/>
  <c r="HM45" i="19"/>
  <c r="HL45" i="19"/>
  <c r="HK45" i="19"/>
  <c r="HJ45" i="19"/>
  <c r="HI45" i="19"/>
  <c r="HH45" i="19"/>
  <c r="HG45" i="19"/>
  <c r="HF45" i="19"/>
  <c r="HE45" i="19"/>
  <c r="HD45" i="19"/>
  <c r="HC45" i="19"/>
  <c r="HB45" i="19"/>
  <c r="HA45" i="19"/>
  <c r="GZ45" i="19"/>
  <c r="GY45" i="19"/>
  <c r="GX45" i="19"/>
  <c r="GW45" i="19"/>
  <c r="GV45" i="19"/>
  <c r="GU45" i="19"/>
  <c r="GT45" i="19"/>
  <c r="GS45" i="19"/>
  <c r="GR45" i="19"/>
  <c r="GQ45" i="19"/>
  <c r="GP45" i="19"/>
  <c r="GO45" i="19"/>
  <c r="GN45" i="19"/>
  <c r="GM45" i="19"/>
  <c r="GL45" i="19"/>
  <c r="GK45" i="19"/>
  <c r="GJ45" i="19"/>
  <c r="GI45" i="19"/>
  <c r="GH45" i="19"/>
  <c r="GG45" i="19"/>
  <c r="GF45" i="19"/>
  <c r="GE45" i="19"/>
  <c r="GD45" i="19"/>
  <c r="GC45" i="19"/>
  <c r="GB45" i="19"/>
  <c r="GA45" i="19"/>
  <c r="FZ45" i="19"/>
  <c r="FY45" i="19"/>
  <c r="FX45" i="19"/>
  <c r="FW45" i="19"/>
  <c r="FV45" i="19"/>
  <c r="FU45" i="19"/>
  <c r="FT45" i="19"/>
  <c r="FS45" i="19"/>
  <c r="FR45" i="19"/>
  <c r="FQ45" i="19"/>
  <c r="FP45" i="19"/>
  <c r="FO45" i="19"/>
  <c r="FN45" i="19"/>
  <c r="FM45" i="19"/>
  <c r="FL45" i="19"/>
  <c r="FK45" i="19"/>
  <c r="FJ45" i="19"/>
  <c r="FI45" i="19"/>
  <c r="FH45" i="19"/>
  <c r="FG45" i="19"/>
  <c r="FF45" i="19"/>
  <c r="FE45" i="19"/>
  <c r="FD45" i="19"/>
  <c r="FC45" i="19"/>
  <c r="FB45" i="19"/>
  <c r="FA45" i="19"/>
  <c r="EZ45" i="19"/>
  <c r="EY45" i="19"/>
  <c r="EX45" i="19"/>
  <c r="EW45" i="19"/>
  <c r="EV45" i="19"/>
  <c r="EU45" i="19"/>
  <c r="ET45" i="19"/>
  <c r="ES45" i="19"/>
  <c r="ER45" i="19"/>
  <c r="EQ45" i="19"/>
  <c r="EP45" i="19"/>
  <c r="EO45" i="19"/>
  <c r="EN45" i="19"/>
  <c r="EM45" i="19"/>
  <c r="EL45" i="19"/>
  <c r="EK45" i="19"/>
  <c r="EJ45" i="19"/>
  <c r="EI45" i="19"/>
  <c r="EH45" i="19"/>
  <c r="EG45" i="19"/>
  <c r="EF45" i="19"/>
  <c r="EE45" i="19"/>
  <c r="ED45" i="19"/>
  <c r="EC45" i="19"/>
  <c r="EB45" i="19"/>
  <c r="EA45" i="19"/>
  <c r="DZ45" i="19"/>
  <c r="DY45" i="19"/>
  <c r="DX45" i="19"/>
  <c r="DW45" i="19"/>
  <c r="DV45" i="19"/>
  <c r="DU45" i="19"/>
  <c r="DT45" i="19"/>
  <c r="DS45" i="19"/>
  <c r="DR45" i="19"/>
  <c r="DQ45" i="19"/>
  <c r="DP45" i="19"/>
  <c r="DO45" i="19"/>
  <c r="DN45" i="19"/>
  <c r="DM45" i="19"/>
  <c r="DL45" i="19"/>
  <c r="DK45" i="19"/>
  <c r="DJ45" i="19"/>
  <c r="DI45" i="19"/>
  <c r="DH45" i="19"/>
  <c r="DG45" i="19"/>
  <c r="DF45" i="19"/>
  <c r="DE45" i="19"/>
  <c r="DD45" i="19"/>
  <c r="DC45" i="19"/>
  <c r="DB45" i="19"/>
  <c r="DA45" i="19"/>
  <c r="CZ45" i="19"/>
  <c r="CY45" i="19"/>
  <c r="CX45" i="19"/>
  <c r="CW45" i="19"/>
  <c r="CV45" i="19"/>
  <c r="CU45" i="19"/>
  <c r="CT45" i="19"/>
  <c r="CS45" i="19"/>
  <c r="CR45" i="19"/>
  <c r="CQ45" i="19"/>
  <c r="CP45" i="19"/>
  <c r="CO45" i="19"/>
  <c r="CN45" i="19"/>
  <c r="CM45" i="19"/>
  <c r="CL45" i="19"/>
  <c r="CK45" i="19"/>
  <c r="CJ45" i="19"/>
  <c r="CI45" i="19"/>
  <c r="CH45" i="19"/>
  <c r="CG45" i="19"/>
  <c r="CF45" i="19"/>
  <c r="CE45" i="19"/>
  <c r="CD45" i="19"/>
  <c r="CC45" i="19"/>
  <c r="CB45" i="19"/>
  <c r="CA45" i="19"/>
  <c r="BZ45" i="19"/>
  <c r="BY45" i="19"/>
  <c r="BX45" i="19"/>
  <c r="BW45" i="19"/>
  <c r="BV45" i="19"/>
  <c r="BU45" i="19"/>
  <c r="BT45" i="19"/>
  <c r="BS45" i="19"/>
  <c r="BR45" i="19"/>
  <c r="BQ45" i="19"/>
  <c r="BP45" i="19"/>
  <c r="BO45" i="19"/>
  <c r="BN45" i="19"/>
  <c r="BM45" i="19"/>
  <c r="BL45" i="19"/>
  <c r="BK45" i="19"/>
  <c r="BJ45" i="19"/>
  <c r="BI45" i="19"/>
  <c r="BH45" i="19"/>
  <c r="BG45" i="19"/>
  <c r="BF45" i="19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45" i="19"/>
  <c r="IV44" i="19"/>
  <c r="IU44" i="19"/>
  <c r="IT44" i="19"/>
  <c r="IS44" i="19"/>
  <c r="IR44" i="19"/>
  <c r="IQ44" i="19"/>
  <c r="IP44" i="19"/>
  <c r="IO44" i="19"/>
  <c r="IN44" i="19"/>
  <c r="IM44" i="19"/>
  <c r="IL44" i="19"/>
  <c r="IK44" i="19"/>
  <c r="IJ44" i="19"/>
  <c r="II44" i="19"/>
  <c r="IH44" i="19"/>
  <c r="IG44" i="19"/>
  <c r="IF44" i="19"/>
  <c r="IE44" i="19"/>
  <c r="ID44" i="19"/>
  <c r="IC44" i="19"/>
  <c r="IB44" i="19"/>
  <c r="IA44" i="19"/>
  <c r="HZ44" i="19"/>
  <c r="HY44" i="19"/>
  <c r="HX44" i="19"/>
  <c r="HW44" i="19"/>
  <c r="HV44" i="19"/>
  <c r="HU44" i="19"/>
  <c r="HT44" i="19"/>
  <c r="HS44" i="19"/>
  <c r="HR44" i="19"/>
  <c r="HQ44" i="19"/>
  <c r="HP44" i="19"/>
  <c r="HO44" i="19"/>
  <c r="HN44" i="19"/>
  <c r="HM44" i="19"/>
  <c r="HL44" i="19"/>
  <c r="HK44" i="19"/>
  <c r="HJ44" i="19"/>
  <c r="HI44" i="19"/>
  <c r="HH44" i="19"/>
  <c r="HG44" i="19"/>
  <c r="HF44" i="19"/>
  <c r="HE44" i="19"/>
  <c r="HD44" i="19"/>
  <c r="HC44" i="19"/>
  <c r="HB44" i="19"/>
  <c r="HA44" i="19"/>
  <c r="GZ44" i="19"/>
  <c r="GY44" i="19"/>
  <c r="GX44" i="19"/>
  <c r="GW44" i="19"/>
  <c r="GV44" i="19"/>
  <c r="GU44" i="19"/>
  <c r="GT44" i="19"/>
  <c r="GS44" i="19"/>
  <c r="GR44" i="19"/>
  <c r="GQ44" i="19"/>
  <c r="GP44" i="19"/>
  <c r="GO44" i="19"/>
  <c r="GN44" i="19"/>
  <c r="GM44" i="19"/>
  <c r="GL44" i="19"/>
  <c r="GK44" i="19"/>
  <c r="GJ44" i="19"/>
  <c r="GI44" i="19"/>
  <c r="GH44" i="19"/>
  <c r="GG44" i="19"/>
  <c r="GF44" i="19"/>
  <c r="GE44" i="19"/>
  <c r="GD44" i="19"/>
  <c r="GC44" i="19"/>
  <c r="GB44" i="19"/>
  <c r="GA44" i="19"/>
  <c r="FZ44" i="19"/>
  <c r="FY44" i="19"/>
  <c r="FX44" i="19"/>
  <c r="FW44" i="19"/>
  <c r="FV44" i="19"/>
  <c r="FU44" i="19"/>
  <c r="FT44" i="19"/>
  <c r="FS44" i="19"/>
  <c r="FR44" i="19"/>
  <c r="FQ44" i="19"/>
  <c r="FP44" i="19"/>
  <c r="FO44" i="19"/>
  <c r="FN44" i="19"/>
  <c r="FM44" i="19"/>
  <c r="FL44" i="19"/>
  <c r="FK44" i="19"/>
  <c r="FJ44" i="19"/>
  <c r="FI44" i="19"/>
  <c r="FH44" i="19"/>
  <c r="FG44" i="19"/>
  <c r="FF44" i="19"/>
  <c r="FE44" i="19"/>
  <c r="FD44" i="19"/>
  <c r="FC44" i="19"/>
  <c r="FB44" i="19"/>
  <c r="FA44" i="19"/>
  <c r="EZ44" i="19"/>
  <c r="EY44" i="19"/>
  <c r="EX44" i="19"/>
  <c r="EW44" i="19"/>
  <c r="EV44" i="19"/>
  <c r="EU44" i="19"/>
  <c r="ET44" i="19"/>
  <c r="ES44" i="19"/>
  <c r="ER44" i="19"/>
  <c r="EQ44" i="19"/>
  <c r="EP44" i="19"/>
  <c r="EO44" i="19"/>
  <c r="EN44" i="19"/>
  <c r="EM44" i="19"/>
  <c r="EL44" i="19"/>
  <c r="EK44" i="19"/>
  <c r="EJ44" i="19"/>
  <c r="EI44" i="19"/>
  <c r="EH44" i="19"/>
  <c r="EG44" i="19"/>
  <c r="EF44" i="19"/>
  <c r="EE44" i="19"/>
  <c r="ED44" i="19"/>
  <c r="EC44" i="19"/>
  <c r="EB44" i="19"/>
  <c r="EA44" i="19"/>
  <c r="DZ44" i="19"/>
  <c r="DY44" i="19"/>
  <c r="DX44" i="19"/>
  <c r="DW44" i="19"/>
  <c r="DV44" i="19"/>
  <c r="DU44" i="19"/>
  <c r="DT44" i="19"/>
  <c r="DS44" i="19"/>
  <c r="DR44" i="19"/>
  <c r="DQ44" i="19"/>
  <c r="DP44" i="19"/>
  <c r="DO44" i="19"/>
  <c r="DN44" i="19"/>
  <c r="DM44" i="19"/>
  <c r="DL44" i="19"/>
  <c r="DK44" i="19"/>
  <c r="DJ44" i="19"/>
  <c r="DI44" i="19"/>
  <c r="DH44" i="19"/>
  <c r="DG44" i="19"/>
  <c r="DF44" i="19"/>
  <c r="DE44" i="19"/>
  <c r="DD44" i="19"/>
  <c r="DC44" i="19"/>
  <c r="DB44" i="19"/>
  <c r="DA44" i="19"/>
  <c r="CZ44" i="19"/>
  <c r="CY44" i="19"/>
  <c r="CX44" i="19"/>
  <c r="CW44" i="19"/>
  <c r="CV44" i="19"/>
  <c r="CU44" i="19"/>
  <c r="CT44" i="19"/>
  <c r="CS44" i="19"/>
  <c r="CR44" i="19"/>
  <c r="CQ44" i="19"/>
  <c r="CP44" i="19"/>
  <c r="CO44" i="19"/>
  <c r="CN44" i="19"/>
  <c r="CM44" i="19"/>
  <c r="CL44" i="19"/>
  <c r="CK44" i="19"/>
  <c r="CJ44" i="19"/>
  <c r="CI44" i="19"/>
  <c r="CH44" i="19"/>
  <c r="CG44" i="19"/>
  <c r="CF44" i="19"/>
  <c r="CE44" i="19"/>
  <c r="CD44" i="19"/>
  <c r="CC44" i="19"/>
  <c r="CB44" i="19"/>
  <c r="CA44" i="19"/>
  <c r="BZ44" i="19"/>
  <c r="BY44" i="19"/>
  <c r="BX44" i="19"/>
  <c r="BW44" i="19"/>
  <c r="BV44" i="19"/>
  <c r="BU44" i="19"/>
  <c r="BT44" i="19"/>
  <c r="BS44" i="19"/>
  <c r="BR44" i="19"/>
  <c r="BQ44" i="19"/>
  <c r="BP44" i="19"/>
  <c r="BO44" i="19"/>
  <c r="BN44" i="19"/>
  <c r="BM44" i="19"/>
  <c r="BL44" i="19"/>
  <c r="BK44" i="19"/>
  <c r="BJ44" i="19"/>
  <c r="BI44" i="19"/>
  <c r="BH44" i="19"/>
  <c r="BG44" i="19"/>
  <c r="BF44" i="19"/>
  <c r="BE44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44" i="19"/>
  <c r="EP43" i="19"/>
  <c r="EO43" i="19"/>
  <c r="EN43" i="19"/>
  <c r="EM43" i="19"/>
  <c r="EL43" i="19"/>
  <c r="EK43" i="19"/>
  <c r="EJ43" i="19"/>
  <c r="EI43" i="19"/>
  <c r="EH43" i="19"/>
  <c r="EG43" i="19"/>
  <c r="EF43" i="19"/>
  <c r="EE43" i="19"/>
  <c r="ED43" i="19"/>
  <c r="EC43" i="19"/>
  <c r="EB43" i="19"/>
  <c r="EA43" i="19"/>
  <c r="DZ43" i="19"/>
  <c r="DY43" i="19"/>
  <c r="DX43" i="19"/>
  <c r="DW43" i="19"/>
  <c r="DV43" i="19"/>
  <c r="DU43" i="19"/>
  <c r="DT43" i="19"/>
  <c r="DS43" i="19"/>
  <c r="DR43" i="19"/>
  <c r="DQ43" i="19"/>
  <c r="DP43" i="19"/>
  <c r="DO43" i="19"/>
  <c r="DN43" i="19"/>
  <c r="DM43" i="19"/>
  <c r="DL43" i="19"/>
  <c r="DK43" i="19"/>
  <c r="DJ43" i="19"/>
  <c r="DI43" i="19"/>
  <c r="DH43" i="19"/>
  <c r="DG43" i="19"/>
  <c r="DF43" i="19"/>
  <c r="DE43" i="19"/>
  <c r="DD43" i="19"/>
  <c r="DC43" i="19"/>
  <c r="DB43" i="19"/>
  <c r="DA43" i="19"/>
  <c r="CZ43" i="19"/>
  <c r="CY43" i="19"/>
  <c r="CX43" i="19"/>
  <c r="CW43" i="19"/>
  <c r="CV43" i="19"/>
  <c r="CU43" i="19"/>
  <c r="CT43" i="19"/>
  <c r="CS43" i="19"/>
  <c r="CR43" i="19"/>
  <c r="CQ43" i="19"/>
  <c r="CP43" i="19"/>
  <c r="CO43" i="19"/>
  <c r="CN43" i="19"/>
  <c r="CM43" i="19"/>
  <c r="CL43" i="19"/>
  <c r="CK43" i="19"/>
  <c r="CJ43" i="19"/>
  <c r="CI43" i="19"/>
  <c r="CH43" i="19"/>
  <c r="CG43" i="19"/>
  <c r="CF43" i="19"/>
  <c r="CE43" i="19"/>
  <c r="CD43" i="19"/>
  <c r="CC43" i="19"/>
  <c r="CB43" i="19"/>
  <c r="CA43" i="19"/>
  <c r="BZ43" i="19"/>
  <c r="BY43" i="19"/>
  <c r="BX43" i="19"/>
  <c r="BW43" i="19"/>
  <c r="BV43" i="19"/>
  <c r="BU43" i="19"/>
  <c r="BT43" i="19"/>
  <c r="BS43" i="19"/>
  <c r="BR43" i="19"/>
  <c r="BQ43" i="19"/>
  <c r="BP43" i="19"/>
  <c r="BO43" i="19"/>
  <c r="BN43" i="19"/>
  <c r="BM43" i="19"/>
  <c r="BL43" i="19"/>
  <c r="BK43" i="19"/>
  <c r="BJ43" i="19"/>
  <c r="BI43" i="19"/>
  <c r="BH43" i="19"/>
  <c r="BG43" i="19"/>
  <c r="BF43" i="19"/>
  <c r="BE43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GQ42" i="19"/>
  <c r="GP42" i="19"/>
  <c r="GO42" i="19"/>
  <c r="GN42" i="19"/>
  <c r="GM42" i="19"/>
  <c r="GL42" i="19"/>
  <c r="GK42" i="19"/>
  <c r="GJ42" i="19"/>
  <c r="GI42" i="19"/>
  <c r="GH42" i="19"/>
  <c r="GG42" i="19"/>
  <c r="GF42" i="19"/>
  <c r="GE42" i="19"/>
  <c r="GD42" i="19"/>
  <c r="GC42" i="19"/>
  <c r="GB42" i="19"/>
  <c r="GA42" i="19"/>
  <c r="FZ42" i="19"/>
  <c r="FY42" i="19"/>
  <c r="FX42" i="19"/>
  <c r="FW42" i="19"/>
  <c r="FV42" i="19"/>
  <c r="FU42" i="19"/>
  <c r="FT42" i="19"/>
  <c r="FS42" i="19"/>
  <c r="FR42" i="19"/>
  <c r="FQ42" i="19"/>
  <c r="FP42" i="19"/>
  <c r="FO42" i="19"/>
  <c r="FN42" i="19"/>
  <c r="FM42" i="19"/>
  <c r="FL42" i="19"/>
  <c r="FK42" i="19"/>
  <c r="FJ42" i="19"/>
  <c r="FI42" i="19"/>
  <c r="FH42" i="19"/>
  <c r="FG42" i="19"/>
  <c r="FF42" i="19"/>
  <c r="FE42" i="19"/>
  <c r="FD42" i="19"/>
  <c r="FC42" i="19"/>
  <c r="FB42" i="19"/>
  <c r="FA42" i="19"/>
  <c r="EZ42" i="19"/>
  <c r="EY42" i="19"/>
  <c r="EX42" i="19"/>
  <c r="EW42" i="19"/>
  <c r="EV42" i="19"/>
  <c r="EU42" i="19"/>
  <c r="ET42" i="19"/>
  <c r="ES42" i="19"/>
  <c r="ER42" i="19"/>
  <c r="EQ42" i="19"/>
  <c r="EP42" i="19"/>
  <c r="EO42" i="19"/>
  <c r="EN42" i="19"/>
  <c r="EM42" i="19"/>
  <c r="EL42" i="19"/>
  <c r="EK42" i="19"/>
  <c r="EJ42" i="19"/>
  <c r="EI42" i="19"/>
  <c r="EH42" i="19"/>
  <c r="EG42" i="19"/>
  <c r="EF42" i="19"/>
  <c r="EE42" i="19"/>
  <c r="ED42" i="19"/>
  <c r="EC42" i="19"/>
  <c r="EB42" i="19"/>
  <c r="EA42" i="19"/>
  <c r="DZ42" i="19"/>
  <c r="DY42" i="19"/>
  <c r="DX42" i="19"/>
  <c r="DW42" i="19"/>
  <c r="DV42" i="19"/>
  <c r="DU42" i="19"/>
  <c r="DT42" i="19"/>
  <c r="DS42" i="19"/>
  <c r="DR42" i="19"/>
  <c r="DQ42" i="19"/>
  <c r="DP42" i="19"/>
  <c r="DO42" i="19"/>
  <c r="DN42" i="19"/>
  <c r="DM42" i="19"/>
  <c r="DL42" i="19"/>
  <c r="DK42" i="19"/>
  <c r="DJ42" i="19"/>
  <c r="DI42" i="19"/>
  <c r="DH42" i="19"/>
  <c r="DG42" i="19"/>
  <c r="DF42" i="19"/>
  <c r="DE42" i="19"/>
  <c r="DD42" i="19"/>
  <c r="DC42" i="19"/>
  <c r="DB42" i="19"/>
  <c r="DA42" i="19"/>
  <c r="CZ42" i="19"/>
  <c r="CY42" i="19"/>
  <c r="CX42" i="19"/>
  <c r="CW42" i="19"/>
  <c r="CV42" i="19"/>
  <c r="CU42" i="19"/>
  <c r="CT42" i="19"/>
  <c r="CS42" i="19"/>
  <c r="CR42" i="19"/>
  <c r="CQ42" i="19"/>
  <c r="CP42" i="19"/>
  <c r="CO42" i="19"/>
  <c r="CN42" i="19"/>
  <c r="CM42" i="19"/>
  <c r="CL42" i="19"/>
  <c r="CK42" i="19"/>
  <c r="CJ42" i="19"/>
  <c r="CI42" i="19"/>
  <c r="CH42" i="19"/>
  <c r="CG42" i="19"/>
  <c r="CF42" i="19"/>
  <c r="CE42" i="19"/>
  <c r="CD42" i="19"/>
  <c r="CC42" i="19"/>
  <c r="CB42" i="19"/>
  <c r="CA42" i="19"/>
  <c r="BZ42" i="19"/>
  <c r="BY42" i="19"/>
  <c r="BX42" i="19"/>
  <c r="BW42" i="19"/>
  <c r="BV42" i="19"/>
  <c r="BU42" i="19"/>
  <c r="BT42" i="19"/>
  <c r="BS42" i="19"/>
  <c r="BR42" i="19"/>
  <c r="BQ42" i="19"/>
  <c r="BP42" i="19"/>
  <c r="BO42" i="19"/>
  <c r="BN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42" i="19"/>
  <c r="IV41" i="19"/>
  <c r="IU41" i="19"/>
  <c r="IT41" i="19"/>
  <c r="IS41" i="19"/>
  <c r="IR41" i="19"/>
  <c r="IQ41" i="19"/>
  <c r="IP41" i="19"/>
  <c r="IO41" i="19"/>
  <c r="IN41" i="19"/>
  <c r="IM41" i="19"/>
  <c r="IL41" i="19"/>
  <c r="IK41" i="19"/>
  <c r="IJ41" i="19"/>
  <c r="II41" i="19"/>
  <c r="IH41" i="19"/>
  <c r="IG41" i="19"/>
  <c r="IF41" i="19"/>
  <c r="IE41" i="19"/>
  <c r="ID41" i="19"/>
  <c r="IC41" i="19"/>
  <c r="IB41" i="19"/>
  <c r="IA41" i="19"/>
  <c r="HZ41" i="19"/>
  <c r="HY41" i="19"/>
  <c r="HX41" i="19"/>
  <c r="HW41" i="19"/>
  <c r="HV41" i="19"/>
  <c r="HU41" i="19"/>
  <c r="HT41" i="19"/>
  <c r="HS41" i="19"/>
  <c r="HR41" i="19"/>
  <c r="HQ41" i="19"/>
  <c r="HP41" i="19"/>
  <c r="HO41" i="19"/>
  <c r="HN41" i="19"/>
  <c r="HM41" i="19"/>
  <c r="HL41" i="19"/>
  <c r="HK41" i="19"/>
  <c r="HJ41" i="19"/>
  <c r="HI41" i="19"/>
  <c r="HH41" i="19"/>
  <c r="HG41" i="19"/>
  <c r="HF41" i="19"/>
  <c r="HE41" i="19"/>
  <c r="HD41" i="19"/>
  <c r="HC41" i="19"/>
  <c r="HB41" i="19"/>
  <c r="HA41" i="19"/>
  <c r="GZ41" i="19"/>
  <c r="GY41" i="19"/>
  <c r="GX41" i="19"/>
  <c r="GW41" i="19"/>
  <c r="GV41" i="19"/>
  <c r="GU41" i="19"/>
  <c r="GT41" i="19"/>
  <c r="GS41" i="19"/>
  <c r="GR41" i="19"/>
  <c r="GQ41" i="19"/>
  <c r="GP41" i="19"/>
  <c r="GO41" i="19"/>
  <c r="GN41" i="19"/>
  <c r="GM41" i="19"/>
  <c r="GL41" i="19"/>
  <c r="GK41" i="19"/>
  <c r="GJ41" i="19"/>
  <c r="GI41" i="19"/>
  <c r="GH41" i="19"/>
  <c r="GG41" i="19"/>
  <c r="GF41" i="19"/>
  <c r="GE41" i="19"/>
  <c r="GD41" i="19"/>
  <c r="GC41" i="19"/>
  <c r="GB41" i="19"/>
  <c r="GA41" i="19"/>
  <c r="FZ41" i="19"/>
  <c r="FY41" i="19"/>
  <c r="FX41" i="19"/>
  <c r="FW41" i="19"/>
  <c r="FV41" i="19"/>
  <c r="FU41" i="19"/>
  <c r="FT41" i="19"/>
  <c r="FS41" i="19"/>
  <c r="FR41" i="19"/>
  <c r="FQ41" i="19"/>
  <c r="FP41" i="19"/>
  <c r="FO41" i="19"/>
  <c r="FN41" i="19"/>
  <c r="FM41" i="19"/>
  <c r="FL41" i="19"/>
  <c r="FK41" i="19"/>
  <c r="FJ41" i="19"/>
  <c r="FI41" i="19"/>
  <c r="FH41" i="19"/>
  <c r="FG41" i="19"/>
  <c r="FF41" i="19"/>
  <c r="FE41" i="19"/>
  <c r="FD41" i="19"/>
  <c r="FC41" i="19"/>
  <c r="FB41" i="19"/>
  <c r="FA41" i="19"/>
  <c r="EZ41" i="19"/>
  <c r="EY41" i="19"/>
  <c r="EX41" i="19"/>
  <c r="EW41" i="19"/>
  <c r="EV41" i="19"/>
  <c r="EU41" i="19"/>
  <c r="ET41" i="19"/>
  <c r="ES41" i="19"/>
  <c r="ER41" i="19"/>
  <c r="EQ41" i="19"/>
  <c r="EP41" i="19"/>
  <c r="EO41" i="19"/>
  <c r="EN41" i="19"/>
  <c r="EM41" i="19"/>
  <c r="EL41" i="19"/>
  <c r="EK41" i="19"/>
  <c r="EJ41" i="19"/>
  <c r="EI41" i="19"/>
  <c r="EH41" i="19"/>
  <c r="EG41" i="19"/>
  <c r="EF41" i="19"/>
  <c r="EE41" i="19"/>
  <c r="ED41" i="19"/>
  <c r="EC41" i="19"/>
  <c r="EB41" i="19"/>
  <c r="EA41" i="19"/>
  <c r="DZ41" i="19"/>
  <c r="DY41" i="19"/>
  <c r="DX41" i="19"/>
  <c r="DW41" i="19"/>
  <c r="DV41" i="19"/>
  <c r="DU41" i="19"/>
  <c r="DT41" i="19"/>
  <c r="DS41" i="19"/>
  <c r="DR41" i="19"/>
  <c r="DQ41" i="19"/>
  <c r="DP41" i="19"/>
  <c r="DO41" i="19"/>
  <c r="DN41" i="19"/>
  <c r="DM41" i="19"/>
  <c r="DL41" i="19"/>
  <c r="DK41" i="19"/>
  <c r="DJ41" i="19"/>
  <c r="DI41" i="19"/>
  <c r="DH41" i="19"/>
  <c r="DG41" i="19"/>
  <c r="DF41" i="19"/>
  <c r="DE41" i="19"/>
  <c r="DD41" i="19"/>
  <c r="DC41" i="19"/>
  <c r="DB41" i="19"/>
  <c r="DA41" i="19"/>
  <c r="CZ41" i="19"/>
  <c r="CY41" i="19"/>
  <c r="CX41" i="19"/>
  <c r="CW41" i="19"/>
  <c r="CV41" i="19"/>
  <c r="CU41" i="19"/>
  <c r="CT41" i="19"/>
  <c r="CS41" i="19"/>
  <c r="CR41" i="19"/>
  <c r="CQ41" i="19"/>
  <c r="CP41" i="19"/>
  <c r="CO41" i="19"/>
  <c r="CN41" i="19"/>
  <c r="CM41" i="19"/>
  <c r="CL41" i="19"/>
  <c r="CK41" i="19"/>
  <c r="CJ41" i="19"/>
  <c r="CI41" i="19"/>
  <c r="CH41" i="19"/>
  <c r="CG41" i="19"/>
  <c r="CF41" i="19"/>
  <c r="CE41" i="19"/>
  <c r="CD41" i="19"/>
  <c r="CC41" i="19"/>
  <c r="CB41" i="19"/>
  <c r="CA41" i="19"/>
  <c r="BZ41" i="19"/>
  <c r="BY41" i="19"/>
  <c r="BX41" i="19"/>
  <c r="BW41" i="19"/>
  <c r="BV41" i="19"/>
  <c r="BU41" i="19"/>
  <c r="BT41" i="19"/>
  <c r="BS41" i="19"/>
  <c r="BR41" i="19"/>
  <c r="BQ41" i="19"/>
  <c r="BP41" i="19"/>
  <c r="BO41" i="19"/>
  <c r="BN41" i="19"/>
  <c r="BM41" i="19"/>
  <c r="BL41" i="19"/>
  <c r="BK41" i="19"/>
  <c r="BJ41" i="19"/>
  <c r="BI41" i="19"/>
  <c r="BH41" i="19"/>
  <c r="BG41" i="19"/>
  <c r="BF41" i="19"/>
  <c r="BE41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41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40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39" i="19"/>
  <c r="F38" i="19"/>
  <c r="E38" i="19"/>
  <c r="D38" i="19"/>
  <c r="C38" i="19"/>
  <c r="B38" i="19"/>
  <c r="A38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37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36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35" i="19"/>
  <c r="DU34" i="19"/>
  <c r="DT34" i="19"/>
  <c r="DS34" i="19"/>
  <c r="DR34" i="19"/>
  <c r="DQ34" i="19"/>
  <c r="DP34" i="19"/>
  <c r="DO34" i="19"/>
  <c r="DN34" i="19"/>
  <c r="DM34" i="19"/>
  <c r="DL34" i="19"/>
  <c r="DK34" i="19"/>
  <c r="DJ34" i="19"/>
  <c r="DI34" i="19"/>
  <c r="DH34" i="19"/>
  <c r="DG34" i="19"/>
  <c r="DF34" i="19"/>
  <c r="DE34" i="19"/>
  <c r="DD34" i="19"/>
  <c r="DC34" i="19"/>
  <c r="DB34" i="19"/>
  <c r="DA34" i="19"/>
  <c r="CZ34" i="19"/>
  <c r="CY34" i="19"/>
  <c r="CX34" i="19"/>
  <c r="CW34" i="19"/>
  <c r="CV34" i="19"/>
  <c r="CU34" i="19"/>
  <c r="CT34" i="19"/>
  <c r="CS34" i="19"/>
  <c r="CR34" i="19"/>
  <c r="CQ34" i="19"/>
  <c r="CP34" i="19"/>
  <c r="CO34" i="19"/>
  <c r="CN34" i="19"/>
  <c r="CM34" i="19"/>
  <c r="CL34" i="19"/>
  <c r="CK34" i="19"/>
  <c r="CJ34" i="19"/>
  <c r="CI34" i="19"/>
  <c r="CH34" i="19"/>
  <c r="CG34" i="19"/>
  <c r="CF34" i="19"/>
  <c r="CE34" i="19"/>
  <c r="CD34" i="19"/>
  <c r="CC34" i="19"/>
  <c r="CB34" i="19"/>
  <c r="CA34" i="19"/>
  <c r="BZ34" i="19"/>
  <c r="BY34" i="19"/>
  <c r="BX34" i="19"/>
  <c r="BW34" i="19"/>
  <c r="BV34" i="19"/>
  <c r="BU34" i="19"/>
  <c r="BT34" i="19"/>
  <c r="BS34" i="19"/>
  <c r="BR34" i="19"/>
  <c r="BQ34" i="19"/>
  <c r="BP34" i="19"/>
  <c r="BO34" i="19"/>
  <c r="BN34" i="19"/>
  <c r="BM34" i="19"/>
  <c r="BL34" i="19"/>
  <c r="BK34" i="19"/>
  <c r="BJ34" i="19"/>
  <c r="BI34" i="19"/>
  <c r="BH34" i="19"/>
  <c r="BG34" i="19"/>
  <c r="BF34" i="19"/>
  <c r="BE34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34" i="19"/>
  <c r="DP33" i="19"/>
  <c r="DO33" i="19"/>
  <c r="DN33" i="19"/>
  <c r="DM33" i="19"/>
  <c r="DL33" i="19"/>
  <c r="DK33" i="19"/>
  <c r="DJ33" i="19"/>
  <c r="DI33" i="19"/>
  <c r="DH33" i="19"/>
  <c r="DG33" i="19"/>
  <c r="DF33" i="19"/>
  <c r="DE33" i="19"/>
  <c r="DD33" i="19"/>
  <c r="DC33" i="19"/>
  <c r="DB33" i="19"/>
  <c r="DA33" i="19"/>
  <c r="CZ33" i="19"/>
  <c r="CY33" i="19"/>
  <c r="CX33" i="19"/>
  <c r="CW33" i="19"/>
  <c r="CV33" i="19"/>
  <c r="CU33" i="19"/>
  <c r="CT33" i="19"/>
  <c r="CS33" i="19"/>
  <c r="CR33" i="19"/>
  <c r="CQ33" i="19"/>
  <c r="CP33" i="19"/>
  <c r="CO33" i="19"/>
  <c r="CN33" i="19"/>
  <c r="CM33" i="19"/>
  <c r="CL33" i="19"/>
  <c r="CK33" i="19"/>
  <c r="CJ33" i="19"/>
  <c r="CI33" i="19"/>
  <c r="CH33" i="19"/>
  <c r="CG33" i="19"/>
  <c r="CF33" i="19"/>
  <c r="CE33" i="19"/>
  <c r="CD33" i="19"/>
  <c r="CC33" i="19"/>
  <c r="CB33" i="19"/>
  <c r="CA33" i="19"/>
  <c r="BZ33" i="19"/>
  <c r="BY33" i="19"/>
  <c r="BX33" i="19"/>
  <c r="BW33" i="19"/>
  <c r="BV33" i="19"/>
  <c r="BU33" i="19"/>
  <c r="BT33" i="19"/>
  <c r="BS33" i="19"/>
  <c r="BR33" i="19"/>
  <c r="BQ33" i="19"/>
  <c r="BP33" i="19"/>
  <c r="BO33" i="19"/>
  <c r="BN33" i="19"/>
  <c r="BM33" i="19"/>
  <c r="BL33" i="19"/>
  <c r="BK33" i="19"/>
  <c r="BJ33" i="19"/>
  <c r="BI33" i="19"/>
  <c r="BH33" i="19"/>
  <c r="BG33" i="19"/>
  <c r="BF33" i="19"/>
  <c r="BE33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C33" i="19"/>
  <c r="B33" i="19"/>
  <c r="A33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32" i="19"/>
  <c r="CT31" i="19"/>
  <c r="CS31" i="19"/>
  <c r="CR31" i="19"/>
  <c r="CQ31" i="19"/>
  <c r="CP31" i="19"/>
  <c r="CO31" i="19"/>
  <c r="CN31" i="19"/>
  <c r="CM31" i="19"/>
  <c r="CL31" i="19"/>
  <c r="CK31" i="19"/>
  <c r="CJ31" i="19"/>
  <c r="CI31" i="19"/>
  <c r="CH31" i="19"/>
  <c r="CG31" i="19"/>
  <c r="CF31" i="19"/>
  <c r="CE31" i="19"/>
  <c r="CD31" i="19"/>
  <c r="CC31" i="19"/>
  <c r="CB31" i="19"/>
  <c r="CA31" i="19"/>
  <c r="BZ31" i="19"/>
  <c r="BY31" i="19"/>
  <c r="BX31" i="19"/>
  <c r="BW31" i="19"/>
  <c r="BV31" i="19"/>
  <c r="BU31" i="19"/>
  <c r="BT31" i="19"/>
  <c r="BS31" i="19"/>
  <c r="BR31" i="19"/>
  <c r="BQ31" i="19"/>
  <c r="BP31" i="19"/>
  <c r="BO31" i="19"/>
  <c r="BN31" i="19"/>
  <c r="BM31" i="19"/>
  <c r="BL31" i="19"/>
  <c r="BK31" i="19"/>
  <c r="BJ31" i="19"/>
  <c r="BI31" i="19"/>
  <c r="BH31" i="19"/>
  <c r="BG31" i="19"/>
  <c r="BF31" i="19"/>
  <c r="BE31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31" i="19"/>
  <c r="BV30" i="19"/>
  <c r="BU30" i="19"/>
  <c r="BT30" i="19"/>
  <c r="BS30" i="19"/>
  <c r="BR30" i="19"/>
  <c r="BQ30" i="19"/>
  <c r="BP30" i="19"/>
  <c r="BO30" i="19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30" i="19"/>
  <c r="CQ29" i="19"/>
  <c r="CP29" i="19"/>
  <c r="CO29" i="19"/>
  <c r="CN29" i="19"/>
  <c r="CM29" i="19"/>
  <c r="CL29" i="19"/>
  <c r="CK29" i="19"/>
  <c r="CJ29" i="19"/>
  <c r="CI29" i="19"/>
  <c r="CH29" i="19"/>
  <c r="CG29" i="19"/>
  <c r="CF29" i="19"/>
  <c r="CE29" i="19"/>
  <c r="CD29" i="19"/>
  <c r="CC29" i="19"/>
  <c r="CB29" i="19"/>
  <c r="CA29" i="19"/>
  <c r="BZ29" i="19"/>
  <c r="BY29" i="19"/>
  <c r="BX29" i="19"/>
  <c r="BW29" i="19"/>
  <c r="BV29" i="19"/>
  <c r="BU29" i="19"/>
  <c r="BT29" i="19"/>
  <c r="BS29" i="19"/>
  <c r="BR29" i="19"/>
  <c r="BQ29" i="19"/>
  <c r="BP29" i="19"/>
  <c r="BO29" i="19"/>
  <c r="BN29" i="19"/>
  <c r="BM29" i="19"/>
  <c r="BL29" i="19"/>
  <c r="BK29" i="19"/>
  <c r="BJ29" i="19"/>
  <c r="BI29" i="19"/>
  <c r="BH29" i="19"/>
  <c r="BG29" i="19"/>
  <c r="BF29" i="19"/>
  <c r="BE29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29" i="19"/>
  <c r="IH28" i="19"/>
  <c r="IG28" i="19"/>
  <c r="IF28" i="19"/>
  <c r="IE28" i="19"/>
  <c r="ID28" i="19"/>
  <c r="IC28" i="19"/>
  <c r="IB28" i="19"/>
  <c r="IA28" i="19"/>
  <c r="HZ28" i="19"/>
  <c r="HY28" i="19"/>
  <c r="HX28" i="19"/>
  <c r="HW28" i="19"/>
  <c r="HV28" i="19"/>
  <c r="HU28" i="19"/>
  <c r="HT28" i="19"/>
  <c r="HS28" i="19"/>
  <c r="HR28" i="19"/>
  <c r="HQ28" i="19"/>
  <c r="HP28" i="19"/>
  <c r="HO28" i="19"/>
  <c r="HN28" i="19"/>
  <c r="HM28" i="19"/>
  <c r="HL28" i="19"/>
  <c r="HK28" i="19"/>
  <c r="HJ28" i="19"/>
  <c r="HI28" i="19"/>
  <c r="HH28" i="19"/>
  <c r="HG28" i="19"/>
  <c r="HF28" i="19"/>
  <c r="HE28" i="19"/>
  <c r="HD28" i="19"/>
  <c r="HC28" i="19"/>
  <c r="HB28" i="19"/>
  <c r="HA28" i="19"/>
  <c r="GZ28" i="19"/>
  <c r="GY28" i="19"/>
  <c r="GX28" i="19"/>
  <c r="GW28" i="19"/>
  <c r="GV28" i="19"/>
  <c r="GU28" i="19"/>
  <c r="GT28" i="19"/>
  <c r="GS28" i="19"/>
  <c r="GR28" i="19"/>
  <c r="GQ28" i="19"/>
  <c r="GP28" i="19"/>
  <c r="GO28" i="19"/>
  <c r="GN28" i="19"/>
  <c r="GM28" i="19"/>
  <c r="GL28" i="19"/>
  <c r="GK28" i="19"/>
  <c r="GJ28" i="19"/>
  <c r="GI28" i="19"/>
  <c r="GH28" i="19"/>
  <c r="GG28" i="19"/>
  <c r="GF28" i="19"/>
  <c r="GE28" i="19"/>
  <c r="GD28" i="19"/>
  <c r="GC28" i="19"/>
  <c r="GB28" i="19"/>
  <c r="GA28" i="19"/>
  <c r="FZ28" i="19"/>
  <c r="FY28" i="19"/>
  <c r="FX28" i="19"/>
  <c r="FW28" i="19"/>
  <c r="FV28" i="19"/>
  <c r="FU28" i="19"/>
  <c r="FT28" i="19"/>
  <c r="FS28" i="19"/>
  <c r="FR28" i="19"/>
  <c r="FQ28" i="19"/>
  <c r="FP28" i="19"/>
  <c r="FO28" i="19"/>
  <c r="FN28" i="19"/>
  <c r="FM28" i="19"/>
  <c r="FL28" i="19"/>
  <c r="FK28" i="19"/>
  <c r="FJ28" i="19"/>
  <c r="FH28" i="19"/>
  <c r="FG28" i="19"/>
  <c r="FF28" i="19"/>
  <c r="FE28" i="19"/>
  <c r="FD28" i="19"/>
  <c r="FC28" i="19"/>
  <c r="FB28" i="19"/>
  <c r="FA28" i="19"/>
  <c r="EZ28" i="19"/>
  <c r="EY28" i="19"/>
  <c r="EX28" i="19"/>
  <c r="EW28" i="19"/>
  <c r="EV28" i="19"/>
  <c r="EU28" i="19"/>
  <c r="ET28" i="19"/>
  <c r="ES28" i="19"/>
  <c r="ER28" i="19"/>
  <c r="EQ28" i="19"/>
  <c r="EP28" i="19"/>
  <c r="EO28" i="19"/>
  <c r="EN28" i="19"/>
  <c r="EM28" i="19"/>
  <c r="EL28" i="19"/>
  <c r="EK28" i="19"/>
  <c r="EJ28" i="19"/>
  <c r="EI28" i="19"/>
  <c r="EH28" i="19"/>
  <c r="EG28" i="19"/>
  <c r="EF28" i="19"/>
  <c r="EE28" i="19"/>
  <c r="ED28" i="19"/>
  <c r="EC28" i="19"/>
  <c r="EB28" i="19"/>
  <c r="EA28" i="19"/>
  <c r="DZ28" i="19"/>
  <c r="DY28" i="19"/>
  <c r="DX28" i="19"/>
  <c r="DW28" i="19"/>
  <c r="DV28" i="19"/>
  <c r="DU28" i="19"/>
  <c r="DT28" i="19"/>
  <c r="DS28" i="19"/>
  <c r="DR28" i="19"/>
  <c r="DQ28" i="19"/>
  <c r="DP28" i="19"/>
  <c r="DO28" i="19"/>
  <c r="DN28" i="19"/>
  <c r="DM28" i="19"/>
  <c r="DL28" i="19"/>
  <c r="DK28" i="19"/>
  <c r="DJ28" i="19"/>
  <c r="DI28" i="19"/>
  <c r="DH28" i="19"/>
  <c r="DG28" i="19"/>
  <c r="DF28" i="19"/>
  <c r="DE28" i="19"/>
  <c r="DD28" i="19"/>
  <c r="DC28" i="19"/>
  <c r="DB28" i="19"/>
  <c r="DA28" i="19"/>
  <c r="CZ28" i="19"/>
  <c r="CY28" i="19"/>
  <c r="CX28" i="19"/>
  <c r="CW28" i="19"/>
  <c r="CV28" i="19"/>
  <c r="CU28" i="19"/>
  <c r="CT28" i="19"/>
  <c r="CS28" i="19"/>
  <c r="CR28" i="19"/>
  <c r="CQ28" i="19"/>
  <c r="CP28" i="19"/>
  <c r="CO28" i="19"/>
  <c r="CN28" i="19"/>
  <c r="CM28" i="19"/>
  <c r="CL28" i="19"/>
  <c r="CK28" i="19"/>
  <c r="CJ28" i="19"/>
  <c r="CI28" i="19"/>
  <c r="CH28" i="19"/>
  <c r="CG28" i="19"/>
  <c r="CF28" i="19"/>
  <c r="CE28" i="19"/>
  <c r="CD28" i="19"/>
  <c r="CC28" i="19"/>
  <c r="CB28" i="19"/>
  <c r="CA28" i="19"/>
  <c r="BZ28" i="19"/>
  <c r="BY28" i="19"/>
  <c r="BX28" i="19"/>
  <c r="BW28" i="19"/>
  <c r="BV28" i="19"/>
  <c r="BU28" i="19"/>
  <c r="BT28" i="19"/>
  <c r="BS28" i="19"/>
  <c r="BR28" i="19"/>
  <c r="BQ28" i="19"/>
  <c r="BP28" i="19"/>
  <c r="BO28" i="19"/>
  <c r="BN28" i="19"/>
  <c r="BM28" i="19"/>
  <c r="BL28" i="19"/>
  <c r="BK28" i="19"/>
  <c r="BJ28" i="19"/>
  <c r="BI28" i="19"/>
  <c r="BH28" i="19"/>
  <c r="BG28" i="19"/>
  <c r="BF28" i="19"/>
  <c r="BE28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27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CF26" i="19"/>
  <c r="CE26" i="19"/>
  <c r="CD26" i="19"/>
  <c r="CC26" i="19"/>
  <c r="CB26" i="19"/>
  <c r="CA26" i="19"/>
  <c r="BZ26" i="19"/>
  <c r="BY26" i="19"/>
  <c r="BX26" i="19"/>
  <c r="BW26" i="19"/>
  <c r="BV26" i="19"/>
  <c r="BU26" i="19"/>
  <c r="BT26" i="19"/>
  <c r="BS26" i="19"/>
  <c r="BR26" i="19"/>
  <c r="BQ26" i="19"/>
  <c r="BP26" i="19"/>
  <c r="BO26" i="19"/>
  <c r="BN26" i="19"/>
  <c r="BM26" i="19"/>
  <c r="BL26" i="19"/>
  <c r="BK26" i="19"/>
  <c r="BJ26" i="19"/>
  <c r="BI26" i="19"/>
  <c r="BH26" i="19"/>
  <c r="BG26" i="19"/>
  <c r="BF26" i="19"/>
  <c r="BE26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26" i="19"/>
  <c r="GZ25" i="19"/>
  <c r="GY25" i="19"/>
  <c r="GX25" i="19"/>
  <c r="GW25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CF25" i="19"/>
  <c r="CE25" i="19"/>
  <c r="CD25" i="19"/>
  <c r="CC25" i="19"/>
  <c r="CB25" i="19"/>
  <c r="CA25" i="19"/>
  <c r="BZ25" i="19"/>
  <c r="BY25" i="19"/>
  <c r="BX25" i="19"/>
  <c r="BW25" i="19"/>
  <c r="BV25" i="19"/>
  <c r="BU25" i="19"/>
  <c r="BT25" i="19"/>
  <c r="BS25" i="19"/>
  <c r="BR25" i="19"/>
  <c r="BQ25" i="19"/>
  <c r="BP25" i="19"/>
  <c r="BO25" i="19"/>
  <c r="BN25" i="19"/>
  <c r="BM25" i="19"/>
  <c r="BL25" i="19"/>
  <c r="BK25" i="19"/>
  <c r="BJ25" i="19"/>
  <c r="BI25" i="19"/>
  <c r="BH25" i="19"/>
  <c r="BG25" i="19"/>
  <c r="BF25" i="19"/>
  <c r="BE25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25" i="19"/>
  <c r="IV24" i="19"/>
  <c r="IU24" i="19"/>
  <c r="IT24" i="19"/>
  <c r="IS24" i="19"/>
  <c r="IR24" i="19"/>
  <c r="IQ24" i="19"/>
  <c r="IP24" i="19"/>
  <c r="IO24" i="19"/>
  <c r="IN24" i="19"/>
  <c r="IM24" i="19"/>
  <c r="IL24" i="19"/>
  <c r="IK24" i="19"/>
  <c r="IJ24" i="19"/>
  <c r="II24" i="19"/>
  <c r="IH24" i="19"/>
  <c r="IG24" i="19"/>
  <c r="IF24" i="19"/>
  <c r="IE24" i="19"/>
  <c r="ID24" i="19"/>
  <c r="IC24" i="19"/>
  <c r="IB24" i="19"/>
  <c r="IA24" i="19"/>
  <c r="HZ24" i="19"/>
  <c r="HY24" i="19"/>
  <c r="HX24" i="19"/>
  <c r="HW24" i="19"/>
  <c r="HV24" i="19"/>
  <c r="HU24" i="19"/>
  <c r="HT24" i="19"/>
  <c r="HS24" i="19"/>
  <c r="HR24" i="19"/>
  <c r="HQ24" i="19"/>
  <c r="HP24" i="19"/>
  <c r="HO24" i="19"/>
  <c r="HN24" i="19"/>
  <c r="HM24" i="19"/>
  <c r="HL24" i="19"/>
  <c r="HK24" i="19"/>
  <c r="HJ24" i="19"/>
  <c r="HI24" i="19"/>
  <c r="HH24" i="19"/>
  <c r="HG24" i="19"/>
  <c r="HF24" i="19"/>
  <c r="HE24" i="19"/>
  <c r="HD24" i="19"/>
  <c r="HC24" i="19"/>
  <c r="HB24" i="19"/>
  <c r="HA24" i="19"/>
  <c r="GZ24" i="19"/>
  <c r="GY24" i="19"/>
  <c r="GX24" i="19"/>
  <c r="GW24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CF24" i="19"/>
  <c r="CE24" i="19"/>
  <c r="CD24" i="19"/>
  <c r="CC24" i="19"/>
  <c r="CB24" i="19"/>
  <c r="CA24" i="19"/>
  <c r="BZ24" i="19"/>
  <c r="BY24" i="19"/>
  <c r="BX24" i="19"/>
  <c r="BW24" i="19"/>
  <c r="BV24" i="19"/>
  <c r="BU24" i="19"/>
  <c r="BT24" i="19"/>
  <c r="BS24" i="19"/>
  <c r="BR24" i="19"/>
  <c r="BQ24" i="19"/>
  <c r="BP24" i="19"/>
  <c r="BO24" i="19"/>
  <c r="BN24" i="19"/>
  <c r="BM24" i="19"/>
  <c r="BL24" i="19"/>
  <c r="BK24" i="19"/>
  <c r="BJ24" i="19"/>
  <c r="BI24" i="19"/>
  <c r="BH24" i="19"/>
  <c r="BG24" i="19"/>
  <c r="BF24" i="19"/>
  <c r="BE24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24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CF23" i="19"/>
  <c r="CE23" i="19"/>
  <c r="CD23" i="19"/>
  <c r="CC23" i="19"/>
  <c r="CB23" i="19"/>
  <c r="CA23" i="19"/>
  <c r="BZ23" i="19"/>
  <c r="BY23" i="19"/>
  <c r="BX23" i="19"/>
  <c r="BW23" i="19"/>
  <c r="BV23" i="19"/>
  <c r="BU23" i="19"/>
  <c r="BT23" i="19"/>
  <c r="BS23" i="19"/>
  <c r="BR23" i="19"/>
  <c r="BQ23" i="19"/>
  <c r="BP23" i="19"/>
  <c r="BO23" i="19"/>
  <c r="BN23" i="19"/>
  <c r="BM23" i="19"/>
  <c r="BL23" i="19"/>
  <c r="BK23" i="19"/>
  <c r="BJ23" i="19"/>
  <c r="BI23" i="19"/>
  <c r="BH23" i="19"/>
  <c r="BG23" i="19"/>
  <c r="BF23" i="19"/>
  <c r="BE23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23" i="19"/>
  <c r="CQ22" i="19"/>
  <c r="CP22" i="19"/>
  <c r="CO22" i="19"/>
  <c r="CN22" i="19"/>
  <c r="CM22" i="19"/>
  <c r="CL22" i="19"/>
  <c r="CK22" i="19"/>
  <c r="CJ22" i="19"/>
  <c r="CI22" i="19"/>
  <c r="CH22" i="19"/>
  <c r="CG22" i="19"/>
  <c r="CF22" i="19"/>
  <c r="CE22" i="19"/>
  <c r="CD22" i="19"/>
  <c r="CC22" i="19"/>
  <c r="CB22" i="19"/>
  <c r="CA22" i="19"/>
  <c r="BZ22" i="19"/>
  <c r="BY22" i="19"/>
  <c r="BX22" i="19"/>
  <c r="BW22" i="19"/>
  <c r="BV22" i="19"/>
  <c r="BU22" i="19"/>
  <c r="BT22" i="19"/>
  <c r="BS22" i="19"/>
  <c r="BR22" i="19"/>
  <c r="BQ22" i="19"/>
  <c r="BP22" i="19"/>
  <c r="BO22" i="19"/>
  <c r="BN22" i="19"/>
  <c r="BM22" i="19"/>
  <c r="BL22" i="19"/>
  <c r="BK22" i="19"/>
  <c r="BJ22" i="19"/>
  <c r="BI22" i="19"/>
  <c r="BH22" i="19"/>
  <c r="BG22" i="19"/>
  <c r="BF22" i="19"/>
  <c r="BE22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22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21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20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CF19" i="19"/>
  <c r="CE19" i="19"/>
  <c r="CD19" i="19"/>
  <c r="CC19" i="19"/>
  <c r="CB19" i="19"/>
  <c r="CA19" i="19"/>
  <c r="BZ19" i="19"/>
  <c r="BY19" i="19"/>
  <c r="BX19" i="19"/>
  <c r="BW19" i="19"/>
  <c r="BV19" i="19"/>
  <c r="BU19" i="19"/>
  <c r="BT19" i="19"/>
  <c r="BS19" i="19"/>
  <c r="BR19" i="19"/>
  <c r="BQ19" i="19"/>
  <c r="BP19" i="19"/>
  <c r="BO19" i="19"/>
  <c r="BN19" i="19"/>
  <c r="BM19" i="19"/>
  <c r="BL19" i="19"/>
  <c r="BK19" i="19"/>
  <c r="BJ19" i="19"/>
  <c r="BI19" i="19"/>
  <c r="BH19" i="19"/>
  <c r="BG19" i="19"/>
  <c r="BF19" i="19"/>
  <c r="BE19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19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IE18" i="19"/>
  <c r="ID18" i="19"/>
  <c r="IC18" i="19"/>
  <c r="IB18" i="19"/>
  <c r="IA18" i="19"/>
  <c r="HZ18" i="19"/>
  <c r="HY18" i="19"/>
  <c r="HX18" i="19"/>
  <c r="HW18" i="19"/>
  <c r="HV18" i="19"/>
  <c r="HU18" i="19"/>
  <c r="HT18" i="19"/>
  <c r="HS18" i="19"/>
  <c r="HR18" i="19"/>
  <c r="HQ18" i="19"/>
  <c r="HP18" i="19"/>
  <c r="HO18" i="19"/>
  <c r="HN18" i="19"/>
  <c r="HM18" i="19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18" i="19"/>
  <c r="IV17" i="19"/>
  <c r="IU17" i="19"/>
  <c r="IT17" i="19"/>
  <c r="IS17" i="19"/>
  <c r="IR17" i="19"/>
  <c r="IQ17" i="19"/>
  <c r="IP17" i="19"/>
  <c r="IO17" i="19"/>
  <c r="IN17" i="19"/>
  <c r="IM17" i="19"/>
  <c r="IL17" i="19"/>
  <c r="IK17" i="19"/>
  <c r="IJ17" i="19"/>
  <c r="II17" i="19"/>
  <c r="IH17" i="19"/>
  <c r="IG17" i="19"/>
  <c r="IF17" i="19"/>
  <c r="IE17" i="19"/>
  <c r="ID17" i="19"/>
  <c r="IC17" i="19"/>
  <c r="IB17" i="19"/>
  <c r="IA17" i="19"/>
  <c r="HZ17" i="19"/>
  <c r="HY17" i="19"/>
  <c r="HX17" i="19"/>
  <c r="HW17" i="19"/>
  <c r="HV17" i="19"/>
  <c r="HU17" i="19"/>
  <c r="HT17" i="19"/>
  <c r="HS17" i="19"/>
  <c r="HR17" i="19"/>
  <c r="HQ17" i="19"/>
  <c r="HP17" i="19"/>
  <c r="HO17" i="19"/>
  <c r="HN17" i="19"/>
  <c r="HM17" i="19"/>
  <c r="HL17" i="19"/>
  <c r="HK17" i="19"/>
  <c r="HJ17" i="19"/>
  <c r="HI17" i="19"/>
  <c r="HH17" i="19"/>
  <c r="HG17" i="19"/>
  <c r="HF17" i="19"/>
  <c r="HE17" i="19"/>
  <c r="HD17" i="19"/>
  <c r="HC17" i="19"/>
  <c r="HB17" i="19"/>
  <c r="HA17" i="19"/>
  <c r="GZ17" i="19"/>
  <c r="GY17" i="19"/>
  <c r="GX17" i="19"/>
  <c r="GW17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BN17" i="19"/>
  <c r="BM17" i="19"/>
  <c r="BL17" i="19"/>
  <c r="BK17" i="19"/>
  <c r="BJ17" i="19"/>
  <c r="BI17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17" i="19"/>
  <c r="IV16" i="19"/>
  <c r="IU16" i="19"/>
  <c r="IT16" i="19"/>
  <c r="IS16" i="19"/>
  <c r="IR16" i="19"/>
  <c r="IQ16" i="19"/>
  <c r="IP16" i="19"/>
  <c r="IO16" i="19"/>
  <c r="IN16" i="19"/>
  <c r="IM16" i="19"/>
  <c r="IL16" i="19"/>
  <c r="IK16" i="19"/>
  <c r="IJ16" i="19"/>
  <c r="II16" i="19"/>
  <c r="IH16" i="19"/>
  <c r="IG16" i="19"/>
  <c r="IF16" i="19"/>
  <c r="IE16" i="19"/>
  <c r="ID16" i="19"/>
  <c r="IC16" i="19"/>
  <c r="IB16" i="19"/>
  <c r="IA16" i="19"/>
  <c r="HZ16" i="19"/>
  <c r="HY16" i="19"/>
  <c r="HX16" i="19"/>
  <c r="HW16" i="19"/>
  <c r="HV16" i="19"/>
  <c r="HU16" i="19"/>
  <c r="HT16" i="19"/>
  <c r="HS16" i="19"/>
  <c r="HR16" i="19"/>
  <c r="HQ16" i="19"/>
  <c r="HP16" i="19"/>
  <c r="HO16" i="19"/>
  <c r="HN16" i="19"/>
  <c r="HM16" i="19"/>
  <c r="HL16" i="19"/>
  <c r="HK16" i="19"/>
  <c r="HJ16" i="19"/>
  <c r="HI16" i="19"/>
  <c r="HH16" i="19"/>
  <c r="HG16" i="19"/>
  <c r="HF16" i="19"/>
  <c r="HE16" i="19"/>
  <c r="HD16" i="19"/>
  <c r="HC16" i="19"/>
  <c r="HB16" i="19"/>
  <c r="HA16" i="19"/>
  <c r="GZ16" i="19"/>
  <c r="GY16" i="19"/>
  <c r="GX16" i="19"/>
  <c r="GW16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N16" i="19"/>
  <c r="EM16" i="19"/>
  <c r="EL16" i="19"/>
  <c r="EJ16" i="19"/>
  <c r="EH16" i="19"/>
  <c r="EF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16" i="19"/>
  <c r="IV15" i="19"/>
  <c r="IU15" i="19"/>
  <c r="IT15" i="19"/>
  <c r="IS15" i="19"/>
  <c r="IR15" i="19"/>
  <c r="IQ15" i="19"/>
  <c r="IP15" i="19"/>
  <c r="IO15" i="19"/>
  <c r="IN15" i="19"/>
  <c r="IM15" i="19"/>
  <c r="IL15" i="19"/>
  <c r="IK15" i="19"/>
  <c r="IJ15" i="19"/>
  <c r="II15" i="19"/>
  <c r="IH15" i="19"/>
  <c r="IG15" i="19"/>
  <c r="IF15" i="19"/>
  <c r="IE15" i="19"/>
  <c r="ID15" i="19"/>
  <c r="IC15" i="19"/>
  <c r="IB15" i="19"/>
  <c r="IA15" i="19"/>
  <c r="HZ15" i="19"/>
  <c r="HY15" i="19"/>
  <c r="HX15" i="19"/>
  <c r="HW15" i="19"/>
  <c r="HV15" i="19"/>
  <c r="HU15" i="19"/>
  <c r="HT15" i="19"/>
  <c r="HS15" i="19"/>
  <c r="HR15" i="19"/>
  <c r="HQ15" i="19"/>
  <c r="HP15" i="19"/>
  <c r="HO15" i="19"/>
  <c r="HN15" i="19"/>
  <c r="HM15" i="19"/>
  <c r="HL15" i="19"/>
  <c r="HK15" i="19"/>
  <c r="HJ15" i="19"/>
  <c r="HI15" i="19"/>
  <c r="HH15" i="19"/>
  <c r="HG15" i="19"/>
  <c r="HF15" i="19"/>
  <c r="HE15" i="19"/>
  <c r="HD15" i="19"/>
  <c r="HC15" i="19"/>
  <c r="HB15" i="19"/>
  <c r="HA15" i="19"/>
  <c r="GZ15" i="19"/>
  <c r="GY15" i="19"/>
  <c r="GX15" i="19"/>
  <c r="GW15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15" i="19"/>
  <c r="IV14" i="19"/>
  <c r="IU14" i="19"/>
  <c r="IT14" i="19"/>
  <c r="IS14" i="19"/>
  <c r="IR14" i="19"/>
  <c r="IQ14" i="19"/>
  <c r="IP14" i="19"/>
  <c r="IO14" i="19"/>
  <c r="IN14" i="19"/>
  <c r="IM14" i="19"/>
  <c r="IL14" i="19"/>
  <c r="IK14" i="19"/>
  <c r="IJ14" i="19"/>
  <c r="II14" i="19"/>
  <c r="IH14" i="19"/>
  <c r="IG14" i="19"/>
  <c r="IF14" i="19"/>
  <c r="IE14" i="19"/>
  <c r="ID14" i="19"/>
  <c r="IC14" i="19"/>
  <c r="IB14" i="19"/>
  <c r="IA14" i="19"/>
  <c r="HZ14" i="19"/>
  <c r="HY14" i="19"/>
  <c r="HX14" i="19"/>
  <c r="HW14" i="19"/>
  <c r="HV14" i="19"/>
  <c r="HU14" i="19"/>
  <c r="HT14" i="19"/>
  <c r="HS14" i="19"/>
  <c r="HR14" i="19"/>
  <c r="HQ14" i="19"/>
  <c r="HP14" i="19"/>
  <c r="HO14" i="19"/>
  <c r="HN14" i="19"/>
  <c r="HM14" i="19"/>
  <c r="HL14" i="19"/>
  <c r="HK14" i="19"/>
  <c r="HJ14" i="19"/>
  <c r="HI14" i="19"/>
  <c r="HH14" i="19"/>
  <c r="HG14" i="19"/>
  <c r="HF14" i="19"/>
  <c r="HE14" i="19"/>
  <c r="HD14" i="19"/>
  <c r="HC14" i="19"/>
  <c r="HB14" i="19"/>
  <c r="HA14" i="19"/>
  <c r="GZ14" i="19"/>
  <c r="GY14" i="19"/>
  <c r="GX14" i="19"/>
  <c r="GW14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14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13" i="19"/>
  <c r="IV12" i="19"/>
  <c r="IU12" i="19"/>
  <c r="IT12" i="19"/>
  <c r="IS12" i="19"/>
  <c r="IR12" i="19"/>
  <c r="IQ12" i="19"/>
  <c r="IP12" i="19"/>
  <c r="IO12" i="19"/>
  <c r="IN12" i="19"/>
  <c r="IM12" i="19"/>
  <c r="IL12" i="19"/>
  <c r="IK12" i="19"/>
  <c r="IJ12" i="19"/>
  <c r="II12" i="19"/>
  <c r="IH12" i="19"/>
  <c r="IG12" i="19"/>
  <c r="IF12" i="19"/>
  <c r="IE12" i="19"/>
  <c r="ID12" i="19"/>
  <c r="IC12" i="19"/>
  <c r="IB12" i="19"/>
  <c r="IA12" i="19"/>
  <c r="HZ12" i="19"/>
  <c r="HY12" i="19"/>
  <c r="HX12" i="19"/>
  <c r="HW12" i="19"/>
  <c r="HV12" i="19"/>
  <c r="HU12" i="19"/>
  <c r="HT12" i="19"/>
  <c r="HS12" i="19"/>
  <c r="HR12" i="19"/>
  <c r="HQ12" i="19"/>
  <c r="HP12" i="19"/>
  <c r="HO12" i="19"/>
  <c r="HN12" i="19"/>
  <c r="HM12" i="19"/>
  <c r="HL12" i="19"/>
  <c r="HK12" i="19"/>
  <c r="HJ12" i="19"/>
  <c r="HI12" i="19"/>
  <c r="HH12" i="19"/>
  <c r="HG12" i="19"/>
  <c r="HF12" i="19"/>
  <c r="HE12" i="19"/>
  <c r="HD12" i="19"/>
  <c r="HC12" i="19"/>
  <c r="HB12" i="19"/>
  <c r="HA12" i="19"/>
  <c r="GZ12" i="19"/>
  <c r="GY12" i="19"/>
  <c r="GX12" i="19"/>
  <c r="GW12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12" i="19"/>
  <c r="IV11" i="19"/>
  <c r="IU11" i="19"/>
  <c r="IT11" i="19"/>
  <c r="IS11" i="19"/>
  <c r="IR11" i="19"/>
  <c r="IQ11" i="19"/>
  <c r="IP11" i="19"/>
  <c r="IO11" i="19"/>
  <c r="IN11" i="19"/>
  <c r="IM11" i="19"/>
  <c r="IL11" i="19"/>
  <c r="IK11" i="19"/>
  <c r="IJ11" i="19"/>
  <c r="II11" i="19"/>
  <c r="IH11" i="19"/>
  <c r="IG11" i="19"/>
  <c r="IF11" i="19"/>
  <c r="IE11" i="19"/>
  <c r="ID11" i="19"/>
  <c r="IC11" i="19"/>
  <c r="IB11" i="19"/>
  <c r="IA11" i="19"/>
  <c r="HZ11" i="19"/>
  <c r="HY11" i="19"/>
  <c r="HX11" i="19"/>
  <c r="HW11" i="19"/>
  <c r="HV11" i="19"/>
  <c r="HU11" i="19"/>
  <c r="HT11" i="19"/>
  <c r="HS11" i="19"/>
  <c r="HR11" i="19"/>
  <c r="HQ11" i="19"/>
  <c r="HP11" i="19"/>
  <c r="HO11" i="19"/>
  <c r="HN11" i="19"/>
  <c r="HM11" i="19"/>
  <c r="HL11" i="19"/>
  <c r="HK11" i="19"/>
  <c r="HJ11" i="19"/>
  <c r="HI11" i="19"/>
  <c r="HH11" i="19"/>
  <c r="HG11" i="19"/>
  <c r="HF11" i="19"/>
  <c r="HE11" i="19"/>
  <c r="HD11" i="19"/>
  <c r="HC11" i="19"/>
  <c r="HB11" i="19"/>
  <c r="HA11" i="19"/>
  <c r="GZ11" i="19"/>
  <c r="GY11" i="19"/>
  <c r="GX11" i="19"/>
  <c r="GW11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G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11" i="19"/>
  <c r="IV10" i="19"/>
  <c r="IU10" i="19"/>
  <c r="IT10" i="19"/>
  <c r="IS10" i="19"/>
  <c r="IR10" i="19"/>
  <c r="IQ10" i="19"/>
  <c r="IP10" i="19"/>
  <c r="IO10" i="19"/>
  <c r="IN10" i="19"/>
  <c r="IM10" i="19"/>
  <c r="IL10" i="19"/>
  <c r="IK10" i="19"/>
  <c r="IJ10" i="19"/>
  <c r="II10" i="19"/>
  <c r="IH10" i="19"/>
  <c r="IG10" i="19"/>
  <c r="IF10" i="19"/>
  <c r="IE10" i="19"/>
  <c r="ID10" i="19"/>
  <c r="IC10" i="19"/>
  <c r="IB10" i="19"/>
  <c r="IA10" i="19"/>
  <c r="HZ10" i="19"/>
  <c r="HY10" i="19"/>
  <c r="HX10" i="19"/>
  <c r="HW10" i="19"/>
  <c r="HV10" i="19"/>
  <c r="HU10" i="19"/>
  <c r="HT10" i="19"/>
  <c r="HS10" i="19"/>
  <c r="HR10" i="19"/>
  <c r="HQ10" i="19"/>
  <c r="HP10" i="19"/>
  <c r="HO10" i="19"/>
  <c r="HN10" i="19"/>
  <c r="HM10" i="19"/>
  <c r="HL10" i="19"/>
  <c r="HK10" i="19"/>
  <c r="HJ10" i="19"/>
  <c r="HI10" i="19"/>
  <c r="HH10" i="19"/>
  <c r="HG10" i="19"/>
  <c r="HF10" i="19"/>
  <c r="HE10" i="19"/>
  <c r="HD10" i="19"/>
  <c r="HC10" i="19"/>
  <c r="HB10" i="19"/>
  <c r="HA10" i="19"/>
  <c r="GZ10" i="19"/>
  <c r="GY10" i="19"/>
  <c r="GX10" i="19"/>
  <c r="GW10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U10" i="19"/>
  <c r="BT10" i="19"/>
  <c r="BS10" i="19"/>
  <c r="BR10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10" i="19"/>
  <c r="IV9" i="19"/>
  <c r="IU9" i="19"/>
  <c r="IT9" i="19"/>
  <c r="IS9" i="19"/>
  <c r="IR9" i="19"/>
  <c r="IQ9" i="19"/>
  <c r="IP9" i="19"/>
  <c r="IO9" i="19"/>
  <c r="IN9" i="19"/>
  <c r="IM9" i="19"/>
  <c r="IL9" i="19"/>
  <c r="IK9" i="19"/>
  <c r="IJ9" i="19"/>
  <c r="II9" i="19"/>
  <c r="IH9" i="19"/>
  <c r="IG9" i="19"/>
  <c r="IE9" i="19"/>
  <c r="IC9" i="19"/>
  <c r="IB9" i="19"/>
  <c r="IA9" i="19"/>
  <c r="HZ9" i="19"/>
  <c r="HY9" i="19"/>
  <c r="HX9" i="19"/>
  <c r="HW9" i="19"/>
  <c r="HV9" i="19"/>
  <c r="HU9" i="19"/>
  <c r="HT9" i="19"/>
  <c r="HS9" i="19"/>
  <c r="HR9" i="19"/>
  <c r="HQ9" i="19"/>
  <c r="HP9" i="19"/>
  <c r="HO9" i="19"/>
  <c r="HN9" i="19"/>
  <c r="HM9" i="19"/>
  <c r="HL9" i="19"/>
  <c r="HK9" i="19"/>
  <c r="HJ9" i="19"/>
  <c r="HI9" i="19"/>
  <c r="HH9" i="19"/>
  <c r="HG9" i="19"/>
  <c r="HF9" i="19"/>
  <c r="HE9" i="19"/>
  <c r="HD9" i="19"/>
  <c r="HC9" i="19"/>
  <c r="HB9" i="19"/>
  <c r="HA9" i="19"/>
  <c r="GZ9" i="19"/>
  <c r="GY9" i="19"/>
  <c r="GX9" i="19"/>
  <c r="GW9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U9" i="19"/>
  <c r="BT9" i="19"/>
  <c r="BS9" i="19"/>
  <c r="BR9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9" i="19"/>
  <c r="IV8" i="19"/>
  <c r="IU8" i="19"/>
  <c r="IT8" i="19"/>
  <c r="IS8" i="19"/>
  <c r="IR8" i="19"/>
  <c r="IQ8" i="19"/>
  <c r="IP8" i="19"/>
  <c r="IO8" i="19"/>
  <c r="IN8" i="19"/>
  <c r="IM8" i="19"/>
  <c r="IL8" i="19"/>
  <c r="IK8" i="19"/>
  <c r="IJ8" i="19"/>
  <c r="II8" i="19"/>
  <c r="IH8" i="19"/>
  <c r="IG8" i="19"/>
  <c r="IF8" i="19"/>
  <c r="IE8" i="19"/>
  <c r="ID8" i="19"/>
  <c r="IC8" i="19"/>
  <c r="IB8" i="19"/>
  <c r="IA8" i="19"/>
  <c r="HZ8" i="19"/>
  <c r="HY8" i="19"/>
  <c r="HX8" i="19"/>
  <c r="HW8" i="19"/>
  <c r="HV8" i="19"/>
  <c r="HU8" i="19"/>
  <c r="HT8" i="19"/>
  <c r="HS8" i="19"/>
  <c r="HR8" i="19"/>
  <c r="HQ8" i="19"/>
  <c r="HP8" i="19"/>
  <c r="HO8" i="19"/>
  <c r="HN8" i="19"/>
  <c r="HM8" i="19"/>
  <c r="HL8" i="19"/>
  <c r="HK8" i="19"/>
  <c r="HJ8" i="19"/>
  <c r="HI8" i="19"/>
  <c r="HH8" i="19"/>
  <c r="HG8" i="19"/>
  <c r="HF8" i="19"/>
  <c r="HE8" i="19"/>
  <c r="HD8" i="19"/>
  <c r="HC8" i="19"/>
  <c r="HB8" i="19"/>
  <c r="HA8" i="19"/>
  <c r="GZ8" i="19"/>
  <c r="GY8" i="19"/>
  <c r="GX8" i="19"/>
  <c r="GW8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U8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IV7" i="19"/>
  <c r="IU7" i="19"/>
  <c r="IT7" i="19"/>
  <c r="IS7" i="19"/>
  <c r="IR7" i="19"/>
  <c r="IQ7" i="19"/>
  <c r="IP7" i="19"/>
  <c r="IO7" i="19"/>
  <c r="IN7" i="19"/>
  <c r="IM7" i="19"/>
  <c r="IL7" i="19"/>
  <c r="IK7" i="19"/>
  <c r="IJ7" i="19"/>
  <c r="II7" i="19"/>
  <c r="IH7" i="19"/>
  <c r="IG7" i="19"/>
  <c r="IF7" i="19"/>
  <c r="IE7" i="19"/>
  <c r="ID7" i="19"/>
  <c r="IC7" i="19"/>
  <c r="IB7" i="19"/>
  <c r="IA7" i="19"/>
  <c r="HZ7" i="19"/>
  <c r="HY7" i="19"/>
  <c r="HX7" i="19"/>
  <c r="HW7" i="19"/>
  <c r="HV7" i="19"/>
  <c r="HU7" i="19"/>
  <c r="HT7" i="19"/>
  <c r="HS7" i="19"/>
  <c r="HR7" i="19"/>
  <c r="HQ7" i="19"/>
  <c r="HP7" i="19"/>
  <c r="HO7" i="19"/>
  <c r="HN7" i="19"/>
  <c r="HM7" i="19"/>
  <c r="HL7" i="19"/>
  <c r="HK7" i="19"/>
  <c r="HJ7" i="19"/>
  <c r="HI7" i="19"/>
  <c r="HH7" i="19"/>
  <c r="HG7" i="19"/>
  <c r="HF7" i="19"/>
  <c r="HE7" i="19"/>
  <c r="HD7" i="19"/>
  <c r="HC7" i="19"/>
  <c r="HB7" i="19"/>
  <c r="HA7" i="19"/>
  <c r="GZ7" i="19"/>
  <c r="GY7" i="19"/>
  <c r="GX7" i="19"/>
  <c r="GW7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U7" i="19"/>
  <c r="BT7" i="19"/>
  <c r="BS7" i="19"/>
  <c r="BR7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A7" i="19"/>
  <c r="IV6" i="19"/>
  <c r="IU6" i="19"/>
  <c r="IT6" i="19"/>
  <c r="IS6" i="19"/>
  <c r="IR6" i="19"/>
  <c r="IQ6" i="19"/>
  <c r="IP6" i="19"/>
  <c r="IO6" i="19"/>
  <c r="IN6" i="19"/>
  <c r="IM6" i="19"/>
  <c r="IL6" i="19"/>
  <c r="IK6" i="19"/>
  <c r="IJ6" i="19"/>
  <c r="II6" i="19"/>
  <c r="IH6" i="19"/>
  <c r="IG6" i="19"/>
  <c r="IF6" i="19"/>
  <c r="IE6" i="19"/>
  <c r="ID6" i="19"/>
  <c r="IC6" i="19"/>
  <c r="IB6" i="19"/>
  <c r="IA6" i="19"/>
  <c r="HZ6" i="19"/>
  <c r="HY6" i="19"/>
  <c r="HX6" i="19"/>
  <c r="HW6" i="19"/>
  <c r="HV6" i="19"/>
  <c r="HU6" i="19"/>
  <c r="HT6" i="19"/>
  <c r="HS6" i="19"/>
  <c r="HR6" i="19"/>
  <c r="HQ6" i="19"/>
  <c r="HP6" i="19"/>
  <c r="HO6" i="19"/>
  <c r="HN6" i="19"/>
  <c r="HM6" i="19"/>
  <c r="HL6" i="19"/>
  <c r="HK6" i="19"/>
  <c r="HJ6" i="19"/>
  <c r="HI6" i="19"/>
  <c r="HH6" i="19"/>
  <c r="HG6" i="19"/>
  <c r="HF6" i="19"/>
  <c r="HE6" i="19"/>
  <c r="HD6" i="19"/>
  <c r="HC6" i="19"/>
  <c r="HB6" i="19"/>
  <c r="HA6" i="19"/>
  <c r="GZ6" i="19"/>
  <c r="GY6" i="19"/>
  <c r="GX6" i="19"/>
  <c r="GW6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A6" i="19"/>
  <c r="IV5" i="19"/>
  <c r="IU5" i="19"/>
  <c r="IT5" i="19"/>
  <c r="IS5" i="19"/>
  <c r="IR5" i="19"/>
  <c r="IQ5" i="19"/>
  <c r="IP5" i="19"/>
  <c r="IO5" i="19"/>
  <c r="IN5" i="19"/>
  <c r="IM5" i="19"/>
  <c r="IL5" i="19"/>
  <c r="IK5" i="19"/>
  <c r="IJ5" i="19"/>
  <c r="II5" i="19"/>
  <c r="IH5" i="19"/>
  <c r="IG5" i="19"/>
  <c r="IF5" i="19"/>
  <c r="IE5" i="19"/>
  <c r="ID5" i="19"/>
  <c r="IC5" i="19"/>
  <c r="IB5" i="19"/>
  <c r="IA5" i="19"/>
  <c r="HZ5" i="19"/>
  <c r="HY5" i="19"/>
  <c r="HX5" i="19"/>
  <c r="HW5" i="19"/>
  <c r="HV5" i="19"/>
  <c r="HU5" i="19"/>
  <c r="HT5" i="19"/>
  <c r="HS5" i="19"/>
  <c r="HR5" i="19"/>
  <c r="HQ5" i="19"/>
  <c r="HP5" i="19"/>
  <c r="HO5" i="19"/>
  <c r="HN5" i="19"/>
  <c r="HM5" i="19"/>
  <c r="HL5" i="19"/>
  <c r="HK5" i="19"/>
  <c r="HJ5" i="19"/>
  <c r="HI5" i="19"/>
  <c r="HH5" i="19"/>
  <c r="HG5" i="19"/>
  <c r="HF5" i="19"/>
  <c r="HE5" i="19"/>
  <c r="HD5" i="19"/>
  <c r="HC5" i="19"/>
  <c r="HB5" i="19"/>
  <c r="HA5" i="19"/>
  <c r="GZ5" i="19"/>
  <c r="GY5" i="19"/>
  <c r="GX5" i="19"/>
  <c r="GW5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5" i="19"/>
  <c r="IV4" i="19"/>
  <c r="IU4" i="19"/>
  <c r="IT4" i="19"/>
  <c r="IS4" i="19"/>
  <c r="IR4" i="19"/>
  <c r="IQ4" i="19"/>
  <c r="IP4" i="19"/>
  <c r="IO4" i="19"/>
  <c r="IN4" i="19"/>
  <c r="IM4" i="19"/>
  <c r="IL4" i="19"/>
  <c r="IK4" i="19"/>
  <c r="IJ4" i="19"/>
  <c r="II4" i="19"/>
  <c r="IH4" i="19"/>
  <c r="IG4" i="19"/>
  <c r="IF4" i="19"/>
  <c r="IE4" i="19"/>
  <c r="ID4" i="19"/>
  <c r="IC4" i="19"/>
  <c r="IB4" i="19"/>
  <c r="IA4" i="19"/>
  <c r="HZ4" i="19"/>
  <c r="HY4" i="19"/>
  <c r="HX4" i="19"/>
  <c r="HW4" i="19"/>
  <c r="HV4" i="19"/>
  <c r="HU4" i="19"/>
  <c r="HT4" i="19"/>
  <c r="HS4" i="19"/>
  <c r="HR4" i="19"/>
  <c r="HQ4" i="19"/>
  <c r="HP4" i="19"/>
  <c r="HO4" i="19"/>
  <c r="HN4" i="19"/>
  <c r="HM4" i="19"/>
  <c r="HL4" i="19"/>
  <c r="HK4" i="19"/>
  <c r="HJ4" i="19"/>
  <c r="HI4" i="19"/>
  <c r="HH4" i="19"/>
  <c r="HG4" i="19"/>
  <c r="HF4" i="19"/>
  <c r="HE4" i="19"/>
  <c r="HD4" i="19"/>
  <c r="HC4" i="19"/>
  <c r="HB4" i="19"/>
  <c r="HA4" i="19"/>
  <c r="GZ4" i="19"/>
  <c r="GY4" i="19"/>
  <c r="GX4" i="19"/>
  <c r="GW4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P4" i="19"/>
  <c r="CO4" i="19"/>
  <c r="CN4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4" i="19"/>
  <c r="IV3" i="19"/>
  <c r="IU3" i="19"/>
  <c r="IT3" i="19"/>
  <c r="IS3" i="19"/>
  <c r="IR3" i="19"/>
  <c r="IQ3" i="19"/>
  <c r="IP3" i="19"/>
  <c r="IO3" i="19"/>
  <c r="IN3" i="19"/>
  <c r="IM3" i="19"/>
  <c r="IL3" i="19"/>
  <c r="IK3" i="19"/>
  <c r="IJ3" i="19"/>
  <c r="II3" i="19"/>
  <c r="IH3" i="19"/>
  <c r="IG3" i="19"/>
  <c r="IF3" i="19"/>
  <c r="IE3" i="19"/>
  <c r="ID3" i="19"/>
  <c r="IC3" i="19"/>
  <c r="IB3" i="19"/>
  <c r="IA3" i="19"/>
  <c r="HZ3" i="19"/>
  <c r="HY3" i="19"/>
  <c r="HX3" i="19"/>
  <c r="HW3" i="19"/>
  <c r="HV3" i="19"/>
  <c r="HU3" i="19"/>
  <c r="HT3" i="19"/>
  <c r="HS3" i="19"/>
  <c r="HR3" i="19"/>
  <c r="HQ3" i="19"/>
  <c r="HP3" i="19"/>
  <c r="HO3" i="19"/>
  <c r="HN3" i="19"/>
  <c r="HM3" i="19"/>
  <c r="HL3" i="19"/>
  <c r="HK3" i="19"/>
  <c r="HJ3" i="19"/>
  <c r="HI3" i="19"/>
  <c r="HH3" i="19"/>
  <c r="HG3" i="19"/>
  <c r="HF3" i="19"/>
  <c r="HE3" i="19"/>
  <c r="HD3" i="19"/>
  <c r="HC3" i="19"/>
  <c r="HB3" i="19"/>
  <c r="HA3" i="19"/>
  <c r="GZ3" i="19"/>
  <c r="GY3" i="19"/>
  <c r="GX3" i="19"/>
  <c r="GW3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CF3" i="19"/>
  <c r="CE3" i="19"/>
  <c r="CD3" i="19"/>
  <c r="CC3" i="19"/>
  <c r="CB3" i="19"/>
  <c r="CA3" i="19"/>
  <c r="BZ3" i="19"/>
  <c r="BY3" i="19"/>
  <c r="BX3" i="19"/>
  <c r="BW3" i="19"/>
  <c r="BV3" i="19"/>
  <c r="BU3" i="19"/>
  <c r="BT3" i="19"/>
  <c r="BS3" i="19"/>
  <c r="BR3" i="19"/>
  <c r="BQ3" i="19"/>
  <c r="BP3" i="19"/>
  <c r="BO3" i="19"/>
  <c r="BN3" i="19"/>
  <c r="BM3" i="19"/>
  <c r="BL3" i="19"/>
  <c r="BK3" i="19"/>
  <c r="BJ3" i="19"/>
  <c r="BI3" i="19"/>
  <c r="BH3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A3" i="19"/>
  <c r="IV2" i="19"/>
  <c r="IU2" i="19"/>
  <c r="IT2" i="19"/>
  <c r="IS2" i="19"/>
  <c r="IR2" i="19"/>
  <c r="IQ2" i="19"/>
  <c r="IP2" i="19"/>
  <c r="IO2" i="19"/>
  <c r="IN2" i="19"/>
  <c r="IM2" i="19"/>
  <c r="IL2" i="19"/>
  <c r="IK2" i="19"/>
  <c r="IJ2" i="19"/>
  <c r="II2" i="19"/>
  <c r="IH2" i="19"/>
  <c r="IG2" i="19"/>
  <c r="IF2" i="19"/>
  <c r="IE2" i="19"/>
  <c r="ID2" i="19"/>
  <c r="IC2" i="19"/>
  <c r="IB2" i="19"/>
  <c r="IA2" i="19"/>
  <c r="HZ2" i="19"/>
  <c r="HY2" i="19"/>
  <c r="HX2" i="19"/>
  <c r="HW2" i="19"/>
  <c r="HV2" i="19"/>
  <c r="HU2" i="19"/>
  <c r="HT2" i="19"/>
  <c r="HS2" i="19"/>
  <c r="HR2" i="19"/>
  <c r="HQ2" i="19"/>
  <c r="HP2" i="19"/>
  <c r="HO2" i="19"/>
  <c r="HN2" i="19"/>
  <c r="HM2" i="19"/>
  <c r="HL2" i="19"/>
  <c r="HK2" i="19"/>
  <c r="HJ2" i="19"/>
  <c r="HI2" i="19"/>
  <c r="HH2" i="19"/>
  <c r="HG2" i="19"/>
  <c r="HF2" i="19"/>
  <c r="HE2" i="19"/>
  <c r="HD2" i="19"/>
  <c r="HC2" i="19"/>
  <c r="HB2" i="19"/>
  <c r="HA2" i="19"/>
  <c r="GZ2" i="19"/>
  <c r="GY2" i="19"/>
  <c r="GX2" i="19"/>
  <c r="GW2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N2" i="19"/>
  <c r="BM2" i="19"/>
  <c r="BL2" i="19"/>
  <c r="BK2" i="19"/>
  <c r="BJ2" i="19"/>
  <c r="BI2" i="19"/>
  <c r="BH2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A2" i="19"/>
  <c r="IV1" i="19"/>
  <c r="IU1" i="19"/>
  <c r="IT1" i="19"/>
  <c r="IS1" i="19"/>
  <c r="IR1" i="19"/>
  <c r="IQ1" i="19"/>
  <c r="IP1" i="19"/>
  <c r="IO1" i="19"/>
  <c r="IN1" i="19"/>
  <c r="IM1" i="19"/>
  <c r="IL1" i="19"/>
  <c r="IK1" i="19"/>
  <c r="IJ1" i="19"/>
  <c r="II1" i="19"/>
  <c r="IH1" i="19"/>
  <c r="IG1" i="19"/>
  <c r="IF1" i="19"/>
  <c r="IE1" i="19"/>
  <c r="ID1" i="19"/>
  <c r="IC1" i="19"/>
  <c r="IB1" i="19"/>
  <c r="IA1" i="19"/>
  <c r="HZ1" i="19"/>
  <c r="HY1" i="19"/>
  <c r="HX1" i="19"/>
  <c r="HW1" i="19"/>
  <c r="HV1" i="19"/>
  <c r="HU1" i="19"/>
  <c r="HT1" i="19"/>
  <c r="HS1" i="19"/>
  <c r="HR1" i="19"/>
  <c r="HQ1" i="19"/>
  <c r="HP1" i="19"/>
  <c r="HO1" i="19"/>
  <c r="HN1" i="19"/>
  <c r="HM1" i="19"/>
  <c r="HL1" i="19"/>
  <c r="HK1" i="19"/>
  <c r="HJ1" i="19"/>
  <c r="HI1" i="19"/>
  <c r="HH1" i="19"/>
  <c r="HG1" i="19"/>
  <c r="HF1" i="19"/>
  <c r="HE1" i="19"/>
  <c r="HD1" i="19"/>
  <c r="HC1" i="19"/>
  <c r="HB1" i="19"/>
  <c r="HA1" i="19"/>
  <c r="GZ1" i="19"/>
  <c r="GY1" i="19"/>
  <c r="GX1" i="19"/>
  <c r="GW1" i="19"/>
  <c r="GV1" i="19"/>
  <c r="GU1" i="19"/>
  <c r="GT1" i="19"/>
  <c r="GS1" i="19"/>
  <c r="GR1" i="19"/>
  <c r="GQ1" i="19"/>
  <c r="GP1" i="19"/>
  <c r="GO1" i="19"/>
  <c r="GN1" i="19"/>
  <c r="GM1" i="19"/>
  <c r="GL1" i="19"/>
  <c r="GK1" i="19"/>
  <c r="GJ1" i="19"/>
  <c r="GI1" i="19"/>
  <c r="GH1" i="19"/>
  <c r="GG1" i="19"/>
  <c r="GF1" i="19"/>
  <c r="GE1" i="19"/>
  <c r="GD1" i="19"/>
  <c r="GC1" i="19"/>
  <c r="GB1" i="19"/>
  <c r="GA1" i="19"/>
  <c r="FZ1" i="19"/>
  <c r="FY1" i="19"/>
  <c r="FX1" i="19"/>
  <c r="FW1" i="19"/>
  <c r="FV1" i="19"/>
  <c r="FU1" i="19"/>
  <c r="FT1" i="19"/>
  <c r="FS1" i="19"/>
  <c r="FR1" i="19"/>
  <c r="FQ1" i="19"/>
  <c r="FP1" i="19"/>
  <c r="FO1" i="19"/>
  <c r="FN1" i="19"/>
  <c r="FM1" i="19"/>
  <c r="FL1" i="19"/>
  <c r="FK1" i="19"/>
  <c r="FJ1" i="19"/>
  <c r="FI1" i="19"/>
  <c r="FH1" i="19"/>
  <c r="FG1" i="19"/>
  <c r="FF1" i="19"/>
  <c r="FE1" i="19"/>
  <c r="FD1" i="19"/>
  <c r="FC1" i="19"/>
  <c r="FB1" i="19"/>
  <c r="FA1" i="19"/>
  <c r="EZ1" i="19"/>
  <c r="EY1" i="19"/>
  <c r="EX1" i="19"/>
  <c r="EW1" i="19"/>
  <c r="EV1" i="19"/>
  <c r="EU1" i="19"/>
  <c r="ET1" i="19"/>
  <c r="ES1" i="19"/>
  <c r="ER1" i="19"/>
  <c r="EQ1" i="19"/>
  <c r="EP1" i="19"/>
  <c r="EO1" i="19"/>
  <c r="EN1" i="19"/>
  <c r="EM1" i="19"/>
  <c r="EL1" i="19"/>
  <c r="EK1" i="19"/>
  <c r="EJ1" i="19"/>
  <c r="EI1" i="19"/>
  <c r="EH1" i="19"/>
  <c r="EG1" i="19"/>
  <c r="EF1" i="19"/>
  <c r="EE1" i="19"/>
  <c r="ED1" i="19"/>
  <c r="EC1" i="19"/>
  <c r="EB1" i="19"/>
  <c r="EA1" i="19"/>
  <c r="DZ1" i="19"/>
  <c r="DY1" i="19"/>
  <c r="DX1" i="19"/>
  <c r="DW1" i="19"/>
  <c r="DV1" i="19"/>
  <c r="DU1" i="19"/>
  <c r="DT1" i="19"/>
  <c r="DS1" i="19"/>
  <c r="DR1" i="19"/>
  <c r="DQ1" i="19"/>
  <c r="DP1" i="19"/>
  <c r="DO1" i="19"/>
  <c r="DN1" i="19"/>
  <c r="DM1" i="19"/>
  <c r="DL1" i="19"/>
  <c r="DK1" i="19"/>
  <c r="DJ1" i="19"/>
  <c r="DI1" i="19"/>
  <c r="DH1" i="19"/>
  <c r="DG1" i="19"/>
  <c r="DF1" i="19"/>
  <c r="DE1" i="19"/>
  <c r="DD1" i="19"/>
  <c r="DC1" i="19"/>
  <c r="DB1" i="19"/>
  <c r="DA1" i="19"/>
  <c r="CZ1" i="19"/>
  <c r="CY1" i="19"/>
  <c r="CX1" i="19"/>
  <c r="CW1" i="19"/>
  <c r="CV1" i="19"/>
  <c r="CU1" i="19"/>
  <c r="CT1" i="19"/>
  <c r="CS1" i="19"/>
  <c r="CR1" i="19"/>
  <c r="CQ1" i="19"/>
  <c r="CP1" i="19"/>
  <c r="CO1" i="19"/>
  <c r="CN1" i="19"/>
  <c r="CM1" i="19"/>
  <c r="CL1" i="19"/>
  <c r="CK1" i="19"/>
  <c r="CJ1" i="19"/>
  <c r="CI1" i="19"/>
  <c r="CH1" i="19"/>
  <c r="CG1" i="19"/>
  <c r="CF1" i="19"/>
  <c r="CE1" i="19"/>
  <c r="CD1" i="19"/>
  <c r="CC1" i="19"/>
  <c r="CB1" i="19"/>
  <c r="CA1" i="19"/>
  <c r="BZ1" i="19"/>
  <c r="BY1" i="19"/>
  <c r="BX1" i="19"/>
  <c r="BW1" i="19"/>
  <c r="BV1" i="19"/>
  <c r="BU1" i="19"/>
  <c r="BT1" i="19"/>
  <c r="BS1" i="19"/>
  <c r="BR1" i="19"/>
  <c r="BQ1" i="19"/>
  <c r="BP1" i="19"/>
  <c r="BO1" i="19"/>
  <c r="BN1" i="19"/>
  <c r="BM1" i="19"/>
  <c r="BL1" i="19"/>
  <c r="BK1" i="19"/>
  <c r="BJ1" i="19"/>
  <c r="BI1" i="19"/>
  <c r="BH1" i="19"/>
  <c r="BG1" i="19"/>
  <c r="BF1" i="19"/>
  <c r="BE1" i="19"/>
  <c r="BD1" i="19"/>
  <c r="BC1" i="19"/>
  <c r="BB1" i="19"/>
  <c r="BA1" i="19"/>
  <c r="AZ1" i="19"/>
  <c r="AY1" i="19"/>
  <c r="AX1" i="19"/>
  <c r="AW1" i="19"/>
  <c r="AV1" i="19"/>
  <c r="AU1" i="19"/>
  <c r="AT1" i="19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W1" i="19"/>
  <c r="V1" i="19"/>
  <c r="U1" i="19"/>
  <c r="S1" i="19"/>
  <c r="Q1" i="19"/>
  <c r="P1" i="19"/>
  <c r="O1" i="19"/>
  <c r="N1" i="19"/>
  <c r="M1" i="19"/>
  <c r="L1" i="19"/>
  <c r="K1" i="19"/>
  <c r="J1" i="19"/>
  <c r="I1" i="19"/>
  <c r="G1" i="19"/>
  <c r="F1" i="19"/>
  <c r="E1" i="19"/>
  <c r="D1" i="19"/>
  <c r="C1" i="19"/>
  <c r="M2" i="18"/>
  <c r="D33" i="19" s="1"/>
  <c r="K2" i="18"/>
  <c r="FI28" i="19" s="1"/>
  <c r="I2" i="18"/>
  <c r="EO16" i="19" s="1"/>
  <c r="E2" i="18"/>
  <c r="EK16" i="19" s="1"/>
  <c r="C2" i="18"/>
  <c r="EI16" i="19" s="1"/>
  <c r="A2" i="18"/>
  <c r="EG16" i="19" s="1"/>
  <c r="I1" i="17"/>
  <c r="G1" i="17"/>
  <c r="E1" i="17"/>
  <c r="C1" i="17"/>
  <c r="A1" i="17"/>
  <c r="O1" i="16"/>
  <c r="G1" i="16"/>
  <c r="CQ4" i="19"/>
  <c r="CM4" i="19"/>
  <c r="A1" i="16"/>
  <c r="Q1" i="14"/>
  <c r="O1" i="14"/>
  <c r="M1" i="14"/>
  <c r="E1" i="14"/>
  <c r="C1" i="14"/>
  <c r="S1" i="13"/>
  <c r="Q1" i="13"/>
  <c r="O1" i="13"/>
  <c r="M1" i="13"/>
  <c r="K1" i="13"/>
  <c r="I1" i="13"/>
  <c r="G1" i="13"/>
  <c r="E1" i="13"/>
  <c r="C1" i="13"/>
  <c r="A1" i="13"/>
  <c r="I1" i="12"/>
  <c r="G1" i="12"/>
  <c r="E1" i="12"/>
  <c r="C1" i="12"/>
  <c r="A1" i="12"/>
  <c r="K1" i="11"/>
  <c r="I1" i="11"/>
  <c r="G1" i="11"/>
  <c r="E1" i="11"/>
  <c r="C1" i="11"/>
  <c r="A1" i="11"/>
  <c r="O1" i="10"/>
  <c r="M1" i="10"/>
  <c r="K1" i="10"/>
  <c r="I1" i="10"/>
  <c r="G1" i="10"/>
  <c r="E1" i="10"/>
  <c r="C1" i="10"/>
  <c r="A1" i="10"/>
  <c r="K1" i="9"/>
  <c r="I1" i="9"/>
  <c r="G1" i="9"/>
  <c r="E1" i="9"/>
  <c r="C1" i="9"/>
  <c r="A1" i="9"/>
  <c r="AA1" i="8"/>
  <c r="Y1" i="8"/>
  <c r="W1" i="8"/>
  <c r="U1" i="8"/>
  <c r="S1" i="8"/>
  <c r="Q1" i="8"/>
  <c r="O1" i="8"/>
  <c r="M1" i="8"/>
  <c r="K1" i="8"/>
  <c r="I1" i="8"/>
  <c r="G1" i="8"/>
  <c r="E1" i="8"/>
  <c r="C1" i="8"/>
  <c r="A1" i="8"/>
  <c r="BU1" i="7"/>
  <c r="BS1" i="7"/>
  <c r="BQ1" i="7"/>
  <c r="BO1" i="7"/>
  <c r="BM1" i="7"/>
  <c r="BK1" i="7"/>
  <c r="GH11" i="19" s="1"/>
  <c r="BI1" i="7"/>
  <c r="BG1" i="7"/>
  <c r="BE1" i="7"/>
  <c r="BC1" i="7"/>
  <c r="BA1" i="7"/>
  <c r="AY1" i="7"/>
  <c r="AW1" i="7"/>
  <c r="AU1" i="7"/>
  <c r="AS1" i="7"/>
  <c r="AQ1" i="7"/>
  <c r="AO1" i="7"/>
  <c r="AM1" i="7"/>
  <c r="AK1" i="7"/>
  <c r="AI1" i="7"/>
  <c r="AG1" i="7"/>
  <c r="AE1" i="7"/>
  <c r="GF11" i="19" s="1"/>
  <c r="AC1" i="7"/>
  <c r="AA1" i="7"/>
  <c r="Y1" i="7"/>
  <c r="W1" i="7"/>
  <c r="U1" i="7"/>
  <c r="S1" i="7"/>
  <c r="Q1" i="7"/>
  <c r="O1" i="7"/>
  <c r="M1" i="7"/>
  <c r="K1" i="7"/>
  <c r="I1" i="7"/>
  <c r="G1" i="7"/>
  <c r="C1" i="7"/>
  <c r="A1" i="7"/>
  <c r="M1" i="6"/>
  <c r="K1" i="6"/>
  <c r="I1" i="6"/>
  <c r="G1" i="6"/>
  <c r="E1" i="6"/>
  <c r="C1" i="6"/>
  <c r="IF9" i="19" s="1"/>
  <c r="A1" i="6"/>
  <c r="ID9" i="19" s="1"/>
  <c r="K1" i="5"/>
  <c r="I1" i="5"/>
  <c r="G1" i="5"/>
  <c r="E1" i="5"/>
  <c r="C1" i="5"/>
  <c r="A1" i="5"/>
  <c r="K1" i="4"/>
  <c r="I1" i="4"/>
  <c r="G1" i="4"/>
  <c r="E1" i="4"/>
  <c r="C1" i="4"/>
  <c r="A1" i="4"/>
  <c r="Y1" i="3"/>
  <c r="W1" i="3"/>
  <c r="U1" i="3"/>
  <c r="S1" i="3"/>
  <c r="Q1" i="3"/>
  <c r="O1" i="3"/>
  <c r="M1" i="3"/>
  <c r="K1" i="3"/>
  <c r="I1" i="3"/>
  <c r="G1" i="3"/>
  <c r="E1" i="3"/>
  <c r="C1" i="3"/>
  <c r="A1" i="3"/>
  <c r="BG1" i="2"/>
  <c r="EE16" i="19" s="1"/>
  <c r="BE1" i="2"/>
  <c r="BC1" i="2"/>
  <c r="BA1" i="2"/>
  <c r="AY1" i="2"/>
  <c r="AW1" i="2"/>
  <c r="AU1" i="2"/>
  <c r="AS1" i="2"/>
  <c r="AQ1" i="2"/>
  <c r="AO1" i="2"/>
  <c r="AK1" i="2"/>
  <c r="AI1" i="2"/>
  <c r="AG1" i="2"/>
  <c r="AE1" i="2"/>
  <c r="AC1" i="2"/>
  <c r="AA1" i="2"/>
  <c r="Y1" i="2"/>
  <c r="W1" i="2"/>
  <c r="U1" i="2"/>
  <c r="S1" i="2"/>
  <c r="Q1" i="2"/>
  <c r="O1" i="2"/>
  <c r="K1" i="2"/>
  <c r="I1" i="2"/>
  <c r="G1" i="2"/>
  <c r="E1" i="2"/>
  <c r="C1" i="2"/>
  <c r="A1" i="2"/>
  <c r="AK1" i="1"/>
  <c r="AI1" i="1"/>
  <c r="AG1" i="1"/>
  <c r="AE1" i="1"/>
  <c r="AC1" i="1"/>
  <c r="AA1" i="1"/>
  <c r="Y1" i="1"/>
  <c r="W1" i="1"/>
  <c r="U1" i="1"/>
  <c r="B56" i="19" s="1"/>
  <c r="S1" i="1"/>
  <c r="X1" i="19" s="1"/>
  <c r="Q1" i="1"/>
  <c r="R1" i="19" s="1"/>
  <c r="O1" i="1"/>
  <c r="H1" i="19" s="1"/>
  <c r="M1" i="1"/>
  <c r="K1" i="1"/>
  <c r="T1" i="19" s="1"/>
  <c r="I1" i="1"/>
  <c r="A43" i="19" s="1"/>
  <c r="G1" i="1"/>
  <c r="C52" i="19" s="1"/>
  <c r="E1" i="1"/>
  <c r="G55" i="19" s="1"/>
  <c r="C1" i="1"/>
  <c r="A52" i="19" s="1"/>
  <c r="A1" i="1"/>
  <c r="A1" i="19" s="1"/>
  <c r="B1" i="19" l="1"/>
</calcChain>
</file>

<file path=xl/sharedStrings.xml><?xml version="1.0" encoding="utf-8"?>
<sst xmlns="http://schemas.openxmlformats.org/spreadsheetml/2006/main" count="8805" uniqueCount="4750">
  <si>
    <t>Doom Crisis</t>
  </si>
  <si>
    <t>Quicky</t>
  </si>
  <si>
    <t>Migga City</t>
  </si>
  <si>
    <t>Neutron</t>
  </si>
  <si>
    <t>Spider-Friends</t>
  </si>
  <si>
    <t>Bosom</t>
  </si>
  <si>
    <t>ToolBox</t>
  </si>
  <si>
    <t>TNNB</t>
  </si>
  <si>
    <t>Gotham Army</t>
  </si>
  <si>
    <t>Moloids</t>
  </si>
  <si>
    <t>Rigged</t>
  </si>
  <si>
    <t>Combex</t>
  </si>
  <si>
    <t>Black Bamboo</t>
  </si>
  <si>
    <t>Deck Captain Italy</t>
  </si>
  <si>
    <t>Child Lock Illuminati</t>
  </si>
  <si>
    <t>T.O.V</t>
  </si>
  <si>
    <t>Shift</t>
  </si>
  <si>
    <t>Xmen Xiled</t>
  </si>
  <si>
    <t>Turbo Thing</t>
  </si>
  <si>
    <t>Boris</t>
  </si>
  <si>
    <t>Ape X</t>
  </si>
  <si>
    <t xml:space="preserve">Mystique T1 </t>
  </si>
  <si>
    <t>Aunt May</t>
  </si>
  <si>
    <t>Moonstar</t>
  </si>
  <si>
    <t>Connie Webb</t>
  </si>
  <si>
    <t>Rem Ram</t>
  </si>
  <si>
    <t>Creeping Doom</t>
  </si>
  <si>
    <t>Haywire</t>
  </si>
  <si>
    <t xml:space="preserve"> Orb</t>
  </si>
  <si>
    <t>Vision</t>
  </si>
  <si>
    <t>Invisible Woman T1 MOR</t>
  </si>
  <si>
    <t>Blink T1 MEV</t>
  </si>
  <si>
    <t>San</t>
  </si>
  <si>
    <t>Lockjaw</t>
  </si>
  <si>
    <t>Harley Quinn T1 DOR</t>
  </si>
  <si>
    <t>Spider ManT1</t>
  </si>
  <si>
    <t>Spider Man T1</t>
  </si>
  <si>
    <t>Deadpool T2 MUN</t>
  </si>
  <si>
    <t>Mr Mxyzptlk</t>
  </si>
  <si>
    <t>Kleinstock Brothers</t>
  </si>
  <si>
    <t>GCPD Officier</t>
  </si>
  <si>
    <t>Quicksilver T0</t>
  </si>
  <si>
    <t>Black Bolt Y1</t>
  </si>
  <si>
    <t>Doom T3</t>
  </si>
  <si>
    <t>Invisible Woman T1 MVL</t>
  </si>
  <si>
    <t>Cable T2</t>
  </si>
  <si>
    <t>Sage T2 MEV</t>
  </si>
  <si>
    <t>Alicia Masters</t>
  </si>
  <si>
    <t>Caliban T2</t>
  </si>
  <si>
    <t>Luna Maximoff</t>
  </si>
  <si>
    <t>Black Cat T2 MSM</t>
  </si>
  <si>
    <t>Mesmero</t>
  </si>
  <si>
    <t>Black Thornn</t>
  </si>
  <si>
    <t>Tempo</t>
  </si>
  <si>
    <t>Alfred</t>
  </si>
  <si>
    <t>Franklin richards T1 MOR</t>
  </si>
  <si>
    <t>Jaime Reyes</t>
  </si>
  <si>
    <t>The Captain</t>
  </si>
  <si>
    <t>Black Bolt T1</t>
  </si>
  <si>
    <t>Beast T2 MOR</t>
  </si>
  <si>
    <t>Proteus</t>
  </si>
  <si>
    <t>Quicksilver T2 MHG</t>
  </si>
  <si>
    <t xml:space="preserve">Vision </t>
  </si>
  <si>
    <t>Puppet Master T2 MOR</t>
  </si>
  <si>
    <t>Barnacle</t>
  </si>
  <si>
    <t>Mary Marvel</t>
  </si>
  <si>
    <t>Mole Man</t>
  </si>
  <si>
    <t>Longshot T1 MEV</t>
  </si>
  <si>
    <t>Alpha Primitives</t>
  </si>
  <si>
    <t>Lust for Power</t>
  </si>
  <si>
    <t>Professor X T1 MUN</t>
  </si>
  <si>
    <t>Cable T3 MUN</t>
  </si>
  <si>
    <t>Human Torch T6 MVL</t>
  </si>
  <si>
    <t>Doom T4</t>
  </si>
  <si>
    <t>Tania Belinskya</t>
  </si>
  <si>
    <t>Poison Ivy T2 DJL</t>
  </si>
  <si>
    <t>Night Thrasher</t>
  </si>
  <si>
    <t>Spider Man T3 MUL</t>
  </si>
  <si>
    <t>Cable T4</t>
  </si>
  <si>
    <t>Jack Knight</t>
  </si>
  <si>
    <t>Mystique T1</t>
  </si>
  <si>
    <t>Spoiler 1 DOR</t>
  </si>
  <si>
    <t>Apokoliptian Zealots</t>
  </si>
  <si>
    <t>Professor X T1 MEV</t>
  </si>
  <si>
    <t>Techno Organic Virus</t>
  </si>
  <si>
    <t>Mr Fantastic T2 MUN</t>
  </si>
  <si>
    <t>Katrina Luisa Van Horne</t>
  </si>
  <si>
    <t>Shadowcat T2 MUL</t>
  </si>
  <si>
    <t>Human Torch T6 MCG</t>
  </si>
  <si>
    <t>Wonder Woman T4 DCL</t>
  </si>
  <si>
    <t>The Penguin T2</t>
  </si>
  <si>
    <t>Sage T3</t>
  </si>
  <si>
    <t>X-23 T4 MEV</t>
  </si>
  <si>
    <t>Amelia Vaught</t>
  </si>
  <si>
    <t>Shimmer</t>
  </si>
  <si>
    <t>Zazzala T3</t>
  </si>
  <si>
    <t>Duela Dent</t>
  </si>
  <si>
    <t>Blizzard T1 MUN</t>
  </si>
  <si>
    <t>Timebroker</t>
  </si>
  <si>
    <t>Wave of Destruction</t>
  </si>
  <si>
    <t>Dr Strange T2</t>
  </si>
  <si>
    <t>Carrying the Torch</t>
  </si>
  <si>
    <t>Mariko Yoshida</t>
  </si>
  <si>
    <t>Thing T7</t>
  </si>
  <si>
    <t>Lex Luthor T5 DCL</t>
  </si>
  <si>
    <t>Human Torch T3 MHG</t>
  </si>
  <si>
    <t>Spider-Girl</t>
  </si>
  <si>
    <t>Rictor T4</t>
  </si>
  <si>
    <t>Unuscione</t>
  </si>
  <si>
    <t>Barbara Gordon T3 DWF</t>
  </si>
  <si>
    <t>Tattooed Man</t>
  </si>
  <si>
    <t>Chemo</t>
  </si>
  <si>
    <t>Green Goblin T1</t>
  </si>
  <si>
    <t>Straight to the Grave</t>
  </si>
  <si>
    <t>Miguel O'Harra</t>
  </si>
  <si>
    <t>Mr. Sinister T5 MVL</t>
  </si>
  <si>
    <t>Mr Sinister T5 MVL</t>
  </si>
  <si>
    <t>Mad Hatter T2</t>
  </si>
  <si>
    <t>Silver Sable MTU</t>
  </si>
  <si>
    <t>Mr Sinister T MVL</t>
  </si>
  <si>
    <t>Senyaka</t>
  </si>
  <si>
    <t>Birthin Chamber</t>
  </si>
  <si>
    <t>Reconstruction Program</t>
  </si>
  <si>
    <t>Doom 3</t>
  </si>
  <si>
    <t>Black Box</t>
  </si>
  <si>
    <t>Deadpool T3</t>
  </si>
  <si>
    <t>Panoptichron</t>
  </si>
  <si>
    <t>Super Skrull T5 MEV</t>
  </si>
  <si>
    <t>The Great Refuge</t>
  </si>
  <si>
    <t>Blob</t>
  </si>
  <si>
    <t>Spider Man T4 MAA</t>
  </si>
  <si>
    <t>Mobilize</t>
  </si>
  <si>
    <t>Crystal</t>
  </si>
  <si>
    <t>Anne Marie Cortez</t>
  </si>
  <si>
    <t>Captain Marvel T8</t>
  </si>
  <si>
    <t>Devil's Due</t>
  </si>
  <si>
    <t>Viper T2 MUN</t>
  </si>
  <si>
    <t>Pathetic Attempt</t>
  </si>
  <si>
    <t>Siphon Energy</t>
  </si>
  <si>
    <t>A Finer World</t>
  </si>
  <si>
    <t>Black Manta T5 DCL</t>
  </si>
  <si>
    <t>Dr. Fate's Tower</t>
  </si>
  <si>
    <t>Enemy of my Enemy</t>
  </si>
  <si>
    <t>Black Panther T3 MXM</t>
  </si>
  <si>
    <t>Scanner</t>
  </si>
  <si>
    <t>Birthing Chamber</t>
  </si>
  <si>
    <t>Glory of Doom</t>
  </si>
  <si>
    <t>Rigged Elections</t>
  </si>
  <si>
    <t>Ahmed Samsarra</t>
  </si>
  <si>
    <t>Null Time Zone</t>
  </si>
  <si>
    <t>Sub Mariner T3 MUN</t>
  </si>
  <si>
    <t>Shadowcat T3 MEV</t>
  </si>
  <si>
    <t>Fastball Special</t>
  </si>
  <si>
    <t>Heroes of two Worlds</t>
  </si>
  <si>
    <t>Doom6mhg</t>
  </si>
  <si>
    <t>Soul World</t>
  </si>
  <si>
    <t>Rogue T4 MVL Brotherhood</t>
  </si>
  <si>
    <t>Spider Man T5 MUN</t>
  </si>
  <si>
    <t>The Select</t>
  </si>
  <si>
    <t>Sabretooth T5 MXM</t>
  </si>
  <si>
    <t>The Hook Up</t>
  </si>
  <si>
    <t>Forbidden Loyalty</t>
  </si>
  <si>
    <t>Beak Save the Day</t>
  </si>
  <si>
    <t>Siryn T4</t>
  </si>
  <si>
    <t>Common Bond</t>
  </si>
  <si>
    <t>Black Bolt T3</t>
  </si>
  <si>
    <t>We Can Rebuild Him</t>
  </si>
  <si>
    <t>Iron Man T3</t>
  </si>
  <si>
    <t>Beak Saves The Day</t>
  </si>
  <si>
    <t>Bad Press</t>
  </si>
  <si>
    <t>The Joker  T4 DJL</t>
  </si>
  <si>
    <t>Scarlet Spider</t>
  </si>
  <si>
    <t xml:space="preserve">Scarlet Spider </t>
  </si>
  <si>
    <t>Bosom Buddies</t>
  </si>
  <si>
    <t>Merlyn T4 DSM</t>
  </si>
  <si>
    <t>The New Brotherhood</t>
  </si>
  <si>
    <t>Underground Movement</t>
  </si>
  <si>
    <t>Enemyof my Enemy</t>
  </si>
  <si>
    <t>Brother I Satellite</t>
  </si>
  <si>
    <t>Blade T3 MUN</t>
  </si>
  <si>
    <t>Savage Beatdown</t>
  </si>
  <si>
    <t>Air Strike</t>
  </si>
  <si>
    <t>Albert</t>
  </si>
  <si>
    <t>Warp Shards</t>
  </si>
  <si>
    <t>Uncertain Legacy</t>
  </si>
  <si>
    <t>Koriand'r T7</t>
  </si>
  <si>
    <t>Mega Blast</t>
  </si>
  <si>
    <t>Cutting Lose</t>
  </si>
  <si>
    <t>The Next Brotherhood</t>
  </si>
  <si>
    <t>Omnipotence</t>
  </si>
  <si>
    <t>Cosmic Radiations</t>
  </si>
  <si>
    <t>Trouble With Dinosaures</t>
  </si>
  <si>
    <t>Galactus T9</t>
  </si>
  <si>
    <t>Meltdown</t>
  </si>
  <si>
    <t>Bodyslide</t>
  </si>
  <si>
    <t>Silver Surfer MEX</t>
  </si>
  <si>
    <t>Windstorm</t>
  </si>
  <si>
    <t>Nasty Surprise</t>
  </si>
  <si>
    <t>Silver surfer MEX</t>
  </si>
  <si>
    <t>Gambit T4 MOR</t>
  </si>
  <si>
    <t>Planet X</t>
  </si>
  <si>
    <t>Bat Signal</t>
  </si>
  <si>
    <t>Time Thief</t>
  </si>
  <si>
    <t>Rook Control</t>
  </si>
  <si>
    <t>Losing the Arguments</t>
  </si>
  <si>
    <t>Time Breach</t>
  </si>
  <si>
    <t>Flying Kick</t>
  </si>
  <si>
    <t>Bat Got Your Tongue</t>
  </si>
  <si>
    <t>Lust for power</t>
  </si>
  <si>
    <t>Slaughter Swamp</t>
  </si>
  <si>
    <t>Body Slide</t>
  </si>
  <si>
    <t>A Child Named Valeria</t>
  </si>
  <si>
    <t>Pleasant Distraction</t>
  </si>
  <si>
    <t>A Clash of Worlds</t>
  </si>
  <si>
    <t>Latveria</t>
  </si>
  <si>
    <t>Kill or Be Killed</t>
  </si>
  <si>
    <t>Call Down the Lightning</t>
  </si>
  <si>
    <t xml:space="preserve"> Only Human</t>
  </si>
  <si>
    <t>Intergalactic Summit</t>
  </si>
  <si>
    <t>UN Building</t>
  </si>
  <si>
    <t>Spider girl</t>
  </si>
  <si>
    <t>Secret Government</t>
  </si>
  <si>
    <t>Metldown</t>
  </si>
  <si>
    <t>Doomstadt MOR</t>
  </si>
  <si>
    <t>Thanagarian Invasion</t>
  </si>
  <si>
    <t>Darkseid T6 DWF</t>
  </si>
  <si>
    <t>Indebted</t>
  </si>
  <si>
    <t>No More Mr Nice Guy</t>
  </si>
  <si>
    <t>Dr Light T6 DOR</t>
  </si>
  <si>
    <t>Boot to the Head</t>
  </si>
  <si>
    <t>Master of Puppets</t>
  </si>
  <si>
    <t>31st Century Metropolis</t>
  </si>
  <si>
    <t>Ethan Edwards</t>
  </si>
  <si>
    <t>Only Human</t>
  </si>
  <si>
    <t>The Elektra Situation</t>
  </si>
  <si>
    <t>Death of the Dream</t>
  </si>
  <si>
    <t>The Royal Guard</t>
  </si>
  <si>
    <t>Cover Fire</t>
  </si>
  <si>
    <t>Have a Blast</t>
  </si>
  <si>
    <t>Reign of Terror</t>
  </si>
  <si>
    <t>SHIELD Helicarrier</t>
  </si>
  <si>
    <t>Flame Trap</t>
  </si>
  <si>
    <t>Messiah Complex</t>
  </si>
  <si>
    <t>Mystical Paralysis</t>
  </si>
  <si>
    <t>Clock Of Nabu</t>
  </si>
  <si>
    <t>Galactus T7</t>
  </si>
  <si>
    <t xml:space="preserve"> Lex Luthor T5 DCL</t>
  </si>
  <si>
    <t>Tech Upgrade</t>
  </si>
  <si>
    <t>BPRD Signal Device</t>
  </si>
  <si>
    <t>Gift Wrapped</t>
  </si>
  <si>
    <t>Syphon Energy</t>
  </si>
  <si>
    <t>Catcher's Mitt</t>
  </si>
  <si>
    <t>Wolverine T6 MEV</t>
  </si>
  <si>
    <t>Origin Story</t>
  </si>
  <si>
    <t>Empire State University</t>
  </si>
  <si>
    <t>Brother I Sattelite</t>
  </si>
  <si>
    <t>Hypnotic Charms</t>
  </si>
  <si>
    <t>Catcher’s Mitt</t>
  </si>
  <si>
    <t>Crisis on Infinite Earths</t>
  </si>
  <si>
    <t>Vicarious Living</t>
  </si>
  <si>
    <t>Death Of The Dream</t>
  </si>
  <si>
    <t>Xavier's School MOR</t>
  </si>
  <si>
    <t>Ultimate Nullifier MEX</t>
  </si>
  <si>
    <t>Lost City</t>
  </si>
  <si>
    <t>31th Century Metropolis</t>
  </si>
  <si>
    <t>Goblin Glider, Ver. 2.0</t>
  </si>
  <si>
    <t>Eye of Agamotto</t>
  </si>
  <si>
    <t>Avalon Space Station</t>
  </si>
  <si>
    <t>United Planet HQ</t>
  </si>
  <si>
    <t>Power Dampeners</t>
  </si>
  <si>
    <t>Reality Gem</t>
  </si>
  <si>
    <t>The Rock Of Eternity</t>
  </si>
  <si>
    <t>Attilan</t>
  </si>
  <si>
    <t>Alias Investigation</t>
  </si>
  <si>
    <t>Rock of eternity</t>
  </si>
  <si>
    <t>Tarnax IV</t>
  </si>
  <si>
    <t>Underground Resistance</t>
  </si>
  <si>
    <t>SHIELD Hellicarier</t>
  </si>
  <si>
    <t xml:space="preserve"> Soul World</t>
  </si>
  <si>
    <t>Savage Land</t>
  </si>
  <si>
    <t>Super Human Registration Act</t>
  </si>
  <si>
    <t>Press The Attack</t>
  </si>
  <si>
    <t>Arkham / Joker</t>
  </si>
  <si>
    <t>Marvel Knight Captain America</t>
  </si>
  <si>
    <t>Avenger Thor</t>
  </si>
  <si>
    <t>Brotherhood Magneto</t>
  </si>
  <si>
    <t>Doom Doom</t>
  </si>
  <si>
    <t>F4 Mister Fantastic</t>
  </si>
  <si>
    <t>Gotham Batman</t>
  </si>
  <si>
    <t>GL Hal Jordan</t>
  </si>
  <si>
    <t>Herald Silver surfer</t>
  </si>
  <si>
    <t>Horsemen Cyclops</t>
  </si>
  <si>
    <t>Injustice Lex</t>
  </si>
  <si>
    <t>Infinity Watch Dr Strange</t>
  </si>
  <si>
    <t>Inhuman Quicksilver</t>
  </si>
  <si>
    <t>JSA Flash</t>
  </si>
  <si>
    <t>LoA Ra's Al Ghul</t>
  </si>
  <si>
    <t>Unnafilated Mr Sinister</t>
  </si>
  <si>
    <t>SHIELD Iron Man</t>
  </si>
  <si>
    <t>Secret Society Poison Ivy</t>
  </si>
  <si>
    <t>Spiderfriends Spiderman</t>
  </si>
  <si>
    <t>Team Superman Superman</t>
  </si>
  <si>
    <t>Teen Titans Tim Drake</t>
  </si>
  <si>
    <t>Underworld Thanos</t>
  </si>
  <si>
    <t>Warbound Hulk</t>
  </si>
  <si>
    <t>Weapon X Deadpool</t>
  </si>
  <si>
    <t>X Force Cable</t>
  </si>
  <si>
    <t>X Factor Jean Grey</t>
  </si>
  <si>
    <t>X-Men Wolverine</t>
  </si>
  <si>
    <t>Shadowpact Dr Fate</t>
  </si>
  <si>
    <t>The Riddler T1</t>
  </si>
  <si>
    <t>Mikado and Mosha</t>
  </si>
  <si>
    <t>Dagger T1 MUN</t>
  </si>
  <si>
    <t>Black Panther T1</t>
  </si>
  <si>
    <t>Arisia</t>
  </si>
  <si>
    <t>Silver Surfer T2 MHG</t>
  </si>
  <si>
    <t>Havok MAA</t>
  </si>
  <si>
    <t>Captain Boomrang T2 DCL</t>
  </si>
  <si>
    <t>Mr Fantastic T2</t>
  </si>
  <si>
    <t>Jackeem Williams</t>
  </si>
  <si>
    <t>Ra's Al Ghul T1 DLS</t>
  </si>
  <si>
    <t>Mr Sinister T1</t>
  </si>
  <si>
    <t>Life Model Decoy</t>
  </si>
  <si>
    <t>Roy Harper T1 DSM</t>
  </si>
  <si>
    <t>Orb</t>
  </si>
  <si>
    <t>Elloe Kaifi</t>
  </si>
  <si>
    <t>Deadpool T2 MVL</t>
  </si>
  <si>
    <t xml:space="preserve"> Jean Grey, Teen Telepath</t>
  </si>
  <si>
    <t>Longshot T1 MOR</t>
  </si>
  <si>
    <t>Madame Xanadu</t>
  </si>
  <si>
    <t>Mad Hatter T1</t>
  </si>
  <si>
    <t>Iron Fist T1 MUN</t>
  </si>
  <si>
    <t>Destiny mvl</t>
  </si>
  <si>
    <t>Puppet Master T2 MVL</t>
  </si>
  <si>
    <t>GCPD Officiers</t>
  </si>
  <si>
    <t>Salaak</t>
  </si>
  <si>
    <t>Air Walker T3</t>
  </si>
  <si>
    <t>IQ</t>
  </si>
  <si>
    <t>Jack Knight Starman</t>
  </si>
  <si>
    <t>Talia T2 DBM</t>
  </si>
  <si>
    <t>Professor Ivo</t>
  </si>
  <si>
    <t>Dum Dum Dugan</t>
  </si>
  <si>
    <t>Spiderman T1</t>
  </si>
  <si>
    <t>Hiro Okamura</t>
  </si>
  <si>
    <t>Bette Kane T1 DCL</t>
  </si>
  <si>
    <t>Black Rose T2</t>
  </si>
  <si>
    <t>Miek</t>
  </si>
  <si>
    <t>Cable T2 MEV</t>
  </si>
  <si>
    <t>Jean Grey, Age of Apocalypse</t>
  </si>
  <si>
    <t>Wolverine T3 MVL</t>
  </si>
  <si>
    <t>Nightmaster T1</t>
  </si>
  <si>
    <t>Poison Ivy T2</t>
  </si>
  <si>
    <t>Captain America T2</t>
  </si>
  <si>
    <t>Mimic T2</t>
  </si>
  <si>
    <t>Dark Firestorm</t>
  </si>
  <si>
    <t>Elite doom Guards</t>
  </si>
  <si>
    <t>Spoiler T1 DOR</t>
  </si>
  <si>
    <t>Gnort</t>
  </si>
  <si>
    <t>Silver Surfer T3</t>
  </si>
  <si>
    <t>Cyclops MAA</t>
  </si>
  <si>
    <t>Michael Holt T3</t>
  </si>
  <si>
    <t>Batman T3 DCL</t>
  </si>
  <si>
    <t xml:space="preserve">The Mad Dog </t>
  </si>
  <si>
    <t>Jaime Madrox T2 MEV</t>
  </si>
  <si>
    <t>Black Cat MSM</t>
  </si>
  <si>
    <t>The Guardian</t>
  </si>
  <si>
    <t>Dawn Granger T1 DLS</t>
  </si>
  <si>
    <t>Thanos T3</t>
  </si>
  <si>
    <t>Rick Jones T2</t>
  </si>
  <si>
    <t>Mesmero T2 MEV</t>
  </si>
  <si>
    <t>Domino MEV T3</t>
  </si>
  <si>
    <t>Jean Grey, Alive Again</t>
  </si>
  <si>
    <t>Wolverine T4 MAA</t>
  </si>
  <si>
    <t>Blackbriar Thorn</t>
  </si>
  <si>
    <t>Hugo Strange</t>
  </si>
  <si>
    <t>Spider Man T3 MVL</t>
  </si>
  <si>
    <t>Falcon MUN</t>
  </si>
  <si>
    <t>Magneto T3</t>
  </si>
  <si>
    <t>Darkseid T4</t>
  </si>
  <si>
    <t>Doom3</t>
  </si>
  <si>
    <t>Harvey Bullock T1 DOR</t>
  </si>
  <si>
    <t>Kyle Rayner T2</t>
  </si>
  <si>
    <t>Terrax T4</t>
  </si>
  <si>
    <t>Mr. Sinister T3 MEV</t>
  </si>
  <si>
    <t>Lex Luthor T3 DJL</t>
  </si>
  <si>
    <t>Sub Mariner T3</t>
  </si>
  <si>
    <t>Alan Scott T4 DCX</t>
  </si>
  <si>
    <t>Mr Sinister T3 MEV</t>
  </si>
  <si>
    <t>Shield Agents</t>
  </si>
  <si>
    <t>Dr. Polaris T1</t>
  </si>
  <si>
    <t>Spiderman T3 MUL</t>
  </si>
  <si>
    <t>Mia Dearden T1 DCL</t>
  </si>
  <si>
    <t>Illyana Rasputin T4 MEV</t>
  </si>
  <si>
    <t>Archangel T3</t>
  </si>
  <si>
    <t>Deadpool T3 MEV</t>
  </si>
  <si>
    <t>Cable T4 MEV</t>
  </si>
  <si>
    <t>Jean Grey, Phoenix Rising</t>
  </si>
  <si>
    <t>Wolverine T5 MUN</t>
  </si>
  <si>
    <t>Manitou Dawn</t>
  </si>
  <si>
    <t xml:space="preserve">Blade T3 </t>
  </si>
  <si>
    <t>Thor 4 MAV</t>
  </si>
  <si>
    <t>Pyro mex</t>
  </si>
  <si>
    <t>Dark Superboy</t>
  </si>
  <si>
    <t>Doom4</t>
  </si>
  <si>
    <t>Mr Fantastic T5 MEQ</t>
  </si>
  <si>
    <t>Olapet</t>
  </si>
  <si>
    <t>Cyclops T4 MEV</t>
  </si>
  <si>
    <t>Lex Luthor T3 DCL</t>
  </si>
  <si>
    <t>Prof X T3</t>
  </si>
  <si>
    <t>Quicksilver T3 MOR</t>
  </si>
  <si>
    <t>Barry Allen T4 DCL</t>
  </si>
  <si>
    <t>Superman T5 DCL</t>
  </si>
  <si>
    <t>Ras Al Ghul T4 DBM</t>
  </si>
  <si>
    <t>Wolverine T4 MXM</t>
  </si>
  <si>
    <t>Squirrel Girl</t>
  </si>
  <si>
    <t>Charaxes T2</t>
  </si>
  <si>
    <t>Spider Girl</t>
  </si>
  <si>
    <t>Superman T4 DSM</t>
  </si>
  <si>
    <t>Tim Drake T2 DCL</t>
  </si>
  <si>
    <t>Black Heart T4</t>
  </si>
  <si>
    <t>Hiroim</t>
  </si>
  <si>
    <t>Iron Man T3 MEV</t>
  </si>
  <si>
    <t xml:space="preserve"> Jean Grey, Red</t>
  </si>
  <si>
    <t>Wolverine T5 MXM</t>
  </si>
  <si>
    <t>Jared Stevens</t>
  </si>
  <si>
    <t>Human Torch T4 MUN</t>
  </si>
  <si>
    <t>Magneto T4 MVL</t>
  </si>
  <si>
    <t>Robot Destroyer</t>
  </si>
  <si>
    <t>Mr Fantastic T5 MOR</t>
  </si>
  <si>
    <t>Hal Jordan T3 DGL</t>
  </si>
  <si>
    <t>Human Torch T4 MHG</t>
  </si>
  <si>
    <t>Abyss T4</t>
  </si>
  <si>
    <t>The Joker T4</t>
  </si>
  <si>
    <t>Dr Strange T4</t>
  </si>
  <si>
    <t xml:space="preserve">Quicksilver T4 </t>
  </si>
  <si>
    <t>Wally West T5 DLS</t>
  </si>
  <si>
    <t>Aquaman T6 DCL</t>
  </si>
  <si>
    <t>Ra's Al Ghul DOR</t>
  </si>
  <si>
    <t>Blizzard T1</t>
  </si>
  <si>
    <t>Deadshot T2 DCR</t>
  </si>
  <si>
    <t>Spiderman T4 subst MTU</t>
  </si>
  <si>
    <t>Superman T4 DWF</t>
  </si>
  <si>
    <t>Holly Granger T2 DLS</t>
  </si>
  <si>
    <t>Thanos T5</t>
  </si>
  <si>
    <t>Hulk T3 MUN</t>
  </si>
  <si>
    <t>Rictor T4 MEV</t>
  </si>
  <si>
    <t>Jean Grey, Jean Grey Summers</t>
  </si>
  <si>
    <t>Detective Chimp T3</t>
  </si>
  <si>
    <t>Captain America T4</t>
  </si>
  <si>
    <t xml:space="preserve">Spider Man T5 </t>
  </si>
  <si>
    <t>Magneto T4 MUN</t>
  </si>
  <si>
    <t>Darkseid T5 DLS</t>
  </si>
  <si>
    <t>Kristoff Von Doom T5</t>
  </si>
  <si>
    <t>Batman T3 DWF</t>
  </si>
  <si>
    <t>Hal Jordan T3 DCL</t>
  </si>
  <si>
    <t>Silver Surfer T5</t>
  </si>
  <si>
    <t>Apocalypse T5</t>
  </si>
  <si>
    <t>Lex Luthor T5</t>
  </si>
  <si>
    <t>Iron Man T5</t>
  </si>
  <si>
    <t>Quiksilver T5</t>
  </si>
  <si>
    <t>Bart Allen T5 DCR</t>
  </si>
  <si>
    <t>Mr Sinister T6 MHG</t>
  </si>
  <si>
    <t>Iron Man T2 MEQ</t>
  </si>
  <si>
    <t>Deadshot T2 DJL</t>
  </si>
  <si>
    <t>Spiderman T4 MAA</t>
  </si>
  <si>
    <t>Mephisto T5 MMK</t>
  </si>
  <si>
    <t>Hulk T4 MUN</t>
  </si>
  <si>
    <t>Maverick T4 MEV</t>
  </si>
  <si>
    <t>Cannonball MEV T5</t>
  </si>
  <si>
    <t>Jean Grey, Phoenix Force</t>
  </si>
  <si>
    <t>Wolverine T7 MVL</t>
  </si>
  <si>
    <t>June Moon T4</t>
  </si>
  <si>
    <t>The Joker T3 DOR</t>
  </si>
  <si>
    <t>Captain America T5</t>
  </si>
  <si>
    <t>Captain America T6 MUN</t>
  </si>
  <si>
    <t>Magneto T5 MHG</t>
  </si>
  <si>
    <t>Glorious Godfrey</t>
  </si>
  <si>
    <t>Doom T6 MHG</t>
  </si>
  <si>
    <t>Batman T6</t>
  </si>
  <si>
    <t>Red Shift T5 MHG</t>
  </si>
  <si>
    <t xml:space="preserve"> Sunfire T5 MEV</t>
  </si>
  <si>
    <t>Circe T5</t>
  </si>
  <si>
    <t>Dr Strange T5</t>
  </si>
  <si>
    <t>Quicksilver T6</t>
  </si>
  <si>
    <t>Thunderbolt T5 DCR</t>
  </si>
  <si>
    <t>Martian Manhunter DCL T8</t>
  </si>
  <si>
    <t>Merlyn T4 DCL</t>
  </si>
  <si>
    <t>Mr Sinister T7 MEV</t>
  </si>
  <si>
    <t>Quicksilver T2 MUL</t>
  </si>
  <si>
    <t>Spiderman T5 MUN</t>
  </si>
  <si>
    <t>Vic Stone T3 DCL</t>
  </si>
  <si>
    <t>Hulk T5 MUN</t>
  </si>
  <si>
    <t>Sauron T4 MEV</t>
  </si>
  <si>
    <t>Jean Grey, White Hot Room</t>
  </si>
  <si>
    <t>Witchfire</t>
  </si>
  <si>
    <t>Thor 7</t>
  </si>
  <si>
    <t>Magneto T5 MOR</t>
  </si>
  <si>
    <t>Kanto</t>
  </si>
  <si>
    <t>Dr Doom T6 MOR</t>
  </si>
  <si>
    <t>Ant Man T2 MVL</t>
  </si>
  <si>
    <t>Batman T7</t>
  </si>
  <si>
    <t>Katma Tui</t>
  </si>
  <si>
    <t>Cyclops T6 MEV</t>
  </si>
  <si>
    <t>Scarecrow T5 DCL</t>
  </si>
  <si>
    <t>Dr Strange T6 MVL</t>
  </si>
  <si>
    <t>Barry Allen T6 DCL</t>
  </si>
  <si>
    <t>From the Darkness</t>
  </si>
  <si>
    <t>Ra's Al Ghul T5 DCL</t>
  </si>
  <si>
    <t>Apocalypse T8 MOR</t>
  </si>
  <si>
    <t>Jessica Drew T2 MUN</t>
  </si>
  <si>
    <t>Poison Ivy T3</t>
  </si>
  <si>
    <t>Morbius T5 MTU</t>
  </si>
  <si>
    <t>Superman T6 DSM</t>
  </si>
  <si>
    <t>Rose Wilson T3</t>
  </si>
  <si>
    <t>Hulk T6 MUN</t>
  </si>
  <si>
    <t>Chamber T4 MEV</t>
  </si>
  <si>
    <t>Assorted Aliases</t>
  </si>
  <si>
    <t>June Moon T6</t>
  </si>
  <si>
    <t>Scarecrow T5 DJL Arkham</t>
  </si>
  <si>
    <t>Spider Man T6 MMK</t>
  </si>
  <si>
    <t>Thor 8 MUN</t>
  </si>
  <si>
    <t>Juggernaut T5</t>
  </si>
  <si>
    <t>Dreadnough Tank</t>
  </si>
  <si>
    <t>Namorita</t>
  </si>
  <si>
    <t>Superman T8 DOR</t>
  </si>
  <si>
    <t>Kyle Rayner T5 DCL</t>
  </si>
  <si>
    <t>Terrax T6</t>
  </si>
  <si>
    <t>Apocalypse T7 MEV</t>
  </si>
  <si>
    <t>Florinic Man T5</t>
  </si>
  <si>
    <t>Dr Strange T7 MMK</t>
  </si>
  <si>
    <t>Jay Garrick DCR</t>
  </si>
  <si>
    <t>Indestructible</t>
  </si>
  <si>
    <t>Thanos T8 MHG</t>
  </si>
  <si>
    <t>Poison Ivy T4</t>
  </si>
  <si>
    <t>Spiderman T6 MMK</t>
  </si>
  <si>
    <t>Roy Harper T3 DOR</t>
  </si>
  <si>
    <t>Asmodeus T6</t>
  </si>
  <si>
    <t>Warbound to The End</t>
  </si>
  <si>
    <t>Deadpool T5 MTU</t>
  </si>
  <si>
    <t>Cable T6 MEV</t>
  </si>
  <si>
    <t>X-Men Assemble</t>
  </si>
  <si>
    <t>Dr FateT6</t>
  </si>
  <si>
    <t>Scarecrow T5 DWF</t>
  </si>
  <si>
    <t>Captain America T7</t>
  </si>
  <si>
    <t>The Sentry T8 MUN</t>
  </si>
  <si>
    <t>Magneto T6</t>
  </si>
  <si>
    <t>Dark Kryptonian</t>
  </si>
  <si>
    <t>Dr Doom T7 MVL</t>
  </si>
  <si>
    <t>Fizzle</t>
  </si>
  <si>
    <t>Sinestro T6</t>
  </si>
  <si>
    <t>Silver Surfer T7 MHG</t>
  </si>
  <si>
    <t>Apocalypse T8 MAA</t>
  </si>
  <si>
    <t>Scarecrow T5 DJL Injustice Gang</t>
  </si>
  <si>
    <t>Dr Strange T8</t>
  </si>
  <si>
    <t>The Phantom Stranger</t>
  </si>
  <si>
    <t>Mightiest Heroes</t>
  </si>
  <si>
    <t>Hank Pym T4 MEQ</t>
  </si>
  <si>
    <t>Black Mantha T5</t>
  </si>
  <si>
    <t>Spiderman T6 MVL</t>
  </si>
  <si>
    <t>Pyrogen T6</t>
  </si>
  <si>
    <t>Tim Drake T4 DCL</t>
  </si>
  <si>
    <t>Hulk Smash</t>
  </si>
  <si>
    <t>Deadpool T5 MEV</t>
  </si>
  <si>
    <t>Berserker s rage</t>
  </si>
  <si>
    <t>Shazam</t>
  </si>
  <si>
    <t>Captain america T8</t>
  </si>
  <si>
    <t xml:space="preserve">Magneto T7 </t>
  </si>
  <si>
    <t>Darkseid T7</t>
  </si>
  <si>
    <t>Dr Doom T8 MHG</t>
  </si>
  <si>
    <t>Ch'p T4</t>
  </si>
  <si>
    <t>Silver Surfer T7 MEX</t>
  </si>
  <si>
    <t>Cyclops T8 MEV</t>
  </si>
  <si>
    <t>Abra Kadabra T6</t>
  </si>
  <si>
    <t>Shape Change</t>
  </si>
  <si>
    <t>Team Tactics</t>
  </si>
  <si>
    <t>Ra's Al Ghul T8</t>
  </si>
  <si>
    <t>Acrobatic Dodge</t>
  </si>
  <si>
    <t>Security Clearance</t>
  </si>
  <si>
    <t>Spiderman T7 MSM</t>
  </si>
  <si>
    <t>Superman T7 DWF</t>
  </si>
  <si>
    <t>Time Drake T5 DLS</t>
  </si>
  <si>
    <t>Shuma Gorath</t>
  </si>
  <si>
    <t>Trouble With Dinosaurs</t>
  </si>
  <si>
    <t>Fantomex</t>
  </si>
  <si>
    <t>Cleasing Flame</t>
  </si>
  <si>
    <t>Adamantium Claw</t>
  </si>
  <si>
    <t>Dr Fate T8 DCR</t>
  </si>
  <si>
    <t>Charaxes T6</t>
  </si>
  <si>
    <t>Ghost Rider T8</t>
  </si>
  <si>
    <t>Avenger Reassembled</t>
  </si>
  <si>
    <t>NTH Metal</t>
  </si>
  <si>
    <t>Dr Doom T8 MOR</t>
  </si>
  <si>
    <t>Advanced Hardware</t>
  </si>
  <si>
    <t>Tech upgrade</t>
  </si>
  <si>
    <t>Ocean Master T6</t>
  </si>
  <si>
    <t>Lazarus Pit DCL</t>
  </si>
  <si>
    <t>Salvage</t>
  </si>
  <si>
    <t>Gorilla Grodd T6</t>
  </si>
  <si>
    <t>Spiderman T8</t>
  </si>
  <si>
    <t>Rose Wilson T5</t>
  </si>
  <si>
    <t>Dormamu</t>
  </si>
  <si>
    <t>The Strongest One There Is</t>
  </si>
  <si>
    <t>Deadpool T7 MEV</t>
  </si>
  <si>
    <t>James Proudstar T7 MEV</t>
  </si>
  <si>
    <t>No  More Mr Nice Guy</t>
  </si>
  <si>
    <t>Healing Factor</t>
  </si>
  <si>
    <t>Dr Fate T8 DJL</t>
  </si>
  <si>
    <t>The Joker T6 DCL</t>
  </si>
  <si>
    <t>Insignificant Threat</t>
  </si>
  <si>
    <t>Dark Matter Drain</t>
  </si>
  <si>
    <t>Flamethrower</t>
  </si>
  <si>
    <t>At Your service</t>
  </si>
  <si>
    <t>Guy Gardner T7</t>
  </si>
  <si>
    <t>Silver Surfer T8</t>
  </si>
  <si>
    <t>New Era</t>
  </si>
  <si>
    <t>Ego The Living Planet</t>
  </si>
  <si>
    <t>Deathstroke T6</t>
  </si>
  <si>
    <t>The Sentry T8 MTU</t>
  </si>
  <si>
    <t>Superman T8 DSM</t>
  </si>
  <si>
    <t>Garth</t>
  </si>
  <si>
    <t>Thanos T8</t>
  </si>
  <si>
    <t>Hulk Red</t>
  </si>
  <si>
    <t>Ultimaton T7 MEV</t>
  </si>
  <si>
    <t>Cable T8 MEV</t>
  </si>
  <si>
    <t>Telepathic Suppression</t>
  </si>
  <si>
    <t>Abjuration</t>
  </si>
  <si>
    <t xml:space="preserve">Two Face T7 </t>
  </si>
  <si>
    <t>Atlantis Attack</t>
  </si>
  <si>
    <t>Misappropriation</t>
  </si>
  <si>
    <t>Bat Got Your tongue</t>
  </si>
  <si>
    <t>Alan Scott T7</t>
  </si>
  <si>
    <t>Galatus T9</t>
  </si>
  <si>
    <t>Crowd Control</t>
  </si>
  <si>
    <t>Lex Luthor T7 DWF</t>
  </si>
  <si>
    <t>Terminal Velocity</t>
  </si>
  <si>
    <t>Flying Fortress DBM</t>
  </si>
  <si>
    <t>Resistance is Useless</t>
  </si>
  <si>
    <t>I am a Futurist</t>
  </si>
  <si>
    <t>Mr. Freeze T6 DCL</t>
  </si>
  <si>
    <t>Superman T9 DWF</t>
  </si>
  <si>
    <t>Beastboy T6 DCL</t>
  </si>
  <si>
    <t>Righteous Anger</t>
  </si>
  <si>
    <t>Collecting Souls</t>
  </si>
  <si>
    <t>The Joker T7 DOR</t>
  </si>
  <si>
    <t>The Reckoning</t>
  </si>
  <si>
    <t>Planet Weapon</t>
  </si>
  <si>
    <t>Kindred Spirit</t>
  </si>
  <si>
    <t>Heroes of Two Worlds</t>
  </si>
  <si>
    <t>Lex Luthor T7 DCL</t>
  </si>
  <si>
    <t>Cannibal Tech</t>
  </si>
  <si>
    <t>Full Throttle</t>
  </si>
  <si>
    <t>Malleable DNA</t>
  </si>
  <si>
    <t>Man and Machine</t>
  </si>
  <si>
    <t>Gorilla Grodd T7</t>
  </si>
  <si>
    <t>Cover fire</t>
  </si>
  <si>
    <t>Connor Kent T6 DOR</t>
  </si>
  <si>
    <t>Netherworld Gift</t>
  </si>
  <si>
    <t>Loosing the Arguments</t>
  </si>
  <si>
    <t>Splintering Consciousness</t>
  </si>
  <si>
    <t>Divination</t>
  </si>
  <si>
    <t>The Joker T8</t>
  </si>
  <si>
    <t>Mjolnir MAV</t>
  </si>
  <si>
    <t>Trapped in Science Cells</t>
  </si>
  <si>
    <t>Mind Gem</t>
  </si>
  <si>
    <t>Home Surgery</t>
  </si>
  <si>
    <t>Kyle Rayner Ion T6</t>
  </si>
  <si>
    <t xml:space="preserve">Optic Blast </t>
  </si>
  <si>
    <t>Lex Luthor T7 DCR</t>
  </si>
  <si>
    <t>Asgard</t>
  </si>
  <si>
    <t>Hall of Justice</t>
  </si>
  <si>
    <t>Psycho Pirate T8</t>
  </si>
  <si>
    <t>Koriand'r Starfire T7</t>
  </si>
  <si>
    <t>Dimmensional Rift</t>
  </si>
  <si>
    <t>Muramasa Blade</t>
  </si>
  <si>
    <t>The Conclave</t>
  </si>
  <si>
    <t>Wild Ride</t>
  </si>
  <si>
    <t>Losing the arguments</t>
  </si>
  <si>
    <t>Iron Extraction</t>
  </si>
  <si>
    <t>Helm of Nabu</t>
  </si>
  <si>
    <t>Mogo T8</t>
  </si>
  <si>
    <t xml:space="preserve">Messiah Complex </t>
  </si>
  <si>
    <t>The Joker T7 DCR</t>
  </si>
  <si>
    <t>The Essence of Zom</t>
  </si>
  <si>
    <t>Mountain Stronghold</t>
  </si>
  <si>
    <t>Neverland</t>
  </si>
  <si>
    <t>Ultra Humanite T8</t>
  </si>
  <si>
    <t>Spider Senses</t>
  </si>
  <si>
    <t>Soaring New High</t>
  </si>
  <si>
    <t>King Hyperion</t>
  </si>
  <si>
    <t>Magical Conduit</t>
  </si>
  <si>
    <t>Usual Suspects</t>
  </si>
  <si>
    <t>Stars and Stripes</t>
  </si>
  <si>
    <t>The Uni Power</t>
  </si>
  <si>
    <t>Kyle Rayner Ion T9</t>
  </si>
  <si>
    <t>Amulet of Nabu</t>
  </si>
  <si>
    <t>Watchtower</t>
  </si>
  <si>
    <t>Nice Try</t>
  </si>
  <si>
    <t>Finishing Move</t>
  </si>
  <si>
    <t>The Best At What They Do</t>
  </si>
  <si>
    <t>First Class</t>
  </si>
  <si>
    <t>Conjuration</t>
  </si>
  <si>
    <t>Charging Star</t>
  </si>
  <si>
    <t>Freedom Forces</t>
  </si>
  <si>
    <t>Ego Gem</t>
  </si>
  <si>
    <t xml:space="preserve">Concussive Force </t>
  </si>
  <si>
    <t>Unmasked</t>
  </si>
  <si>
    <t>Clandestine Operation</t>
  </si>
  <si>
    <t>Cloak of Nabu</t>
  </si>
  <si>
    <t>The Demon's Quarter</t>
  </si>
  <si>
    <t>Silver Centurion Armor</t>
  </si>
  <si>
    <t>Foiled</t>
  </si>
  <si>
    <t>Gift for Death</t>
  </si>
  <si>
    <t>Otherworldly Battle</t>
  </si>
  <si>
    <t>Dr Fate Tower</t>
  </si>
  <si>
    <t>Quentin Carnival</t>
  </si>
  <si>
    <t>Pogo Plane</t>
  </si>
  <si>
    <t>Med Kit</t>
  </si>
  <si>
    <t>Creation of a Herald</t>
  </si>
  <si>
    <t>The Infinity Gauntlet</t>
  </si>
  <si>
    <t>Poseidonis</t>
  </si>
  <si>
    <t>Press the attack</t>
  </si>
  <si>
    <t>The Dark Dimmension</t>
  </si>
  <si>
    <t>Troubles With Clones</t>
  </si>
  <si>
    <t>Spectral Slaughter</t>
  </si>
  <si>
    <t>Undergroud Resistance</t>
  </si>
  <si>
    <t>Iam Back Poozers</t>
  </si>
  <si>
    <t>All Too Easy</t>
  </si>
  <si>
    <t>Space Gem</t>
  </si>
  <si>
    <t>Agility</t>
  </si>
  <si>
    <t>Follow the Leader</t>
  </si>
  <si>
    <t>In Limbo</t>
  </si>
  <si>
    <t>Transmutation</t>
  </si>
  <si>
    <t>Fervent Research</t>
  </si>
  <si>
    <t>Batarang</t>
  </si>
  <si>
    <t>Lanterns in Love</t>
  </si>
  <si>
    <t>Elemental Converters</t>
  </si>
  <si>
    <t>Tower of Babel</t>
  </si>
  <si>
    <t>Power Gem</t>
  </si>
  <si>
    <t>For The Man Who Has Everything</t>
  </si>
  <si>
    <t>Cunning Strategy</t>
  </si>
  <si>
    <t>Extended Monologue</t>
  </si>
  <si>
    <t>Deathmatch</t>
  </si>
  <si>
    <t>Price of treason</t>
  </si>
  <si>
    <t>Worldeater Appareatus</t>
  </si>
  <si>
    <t>Secret Files</t>
  </si>
  <si>
    <t>Rock of the Eternity</t>
  </si>
  <si>
    <t>Shadows of the Past</t>
  </si>
  <si>
    <t>Soul Gem</t>
  </si>
  <si>
    <t>Undead Legions</t>
  </si>
  <si>
    <t>Weapon Plus Satellite</t>
  </si>
  <si>
    <t>Fate Has Spoken</t>
  </si>
  <si>
    <t>Captain America's Shield MUN</t>
  </si>
  <si>
    <t>Criminal Mastermind</t>
  </si>
  <si>
    <t>Ultimate Nullifier</t>
  </si>
  <si>
    <t>The Demon's Head</t>
  </si>
  <si>
    <t>Time Gem</t>
  </si>
  <si>
    <t>Teen Titans Go</t>
  </si>
  <si>
    <t>Chimp Agency</t>
  </si>
  <si>
    <t>Captain America's Shield MEQ</t>
  </si>
  <si>
    <t>Power Siphon</t>
  </si>
  <si>
    <t>Heroic Sacrifice</t>
  </si>
  <si>
    <t>Cosmic Radiation</t>
  </si>
  <si>
    <t>Ring Has Chosen</t>
  </si>
  <si>
    <t>Evil Genius</t>
  </si>
  <si>
    <t>Gorilla City</t>
  </si>
  <si>
    <t>Optitron</t>
  </si>
  <si>
    <t>Power Compressor</t>
  </si>
  <si>
    <t>Ultimate Nullifier MHG</t>
  </si>
  <si>
    <t>Infinity Gauntlet</t>
  </si>
  <si>
    <t>New Baxter Building</t>
  </si>
  <si>
    <t>Sector 2814</t>
  </si>
  <si>
    <t>Silver Surfer Board</t>
  </si>
  <si>
    <t>Pier 4</t>
  </si>
  <si>
    <t>Recharge!</t>
  </si>
  <si>
    <t>Hidden HQ</t>
  </si>
  <si>
    <t>Remote Facility</t>
  </si>
  <si>
    <t>Checkmate League</t>
  </si>
  <si>
    <t>Spider Galactus</t>
  </si>
  <si>
    <t>JLA - Brotherhood</t>
  </si>
  <si>
    <t>Master of Exiles</t>
  </si>
  <si>
    <t>Gotham Injustice Gang</t>
  </si>
  <si>
    <t>Brotherhood Avengers</t>
  </si>
  <si>
    <t>SHIELD Sentinel</t>
  </si>
  <si>
    <t>Marvel Knights Fantastic Four</t>
  </si>
  <si>
    <t>KANG BANG</t>
  </si>
  <si>
    <t>Villains Kree</t>
  </si>
  <si>
    <t>Hulk Statik</t>
  </si>
  <si>
    <t>WildTitans</t>
  </si>
  <si>
    <t>Mystique</t>
  </si>
  <si>
    <t>Blink</t>
  </si>
  <si>
    <t>Rem-Ram, Acolyte</t>
  </si>
  <si>
    <t>Mystique, Raven</t>
  </si>
  <si>
    <t>Jessica Drew, Agent of SHIELD * HYDRA</t>
  </si>
  <si>
    <t>White Tiger, Angela Del Toro</t>
  </si>
  <si>
    <t>Gertrude Yorkes, Arsenic</t>
  </si>
  <si>
    <t>Kang, Rama Tut</t>
  </si>
  <si>
    <t>Ishmael Gregor DCR</t>
  </si>
  <si>
    <t>Mary Jane Watson</t>
  </si>
  <si>
    <t>Sarge Steel</t>
  </si>
  <si>
    <t>Spider-Man &lt;&gt; The Spider T1</t>
  </si>
  <si>
    <t>Avalanche MOR</t>
  </si>
  <si>
    <t>Yellowjacket</t>
  </si>
  <si>
    <t>Tempo, Heather Tucker</t>
  </si>
  <si>
    <t>Nick Fury, Director of SHIELD</t>
  </si>
  <si>
    <t>Luke Cage, Steel-Hard Skin</t>
  </si>
  <si>
    <t>Kang, Kang Kong</t>
  </si>
  <si>
    <t>Dr Psycho T2</t>
  </si>
  <si>
    <t>Black Thorn</t>
  </si>
  <si>
    <t>Spider-Man, Ultimates T3</t>
  </si>
  <si>
    <t>Quicksilver MVL</t>
  </si>
  <si>
    <t>Longshot</t>
  </si>
  <si>
    <t>Iron Fist</t>
  </si>
  <si>
    <t>Senator Kelly, Anti-Mutant Advocate</t>
  </si>
  <si>
    <t>Ghost Rider, The Devil's Rider</t>
  </si>
  <si>
    <t>Alex Wilder, Child Prodigy</t>
  </si>
  <si>
    <t>Kang, One of Many</t>
  </si>
  <si>
    <t>Weather Wizard</t>
  </si>
  <si>
    <t>Aunt May T1 MTU</t>
  </si>
  <si>
    <t>Hassim</t>
  </si>
  <si>
    <t>Katar Hol DCL</t>
  </si>
  <si>
    <t>Beetle</t>
  </si>
  <si>
    <t>Captain America</t>
  </si>
  <si>
    <t>SHIELD Agents, Army</t>
  </si>
  <si>
    <t>Black Panther, King of Wakanda</t>
  </si>
  <si>
    <t>Mr. Myxzptlk, Troublesome Trickster</t>
  </si>
  <si>
    <t>Kang, Kang Ransom</t>
  </si>
  <si>
    <t>Dr Minerva</t>
  </si>
  <si>
    <t>Aunt May T1 MSM</t>
  </si>
  <si>
    <t>Silver surfer T3 MUN</t>
  </si>
  <si>
    <t>Aquaman T4 DCL</t>
  </si>
  <si>
    <t>Sage</t>
  </si>
  <si>
    <t>Zazzala T2 DJL</t>
  </si>
  <si>
    <t>Amelia Voght, Acolyte</t>
  </si>
  <si>
    <t>Squirrel Girl, Doreen Green</t>
  </si>
  <si>
    <t>Punisher, Guns Blazing</t>
  </si>
  <si>
    <t>Victor Mancha, Son of Ultron</t>
  </si>
  <si>
    <t>Kang, Kang Cobra</t>
  </si>
  <si>
    <t>Captain Att Lass</t>
  </si>
  <si>
    <t>Wild Pack</t>
  </si>
  <si>
    <t>The Mad Dog</t>
  </si>
  <si>
    <t>Cardiac</t>
  </si>
  <si>
    <t>Wonder Woman DCL</t>
  </si>
  <si>
    <t>Barbara T3 DWF</t>
  </si>
  <si>
    <t>Unuscione, Carmella Unuscione</t>
  </si>
  <si>
    <t>Speedball &lt;&gt; Penance, Painmonger</t>
  </si>
  <si>
    <t>Franklin Richards, Trapped in Time</t>
  </si>
  <si>
    <t>Kang, Master of Time</t>
  </si>
  <si>
    <t>Clumpsy Foulup</t>
  </si>
  <si>
    <t>Tim Drake T2 Titans</t>
  </si>
  <si>
    <t>Ra's al Ghul 4DBM</t>
  </si>
  <si>
    <t>Spider-Man, Sensational T4</t>
  </si>
  <si>
    <t>Rogue T4 MVL</t>
  </si>
  <si>
    <t>Nocturne</t>
  </si>
  <si>
    <t>Batman FM</t>
  </si>
  <si>
    <t>Hawkeye</t>
  </si>
  <si>
    <t>Boliver Trask, Creator of the Sentinel Program</t>
  </si>
  <si>
    <t>Thing, Heavy Hitter</t>
  </si>
  <si>
    <t>Nico Minoru, Sister Grimm</t>
  </si>
  <si>
    <t>Kang, Earth Mesozoic 24</t>
  </si>
  <si>
    <t>Lieutenant Kona Lor</t>
  </si>
  <si>
    <t>Silver Sable T2</t>
  </si>
  <si>
    <t>Ra's al Ghul T4 DOR</t>
  </si>
  <si>
    <t>Spider-Man, Zombie T4</t>
  </si>
  <si>
    <t>Batman T5 DCL</t>
  </si>
  <si>
    <t>Mimic</t>
  </si>
  <si>
    <t>Spoiler</t>
  </si>
  <si>
    <t>Echo</t>
  </si>
  <si>
    <t>Woverine, Agent of SHIELD * HYDRA</t>
  </si>
  <si>
    <t>Mr. Fantastic, Dimensional Explorer</t>
  </si>
  <si>
    <t>Xavin, Super Skrull</t>
  </si>
  <si>
    <t>Kang, Ultimate Kang</t>
  </si>
  <si>
    <t>Zazzala T3 DCR</t>
  </si>
  <si>
    <t>Hulk T7 MUN</t>
  </si>
  <si>
    <t>Roy Harper T3</t>
  </si>
  <si>
    <t>Merlyn 4DSM</t>
  </si>
  <si>
    <t>Spider-Man, Secret Avenger T5</t>
  </si>
  <si>
    <t>Scarlet Witch MOR</t>
  </si>
  <si>
    <t>Shadowcat</t>
  </si>
  <si>
    <t>Senyaka, Acolyte</t>
  </si>
  <si>
    <t>Bullseye, Lester</t>
  </si>
  <si>
    <t>Ghost Rider, Spirit of Vengeance</t>
  </si>
  <si>
    <t>Molly Hayes, Bruiser</t>
  </si>
  <si>
    <t>Kang, The Conqueror</t>
  </si>
  <si>
    <t>Dr Light T3 DCR</t>
  </si>
  <si>
    <t>Hulk T8</t>
  </si>
  <si>
    <t>Spiderman T3 MSM</t>
  </si>
  <si>
    <t>Merlyn 4DCL</t>
  </si>
  <si>
    <t>Aquaman DCL</t>
  </si>
  <si>
    <t>Lex Luthor</t>
  </si>
  <si>
    <t>Black Panther</t>
  </si>
  <si>
    <t>Life Model Decoy, More Human than Human</t>
  </si>
  <si>
    <t>Hulk, The Fantastic Hulk</t>
  </si>
  <si>
    <t>Old Lace, Genetically Engineered Deinonychus</t>
  </si>
  <si>
    <t>Kang, Lord Kang</t>
  </si>
  <si>
    <t>The Calculator T3</t>
  </si>
  <si>
    <t>Spin Doctoring</t>
  </si>
  <si>
    <t>Maxwell Lord</t>
  </si>
  <si>
    <t>Mimic T6 MSM</t>
  </si>
  <si>
    <t>Batman 6</t>
  </si>
  <si>
    <t>Spoor</t>
  </si>
  <si>
    <t>The Sentry, Forgotten Hero</t>
  </si>
  <si>
    <t>Kang, Lord of Limbo</t>
  </si>
  <si>
    <t>Colonel Yon Rogg</t>
  </si>
  <si>
    <t>Imperial dreadnough</t>
  </si>
  <si>
    <t>Annihilation Protocol</t>
  </si>
  <si>
    <t>Galactus 7</t>
  </si>
  <si>
    <t>Wonder Woman DJL</t>
  </si>
  <si>
    <t>Batman T7 DOR</t>
  </si>
  <si>
    <t>Anne-Marie Cortez</t>
  </si>
  <si>
    <t>South American Sentinel Base</t>
  </si>
  <si>
    <t>Silver Surfer, Norrin Radd</t>
  </si>
  <si>
    <t>The Leapfrog</t>
  </si>
  <si>
    <t>Kang, Immortus</t>
  </si>
  <si>
    <t>Ronan T3</t>
  </si>
  <si>
    <t>Star of the show</t>
  </si>
  <si>
    <t>Teen Titans Go!</t>
  </si>
  <si>
    <t>Talia T5</t>
  </si>
  <si>
    <t>Spider Man, Amazing T7</t>
  </si>
  <si>
    <t>Magneto MOR</t>
  </si>
  <si>
    <t>Wolverine</t>
  </si>
  <si>
    <t>Ghost Rider, Danny Ketch</t>
  </si>
  <si>
    <t>Runaways Run Away</t>
  </si>
  <si>
    <t>Commander Dylon Cir</t>
  </si>
  <si>
    <t>Mutant of the year</t>
  </si>
  <si>
    <t>Teen Supremes</t>
  </si>
  <si>
    <t>Nyssa Raatko</t>
  </si>
  <si>
    <t>Spider-Man, Cosmic T8</t>
  </si>
  <si>
    <t>Martian Manhunter T8</t>
  </si>
  <si>
    <t>Hard Sound Construct</t>
  </si>
  <si>
    <t>Scanner, Acolyte</t>
  </si>
  <si>
    <t>Star Squad</t>
  </si>
  <si>
    <t>Desert Eagle</t>
  </si>
  <si>
    <t>Admiral Galen Kor</t>
  </si>
  <si>
    <t>X Statik Caffe</t>
  </si>
  <si>
    <t>Fun and Games</t>
  </si>
  <si>
    <t>Lady Shiva</t>
  </si>
  <si>
    <t>Galactus 9</t>
  </si>
  <si>
    <t>Evil Reborn</t>
  </si>
  <si>
    <t>Avengers Reassembled</t>
  </si>
  <si>
    <t>Combat Protocols</t>
  </si>
  <si>
    <t>Brass Grill</t>
  </si>
  <si>
    <t>Maleficient Meeting</t>
  </si>
  <si>
    <t>Knockout</t>
  </si>
  <si>
    <t>X Statik HQ</t>
  </si>
  <si>
    <t>ESU Science Lab</t>
  </si>
  <si>
    <t>Sasha Bordeaux</t>
  </si>
  <si>
    <t>The Wrecking Crew</t>
  </si>
  <si>
    <t>Bat Got Your Tongue?</t>
  </si>
  <si>
    <t>Plague Zone</t>
  </si>
  <si>
    <t>Search and Destroy</t>
  </si>
  <si>
    <t>Unstable Molecule Suit</t>
  </si>
  <si>
    <t>Avalanched!</t>
  </si>
  <si>
    <t>Deathstroke T4 DCR</t>
  </si>
  <si>
    <t>Ra's al Ghul 8</t>
  </si>
  <si>
    <t>The Big Three</t>
  </si>
  <si>
    <t>Flying Fortress</t>
  </si>
  <si>
    <t>Prime Sentinels</t>
  </si>
  <si>
    <t>Fantasticar 2.0</t>
  </si>
  <si>
    <t>Unnatural Selection</t>
  </si>
  <si>
    <t>Alexander luthor T4</t>
  </si>
  <si>
    <t>Fight or Die</t>
  </si>
  <si>
    <t>Daily Buggle</t>
  </si>
  <si>
    <t>Creation Of A Herald</t>
  </si>
  <si>
    <t>Mystique Summons</t>
  </si>
  <si>
    <t>World War III</t>
  </si>
  <si>
    <t>Psyche-Globe</t>
  </si>
  <si>
    <t>Bron Char</t>
  </si>
  <si>
    <t>Brother 1 Satellite</t>
  </si>
  <si>
    <t>Royal Egg Matrix</t>
  </si>
  <si>
    <t>Torch and Thing</t>
  </si>
  <si>
    <t>Shake, Rattle, and Roll</t>
  </si>
  <si>
    <t>Shatterax</t>
  </si>
  <si>
    <t>Satellite HQ</t>
  </si>
  <si>
    <t>Wayne Manor</t>
  </si>
  <si>
    <t>Call Down The Lightning</t>
  </si>
  <si>
    <t>Quick Kill</t>
  </si>
  <si>
    <t>Spheres of Solitude</t>
  </si>
  <si>
    <t>Cheshire T5</t>
  </si>
  <si>
    <t>Brother Eye</t>
  </si>
  <si>
    <t>Mighest Heroes</t>
  </si>
  <si>
    <t>GCPD Headquarters</t>
  </si>
  <si>
    <t>Signal Flare</t>
  </si>
  <si>
    <t>Talia T5 DCR</t>
  </si>
  <si>
    <t>Utility Belt</t>
  </si>
  <si>
    <t>It's Clobberin' Time</t>
  </si>
  <si>
    <t>High Society</t>
  </si>
  <si>
    <t>Elemental Converter</t>
  </si>
  <si>
    <t>Magnificent Seven</t>
  </si>
  <si>
    <t>Hard light tank storage</t>
  </si>
  <si>
    <t>Universal Weapon</t>
  </si>
  <si>
    <t>Freedom Force</t>
  </si>
  <si>
    <t>Baddest of the Bad</t>
  </si>
  <si>
    <t>Threat Neutralised</t>
  </si>
  <si>
    <t>Grand Gesture</t>
  </si>
  <si>
    <t>knightmare Scenario</t>
  </si>
  <si>
    <t>The Lunatic Legion</t>
  </si>
  <si>
    <t>Live Kree or Die</t>
  </si>
  <si>
    <t>Shadows Of The Past</t>
  </si>
  <si>
    <t>Stargate</t>
  </si>
  <si>
    <t>Check and Mate</t>
  </si>
  <si>
    <t>Hala</t>
  </si>
  <si>
    <t>Laser Watch</t>
  </si>
  <si>
    <t>The Science Spire</t>
  </si>
  <si>
    <t>Knight Armor</t>
  </si>
  <si>
    <t>Jason Hager Shadow Kiman GLEE</t>
  </si>
  <si>
    <t>GLEE</t>
  </si>
  <si>
    <t>Shadow Kiman</t>
  </si>
  <si>
    <t>GLEE PRISON</t>
  </si>
  <si>
    <t>Robots of New Genesis</t>
  </si>
  <si>
    <t>GLOCK</t>
  </si>
  <si>
    <t>Anti Monitor</t>
  </si>
  <si>
    <t>Lois Lane T1 DSM</t>
  </si>
  <si>
    <t>G'Nort</t>
  </si>
  <si>
    <t xml:space="preserve"> Dr Light T3</t>
  </si>
  <si>
    <t>4 Dr Light T3</t>
  </si>
  <si>
    <t>Krona</t>
  </si>
  <si>
    <t>Dr Light T3</t>
  </si>
  <si>
    <t>Soldiers of New Genesis</t>
  </si>
  <si>
    <t>Sonar</t>
  </si>
  <si>
    <t>Element Man</t>
  </si>
  <si>
    <t>Malvolio</t>
  </si>
  <si>
    <t>Fastbak</t>
  </si>
  <si>
    <t>Superman Robots</t>
  </si>
  <si>
    <t>Salakk</t>
  </si>
  <si>
    <t>Guy Gardner T5</t>
  </si>
  <si>
    <t>Qwardian Watchdog</t>
  </si>
  <si>
    <t>Gangbuster</t>
  </si>
  <si>
    <t>Black Hand</t>
  </si>
  <si>
    <t>Hector Hammond DGL</t>
  </si>
  <si>
    <t>Shadow Creatures</t>
  </si>
  <si>
    <t>Millennium</t>
  </si>
  <si>
    <t>Kyle Raynet T2</t>
  </si>
  <si>
    <t>Kiman</t>
  </si>
  <si>
    <t>No Man Escapes the Manhunters</t>
  </si>
  <si>
    <t>Major Disaster</t>
  </si>
  <si>
    <t>Two-Face T7</t>
  </si>
  <si>
    <t>Royal Decree</t>
  </si>
  <si>
    <t>Evil Star</t>
  </si>
  <si>
    <t>Henry King Jr DGL</t>
  </si>
  <si>
    <t>Shock Troops</t>
  </si>
  <si>
    <t>Remoni-Notra</t>
  </si>
  <si>
    <t>Kreon</t>
  </si>
  <si>
    <t>Johnny Quick DGL</t>
  </si>
  <si>
    <t>Rot Lop Fan</t>
  </si>
  <si>
    <t>Kye Rayner T2</t>
  </si>
  <si>
    <t>Phantom Zone</t>
  </si>
  <si>
    <t>The Kent Farm</t>
  </si>
  <si>
    <t>Ch'p</t>
  </si>
  <si>
    <t>Fiero</t>
  </si>
  <si>
    <t>Myrwhydden</t>
  </si>
  <si>
    <t>Ganthet</t>
  </si>
  <si>
    <t>The Shark</t>
  </si>
  <si>
    <t>Emerald Dawn</t>
  </si>
  <si>
    <t>Tomar Tu</t>
  </si>
  <si>
    <t>Helping Hand</t>
  </si>
  <si>
    <t>Men of Steel</t>
  </si>
  <si>
    <t>Hard Traveling Heroes</t>
  </si>
  <si>
    <t>The Ring Has Chosen</t>
  </si>
  <si>
    <t>Qward</t>
  </si>
  <si>
    <t>Millenium</t>
  </si>
  <si>
    <t>Ole</t>
  </si>
  <si>
    <t>No Evil Shall Escape Our Sight</t>
  </si>
  <si>
    <t>Trial by Sword</t>
  </si>
  <si>
    <t>Birthing chaler</t>
  </si>
  <si>
    <t>4 Femme Fatality</t>
  </si>
  <si>
    <t>Sweeping Up</t>
  </si>
  <si>
    <t>Anti Matter Cannon</t>
  </si>
  <si>
    <t>Rain of Acorns</t>
  </si>
  <si>
    <t>Willworld</t>
  </si>
  <si>
    <t>Uppercut</t>
  </si>
  <si>
    <t>Chopping Block</t>
  </si>
  <si>
    <t>Light Armor</t>
  </si>
  <si>
    <t>Prison Planet</t>
  </si>
  <si>
    <t>MMK Underworld</t>
  </si>
  <si>
    <t>Crime Lords Underworld</t>
  </si>
  <si>
    <t>MMK Synister Syndicate</t>
  </si>
  <si>
    <t>Spider Friends Wild Pack</t>
  </si>
  <si>
    <t>MMK X Statik</t>
  </si>
  <si>
    <t>MMKKO</t>
  </si>
  <si>
    <t>Roscoe Sweeney, Fixer</t>
  </si>
  <si>
    <t>Carnage, Cletus Kasady</t>
  </si>
  <si>
    <t>Mary Jane Watson, MJ</t>
  </si>
  <si>
    <t>Dagger T1 MMK</t>
  </si>
  <si>
    <t>Blade, The Daywalker</t>
  </si>
  <si>
    <t>Werewolf by Night, Jack Russel</t>
  </si>
  <si>
    <t>Micro Chip</t>
  </si>
  <si>
    <t>1 Micro Chip</t>
  </si>
  <si>
    <t>Brother Voodoo, Jericho Drumm</t>
  </si>
  <si>
    <t>Lacuna</t>
  </si>
  <si>
    <t>Daredevil, Matt Murdock</t>
  </si>
  <si>
    <t>Orphan, Guy Smith</t>
  </si>
  <si>
    <t>Iron Fist, Danny Rand</t>
  </si>
  <si>
    <t>Centurious, The Soulless Man</t>
  </si>
  <si>
    <t>Sniper, Rich Van Burian</t>
  </si>
  <si>
    <t>Daredevil, Protector of Hell's Kitchen</t>
  </si>
  <si>
    <t>Silver Sable, Silver Sablinovia</t>
  </si>
  <si>
    <t>Stick, Leader of the Chaste</t>
  </si>
  <si>
    <t>Hounds of Ahab</t>
  </si>
  <si>
    <t>Morbius, The Living Vampire</t>
  </si>
  <si>
    <t>Dr Octopus, Otto Octavius</t>
  </si>
  <si>
    <t>Spider Man T5 MSM</t>
  </si>
  <si>
    <t>Moon Knight T4 MMK</t>
  </si>
  <si>
    <t>Marcus Daniels</t>
  </si>
  <si>
    <t>Kingpin, Wilson Fisk</t>
  </si>
  <si>
    <t>Elektra, Elektra Natchios</t>
  </si>
  <si>
    <t>Spider Man T8</t>
  </si>
  <si>
    <t>U Go Girl, Tragic Teleporter</t>
  </si>
  <si>
    <t>Death Stalker</t>
  </si>
  <si>
    <t xml:space="preserve">Dr Strange T7 </t>
  </si>
  <si>
    <t>Skinner, Psychotic Shredder</t>
  </si>
  <si>
    <t>Hammerhead, Gangster</t>
  </si>
  <si>
    <t>Spider Man, Friendly Neighborhood Spider Man</t>
  </si>
  <si>
    <t>Battering Ram, Short-Lived Strongman</t>
  </si>
  <si>
    <t>Saracen, Muzzafar Lambert</t>
  </si>
  <si>
    <t>Spider Man T7 MSM</t>
  </si>
  <si>
    <t>Iron Fist, Living Weapon</t>
  </si>
  <si>
    <t>Luke Cage T4 MMK</t>
  </si>
  <si>
    <t>Bullseye, Deadly Marksmen</t>
  </si>
  <si>
    <t>Zeitgeist, Axel Cluney</t>
  </si>
  <si>
    <t>Yelena Belova T4</t>
  </si>
  <si>
    <t>Luke Cage T6 MMK</t>
  </si>
  <si>
    <t>Deathwatch, Unrepentant Killer</t>
  </si>
  <si>
    <t>Mendel Stromm, Robot Master</t>
  </si>
  <si>
    <t>Costume Change</t>
  </si>
  <si>
    <t>Anarchist, Man of the People</t>
  </si>
  <si>
    <t>Natasha Romanoff T6</t>
  </si>
  <si>
    <t>Blackheart T6</t>
  </si>
  <si>
    <t>Rhino, Alex O'Hirn</t>
  </si>
  <si>
    <t>Twist of Fate</t>
  </si>
  <si>
    <t>Professor X T8</t>
  </si>
  <si>
    <t>Head Shot</t>
  </si>
  <si>
    <t>Shang Chi, Master of Kung Fu</t>
  </si>
  <si>
    <t>Bullseye T7</t>
  </si>
  <si>
    <t>Silvermane, Silvio Manfredi</t>
  </si>
  <si>
    <t>Midnight Sons</t>
  </si>
  <si>
    <t>Bring the pain</t>
  </si>
  <si>
    <t>Werewolf by Night, Jack Russell</t>
  </si>
  <si>
    <t>Geraci Family Estate</t>
  </si>
  <si>
    <t>Vulture, Adrian Toomes</t>
  </si>
  <si>
    <t>Swan Dive</t>
  </si>
  <si>
    <t>Black Magic</t>
  </si>
  <si>
    <t>Face the Master</t>
  </si>
  <si>
    <t>Crime and Punishment</t>
  </si>
  <si>
    <t>Crushing Blow</t>
  </si>
  <si>
    <t>Blown to Pieces</t>
  </si>
  <si>
    <t>Evil Awakens</t>
  </si>
  <si>
    <t>Strength of the Grave</t>
  </si>
  <si>
    <t>No Fear</t>
  </si>
  <si>
    <t>Dead Weight</t>
  </si>
  <si>
    <t>Wake the Dead</t>
  </si>
  <si>
    <t>Spider Slayers</t>
  </si>
  <si>
    <t>Star of the Show</t>
  </si>
  <si>
    <t>Marvel Team-Up</t>
  </si>
  <si>
    <t>X Statix Cafe</t>
  </si>
  <si>
    <t>Punisher's Armory</t>
  </si>
  <si>
    <t>Doc Ock's Lab</t>
  </si>
  <si>
    <t>X Statix HQ</t>
  </si>
  <si>
    <t>Mist Form</t>
  </si>
  <si>
    <t>Gravesite</t>
  </si>
  <si>
    <t>Sentinel</t>
  </si>
  <si>
    <t>Titans</t>
  </si>
  <si>
    <t>New School</t>
  </si>
  <si>
    <t>Rigged Election</t>
  </si>
  <si>
    <t>Fantastic Fun</t>
  </si>
  <si>
    <t>Common Enemy</t>
  </si>
  <si>
    <t>Xavier Dream</t>
  </si>
  <si>
    <t>Boliver Trask</t>
  </si>
  <si>
    <t xml:space="preserve">Alfred </t>
  </si>
  <si>
    <t>Frankie Raye T1 MOR</t>
  </si>
  <si>
    <t>Pantha</t>
  </si>
  <si>
    <t>Barbara Gordon T2 DOR</t>
  </si>
  <si>
    <t>Wyatt Wingfoot</t>
  </si>
  <si>
    <t>She Thing</t>
  </si>
  <si>
    <t>Sentinel Mark II</t>
  </si>
  <si>
    <t>Dawn Granger DOR</t>
  </si>
  <si>
    <t>Ant Man T1 MOR</t>
  </si>
  <si>
    <t>Human Torch T2 MOR</t>
  </si>
  <si>
    <t>Dazzler T1 MOR</t>
  </si>
  <si>
    <t>Sentinel Mark V</t>
  </si>
  <si>
    <t>Hank Hall DOR</t>
  </si>
  <si>
    <t>El Guapo</t>
  </si>
  <si>
    <t>She Hulk T3 MOR</t>
  </si>
  <si>
    <t>Nimrod</t>
  </si>
  <si>
    <t>Tim Drake T2 DOR</t>
  </si>
  <si>
    <t>Robot Sentry</t>
  </si>
  <si>
    <t>GCPD Officer</t>
  </si>
  <si>
    <t>Bastion</t>
  </si>
  <si>
    <t>Beast Boy T3 DOR</t>
  </si>
  <si>
    <t>Mr Fantastic T2 MOR</t>
  </si>
  <si>
    <t>Thing T5 MOR</t>
  </si>
  <si>
    <t>4 Longshot T1 MOR</t>
  </si>
  <si>
    <t>Magneto T7</t>
  </si>
  <si>
    <t>Invisible Woman</t>
  </si>
  <si>
    <t>A Death in the Family</t>
  </si>
  <si>
    <t>Terra</t>
  </si>
  <si>
    <t>Comissionner Gordon</t>
  </si>
  <si>
    <t>Thing  T3 MOR</t>
  </si>
  <si>
    <t>Hulk T6 MOR</t>
  </si>
  <si>
    <t>Red Star</t>
  </si>
  <si>
    <t>Human Torch T4 MOR</t>
  </si>
  <si>
    <t>Doom T6 MOR</t>
  </si>
  <si>
    <t>Invisible Woman T4 MOR</t>
  </si>
  <si>
    <t>Thing T7 MOR</t>
  </si>
  <si>
    <t>Micro Sentinels</t>
  </si>
  <si>
    <t>Cassie Sandsmark T5 DOR</t>
  </si>
  <si>
    <t>Dr Light T6</t>
  </si>
  <si>
    <t>Sub Mariner T7</t>
  </si>
  <si>
    <t>Marvel Team Up</t>
  </si>
  <si>
    <t>Koriand'r T6</t>
  </si>
  <si>
    <t>Overload</t>
  </si>
  <si>
    <t>Tamaran</t>
  </si>
  <si>
    <t>Psimon</t>
  </si>
  <si>
    <t>Thinking Outside the Box</t>
  </si>
  <si>
    <t>Total Anarchy</t>
  </si>
  <si>
    <t>Genosha</t>
  </si>
  <si>
    <t>Titans Tower</t>
  </si>
  <si>
    <t>Xavier's Dream</t>
  </si>
  <si>
    <t>Mojoverse</t>
  </si>
  <si>
    <t>USS Argus</t>
  </si>
  <si>
    <t>Finshing Move</t>
  </si>
  <si>
    <t>Antarctic Research Base</t>
  </si>
  <si>
    <t>Faces of Doom</t>
  </si>
  <si>
    <t xml:space="preserve"> Teen Titans Go</t>
  </si>
  <si>
    <t>Baxter Building</t>
  </si>
  <si>
    <t>Press the Attack</t>
  </si>
  <si>
    <t>Unstable Molecules</t>
  </si>
  <si>
    <t>Betrayal</t>
  </si>
  <si>
    <t>Political Pressure</t>
  </si>
  <si>
    <t xml:space="preserve">Have a Blast </t>
  </si>
  <si>
    <t>Personal Force Field</t>
  </si>
  <si>
    <t>Ulitity Belt</t>
  </si>
  <si>
    <t>The Pogo Plane</t>
  </si>
  <si>
    <t>Fantasticar</t>
  </si>
  <si>
    <t>MOR Common Enemy</t>
  </si>
  <si>
    <t>MOR GammaBomb</t>
  </si>
  <si>
    <t>MOR TNB</t>
  </si>
  <si>
    <t>MOR Wild Sentinel</t>
  </si>
  <si>
    <t>DOR BraveAndBold</t>
  </si>
  <si>
    <t>MMK MKKO</t>
  </si>
  <si>
    <t>DGL GLEEQ</t>
  </si>
  <si>
    <t>DGL GLOCK</t>
  </si>
  <si>
    <t>MAV Avengers Reservist</t>
  </si>
  <si>
    <t>MAV Faces of Evil</t>
  </si>
  <si>
    <t>DJL Minions</t>
  </si>
  <si>
    <t>DJL Good Guys</t>
  </si>
  <si>
    <t>MXM Hellfire</t>
  </si>
  <si>
    <t>MXM Morlocks</t>
  </si>
  <si>
    <t>DCR Checkmate Villains</t>
  </si>
  <si>
    <t>DCR Check JSA</t>
  </si>
  <si>
    <t>DCR Shadowpact</t>
  </si>
  <si>
    <t>MHG Kree</t>
  </si>
  <si>
    <t>MHG Inhumans</t>
  </si>
  <si>
    <t>MHG Galactus</t>
  </si>
  <si>
    <t>DSL Legionnaires</t>
  </si>
  <si>
    <t>DLS FuturFoes</t>
  </si>
  <si>
    <t>MTU Spider Uunderworld</t>
  </si>
  <si>
    <t>MTU Spider Defenders</t>
  </si>
  <si>
    <t xml:space="preserve">DWF Outsiders </t>
  </si>
  <si>
    <t>DWF Insanity</t>
  </si>
  <si>
    <t>MVL X Babys</t>
  </si>
  <si>
    <t>MVL Familiy of Four</t>
  </si>
  <si>
    <t>MVL Guns</t>
  </si>
  <si>
    <t>DCL Hidden</t>
  </si>
  <si>
    <t>MUN Hulk</t>
  </si>
  <si>
    <t>MUN Agents of Shield</t>
  </si>
  <si>
    <t>MUN Avengers Reservist</t>
  </si>
  <si>
    <t>MUN Captain Currs</t>
  </si>
  <si>
    <t>MEV Exiles</t>
  </si>
  <si>
    <t>MEV Bosom Buddies</t>
  </si>
  <si>
    <t xml:space="preserve">Mastermind T1 </t>
  </si>
  <si>
    <t>Beast T1</t>
  </si>
  <si>
    <t>Beetle T1</t>
  </si>
  <si>
    <t>Infernal Minions</t>
  </si>
  <si>
    <t>Sue Dibny</t>
  </si>
  <si>
    <t>Amelia Voght</t>
  </si>
  <si>
    <t>Courtney Ross</t>
  </si>
  <si>
    <t>Tommy</t>
  </si>
  <si>
    <t>Galan</t>
  </si>
  <si>
    <t>Jazmin Cullen</t>
  </si>
  <si>
    <t>Emerald Eye</t>
  </si>
  <si>
    <t xml:space="preserve"> Owen Mercer T1</t>
  </si>
  <si>
    <t>Harley Quinn T1 DWF</t>
  </si>
  <si>
    <t>Multiple Man T1 MVL</t>
  </si>
  <si>
    <t>Human Torch T2 MVL</t>
  </si>
  <si>
    <t>Black Widow T1 MVL</t>
  </si>
  <si>
    <t>Catwoman T1</t>
  </si>
  <si>
    <t>Currs</t>
  </si>
  <si>
    <t>Destiny T1 MOR</t>
  </si>
  <si>
    <t>Senator Kelly</t>
  </si>
  <si>
    <t>Mirage</t>
  </si>
  <si>
    <t>Black Panther T3 MAV</t>
  </si>
  <si>
    <t>Beetle T2</t>
  </si>
  <si>
    <t>Ted Kord</t>
  </si>
  <si>
    <t>Sage T2 MXM</t>
  </si>
  <si>
    <t>Electric Eve</t>
  </si>
  <si>
    <t>Terry Sloane</t>
  </si>
  <si>
    <t>Franklin Richards T2</t>
  </si>
  <si>
    <t>Silver Surfer T2</t>
  </si>
  <si>
    <t>Apparition</t>
  </si>
  <si>
    <t>Ra's Al Ghul</t>
  </si>
  <si>
    <t>The Dwarf</t>
  </si>
  <si>
    <t>Faust</t>
  </si>
  <si>
    <t>Lady Blackhawk</t>
  </si>
  <si>
    <t>Domino T1 MVL</t>
  </si>
  <si>
    <t>Luke Cage T2 MVL</t>
  </si>
  <si>
    <t>Punisher T2 MVL</t>
  </si>
  <si>
    <t>The Penguin T1</t>
  </si>
  <si>
    <t>Wolverine T3 MUN</t>
  </si>
  <si>
    <t>Phantazia T1 MOR</t>
  </si>
  <si>
    <t>Wild Sentinel</t>
  </si>
  <si>
    <t>Comissioner Gordon</t>
  </si>
  <si>
    <t>Carol Danvers T4</t>
  </si>
  <si>
    <t>Blizzard T2 MAV</t>
  </si>
  <si>
    <t>Catherine Cobert</t>
  </si>
  <si>
    <t>Booster Gold</t>
  </si>
  <si>
    <t>Chrome</t>
  </si>
  <si>
    <t>Tarot</t>
  </si>
  <si>
    <t>Tar Baby</t>
  </si>
  <si>
    <t>Talia T2 DCR</t>
  </si>
  <si>
    <t>Atom Smasher</t>
  </si>
  <si>
    <t>Dr Occult</t>
  </si>
  <si>
    <t>Warskrull</t>
  </si>
  <si>
    <t>Ferro Lad</t>
  </si>
  <si>
    <t>Saturn Queen</t>
  </si>
  <si>
    <t>Black Cat T2 MTU</t>
  </si>
  <si>
    <t>Beast T2 MTU</t>
  </si>
  <si>
    <t>Technocrat</t>
  </si>
  <si>
    <t>Cable T3 MVL</t>
  </si>
  <si>
    <t>Invisible Woman T3 MVL</t>
  </si>
  <si>
    <t>Daredevil T2 MVL</t>
  </si>
  <si>
    <t>Superwoman</t>
  </si>
  <si>
    <t>Red Skull T3</t>
  </si>
  <si>
    <t>Spider Man T3 MOR</t>
  </si>
  <si>
    <t>Lorelei T1 MOR</t>
  </si>
  <si>
    <t>Sentinel Mark IV</t>
  </si>
  <si>
    <t>Dane Whitman T2</t>
  </si>
  <si>
    <t>Dallas Riordan T1</t>
  </si>
  <si>
    <t>Joanna Cargill</t>
  </si>
  <si>
    <t>Mastermind T3</t>
  </si>
  <si>
    <t>Caliban T3</t>
  </si>
  <si>
    <t>Surveillance Pawn</t>
  </si>
  <si>
    <t>Captain America 4 MHG</t>
  </si>
  <si>
    <t>Frankie Raye T3</t>
  </si>
  <si>
    <t>Element Lad</t>
  </si>
  <si>
    <t>Brainiac 4</t>
  </si>
  <si>
    <t>Blade T2 MTU</t>
  </si>
  <si>
    <t>Hellcat</t>
  </si>
  <si>
    <t>Katana T2</t>
  </si>
  <si>
    <t>Calendar Man</t>
  </si>
  <si>
    <t>Wolverine T3 MOR</t>
  </si>
  <si>
    <t>Ting T3 MVL</t>
  </si>
  <si>
    <t>Morbius T3 MVL</t>
  </si>
  <si>
    <t>Johnny Quick DCL</t>
  </si>
  <si>
    <t>Blade T3</t>
  </si>
  <si>
    <t>Hawkeye T2</t>
  </si>
  <si>
    <t>Doom T8 MOR</t>
  </si>
  <si>
    <t>Pyro T2 MOR</t>
  </si>
  <si>
    <t>Underground Sentinel Base</t>
  </si>
  <si>
    <t>Hawkeye T4</t>
  </si>
  <si>
    <t>Joystick</t>
  </si>
  <si>
    <t>Maxwell Lord T2</t>
  </si>
  <si>
    <t>Connor Hawke</t>
  </si>
  <si>
    <t>Madelyne Pryor T4</t>
  </si>
  <si>
    <t>Storm T4 MXM</t>
  </si>
  <si>
    <t>Captain Att-Lass</t>
  </si>
  <si>
    <t>Wolverine T3 MHG</t>
  </si>
  <si>
    <t>Vic Stone T3 DLS</t>
  </si>
  <si>
    <t>Cosmic King</t>
  </si>
  <si>
    <t>Umar</t>
  </si>
  <si>
    <t>Hawkeye T3</t>
  </si>
  <si>
    <t>Wylde</t>
  </si>
  <si>
    <t>Huntress T2 DWF</t>
  </si>
  <si>
    <t>Jubilee T1 MVL</t>
  </si>
  <si>
    <t>Mr Fantastic T4 MVL</t>
  </si>
  <si>
    <t>Cloak T3 MVL</t>
  </si>
  <si>
    <t>Black Manta T3</t>
  </si>
  <si>
    <t>Sharon Carter</t>
  </si>
  <si>
    <t>Echo T2</t>
  </si>
  <si>
    <t>Rama Tut</t>
  </si>
  <si>
    <t>Toad T2 MOR</t>
  </si>
  <si>
    <t>Hercules T7 MAV</t>
  </si>
  <si>
    <t>Melissa Gold 2 MAV Master of Evil</t>
  </si>
  <si>
    <t>Shayera Thal</t>
  </si>
  <si>
    <t>Empath</t>
  </si>
  <si>
    <t>Hump</t>
  </si>
  <si>
    <t>Christopher Smith</t>
  </si>
  <si>
    <t>Terrax T4 MHG</t>
  </si>
  <si>
    <t>Time Trapper</t>
  </si>
  <si>
    <t>Blackheart T4</t>
  </si>
  <si>
    <t>Spider Man T4 MTU Spectacular</t>
  </si>
  <si>
    <t>Roy Harper T2 DWF</t>
  </si>
  <si>
    <t>KGBeast</t>
  </si>
  <si>
    <t>Shadowcat T1 MVL</t>
  </si>
  <si>
    <t>Luke Cage T4 MVL</t>
  </si>
  <si>
    <t>Punisher T4 MVL</t>
  </si>
  <si>
    <t>Owlman</t>
  </si>
  <si>
    <t>Crossbones</t>
  </si>
  <si>
    <t>Punisher T3</t>
  </si>
  <si>
    <t>Natasha Romanoff T2 MAV</t>
  </si>
  <si>
    <t>Melissa Gold T2 Thunderbolt</t>
  </si>
  <si>
    <t>Katar Hol T4 DJL</t>
  </si>
  <si>
    <t>Shinobi Shaw</t>
  </si>
  <si>
    <t>Marrow</t>
  </si>
  <si>
    <t>Bizarro T4</t>
  </si>
  <si>
    <t>Michael Holt</t>
  </si>
  <si>
    <t xml:space="preserve">Ronan The Accuser T4 </t>
  </si>
  <si>
    <t>Shrinking Violet</t>
  </si>
  <si>
    <t>Lightning Lord</t>
  </si>
  <si>
    <t>Samantha Parrington</t>
  </si>
  <si>
    <t>Looker</t>
  </si>
  <si>
    <t>Kryptonite Man</t>
  </si>
  <si>
    <t>Blink T1 MVL</t>
  </si>
  <si>
    <t>Invisible Woman T5 MVL</t>
  </si>
  <si>
    <t>Wolverine T4 MVL</t>
  </si>
  <si>
    <t>Jemm</t>
  </si>
  <si>
    <t>Death</t>
  </si>
  <si>
    <t>Blink 3</t>
  </si>
  <si>
    <t>Onslaught</t>
  </si>
  <si>
    <t>Yelena Belova</t>
  </si>
  <si>
    <t>Quicksilver T3 MAV</t>
  </si>
  <si>
    <t>Melter</t>
  </si>
  <si>
    <t>Bluejay</t>
  </si>
  <si>
    <t>Fire</t>
  </si>
  <si>
    <t>Donald Pierce</t>
  </si>
  <si>
    <t>Sunder</t>
  </si>
  <si>
    <t>Elimination Protocol</t>
  </si>
  <si>
    <t>Adrian Chase</t>
  </si>
  <si>
    <t>Mar Vell T3</t>
  </si>
  <si>
    <t>Paibok</t>
  </si>
  <si>
    <t>Air Walker T5 MHG</t>
  </si>
  <si>
    <t>Saturn Girl</t>
  </si>
  <si>
    <t>Star Finger</t>
  </si>
  <si>
    <t>Moon Knight T5 MTU</t>
  </si>
  <si>
    <t>Dick Grayson T3 DWF</t>
  </si>
  <si>
    <t>Natasha Irons T2</t>
  </si>
  <si>
    <t>Nightcrawler T5 MVL</t>
  </si>
  <si>
    <t>Captain America T5 MVL</t>
  </si>
  <si>
    <t>Ultraman</t>
  </si>
  <si>
    <t>Shield Helicarrier</t>
  </si>
  <si>
    <t>Superhuman Registration Act</t>
  </si>
  <si>
    <t>Shadowcat 3</t>
  </si>
  <si>
    <t>Sabretooth T4 MOR</t>
  </si>
  <si>
    <t>Dick Grayson T4 DOR</t>
  </si>
  <si>
    <t>Rick Jones T1 MAV</t>
  </si>
  <si>
    <t>Nathan Garrett</t>
  </si>
  <si>
    <t>Shadow Thief</t>
  </si>
  <si>
    <t>Iron Steel</t>
  </si>
  <si>
    <t xml:space="preserve">Magneto T6 </t>
  </si>
  <si>
    <t>Callisto</t>
  </si>
  <si>
    <t>Fatality T4</t>
  </si>
  <si>
    <t>Carter Hall</t>
  </si>
  <si>
    <t>The Phantom Stranger T7 Shadowpact</t>
  </si>
  <si>
    <t>Karnak</t>
  </si>
  <si>
    <t>Fallen One</t>
  </si>
  <si>
    <t xml:space="preserve">Connor Kent T4 </t>
  </si>
  <si>
    <t>Atrophos</t>
  </si>
  <si>
    <t>Madelyne Pryor T6</t>
  </si>
  <si>
    <t>Hulk T5 MTU</t>
  </si>
  <si>
    <t>Geo Force</t>
  </si>
  <si>
    <t>Tally Man</t>
  </si>
  <si>
    <t>Bishop T4 MVL</t>
  </si>
  <si>
    <t>Moon Knight T5 MVL</t>
  </si>
  <si>
    <t>White Martian</t>
  </si>
  <si>
    <t>Essence of zom</t>
  </si>
  <si>
    <t>Magneto T5 OR</t>
  </si>
  <si>
    <t>She Hulk T5 MAV</t>
  </si>
  <si>
    <t>Ogre</t>
  </si>
  <si>
    <t>Mantis</t>
  </si>
  <si>
    <t>World Greatest Heroes</t>
  </si>
  <si>
    <t>Sebastian Shaw</t>
  </si>
  <si>
    <t>Scaleface</t>
  </si>
  <si>
    <t>Roy Harper T5</t>
  </si>
  <si>
    <t>Zatanna T6</t>
  </si>
  <si>
    <t>Ultimus</t>
  </si>
  <si>
    <t>Interstellar Offensive</t>
  </si>
  <si>
    <t>Terrax T6 MHG</t>
  </si>
  <si>
    <t>Computo</t>
  </si>
  <si>
    <t>Spider-Man T7 MTU</t>
  </si>
  <si>
    <t>Sub Mariner T6 MTU</t>
  </si>
  <si>
    <t>Black Lightning DWF</t>
  </si>
  <si>
    <t>Terra Man</t>
  </si>
  <si>
    <t>Invisible Woman T7 MVL</t>
  </si>
  <si>
    <t>Hulk T6 MVL</t>
  </si>
  <si>
    <t>Trouble with Dinosaurs</t>
  </si>
  <si>
    <t>Storm T4 MUN</t>
  </si>
  <si>
    <t>Acts of Vengeance</t>
  </si>
  <si>
    <t>Gamma Bomb</t>
  </si>
  <si>
    <t>Avalon Space station</t>
  </si>
  <si>
    <t xml:space="preserve">Batman T5 </t>
  </si>
  <si>
    <t>Wonder Man T6</t>
  </si>
  <si>
    <t>Paul Ebersol T1</t>
  </si>
  <si>
    <t>Army of One</t>
  </si>
  <si>
    <t>Ape</t>
  </si>
  <si>
    <t>Huntress T6</t>
  </si>
  <si>
    <t>Act of Defiance</t>
  </si>
  <si>
    <t>Beast Boy T5 DLS</t>
  </si>
  <si>
    <t>Ol-Vir</t>
  </si>
  <si>
    <t>Spider Man T7 MTU</t>
  </si>
  <si>
    <t>Batman T4</t>
  </si>
  <si>
    <t xml:space="preserve">The Penguin </t>
  </si>
  <si>
    <t>Spider Man T6 MVL</t>
  </si>
  <si>
    <t>Crime Syndicate of Amerika</t>
  </si>
  <si>
    <t>Enemies of the State</t>
  </si>
  <si>
    <t>I Am Doom</t>
  </si>
  <si>
    <t xml:space="preserve">Erik Josten T2 </t>
  </si>
  <si>
    <t>Heroes Welcome</t>
  </si>
  <si>
    <t>Join the Club</t>
  </si>
  <si>
    <t>Hemingway</t>
  </si>
  <si>
    <t>Maxwell Lord T5</t>
  </si>
  <si>
    <t>The Phantom Stranger T7 JSA</t>
  </si>
  <si>
    <t>Korath the Pursuer</t>
  </si>
  <si>
    <t>Extended Family</t>
  </si>
  <si>
    <t>Brainiac 5.1</t>
  </si>
  <si>
    <t>Mordru</t>
  </si>
  <si>
    <t>Noble Kale</t>
  </si>
  <si>
    <t>Indigo</t>
  </si>
  <si>
    <t>Punisher T7</t>
  </si>
  <si>
    <t>Blinding Rage</t>
  </si>
  <si>
    <t>Double Agent</t>
  </si>
  <si>
    <t>Sleeper Cells</t>
  </si>
  <si>
    <t>Insect Swarm</t>
  </si>
  <si>
    <t>Radioactive Man T1</t>
  </si>
  <si>
    <t>Infestation</t>
  </si>
  <si>
    <t>Mob Mentality</t>
  </si>
  <si>
    <t>Power and Wealth</t>
  </si>
  <si>
    <t>Sewer System</t>
  </si>
  <si>
    <t>Advance Warning</t>
  </si>
  <si>
    <t>Sworn Enemies</t>
  </si>
  <si>
    <t>Tyrant</t>
  </si>
  <si>
    <t>Cosmic Boy</t>
  </si>
  <si>
    <t>Universo</t>
  </si>
  <si>
    <t>Spider Signal</t>
  </si>
  <si>
    <t>Against All Odds</t>
  </si>
  <si>
    <t>Thunder T4</t>
  </si>
  <si>
    <t>Battle Tactics</t>
  </si>
  <si>
    <t>Reload</t>
  </si>
  <si>
    <t>Grudge Match</t>
  </si>
  <si>
    <t>Assault on Helicarrier 13</t>
  </si>
  <si>
    <t>Luke Cage T6 MUN</t>
  </si>
  <si>
    <t>Swift Escape</t>
  </si>
  <si>
    <t>Heroes in Reserve</t>
  </si>
  <si>
    <t>Shocker T2</t>
  </si>
  <si>
    <t>Justice League Task Force</t>
  </si>
  <si>
    <t>The Acolytes</t>
  </si>
  <si>
    <t>Power Play</t>
  </si>
  <si>
    <t>Bloodhound</t>
  </si>
  <si>
    <t>Alexander Luthor T6</t>
  </si>
  <si>
    <t>Target Acquired</t>
  </si>
  <si>
    <t>Remnant Fleet</t>
  </si>
  <si>
    <t>Colossal Boy</t>
  </si>
  <si>
    <t xml:space="preserve"> Defenders Defend</t>
  </si>
  <si>
    <t>Soul slicer</t>
  </si>
  <si>
    <t>Great White</t>
  </si>
  <si>
    <t>Combat Reflexes</t>
  </si>
  <si>
    <t>Secret War</t>
  </si>
  <si>
    <t>Hercules T7 MUN</t>
  </si>
  <si>
    <t>Avengers Mansion</t>
  </si>
  <si>
    <t>Speed Demon T3</t>
  </si>
  <si>
    <t>Trial by Fire</t>
  </si>
  <si>
    <t>Homo Superior</t>
  </si>
  <si>
    <t>Deadly Game</t>
  </si>
  <si>
    <t>Retribution</t>
  </si>
  <si>
    <t>Sasha Bordeaux T7</t>
  </si>
  <si>
    <t>Magical Lobotomy</t>
  </si>
  <si>
    <t>The Infamous Seven</t>
  </si>
  <si>
    <t>It’s Slobberin’ Time</t>
  </si>
  <si>
    <t>New Recruits</t>
  </si>
  <si>
    <t>Khundian Warship</t>
  </si>
  <si>
    <t>Death's Embrace</t>
  </si>
  <si>
    <t>Secret Defenders</t>
  </si>
  <si>
    <t>Taking out the trash</t>
  </si>
  <si>
    <t>Mr. Zsasz T3 DWF</t>
  </si>
  <si>
    <t>Berserker Rage</t>
  </si>
  <si>
    <t>Force Field Projection</t>
  </si>
  <si>
    <t>Overwhelming Odds</t>
  </si>
  <si>
    <t>The Brave and the Bold</t>
  </si>
  <si>
    <t>Bring the Pain</t>
  </si>
  <si>
    <t>Hard Light Storage Tank</t>
  </si>
  <si>
    <t>Bwa Ha Ha</t>
  </si>
  <si>
    <t>Sovereign Superior</t>
  </si>
  <si>
    <t>Momentary Distraction</t>
  </si>
  <si>
    <t>Shrapnel Blast</t>
  </si>
  <si>
    <t>Deathstroke T7</t>
  </si>
  <si>
    <t>Checkmate Safe House</t>
  </si>
  <si>
    <t>Mystical Binding</t>
  </si>
  <si>
    <t>Worldeater Apparatus</t>
  </si>
  <si>
    <t>For Khundia !</t>
  </si>
  <si>
    <t>Ritual Sacrifice</t>
  </si>
  <si>
    <t>The B Team</t>
  </si>
  <si>
    <t>Get it Done</t>
  </si>
  <si>
    <t>Professor Emil Hamilton</t>
  </si>
  <si>
    <t>Sneak Attack</t>
  </si>
  <si>
    <t>Family of Four</t>
  </si>
  <si>
    <t>Devided We Stand</t>
  </si>
  <si>
    <t>Dynamic Duo</t>
  </si>
  <si>
    <t>Call to Arms</t>
  </si>
  <si>
    <t>The Castle</t>
  </si>
  <si>
    <t>Kooey Kooey Kooey</t>
  </si>
  <si>
    <t>Ruins of Avalon</t>
  </si>
  <si>
    <t>Mental Domination</t>
  </si>
  <si>
    <t>Knightmare Scenario</t>
  </si>
  <si>
    <t>Stepping Between Worlds</t>
  </si>
  <si>
    <t>Let’s Go Legionnaires</t>
  </si>
  <si>
    <t>Five Against One</t>
  </si>
  <si>
    <t>Strange Love</t>
  </si>
  <si>
    <t>Skreeeeee</t>
  </si>
  <si>
    <t>The Joker T3 DWF</t>
  </si>
  <si>
    <t>Adamantium Claws</t>
  </si>
  <si>
    <t>Path of Destruction</t>
  </si>
  <si>
    <t>Cosmic Cube</t>
  </si>
  <si>
    <t>The Ralliator</t>
  </si>
  <si>
    <t>Surprise attack</t>
  </si>
  <si>
    <t>Hell’s Fury</t>
  </si>
  <si>
    <t>Bum's Rush</t>
  </si>
  <si>
    <t>Secret Checkmate HQ</t>
  </si>
  <si>
    <t>Past Present and Future</t>
  </si>
  <si>
    <t>Sanctum Sanctorum</t>
  </si>
  <si>
    <t>Crack Shot</t>
  </si>
  <si>
    <t>Overwhelming Force</t>
  </si>
  <si>
    <t>It’s Clobberin’ Time</t>
  </si>
  <si>
    <t>Doom Throne Room</t>
  </si>
  <si>
    <t>Swan dive</t>
  </si>
  <si>
    <t>Faces of Evil</t>
  </si>
  <si>
    <t>Shaw Industries</t>
  </si>
  <si>
    <t>Morlock Justice</t>
  </si>
  <si>
    <t>Threat Neutralized</t>
  </si>
  <si>
    <t>Negative Zone MHG</t>
  </si>
  <si>
    <t>Kindred Spirits</t>
  </si>
  <si>
    <t>Youth of Tomorrow</t>
  </si>
  <si>
    <t>Fatal Five Hundred</t>
  </si>
  <si>
    <t>Stark Tower</t>
  </si>
  <si>
    <t>Markovia</t>
  </si>
  <si>
    <t>Xavier’s Institute of Higher Learning</t>
  </si>
  <si>
    <t>Katana</t>
  </si>
  <si>
    <t>The Hellfire Club</t>
  </si>
  <si>
    <t>Backs Against the Wall</t>
  </si>
  <si>
    <t>Checkmate Armory</t>
  </si>
  <si>
    <t>Chimp Detective Agency</t>
  </si>
  <si>
    <t>Penal Colony</t>
  </si>
  <si>
    <t>Inspiring Demise</t>
  </si>
  <si>
    <t>Legion of Super-Pets</t>
  </si>
  <si>
    <t>Chain Lightning</t>
  </si>
  <si>
    <t>Brooklyn HQ</t>
  </si>
  <si>
    <t>Batzarro</t>
  </si>
  <si>
    <t>Above the Law</t>
  </si>
  <si>
    <t>Punisher’s Armory</t>
  </si>
  <si>
    <t>The Rock of Eternity</t>
  </si>
  <si>
    <t>I Must Obey</t>
  </si>
  <si>
    <t>Foiled Assassination</t>
  </si>
  <si>
    <t>Altered History</t>
  </si>
  <si>
    <t>Optitron Corps</t>
  </si>
  <si>
    <t>Livewire</t>
  </si>
  <si>
    <t>M60s</t>
  </si>
  <si>
    <t>Book of Oa</t>
  </si>
  <si>
    <t>Justice Like Lightning</t>
  </si>
  <si>
    <t>JSA Headquarters</t>
  </si>
  <si>
    <t>The Power Cosmic Unleashed</t>
  </si>
  <si>
    <t>Science Police Central</t>
  </si>
  <si>
    <t>Metallo</t>
  </si>
  <si>
    <t>Stormfront 1</t>
  </si>
  <si>
    <t xml:space="preserve"> T Spheres</t>
  </si>
  <si>
    <t>Poison Ivy T4 DWF</t>
  </si>
  <si>
    <t>Absorba Shield</t>
  </si>
  <si>
    <t>Kate Kane</t>
  </si>
  <si>
    <t>Doom’s Throne Room</t>
  </si>
  <si>
    <t>Mystic summons</t>
  </si>
  <si>
    <t>I Hunger</t>
  </si>
  <si>
    <t>Matt Hagen DWF</t>
  </si>
  <si>
    <t>Pacification</t>
  </si>
  <si>
    <t>Preus</t>
  </si>
  <si>
    <t>Sondra Fuller</t>
  </si>
  <si>
    <t>The Joker T6 DWF</t>
  </si>
  <si>
    <t>Two Face T6</t>
  </si>
  <si>
    <t>Basil Karlo</t>
  </si>
  <si>
    <t>Batter Up</t>
  </si>
  <si>
    <t>Battle for Metropolis</t>
  </si>
  <si>
    <t>Batzarro Beatdown</t>
  </si>
  <si>
    <t>Beside Myself</t>
  </si>
  <si>
    <t>Bizarro Brawl</t>
  </si>
  <si>
    <t>Burn Baby Burn</t>
  </si>
  <si>
    <t>Certifiable</t>
  </si>
  <si>
    <t>Crackshot</t>
  </si>
  <si>
    <t>Dimensional Deal</t>
  </si>
  <si>
    <t>Executive Privilege</t>
  </si>
  <si>
    <t>Hostile Takeover</t>
  </si>
  <si>
    <t>Hush Baby</t>
  </si>
  <si>
    <t>Jack in the Box</t>
  </si>
  <si>
    <t>Knowledge Is Power</t>
  </si>
  <si>
    <t>Money Talks</t>
  </si>
  <si>
    <t>Obey or Die</t>
  </si>
  <si>
    <t>Pick a Card</t>
  </si>
  <si>
    <t>Standoff</t>
  </si>
  <si>
    <t>Truth and Justice</t>
  </si>
  <si>
    <t>World’s Worstest</t>
  </si>
  <si>
    <t>Arkham Asylum</t>
  </si>
  <si>
    <t>Blackgate Prison</t>
  </si>
  <si>
    <t>Graveyard of Solitude</t>
  </si>
  <si>
    <t>Stryker’s Island</t>
  </si>
  <si>
    <t>Titan</t>
  </si>
  <si>
    <t>Child Lock Guns</t>
  </si>
  <si>
    <t>Avengers</t>
  </si>
  <si>
    <t>KangBang</t>
  </si>
  <si>
    <t>Squadron</t>
  </si>
  <si>
    <t>Child Lock Scarlet</t>
  </si>
  <si>
    <t>Fat Bat</t>
  </si>
  <si>
    <t>GLEEM</t>
  </si>
  <si>
    <t>Boliver</t>
  </si>
  <si>
    <t>Dawn Granger T1 DOR</t>
  </si>
  <si>
    <t>Shape</t>
  </si>
  <si>
    <t>Hank Hall T2 DOR</t>
  </si>
  <si>
    <t>Melissa Gold T2 MAV Thunderbolt</t>
  </si>
  <si>
    <t>Foxfire</t>
  </si>
  <si>
    <t>Luke Cage T2 MOR</t>
  </si>
  <si>
    <t>Lady Lark</t>
  </si>
  <si>
    <t>Kristoff Von Doom T1</t>
  </si>
  <si>
    <t>Medusa T3 MOR</t>
  </si>
  <si>
    <t>Golden Archer</t>
  </si>
  <si>
    <t xml:space="preserve">Dr Light T3 </t>
  </si>
  <si>
    <t>Appocalypse T8 MOR</t>
  </si>
  <si>
    <t>Albert Gaines</t>
  </si>
  <si>
    <t>Mr Fatastic T2 MOR</t>
  </si>
  <si>
    <t>Melissa Gold T2 MAV Master of Evil</t>
  </si>
  <si>
    <t>Whizzer</t>
  </si>
  <si>
    <t>Surprise Attack</t>
  </si>
  <si>
    <t>Spoiler T2 DOR</t>
  </si>
  <si>
    <t>Micro Sentinel</t>
  </si>
  <si>
    <t>Scarlet Witch T2 MMK</t>
  </si>
  <si>
    <t>garth</t>
  </si>
  <si>
    <t>Answer the Call</t>
  </si>
  <si>
    <t>Titan Tower</t>
  </si>
  <si>
    <t>Psyche Globe</t>
  </si>
  <si>
    <t>Panacea Potion</t>
  </si>
  <si>
    <t>The ring Has chosen</t>
  </si>
  <si>
    <t>Ratcatcher</t>
  </si>
  <si>
    <t>System Failure</t>
  </si>
  <si>
    <t>Other Earth</t>
  </si>
  <si>
    <t>Erik Josten T2</t>
  </si>
  <si>
    <t>Dual Sidearms</t>
  </si>
  <si>
    <t>Jetpack</t>
  </si>
  <si>
    <t>Thunder Jet</t>
  </si>
  <si>
    <t>Hard Sound Construct, Construct</t>
  </si>
  <si>
    <t>have a blast</t>
  </si>
  <si>
    <t>Utility belt</t>
  </si>
  <si>
    <t>No Evil Shall Escape Our Sight, Construct</t>
  </si>
  <si>
    <t>book of Oa</t>
  </si>
  <si>
    <t>X Stall</t>
  </si>
  <si>
    <t>Face of Evil</t>
  </si>
  <si>
    <t>Hellfire</t>
  </si>
  <si>
    <t>Avengers Reservist</t>
  </si>
  <si>
    <t>Brothergood Reservist</t>
  </si>
  <si>
    <t>Archangel T1 MXM</t>
  </si>
  <si>
    <t>Beast T3 MXM</t>
  </si>
  <si>
    <t>Emma Frost T5</t>
  </si>
  <si>
    <t>Dane Whitman</t>
  </si>
  <si>
    <t>Firestar</t>
  </si>
  <si>
    <t>Exodus T7 MXM</t>
  </si>
  <si>
    <t>Dr Druid</t>
  </si>
  <si>
    <t>Jean Grey, Red</t>
  </si>
  <si>
    <t>Cannonball T2</t>
  </si>
  <si>
    <t>Jean Grey, Telekinetic Fighter</t>
  </si>
  <si>
    <t>Professor X T4</t>
  </si>
  <si>
    <t>Gargantua</t>
  </si>
  <si>
    <t>Rachel Summers T8</t>
  </si>
  <si>
    <t>Duck and Cover</t>
  </si>
  <si>
    <t>Eye of the Storm</t>
  </si>
  <si>
    <t>Phoenix Rising</t>
  </si>
  <si>
    <t>Flying kick</t>
  </si>
  <si>
    <t>Paul Ebersol  T1</t>
  </si>
  <si>
    <t>Prismatic Shield</t>
  </si>
  <si>
    <t>Mob mentality</t>
  </si>
  <si>
    <t>OtherE arth</t>
  </si>
  <si>
    <t>X Treme Maneuver</t>
  </si>
  <si>
    <t>Plant Man</t>
  </si>
  <si>
    <t>Worthington Industries</t>
  </si>
  <si>
    <t>Shrink</t>
  </si>
  <si>
    <t>Rocket Central</t>
  </si>
  <si>
    <t>Acolyte Body Armor</t>
  </si>
  <si>
    <t>Airskimmer</t>
  </si>
  <si>
    <t>Viper MXM</t>
  </si>
  <si>
    <t>Image Inducer</t>
  </si>
  <si>
    <t>Brave New World</t>
  </si>
  <si>
    <t>Mystic Summons</t>
  </si>
  <si>
    <t>X Men United</t>
  </si>
  <si>
    <t>X Corp Amsterdam</t>
  </si>
  <si>
    <t>Blackbird Blue</t>
  </si>
  <si>
    <t>High Voltage</t>
  </si>
  <si>
    <t>Child Lock</t>
  </si>
  <si>
    <t>Good Guys</t>
  </si>
  <si>
    <t>AGL</t>
  </si>
  <si>
    <t>Brotherhood Reservist</t>
  </si>
  <si>
    <t>Anti Green Lantern</t>
  </si>
  <si>
    <t>Chomin</t>
  </si>
  <si>
    <t>G’Nort</t>
  </si>
  <si>
    <t xml:space="preserve">Fire </t>
  </si>
  <si>
    <t>Splitstream</t>
  </si>
  <si>
    <t>Mad Hatter T2 DOR</t>
  </si>
  <si>
    <t>King Snake</t>
  </si>
  <si>
    <t>John Henry Irons T5 DJL</t>
  </si>
  <si>
    <t>Xallarap</t>
  </si>
  <si>
    <t>Leech</t>
  </si>
  <si>
    <t>Felix Faust</t>
  </si>
  <si>
    <t>Mr Fantastic T2 MOE</t>
  </si>
  <si>
    <t>Maxwell Lord T2 DJL</t>
  </si>
  <si>
    <t>Rogue T4 MOR</t>
  </si>
  <si>
    <t>Fatality T2</t>
  </si>
  <si>
    <t>Cosmic Conflict</t>
  </si>
  <si>
    <t xml:space="preserve">Anne Marie Cortez  </t>
  </si>
  <si>
    <t>Jester</t>
  </si>
  <si>
    <t>1 Professor X T4</t>
  </si>
  <si>
    <t>Blob T4</t>
  </si>
  <si>
    <t>Oliver Queen T4 DJL</t>
  </si>
  <si>
    <t>Sunfire T5 MSM</t>
  </si>
  <si>
    <t>Thunderous onslaught</t>
  </si>
  <si>
    <t>Scarlet Witch T5</t>
  </si>
  <si>
    <t>Die for Darkseid</t>
  </si>
  <si>
    <t>Commissioner Gordon</t>
  </si>
  <si>
    <t>Matter convergence</t>
  </si>
  <si>
    <t>Professor X T7</t>
  </si>
  <si>
    <t>Two Face T7</t>
  </si>
  <si>
    <t>Ka Boom</t>
  </si>
  <si>
    <t>Imperiex</t>
  </si>
  <si>
    <t>World's Greatest Heroes</t>
  </si>
  <si>
    <t>New Brotherhood</t>
  </si>
  <si>
    <t>Enemy of My Enemy</t>
  </si>
  <si>
    <t>Metropolis</t>
  </si>
  <si>
    <t>X Coroporation</t>
  </si>
  <si>
    <t>Xavier’s School MOR</t>
  </si>
  <si>
    <t>Deep Green</t>
  </si>
  <si>
    <t>Justice League of Arkham</t>
  </si>
  <si>
    <t>ShadowGlee</t>
  </si>
  <si>
    <t>Villains Statik</t>
  </si>
  <si>
    <t>Hope</t>
  </si>
  <si>
    <t>Aquaman T7 DJL</t>
  </si>
  <si>
    <t>The Calculator T1</t>
  </si>
  <si>
    <t>Deathstroke T4</t>
  </si>
  <si>
    <t>Coach</t>
  </si>
  <si>
    <t>Dr Polaris T3 DCR</t>
  </si>
  <si>
    <t>Wesley Dodds</t>
  </si>
  <si>
    <t>Mr Freeze T5 DCR</t>
  </si>
  <si>
    <t>Adam Strange</t>
  </si>
  <si>
    <t>Gorilla Grodd T6 DJL</t>
  </si>
  <si>
    <t>Vivisector, Lunatic Lycanthrope T5</t>
  </si>
  <si>
    <t>Metallo T4</t>
  </si>
  <si>
    <t>Jacob Lee</t>
  </si>
  <si>
    <t>Connie Web</t>
  </si>
  <si>
    <t>Sage T3 MXM</t>
  </si>
  <si>
    <t>The Phantom Stranger T7 DCR JSA</t>
  </si>
  <si>
    <t>Sensei</t>
  </si>
  <si>
    <t>Coercion</t>
  </si>
  <si>
    <t>Mutant of the Year</t>
  </si>
  <si>
    <t>Breaking Ground</t>
  </si>
  <si>
    <t>Atlantean Trident</t>
  </si>
  <si>
    <t>Kang Kross Roads</t>
  </si>
  <si>
    <t>The Hill</t>
  </si>
  <si>
    <t>Fifth Dimmension</t>
  </si>
  <si>
    <t>4 Book of Oa</t>
  </si>
  <si>
    <t>Secret Stall</t>
  </si>
  <si>
    <t>Checkmate Villains</t>
  </si>
  <si>
    <t>It's a Kind of Magic</t>
  </si>
  <si>
    <t>Checkmate JSA</t>
  </si>
  <si>
    <t>Manhunter Clone</t>
  </si>
  <si>
    <t>Connor Hawk</t>
  </si>
  <si>
    <t>Hector Hammond DJL</t>
  </si>
  <si>
    <t>Crystal Frost</t>
  </si>
  <si>
    <t>Bizarro T4 DCR</t>
  </si>
  <si>
    <t>Katar Hol T4 DCR</t>
  </si>
  <si>
    <t>Maxwell Lord T5 DCR</t>
  </si>
  <si>
    <t>Mark Desmond</t>
  </si>
  <si>
    <t>The Phantom Stranger T7 DCR Shadowpact</t>
  </si>
  <si>
    <t>Zatanna T3</t>
  </si>
  <si>
    <t>Funky’s Big Rat Code</t>
  </si>
  <si>
    <t>Heroe's Welcome</t>
  </si>
  <si>
    <t>World’s Greatest Heroes</t>
  </si>
  <si>
    <t>Quadromobile</t>
  </si>
  <si>
    <t>High Tech Flare Gun</t>
  </si>
  <si>
    <t>4 T-Spheres</t>
  </si>
  <si>
    <t>knight armor</t>
  </si>
  <si>
    <t>Lost in Space Original</t>
  </si>
  <si>
    <t>Higher Voltage</t>
  </si>
  <si>
    <t>TNB</t>
  </si>
  <si>
    <t>Lost In Space Ronan</t>
  </si>
  <si>
    <t>Chimp Family</t>
  </si>
  <si>
    <t>Nega Bomb</t>
  </si>
  <si>
    <t>Forever Young</t>
  </si>
  <si>
    <t>Frankie Raye T1 MHG</t>
  </si>
  <si>
    <t>Blind Sided</t>
  </si>
  <si>
    <t>Haywire T0</t>
  </si>
  <si>
    <t>Nenora</t>
  </si>
  <si>
    <t>Fiddler</t>
  </si>
  <si>
    <t xml:space="preserve">Poison Ivy T2 </t>
  </si>
  <si>
    <t>Melissa Gold T6 MAV</t>
  </si>
  <si>
    <t>Dtective Chimp T1</t>
  </si>
  <si>
    <t>Tattooed Man T5 DJL</t>
  </si>
  <si>
    <t>Phantom Stranger T7 DCR JSA</t>
  </si>
  <si>
    <t>For the Glory of Doom</t>
  </si>
  <si>
    <t>Ronan T4</t>
  </si>
  <si>
    <t>Advance Recon</t>
  </si>
  <si>
    <t>Klaw T1</t>
  </si>
  <si>
    <t>Dr Doom T6 MHG</t>
  </si>
  <si>
    <t>Forbidden Loyalties</t>
  </si>
  <si>
    <t>Deadly Conspiracy</t>
  </si>
  <si>
    <t>Supermanhunter</t>
  </si>
  <si>
    <t>Thanagarian Invason</t>
  </si>
  <si>
    <t>Attend or Die</t>
  </si>
  <si>
    <t>Carnage T7</t>
  </si>
  <si>
    <t>Scarlet Witch T5 MOR</t>
  </si>
  <si>
    <t>Masters of Puppets</t>
  </si>
  <si>
    <t>Adam Warlock T7 MHG</t>
  </si>
  <si>
    <t>Kate Spencer</t>
  </si>
  <si>
    <t>Sorcerer's Treasure</t>
  </si>
  <si>
    <t>Devil’s Due</t>
  </si>
  <si>
    <t>Removed from Continuity</t>
  </si>
  <si>
    <t>Checkmate Safe Hous</t>
  </si>
  <si>
    <t>Return of Donna Troy</t>
  </si>
  <si>
    <t>Doomstadt MHG</t>
  </si>
  <si>
    <t>Thanagar</t>
  </si>
  <si>
    <t>Slaughter Swamp </t>
  </si>
  <si>
    <t>Trial By Fire</t>
  </si>
  <si>
    <t>Ego the Living Planet</t>
  </si>
  <si>
    <t>Die For Darkseid</t>
  </si>
  <si>
    <t>Secret Sanctuary</t>
  </si>
  <si>
    <t>The Alley</t>
  </si>
  <si>
    <t>Quick Fate</t>
  </si>
  <si>
    <t>Cosmic Stall</t>
  </si>
  <si>
    <t>Check Press</t>
  </si>
  <si>
    <t>Cosmic Terror</t>
  </si>
  <si>
    <t>Sasha Bordeaux T7 DCR</t>
  </si>
  <si>
    <t>Harvey Bullock T1</t>
  </si>
  <si>
    <t>Triad</t>
  </si>
  <si>
    <t>Franklin Richards T2 MHG</t>
  </si>
  <si>
    <t>Nyssa Raatko T6</t>
  </si>
  <si>
    <t>Captain America T3 MHG</t>
  </si>
  <si>
    <t xml:space="preserve">Annihilation Protocol </t>
  </si>
  <si>
    <t>Great Refuge</t>
  </si>
  <si>
    <t>Power Girl T5 DLS</t>
  </si>
  <si>
    <t>No Mercy</t>
  </si>
  <si>
    <t>Terror Incognita</t>
  </si>
  <si>
    <t>Carnage T7 MHG</t>
  </si>
  <si>
    <t>United Planets HQ</t>
  </si>
  <si>
    <t>Level 12 Intelligence</t>
  </si>
  <si>
    <t>Quick Inhuman</t>
  </si>
  <si>
    <t>Kreeskrull</t>
  </si>
  <si>
    <t>Inhuman Darkseid</t>
  </si>
  <si>
    <t>Darkseid Prey</t>
  </si>
  <si>
    <t>Tonaja</t>
  </si>
  <si>
    <t>Elite Doom Guards</t>
  </si>
  <si>
    <t>Dark Lantern</t>
  </si>
  <si>
    <t>Dewoz</t>
  </si>
  <si>
    <t>Mr Fantastic T4  MHG</t>
  </si>
  <si>
    <t>Quicksilver T6 MTU</t>
  </si>
  <si>
    <t>Divinity</t>
  </si>
  <si>
    <t>Spider Man T4 MTU Sensationnal</t>
  </si>
  <si>
    <t>Dark Thanagarian</t>
  </si>
  <si>
    <t>Huntress T2</t>
  </si>
  <si>
    <t>Final Decree</t>
  </si>
  <si>
    <t>Ultron T5 MHG</t>
  </si>
  <si>
    <t xml:space="preserve">Darkseid T4 </t>
  </si>
  <si>
    <t>Unthinkable</t>
  </si>
  <si>
    <t>Doomed Earth</t>
  </si>
  <si>
    <t>Skreee</t>
  </si>
  <si>
    <t>Dark Martian</t>
  </si>
  <si>
    <t>Mask of Doom</t>
  </si>
  <si>
    <t>Kree Public Accusers</t>
  </si>
  <si>
    <t>Big Leagues</t>
  </si>
  <si>
    <t>Batman T6 DWF</t>
  </si>
  <si>
    <t>The Substructure</t>
  </si>
  <si>
    <t>Armies of Doom</t>
  </si>
  <si>
    <t xml:space="preserve"> Darkseid T8 DLS</t>
  </si>
  <si>
    <t>Joining the Darkseid</t>
  </si>
  <si>
    <t>Ancient Evils</t>
  </si>
  <si>
    <t>Blue Area of the Moon</t>
  </si>
  <si>
    <t>Created From Hate</t>
  </si>
  <si>
    <t>B.P.R.D. Signal Device</t>
  </si>
  <si>
    <t>Exploiting the Flaw</t>
  </si>
  <si>
    <t>The Outside World</t>
  </si>
  <si>
    <t>All Hail Darkseid</t>
  </si>
  <si>
    <t>Furnace of Apokolips</t>
  </si>
  <si>
    <t>SHILED Agents</t>
  </si>
  <si>
    <t>Wolverine Direct</t>
  </si>
  <si>
    <t>Hulk</t>
  </si>
  <si>
    <t>Sniper Shot</t>
  </si>
  <si>
    <t xml:space="preserve">Secret Society </t>
  </si>
  <si>
    <t>Radioactive Prime</t>
  </si>
  <si>
    <t>Cold School</t>
  </si>
  <si>
    <t>Captain Atom DCL</t>
  </si>
  <si>
    <t>Speedball T1 MUN</t>
  </si>
  <si>
    <t>Black Cat T1</t>
  </si>
  <si>
    <t>Joystick T2 MUN</t>
  </si>
  <si>
    <t>Maria Hill</t>
  </si>
  <si>
    <t xml:space="preserve">Rick Jones T2 </t>
  </si>
  <si>
    <t>Professor  Emil Hamilton T3</t>
  </si>
  <si>
    <t>Dr Polaris T1</t>
  </si>
  <si>
    <t>Bullseye T2 MUN</t>
  </si>
  <si>
    <t xml:space="preserve">Captain America T2 </t>
  </si>
  <si>
    <t>Dr Sivana T2</t>
  </si>
  <si>
    <t>Radioactive Man T3</t>
  </si>
  <si>
    <t>Nick Fury T3 MUN</t>
  </si>
  <si>
    <t>Lady Deathstrike MUN</t>
  </si>
  <si>
    <t xml:space="preserve">Sharon Carter </t>
  </si>
  <si>
    <t>Bullseye T4 MUN</t>
  </si>
  <si>
    <t>Cape Killer Unit</t>
  </si>
  <si>
    <t>Black Manta T5</t>
  </si>
  <si>
    <t>Ultron T5 MUN</t>
  </si>
  <si>
    <t>Torture Chamber</t>
  </si>
  <si>
    <t>Human Torch T6 MEX</t>
  </si>
  <si>
    <t>Sinestro T4 DCL</t>
  </si>
  <si>
    <t>Holocaust T6 MVL</t>
  </si>
  <si>
    <t>Punisher T7 MVL</t>
  </si>
  <si>
    <t>Gorilla Grodd T4</t>
  </si>
  <si>
    <t>Martian Manhunter T6 DCL</t>
  </si>
  <si>
    <t>Warbound to the End</t>
  </si>
  <si>
    <t>Koriand’r T7</t>
  </si>
  <si>
    <t xml:space="preserve">Hulk Smash </t>
  </si>
  <si>
    <t>Darkseid T8 DCL</t>
  </si>
  <si>
    <t>Empires's End</t>
  </si>
  <si>
    <t>Air Walker MCG T5</t>
  </si>
  <si>
    <t>Mr Freeze T6 DCL</t>
  </si>
  <si>
    <t>The Beyonder</t>
  </si>
  <si>
    <t>Dirty Tricks</t>
  </si>
  <si>
    <t xml:space="preserve"> Luke Cage T6 MUN</t>
  </si>
  <si>
    <t>Doomsday T7</t>
  </si>
  <si>
    <t>Heroic Effect</t>
  </si>
  <si>
    <t>Neighborhood Watch</t>
  </si>
  <si>
    <t>Losing the Argument</t>
  </si>
  <si>
    <t>Aegis</t>
  </si>
  <si>
    <t>Strategic Thinking</t>
  </si>
  <si>
    <t>Collect Them All</t>
  </si>
  <si>
    <t>Thunderbolt Mountain</t>
  </si>
  <si>
    <t>Safe House No 23</t>
  </si>
  <si>
    <t>Metropolis Reborn</t>
  </si>
  <si>
    <t>City of Tomorrow</t>
  </si>
  <si>
    <t>My Name Is Peter Parker</t>
  </si>
  <si>
    <t>Crime Syndicate of America</t>
  </si>
  <si>
    <t>Brotherhood Creatures</t>
  </si>
  <si>
    <t>Darkseid Elite</t>
  </si>
  <si>
    <t>Skrull Inhumans</t>
  </si>
  <si>
    <t>BizarAll</t>
  </si>
  <si>
    <t>Sea Creatures</t>
  </si>
  <si>
    <t>Penguin T1 DCL</t>
  </si>
  <si>
    <t>Nocturne MVL</t>
  </si>
  <si>
    <t xml:space="preserve">Alexander Luthor T1 </t>
  </si>
  <si>
    <t>Superwoman DCL</t>
  </si>
  <si>
    <t>Destiny MVL</t>
  </si>
  <si>
    <t>Speed Queen</t>
  </si>
  <si>
    <t>Mystique T4 MVL</t>
  </si>
  <si>
    <t>Stonewall</t>
  </si>
  <si>
    <t>Ultraman DCL</t>
  </si>
  <si>
    <t>White Martian DCL</t>
  </si>
  <si>
    <t>Marvel Zombies</t>
  </si>
  <si>
    <t>Bizarro T6 DWF</t>
  </si>
  <si>
    <t>Quicksilver T6 MHG</t>
  </si>
  <si>
    <t>Lord of Apokolips</t>
  </si>
  <si>
    <t>Mutopia</t>
  </si>
  <si>
    <t>Blinding rage</t>
  </si>
  <si>
    <t>Rock of Eternity</t>
  </si>
  <si>
    <t>Bizarro World</t>
  </si>
  <si>
    <t>Four Freedom Plaza</t>
  </si>
  <si>
    <t>Brother Eye Satellite</t>
  </si>
  <si>
    <t>Juggernaut’s Helmet</t>
  </si>
  <si>
    <t>DC</t>
  </si>
  <si>
    <t>MARVEL</t>
  </si>
  <si>
    <t>Checkmate Gotham</t>
  </si>
  <si>
    <t>Frank Drake</t>
  </si>
  <si>
    <t>Harvey bullock DOR</t>
  </si>
  <si>
    <t>Elemental man</t>
  </si>
  <si>
    <t>Dr Doom T3</t>
  </si>
  <si>
    <t>Dr Doom T4</t>
  </si>
  <si>
    <t>barnacle</t>
  </si>
  <si>
    <t>Rose Wison T5</t>
  </si>
  <si>
    <t>Sabretooth</t>
  </si>
  <si>
    <t xml:space="preserve">Lex Luthor T5 </t>
  </si>
  <si>
    <t>Red Shift</t>
  </si>
  <si>
    <t>Blue Area of The Moon</t>
  </si>
  <si>
    <t>Next Brotherhood</t>
  </si>
  <si>
    <t>Call Down the lightning</t>
  </si>
  <si>
    <t>Removed From Continuity</t>
  </si>
  <si>
    <t>Fifth Dimension</t>
  </si>
  <si>
    <t>AAAAAB/3v8g=</t>
  </si>
  <si>
    <t>TNB Reservist</t>
  </si>
  <si>
    <t>Spooky Morlocks</t>
  </si>
  <si>
    <t>Ahmed in the Hood</t>
  </si>
  <si>
    <t>IG Hidden</t>
  </si>
  <si>
    <t>Substitute Abuse</t>
  </si>
  <si>
    <t>QuickSyn</t>
  </si>
  <si>
    <t>MojoPunks</t>
  </si>
  <si>
    <t>IG Doom</t>
  </si>
  <si>
    <t>BlueBamboo</t>
  </si>
  <si>
    <t>Quickvoltage</t>
  </si>
  <si>
    <t>Secret Avengers</t>
  </si>
  <si>
    <t>Manhunters</t>
  </si>
  <si>
    <t>Titsmael</t>
  </si>
  <si>
    <t>CheckSchool</t>
  </si>
  <si>
    <t>4x Electric Eve, Live Wire</t>
  </si>
  <si>
    <t>Jaime Reyes T1</t>
  </si>
  <si>
    <t>4x Rem-Ram, Acolyte</t>
  </si>
  <si>
    <t>4x Tommy, Runaway</t>
  </si>
  <si>
    <t>Kleinstock Brothers, Acolyte</t>
  </si>
  <si>
    <t>3x Artie, Arthur Maddicks</t>
  </si>
  <si>
    <t>Mystique T1 MEV</t>
  </si>
  <si>
    <t>4x Leech, Inhibitor</t>
  </si>
  <si>
    <t>4x Tar Baby, Adhesive Ally</t>
  </si>
  <si>
    <t>Uniscione MEV</t>
  </si>
  <si>
    <t>1x Postman, Memory Thief</t>
  </si>
  <si>
    <t>Joanna Cargill, Acolyte</t>
  </si>
  <si>
    <t>1x Healer, Life Giver</t>
  </si>
  <si>
    <t>4x Storm, Leader of the Morlocks</t>
  </si>
  <si>
    <t>Merlyn DSM</t>
  </si>
  <si>
    <t>Anne-Marie Cortez, Acolyte</t>
  </si>
  <si>
    <t>4x Marrow, Gene Nation</t>
  </si>
  <si>
    <t>Spoor, Acolyte</t>
  </si>
  <si>
    <t>2x Scaleface, Dragon Lady</t>
  </si>
  <si>
    <t>1x Callisto, Morlock Queen</t>
  </si>
  <si>
    <t xml:space="preserve">Barbara Gordon T7 </t>
  </si>
  <si>
    <t>2x Team Spirit</t>
  </si>
  <si>
    <t>Batman T8</t>
  </si>
  <si>
    <t>4x Bloodhound</t>
  </si>
  <si>
    <t>Mountain Stonghold</t>
  </si>
  <si>
    <t>4x Call Down the Lightning</t>
  </si>
  <si>
    <t>4x Last Stand</t>
  </si>
  <si>
    <t>4x Planet X, Team-Up</t>
  </si>
  <si>
    <t>4x Shrapnel Blast</t>
  </si>
  <si>
    <t>4x Air Strike</t>
  </si>
  <si>
    <t>4x The Alley</t>
  </si>
  <si>
    <t>Checkmate safe house</t>
  </si>
  <si>
    <t>4x No Man Escapes the Manhunter</t>
  </si>
  <si>
    <t>3x Birthing Chamber</t>
  </si>
  <si>
    <t>3x The Hill</t>
  </si>
  <si>
    <t>Mind Gem, Unique * Infinity Gem</t>
  </si>
  <si>
    <t>Justice League Signal device</t>
  </si>
  <si>
    <t>Swiss headquarter</t>
  </si>
  <si>
    <t>Cove Fire</t>
  </si>
  <si>
    <t>Justice League Dark</t>
  </si>
  <si>
    <t>Chaos Avengers</t>
  </si>
  <si>
    <t>X-Men Phoenix</t>
  </si>
  <si>
    <t>The Legion</t>
  </si>
  <si>
    <t>The Jedi</t>
  </si>
  <si>
    <t>The Sith</t>
  </si>
  <si>
    <t>Axis of Evil</t>
  </si>
  <si>
    <t>DC Bombshells</t>
  </si>
  <si>
    <t>Asgardians</t>
  </si>
  <si>
    <t>Suicide Squad</t>
  </si>
  <si>
    <t>Speed Force</t>
  </si>
  <si>
    <t>Awesome Mix</t>
  </si>
  <si>
    <t>Watchmen</t>
  </si>
  <si>
    <t>POT POURRI</t>
  </si>
  <si>
    <t>Secret Scoeity Underworld</t>
  </si>
  <si>
    <t>Doom/Injustice Gang</t>
  </si>
  <si>
    <t>Injustice Gang/Underworld</t>
  </si>
  <si>
    <t>Gotham Checkmate</t>
  </si>
  <si>
    <t>Doom/AntiMatter</t>
  </si>
  <si>
    <t>SplitAGL</t>
  </si>
  <si>
    <t>4x Swamp Thing, Alec Holland</t>
  </si>
  <si>
    <t>4x Nova, Sam Alexander</t>
  </si>
  <si>
    <t>4x Magneto, Extinction Team</t>
  </si>
  <si>
    <t>1x Shrinking Violet, Legionnaire</t>
  </si>
  <si>
    <t>2x R2-D2, Astromech Droid</t>
  </si>
  <si>
    <t>3x Sand Trooper, Army</t>
  </si>
  <si>
    <t>4x Penguin, Iceberg Lounge Proprietor</t>
  </si>
  <si>
    <t>2x Lois Lane, Punchy Prose Style</t>
  </si>
  <si>
    <t>4x Heimdall, Guardian of the Bifrost</t>
  </si>
  <si>
    <t>4x Captain Boomerang, Anger Management</t>
  </si>
  <si>
    <t>3x Wally West * Kid Flash, Truly Speedy Sidekick</t>
  </si>
  <si>
    <t>2x Baby Groot, I Am Groot? * Awesome Mix</t>
  </si>
  <si>
    <t>3x Rorschach, Walter Kovacs</t>
  </si>
  <si>
    <t>freaking frog monsters</t>
  </si>
  <si>
    <t>The Riddler</t>
  </si>
  <si>
    <t>4x Madame Xanadu, Mystical Summons</t>
  </si>
  <si>
    <t>4x Iron Man, Searching for Answers</t>
  </si>
  <si>
    <t>4x Storm, Extinction Team</t>
  </si>
  <si>
    <t>3x Dream Girl, Legionnaire</t>
  </si>
  <si>
    <t>4x Princess Leia, Jabba's Slave</t>
  </si>
  <si>
    <t>4x Scout Trooper, Army</t>
  </si>
  <si>
    <t>4x Edward Nygma, Smartest Man in The Room</t>
  </si>
  <si>
    <t>4x Catwoman, Selina Digatti</t>
  </si>
  <si>
    <t>3x Balder, The Brave</t>
  </si>
  <si>
    <t>3x Black Manta, Wet Work</t>
  </si>
  <si>
    <t>3x Iris West Allen, Barry's Bride</t>
  </si>
  <si>
    <t>4x Star-Lord, Who? * Awesome Mix</t>
  </si>
  <si>
    <t>4x Silk Spectre II, Laurie Juspeczyk</t>
  </si>
  <si>
    <t>liz sherman 3</t>
  </si>
  <si>
    <t>Captain Boomrang T2 DJL IG</t>
  </si>
  <si>
    <t>1x Andrew Bennett, I, Vampire</t>
  </si>
  <si>
    <t>2x Iron Fist, Living Weapon</t>
  </si>
  <si>
    <t>4x Namor, Phoenix</t>
  </si>
  <si>
    <t>3x Star Boy, Legionnaire</t>
  </si>
  <si>
    <t>3x Princess Leia, Covert Mission</t>
  </si>
  <si>
    <t>2x Storm Trooper, Army</t>
  </si>
  <si>
    <t>4x Crystal Frost, Nobody's Moll</t>
  </si>
  <si>
    <t>4x Stargirl, Courtney Whitmore</t>
  </si>
  <si>
    <t>4x Warriors Three, Army</t>
  </si>
  <si>
    <t>4x Harley Quinn, Hell Hath No Fury</t>
  </si>
  <si>
    <t>4x Barry Allen * The Flash, Speed Force Conduit</t>
  </si>
  <si>
    <t>3x Groot, I Am Groot</t>
  </si>
  <si>
    <t>2x The Comedian, Edward Blake</t>
  </si>
  <si>
    <t>greg rasputin 4</t>
  </si>
  <si>
    <t xml:space="preserve">Chemo T1 </t>
  </si>
  <si>
    <t>3x Nightmare Nurse, Healing Magic</t>
  </si>
  <si>
    <t>4x Hope Summers, Destiny's Child</t>
  </si>
  <si>
    <t>4x Magik, Phoenix</t>
  </si>
  <si>
    <t>3x Triplicate Girl, Legionnaire * Non-Unique</t>
  </si>
  <si>
    <t>4x Han Solo, Reluctant Rebel</t>
  </si>
  <si>
    <t>4x Boba Fett, Bounty Hunter</t>
  </si>
  <si>
    <t>2x Alexander Luthor, Charming Manipulator</t>
  </si>
  <si>
    <t>4x Harley Quinn, Fly Girl</t>
  </si>
  <si>
    <t>2x Amora, The Enchantress</t>
  </si>
  <si>
    <t>2x King Shark, Squeeze Play</t>
  </si>
  <si>
    <t>4x Bart Allen * The Flash, Speed Force Scion</t>
  </si>
  <si>
    <t>3x Gamora, Not a Dancer</t>
  </si>
  <si>
    <t>4x Nite Owl II, Daniel Dreiberg</t>
  </si>
  <si>
    <t>spillthe beans</t>
  </si>
  <si>
    <t>Mr. Mxyzptlk</t>
  </si>
  <si>
    <t>1x Black Orchid, Shape Shifter</t>
  </si>
  <si>
    <t>2x Wolverine, Healing Factor</t>
  </si>
  <si>
    <t>4x Colossus, Phoenix</t>
  </si>
  <si>
    <t>1x Bouncing Boy, Legionnaire</t>
  </si>
  <si>
    <t>2x C-3PO, Protocol Droid</t>
  </si>
  <si>
    <t>4x Darth Vader, Sith Lord</t>
  </si>
  <si>
    <t>4x Mistah J, The Master</t>
  </si>
  <si>
    <t>4x Batwoman, Katherine Kane</t>
  </si>
  <si>
    <t>4x Lady Sif, Shield-Maiden of Asgard</t>
  </si>
  <si>
    <t>3x Deadshot, Collateral Damage</t>
  </si>
  <si>
    <t>2x Wally West * The Flash, The Thinker</t>
  </si>
  <si>
    <t>4x Rocket Raccoon, Oh, Yeah!</t>
  </si>
  <si>
    <t>2x Ozymandias, Adrian Veidt</t>
  </si>
  <si>
    <t>something is coming</t>
  </si>
  <si>
    <t>4x Zatanna, Backwards Magic</t>
  </si>
  <si>
    <t>4x Scarlet Witch, Unforgiven</t>
  </si>
  <si>
    <t>3x Emma Frost, Phoenix</t>
  </si>
  <si>
    <t>1x Chameleon Boy, Legionnaire</t>
  </si>
  <si>
    <t>4x Luke Skywalker, Jedi Apprentice</t>
  </si>
  <si>
    <t>1x Greedo, Bounty Hunter</t>
  </si>
  <si>
    <t>4x Tenebrae, The Long Dead</t>
  </si>
  <si>
    <t>4x Wonder Woman, Diana of Themyscira</t>
  </si>
  <si>
    <t>1x Jane Foster / Thor, Goddess of Thunder</t>
  </si>
  <si>
    <t>1x Deadshot, Never Misses</t>
  </si>
  <si>
    <t>1x Jay Garrick * The Flash, One Last Time</t>
  </si>
  <si>
    <t>2x Drax the Destroyer, Fast Reflexes</t>
  </si>
  <si>
    <t>4x Dr. Manhattan, Non-Unique * Telekinetic Researcher</t>
  </si>
  <si>
    <t>punisher squadron</t>
  </si>
  <si>
    <t>The Enemy Within</t>
  </si>
  <si>
    <t>The ring has chosen</t>
  </si>
  <si>
    <t>Elemental Man</t>
  </si>
  <si>
    <t>4x John Constantine, Con Man</t>
  </si>
  <si>
    <t>1x Spider-Man, Great Responsibility</t>
  </si>
  <si>
    <t>2x Cyclops, Phoenix</t>
  </si>
  <si>
    <t>1x Colossal Boy, Legionnaire</t>
  </si>
  <si>
    <t>1x Luke Skywalker, Rebel Pilot</t>
  </si>
  <si>
    <t>4x Darth Maul, Sith Lord</t>
  </si>
  <si>
    <t>4x Baroness Paula Von Gunther, Tenebrae Commander</t>
  </si>
  <si>
    <t>3x Supergirl, Kara Zor-El</t>
  </si>
  <si>
    <t>1x Thor, Champion of Midgard</t>
  </si>
  <si>
    <t>1x Amanda Waller, Tough Choices</t>
  </si>
  <si>
    <t>3x Barry Allen * The Flash, A Study In Scarlet</t>
  </si>
  <si>
    <t>4x Star-Lord, Legendary Outlaw * Awesome Mix</t>
  </si>
  <si>
    <t>1x The Comedian, Eddie</t>
  </si>
  <si>
    <t>Deashot T2 DCR</t>
  </si>
  <si>
    <t>The Joker DJL</t>
  </si>
  <si>
    <t>3x Shade the Changing Man, Mad Power</t>
  </si>
  <si>
    <t>4x Dr. Strange, Enchantments of Ikonn</t>
  </si>
  <si>
    <t>1x Dark Phoenix, Cyclops</t>
  </si>
  <si>
    <t>1x Element Lad, Legionnaire</t>
  </si>
  <si>
    <t>4x Obi-Wan Kenobi, Jedi Mind Tricks</t>
  </si>
  <si>
    <t>3x Clone Trooper, Army</t>
  </si>
  <si>
    <t>1x Joker's Daughter, Witch in a Gingerbread House</t>
  </si>
  <si>
    <t>1x Aquawoman, Mera</t>
  </si>
  <si>
    <t>1x Thor, Defender of the Nine Realms</t>
  </si>
  <si>
    <t>2x Captain Boomerang, Back from the Grave</t>
  </si>
  <si>
    <t>3x Bart Allen * The Flash, Full Throttle</t>
  </si>
  <si>
    <t>2x Gamora, No Pelvic Sorcery!</t>
  </si>
  <si>
    <t>4x Rorschach, My Face</t>
  </si>
  <si>
    <t>Poison Ivy DCL</t>
  </si>
  <si>
    <t>Circe T5 DCL</t>
  </si>
  <si>
    <t>1x Frankenstein, Unkillable</t>
  </si>
  <si>
    <t>3x Captain America, Out of His Depth</t>
  </si>
  <si>
    <t>4x A Phoenix Rises, Phoenix Five</t>
  </si>
  <si>
    <t>1x Ferro Lad, Legionnaire</t>
  </si>
  <si>
    <t>3x Chewbacca, Walking Carpet</t>
  </si>
  <si>
    <t>2x Darth Vader, Lord Vader</t>
  </si>
  <si>
    <t>1x Tenebrus, The Binder </t>
  </si>
  <si>
    <t>1x Black Canary, Dinah Lance</t>
  </si>
  <si>
    <t>1x Thor, Mighty God of Thunder</t>
  </si>
  <si>
    <t>1x Black Manta, No Mercy</t>
  </si>
  <si>
    <t>2x Wally West * The Flash, Against a Deadline</t>
  </si>
  <si>
    <t>1x Groot, I Am Groot!</t>
  </si>
  <si>
    <t>2x Nite Owl II, Night Vision</t>
  </si>
  <si>
    <t>Thunderous Onslaught</t>
  </si>
  <si>
    <t>2x Deadman, Body and Soul</t>
  </si>
  <si>
    <t>2x Scarlet Witch, Chaos Magician</t>
  </si>
  <si>
    <t>4x Phoenix Five</t>
  </si>
  <si>
    <t>1x Invisible Kid, Legionnaire</t>
  </si>
  <si>
    <t>2x Luke Skywalker, Jedi Knight</t>
  </si>
  <si>
    <t>1x Darth Sidious, Emperor Palpatine</t>
  </si>
  <si>
    <t>4x A Dance in the Moonlight</t>
  </si>
  <si>
    <t>1x Zatanna, Zatanna Zatara </t>
  </si>
  <si>
    <t>1x Thor, The Thunderer</t>
  </si>
  <si>
    <t>1x Man-Bat Commandos, Army</t>
  </si>
  <si>
    <t>1x Jay Garrick * The Flash, True Original</t>
  </si>
  <si>
    <t>1x Drax the Destroyer, Nothing Goes Over His Head</t>
  </si>
  <si>
    <t>1x Dr. Manhattan, Non-Unique * Jon Osterman</t>
  </si>
  <si>
    <t>Huntress</t>
  </si>
  <si>
    <t>1x Pandora, Trinity of Sin</t>
  </si>
  <si>
    <t>1x Hope Summers, Mutant Messiah</t>
  </si>
  <si>
    <t>4x There Can Only Be One, Phoenix Five</t>
  </si>
  <si>
    <t>1x Lightning Lass, Legionnaire</t>
  </si>
  <si>
    <t>1x Yoda, Jedi Master</t>
  </si>
  <si>
    <t>4x Star Wars</t>
  </si>
  <si>
    <t>4x Iceberg Lounge</t>
  </si>
  <si>
    <t>4x Swing and a Miss</t>
  </si>
  <si>
    <t>1x Loki, God of Mischief</t>
  </si>
  <si>
    <t>2x Enchantress, Death Touch</t>
  </si>
  <si>
    <t>2x Barry Allen * The Flash, Quick Change Artist</t>
  </si>
  <si>
    <t>1x Rocket Raccoon, Ain't No Thing Like Me, 'cept Me!</t>
  </si>
  <si>
    <t>1x Silk Spectre II, Child of Sin</t>
  </si>
  <si>
    <t>Floronic Man T5 DJL</t>
  </si>
  <si>
    <t>Arsenal of Doom</t>
  </si>
  <si>
    <t>1x Phantom Stranger, Trinity of Sin</t>
  </si>
  <si>
    <t>4x Defense of Wakanda</t>
  </si>
  <si>
    <t>3x Pax Utopia, Phoenix Five</t>
  </si>
  <si>
    <t>1x Phantom Girl, Legionnaire</t>
  </si>
  <si>
    <t>4x Order 66</t>
  </si>
  <si>
    <t>4x The Nazi Menace</t>
  </si>
  <si>
    <t>1x Arms Control</t>
  </si>
  <si>
    <t>1x Loki, Prince of Lies</t>
  </si>
  <si>
    <t>1x King Shark, Taking a Bite Out of Crime</t>
  </si>
  <si>
    <t>1x Bart Allen * The Flash, In Death's Shadow</t>
  </si>
  <si>
    <t>1x Star-Lord, Finally! * Awesome Mix </t>
  </si>
  <si>
    <t>1x Ozymandias, Smartest Man On The Planet</t>
  </si>
  <si>
    <t>Scarecrow T5 DJL Injustice G</t>
  </si>
  <si>
    <t>Dr Doom 6 MHG</t>
  </si>
  <si>
    <t>1x In the Dark, Enchantment</t>
  </si>
  <si>
    <t>4x Avengers Assembled</t>
  </si>
  <si>
    <t>4x And Then There Was One, Phoenix Five</t>
  </si>
  <si>
    <t>1x Princess Projectra, Legionnaire</t>
  </si>
  <si>
    <t>4x A New Hope</t>
  </si>
  <si>
    <t>4x The Dark Side</t>
  </si>
  <si>
    <t>4x DC Bombshells</t>
  </si>
  <si>
    <t>2x Teamwork Wins!</t>
  </si>
  <si>
    <t>1x Loki, Shape Shifter</t>
  </si>
  <si>
    <t>1x Deathstroke the Terminator, Bloody Executioner</t>
  </si>
  <si>
    <t>1x Jay Garrick * The Flash, Relentless Crusader</t>
  </si>
  <si>
    <t>1x Take a Walk on the Wild Side, Bonus Track</t>
  </si>
  <si>
    <t>1x Dr. Manhattan, Non-Unique * Master of Space and Time</t>
  </si>
  <si>
    <t>1x Raeppa!, Enchantment</t>
  </si>
  <si>
    <t>4x Probability Altering Fields</t>
  </si>
  <si>
    <t>4x Attack on Wakanda, Phoenix Five</t>
  </si>
  <si>
    <t>1x Shadow Lass, Legionnaire</t>
  </si>
  <si>
    <t>4x Rebel Assault</t>
  </si>
  <si>
    <t>4x Frozen in Carbonite</t>
  </si>
  <si>
    <t>4x Krrkaathoom!</t>
  </si>
  <si>
    <t>1x Sucoh Sucop</t>
  </si>
  <si>
    <t>1x Loki, Snake in the Grass</t>
  </si>
  <si>
    <t>1x Harley Quinn, Not a Team Player</t>
  </si>
  <si>
    <t>2x Barry Allen * The Flash, Rebirth of a Legend</t>
  </si>
  <si>
    <t>2x Don't Stop 'Til You Get Enough, Bonus Track</t>
  </si>
  <si>
    <t>1x Dr. Manhattan, Non-Unique * The Superman Exists </t>
  </si>
  <si>
    <t>Doom Needs only Doom</t>
  </si>
  <si>
    <t>Combat Reflexe</t>
  </si>
  <si>
    <t>Matter Convergence</t>
  </si>
  <si>
    <t>1x Mere Mortal, Enchantment</t>
  </si>
  <si>
    <t>4x Yin and Yang</t>
  </si>
  <si>
    <t>4x No More Avengers</t>
  </si>
  <si>
    <t>3x Brainiac 5, Legionnaire</t>
  </si>
  <si>
    <t>4x Strike Me Down</t>
  </si>
  <si>
    <t>3x Crush the Rebellion</t>
  </si>
  <si>
    <t>4x Tenebrae Bomb</t>
  </si>
  <si>
    <t>1x Angela, Asgard's Assassin</t>
  </si>
  <si>
    <t>1x Deadshot, Killer Swag</t>
  </si>
  <si>
    <t>1x Wally West * The Flash, Sidekick No More </t>
  </si>
  <si>
    <t>2x Blitzkrieg Bop, Bonus Track</t>
  </si>
  <si>
    <t>3x The 51st State</t>
  </si>
  <si>
    <t>Mr Freeze T6</t>
  </si>
  <si>
    <t>Asmodeus</t>
  </si>
  <si>
    <t>1x Bang! I'm Dead, Enchantment</t>
  </si>
  <si>
    <t>2x No More Phoenix</t>
  </si>
  <si>
    <t>3x Utopia</t>
  </si>
  <si>
    <t>3x Cosmic Boy, Legionnaire * Founding Member</t>
  </si>
  <si>
    <t>4x The Force Is With You</t>
  </si>
  <si>
    <t>4x The Empire Strikes Back</t>
  </si>
  <si>
    <t>4x Unite and Fight </t>
  </si>
  <si>
    <t>4x Lazarus Rejuvenating Cream</t>
  </si>
  <si>
    <t>1x Beta Ray Bill, Ally to Asgard</t>
  </si>
  <si>
    <t>4x Boomerang</t>
  </si>
  <si>
    <t>2x Fast Forward</t>
  </si>
  <si>
    <t>1x Stayin' Alive, Bonus Track</t>
  </si>
  <si>
    <t>3x Intrinsic Field Chamber </t>
  </si>
  <si>
    <t>Ocean Master</t>
  </si>
  <si>
    <t>1x Bound and Chained, Enchantment</t>
  </si>
  <si>
    <t>4x Fight the Phoenix</t>
  </si>
  <si>
    <t>4x New Xavier School for Mutants</t>
  </si>
  <si>
    <t>2x Lightning Lad, Legionnaire * Founding Member</t>
  </si>
  <si>
    <t>4x Rebel Base, Non-Unique</t>
  </si>
  <si>
    <t>4x Bounty Hunters</t>
  </si>
  <si>
    <t>4x Mask of the Joker</t>
  </si>
  <si>
    <t>2x Bombs Away!</t>
  </si>
  <si>
    <t>1x Jane Foster / Thor, The Mighty Thor</t>
  </si>
  <si>
    <t>3x Eye for an Eye</t>
  </si>
  <si>
    <t>4x Molecular Magic</t>
  </si>
  <si>
    <t>1x Thriller, Bonus Track</t>
  </si>
  <si>
    <t>3x Hired Gun</t>
  </si>
  <si>
    <t>1x Down But Not Out, Enchantment</t>
  </si>
  <si>
    <t>4x Chaos Magic </t>
  </si>
  <si>
    <t>1x Mon-El, Legionnaire</t>
  </si>
  <si>
    <t>3x Jedi Light Saber, Unique</t>
  </si>
  <si>
    <t>3x Sith Light Saber, Unique</t>
  </si>
  <si>
    <t>2x Join the Waves!</t>
  </si>
  <si>
    <t>1x Thor, Fearless Warrior</t>
  </si>
  <si>
    <t>3x Hammer Time</t>
  </si>
  <si>
    <t>4x Infinite Mass Punch</t>
  </si>
  <si>
    <t>1x Let's Get It On, Bonus Track</t>
  </si>
  <si>
    <t>4x Costumed Heroes</t>
  </si>
  <si>
    <t>Swiss Headquarters</t>
  </si>
  <si>
    <t>1x I'm Really Alive!, Enchantment</t>
  </si>
  <si>
    <t>3x K'un L'un</t>
  </si>
  <si>
    <t>1x Superboy, Legionnaire</t>
  </si>
  <si>
    <t>3x Millenium Falcon</t>
  </si>
  <si>
    <t>2x Blaster Rifle</t>
  </si>
  <si>
    <t>2x Goodnight Kiss</t>
  </si>
  <si>
    <t>1x Odin, All Father</t>
  </si>
  <si>
    <t>4x Suicide Mission</t>
  </si>
  <si>
    <t>3x Race Against Time</t>
  </si>
  <si>
    <t>4x Hooked On a Feeling, Non-Unique * Awesome Mix</t>
  </si>
  <si>
    <t>2x Leave Me Alone!</t>
  </si>
  <si>
    <t>Psycho-Pirate T8</t>
  </si>
  <si>
    <t>All too Easy</t>
  </si>
  <si>
    <t>1x Inner Demons, Enchantment</t>
  </si>
  <si>
    <t>1x Supergirl, Legionnaire</t>
  </si>
  <si>
    <t>4x Unite and Fight</t>
  </si>
  <si>
    <t>4x For Asgard!</t>
  </si>
  <si>
    <t>4x Task Force X</t>
  </si>
  <si>
    <t>2x Cosmic Treadmill </t>
  </si>
  <si>
    <t>2x Awesome Mix, Vol. 1, Awesome Mix</t>
  </si>
  <si>
    <t>1x A Comedian Died Tonight</t>
  </si>
  <si>
    <t>1x K'am'deva Curse, Enchantment</t>
  </si>
  <si>
    <t>3x Saturn Girl, Legionnaire * Founding Member</t>
  </si>
  <si>
    <t>2x Blitzkrieg!</t>
  </si>
  <si>
    <t>4x Break the Ragnarok Cycle</t>
  </si>
  <si>
    <t>4x Mutual Assured Destruction</t>
  </si>
  <si>
    <t>4x The Speed Force</t>
  </si>
  <si>
    <t>2x Awesome Mix, Vol. 2, Awesome Mix</t>
  </si>
  <si>
    <t>1x Never Compromise</t>
  </si>
  <si>
    <t>1x Mystic Coupling, Enchantment</t>
  </si>
  <si>
    <t>1x Ultra Boy, Legionnaire</t>
  </si>
  <si>
    <t>2x She Can Do It!</t>
  </si>
  <si>
    <t>2x Warriors of Asgard</t>
  </si>
  <si>
    <t>3x Covert Op</t>
  </si>
  <si>
    <t>4x Speed Vortex</t>
  </si>
  <si>
    <t>2x I Want You Back, Awesome Mix</t>
  </si>
  <si>
    <t>4x We Are Compelled</t>
  </si>
  <si>
    <t>1x Simply Smashing, Enchantment</t>
  </si>
  <si>
    <t>2x Founding Members</t>
  </si>
  <si>
    <t>2x No Means No!</t>
  </si>
  <si>
    <t>2x Fury of Thor</t>
  </si>
  <si>
    <t>3x Body Armor</t>
  </si>
  <si>
    <t>2x Crimson Tornado </t>
  </si>
  <si>
    <t>2x Go All The Way, Awesome Mix</t>
  </si>
  <si>
    <t>2x Romantic Entanglement</t>
  </si>
  <si>
    <t>1x Teg Yawa!, Enchantment</t>
  </si>
  <si>
    <t>4x Legionnaires Attack!</t>
  </si>
  <si>
    <t>4x Bifrost / The Rainbow Bridge</t>
  </si>
  <si>
    <t>4x Belle Reve Penitentiary</t>
  </si>
  <si>
    <t>2x Costume Ring</t>
  </si>
  <si>
    <t>1x Higher Ground, Bonus Track </t>
  </si>
  <si>
    <t>1x Hold Me Back</t>
  </si>
  <si>
    <t>1x The Acrobat, Enchantment</t>
  </si>
  <si>
    <t>4x Take Flight</t>
  </si>
  <si>
    <t>4x Towers of Asgard, Non-Unique</t>
  </si>
  <si>
    <t>1x Ain't No Mountain High Enough, Unique * Awesome Mix</t>
  </si>
  <si>
    <t>1x Sleight of Hand</t>
  </si>
  <si>
    <t>1x A Bloody Hero, Enchantment</t>
  </si>
  <si>
    <t>3x Long Live the Legion!</t>
  </si>
  <si>
    <t>2x Midgard</t>
  </si>
  <si>
    <t>1x Come And Get Your Love, Unique * Awesome Mix</t>
  </si>
  <si>
    <t>1x Doomsday Clock</t>
  </si>
  <si>
    <t>Gang-Up</t>
  </si>
  <si>
    <t>1x Backwards Magic, Enchantment</t>
  </si>
  <si>
    <t>4x Legion Try-Outs, Legionnaire </t>
  </si>
  <si>
    <t>1x Yggdrasil / The World Tree </t>
  </si>
  <si>
    <t>1x Fooled Around And Fell In Love, Unique * Awesome Mix</t>
  </si>
  <si>
    <t>1x The End Is Nigh </t>
  </si>
  <si>
    <t>1x Countercurse, Enchantment</t>
  </si>
  <si>
    <t>3x 30th Century Earth</t>
  </si>
  <si>
    <t>1x Asgardian Ax, Weapon of War</t>
  </si>
  <si>
    <t>1x Footloose, Unique * Bonus Track * Awesome Mix</t>
  </si>
  <si>
    <t>2x Archie</t>
  </si>
  <si>
    <t>1x Reach for the Stars, Enchantment</t>
  </si>
  <si>
    <t>2x A Legionnaire's Funeral</t>
  </si>
  <si>
    <t>1x Asgardian Spear, Weapon of War</t>
  </si>
  <si>
    <t>1x I'm Not In Love, Unique * Awesome Mix</t>
  </si>
  <si>
    <t>1x Warping Reality, Enchantment</t>
  </si>
  <si>
    <t>2x An Exclusive Club </t>
  </si>
  <si>
    <t>1x Asgardian Sword, Weapon of War</t>
  </si>
  <si>
    <t>1x Moonage Daydream, Unique * Awesome Mix</t>
  </si>
  <si>
    <t>1x Wishful Thinking, Enchantment</t>
  </si>
  <si>
    <t>1x Legion Flight Ring, Legionnaire * Unique</t>
  </si>
  <si>
    <t>1x Mjolnir, Unique / Hammer</t>
  </si>
  <si>
    <t>1x O-O-H Child, Unique * Awesome Mix</t>
  </si>
  <si>
    <t>1x Dark Reflections, Enchantment</t>
  </si>
  <si>
    <t>1x Mjolnir, Unique / Hammer / Ultimates</t>
  </si>
  <si>
    <t>1x Spirit In The Sky, Unique * Awesome Mix</t>
  </si>
  <si>
    <t>1x Fate Accompli, Enchantment</t>
  </si>
  <si>
    <t>1x Uru Metal, Unique / Hammer</t>
  </si>
  <si>
    <t>1x Cherry Bomb, Unique * Awesome Mix</t>
  </si>
  <si>
    <t>1x Nothing is Impossible, Enchantment</t>
  </si>
  <si>
    <t>1x Escape &lt;&gt; The Piña Colada Song, Unique * Awesome Mix</t>
  </si>
  <si>
    <t>1x Pain. Smoke. Divination., Enchantment</t>
  </si>
  <si>
    <t>1x War, Unique * Awesome Mi</t>
  </si>
  <si>
    <t>1x Pandora's Box, Enchantment</t>
  </si>
  <si>
    <t>1x Up is Down, Enchantment</t>
  </si>
  <si>
    <t>Worthy </t>
  </si>
  <si>
    <t>1x House of Secrets, Enchantment</t>
  </si>
  <si>
    <t>4x House of Mystery, Non-Unique</t>
  </si>
  <si>
    <t>Only Worthy characters can be equipped with a Hammer equipment. </t>
  </si>
  <si>
    <t>1x Madame Xanadu's Parlor, Enchantment</t>
  </si>
  <si>
    <t>When a Worthy character enters play, search your deck or KO'd pile for a Hammer equipment and equip it to that character. </t>
  </si>
  <si>
    <t>A Worthy character also has: "Remove two +1/+1 counters &gt;&gt;&gt; Return target Hammer equipment to play from your KO'd pile and equip it to that character. Use only in the build phase."</t>
  </si>
  <si>
    <t>A deck may contain only one copy of a given Enchantment card. </t>
  </si>
  <si>
    <t>they get a Chaos counter when they enter play. It's similar to a Cosmic counter, but isn't lost by getting stunned. You remove the counter to enable that character's effect.</t>
  </si>
  <si>
    <r>
      <rPr>
        <b/>
        <sz val="11"/>
        <color rgb="FF000000"/>
        <rFont val="Calibri"/>
        <family val="2"/>
        <charset val="1"/>
      </rPr>
      <t>Phoenix</t>
    </r>
    <r>
      <rPr>
        <sz val="11"/>
        <color rgb="FF000000"/>
        <rFont val="Calibri"/>
        <family val="2"/>
        <charset val="1"/>
      </rPr>
      <t> </t>
    </r>
  </si>
  <si>
    <t>A foe's treachery = An opposing effect</t>
  </si>
  <si>
    <t>An Enchantment card may be played or flipped only if you control a JLD character.</t>
  </si>
  <si>
    <t>A character with the version Phoenix also has Phoenix powers that may be used only during the combat phase and only if you control no other characters. A Phoenix character can be recruited with Boost by KO'ing another X-Men character you control. If that character has the Phoenix version, the recruited character gains that character's Phoenix powers, including any Phoenix powers it gained by being recruited with Boost. </t>
  </si>
  <si>
    <t>A Phoenix character also has "Pay up to 4 resource points &gt;&gt;&gt; Put X +1/+1 counters on this Phoenix, where X is the number of resource points you paid." </t>
  </si>
  <si>
    <t>Able = Ready (adj)</t>
  </si>
  <si>
    <t>Enchantment cards with a resource or recruit cost of 4 or less cost 1 endurance to play. Enchantment cards with a resource or recruit cost of 5 or more cost 2 endurance to play.</t>
  </si>
  <si>
    <r>
      <rPr>
        <b/>
        <sz val="11"/>
        <color rgb="FF000000"/>
        <rFont val="Calibri"/>
        <family val="2"/>
        <charset val="1"/>
      </rPr>
      <t>Phoenix Five</t>
    </r>
    <r>
      <rPr>
        <sz val="11"/>
        <color rgb="FF000000"/>
        <rFont val="Calibri"/>
        <family val="2"/>
        <charset val="1"/>
      </rPr>
      <t> </t>
    </r>
  </si>
  <si>
    <t>All thine army = All characters you control</t>
  </si>
  <si>
    <t>Certain effects allow an Enchantment plot twist to be played from the KO'd pile. After one is played this way, it must be placed in the removed from game zone.</t>
  </si>
  <si>
    <t>Plot twists with the version Phoenix Five may be played only if you control a Phoenix character and no other characters.</t>
  </si>
  <si>
    <t>Asgardian warrior = Asgardians attacker</t>
  </si>
  <si>
    <t>Be attack'd = Defends</t>
  </si>
  <si>
    <t>Be spent by a foe's treachery = Is exhausted by an opposing effect</t>
  </si>
  <si>
    <t>Cast X +1/+1 stones = Remove X +1/+1 counters</t>
  </si>
  <si>
    <t>Dismiss thy foe's paid treachery = Negate target payment effect</t>
  </si>
  <si>
    <t>Dismiss thy foe's twist'd treachery = Negate target effect from a non-ongoing plot twist</t>
  </si>
  <si>
    <t>Doth appear = Enters play</t>
  </si>
  <si>
    <t>Doth attack a foe = Attacks a character</t>
  </si>
  <si>
    <t>Doth become stricken = Becomes stunned</t>
  </si>
  <si>
    <t>Doth usurp yon foe's powers = Gains target character's powers and keywords</t>
  </si>
  <si>
    <t>Endeth this skirmish = Remove all defenders from this attack</t>
  </si>
  <si>
    <t>Endure thy foes' treachery = Be the target of opposing effects</t>
  </si>
  <si>
    <t>Enemies that dare engage = Opposing characters in combat with</t>
  </si>
  <si>
    <t>Engage a foe = Enter combat</t>
  </si>
  <si>
    <t>Fetch yon card = Return target card</t>
  </si>
  <si>
    <t>Foe = Opponent or opposing character</t>
  </si>
  <si>
    <t>From the field = From play</t>
  </si>
  <si>
    <t xml:space="preserve">Hearty = Unstunned </t>
  </si>
  <si>
    <t>Hearty warrior = Unstunned character</t>
  </si>
  <si>
    <t>Hurl X = KO X (a Hammer equipment)</t>
  </si>
  <si>
    <t>If thou dost = If you do</t>
  </si>
  <si>
    <t>In all places = In all zones</t>
  </si>
  <si>
    <t>In thine attack = During your attack step</t>
  </si>
  <si>
    <t>In thy charge = Under your control</t>
  </si>
  <si>
    <t>Lay it in thy row = Put it face down into your resource row</t>
  </si>
  <si>
    <t>Let X be summon'd = Search your deck for X (an equipment) and equip it (to the character)</t>
  </si>
  <si>
    <t>May not engage thy foe = Can't attack</t>
  </si>
  <si>
    <t>Pile = KO'd pile</t>
  </si>
  <si>
    <t>Pitch = Discard</t>
  </si>
  <si>
    <t>Place X +1/+1 stones = Put X +1/+1 counters</t>
  </si>
  <si>
    <t>Prepare for battle = Ready (v)</t>
  </si>
  <si>
    <t>Rank = Cost</t>
  </si>
  <si>
    <t>Revive = Recover</t>
  </si>
  <si>
    <t>Sacrifice = KO (a character)</t>
  </si>
  <si>
    <t>Skirmish = Attack</t>
  </si>
  <si>
    <t>Spent = Exhausted</t>
  </si>
  <si>
    <t>Stricken = Stunned (adj)</t>
  </si>
  <si>
    <t>Strike down = Stun</t>
  </si>
  <si>
    <t>Struck down = Stunned (v)</t>
  </si>
  <si>
    <t>Thou = You</t>
  </si>
  <si>
    <t>Thou mayest sacrifice a resource = You may KO a resource</t>
  </si>
  <si>
    <t>Thou turnest X = You flip X</t>
  </si>
  <si>
    <t>Thy/thine = Your (thy if next word starts with consonant)</t>
  </si>
  <si>
    <t>Use not amid combat = Use only in the build or recovery phase</t>
  </si>
  <si>
    <t>Use not lest = Use this power only if</t>
  </si>
  <si>
    <t>Use not 'til combat doth conclude = Use only in the recovery phase</t>
  </si>
  <si>
    <t>Use not twice = Use only once</t>
  </si>
  <si>
    <t>When combat doth commence = At the start of the combat phase</t>
  </si>
  <si>
    <t>When thine attack doth commence = At the start of your next attack step</t>
  </si>
  <si>
    <t>When thou dost assemble thy forces next turn = At the start of your next recruit step</t>
  </si>
  <si>
    <t>Whene'er X doth become stricken = Whenever X becomes stunned</t>
  </si>
  <si>
    <t>While arm'd = While equipped</t>
  </si>
  <si>
    <t>Wield a Hammer = Are equipped with a Hammer</t>
  </si>
  <si>
    <t>Yon = Target</t>
  </si>
  <si>
    <t>Checkmate Kree</t>
  </si>
  <si>
    <t>Live Kree Or Die</t>
  </si>
  <si>
    <t>Knight's Gambit</t>
  </si>
  <si>
    <t>Harvey Bullock DLS</t>
  </si>
  <si>
    <t>Aunt May MTU</t>
  </si>
  <si>
    <t>Aunt May MSM</t>
  </si>
  <si>
    <t>Black Panther MXM</t>
  </si>
  <si>
    <t>Spider-Man T4 Sensational</t>
  </si>
  <si>
    <t>Enemy of My enemy</t>
  </si>
  <si>
    <t>SpiderMan T6 MMK</t>
  </si>
  <si>
    <t>Iceman T6</t>
  </si>
  <si>
    <t>Clone Saga</t>
  </si>
  <si>
    <t>Starfire T7</t>
  </si>
  <si>
    <t>Aquaman T7</t>
  </si>
  <si>
    <t>Aquaman T6</t>
  </si>
  <si>
    <t>Dr Polaris</t>
  </si>
  <si>
    <t>Deadshot DJL T2</t>
  </si>
  <si>
    <t>Deadshot DCR T2</t>
  </si>
  <si>
    <t>Wonder Woman</t>
  </si>
  <si>
    <t>Aquaman T4 T4 DCL</t>
  </si>
  <si>
    <t>The Society</t>
  </si>
  <si>
    <t>Dr Sivana</t>
  </si>
  <si>
    <t>Martian Manhunter T8 DCL</t>
  </si>
  <si>
    <t>Doomsday T7 DCL</t>
  </si>
  <si>
    <t>Wally West T5</t>
  </si>
  <si>
    <t>DC Society</t>
  </si>
  <si>
    <t>Rock Of Eternity</t>
  </si>
  <si>
    <t>Fantasticar 2,0</t>
  </si>
  <si>
    <t>Comissioner Gordon DOR</t>
  </si>
  <si>
    <t>Thing T3 Mvl</t>
  </si>
  <si>
    <t>Deathstroke t7</t>
  </si>
  <si>
    <t>Harvey bullock dls</t>
  </si>
  <si>
    <t>Doom IG</t>
  </si>
  <si>
    <t>Madrox Rocket</t>
  </si>
  <si>
    <t>Worldship</t>
  </si>
  <si>
    <t>Worldeater apparatus</t>
  </si>
  <si>
    <t>Ultimate nullifier mhg</t>
  </si>
  <si>
    <t>Captain Marvel T8 DCR</t>
  </si>
  <si>
    <t>House of Secrets</t>
  </si>
  <si>
    <t>ElektraKill</t>
  </si>
  <si>
    <t>Multiple Man MXM</t>
  </si>
  <si>
    <t>Rocket Racer</t>
  </si>
  <si>
    <t>Coast City</t>
  </si>
  <si>
    <t>Teen Bot</t>
  </si>
  <si>
    <t>Superman/Batman Robot</t>
  </si>
  <si>
    <t>Barbara T3</t>
  </si>
  <si>
    <t>Commissioner Gordon DOR</t>
  </si>
  <si>
    <t>Cloack of Nabu</t>
  </si>
  <si>
    <t>Harvey Bullock DOR</t>
  </si>
  <si>
    <t>Evil Punk School</t>
  </si>
  <si>
    <t>Barbara Gordon T3</t>
  </si>
  <si>
    <t>Scarecrow DJL IG</t>
  </si>
  <si>
    <t>Abra Kadabra T6 DCL</t>
  </si>
  <si>
    <t>The Hook-Up</t>
  </si>
  <si>
    <t>Wong</t>
  </si>
  <si>
    <t>Tanya Belinksya</t>
  </si>
  <si>
    <t>Elektra T4 MVL</t>
  </si>
  <si>
    <t>Samantha Parrington T4</t>
  </si>
  <si>
    <t>Mindtap Mechanism</t>
  </si>
  <si>
    <t>Pathetic Attemmpt</t>
  </si>
  <si>
    <t>High Evolutionnary</t>
  </si>
  <si>
    <t>Captain Boomrang T2 IG</t>
  </si>
  <si>
    <t>Gang Up</t>
  </si>
  <si>
    <t>At Their Finest</t>
  </si>
  <si>
    <t>Krypto TWF</t>
  </si>
  <si>
    <t>Skree</t>
  </si>
  <si>
    <t>Impervious</t>
  </si>
  <si>
    <t>Bat Got your Tongue</t>
  </si>
  <si>
    <t>Early Edition</t>
  </si>
  <si>
    <t>Kara Zor El T8 DWF</t>
  </si>
  <si>
    <t>Power Girl T4</t>
  </si>
  <si>
    <t>Superman T5 DWF</t>
  </si>
  <si>
    <t>Maggie Sawyer</t>
  </si>
  <si>
    <t>Switch New/Next si Ban  dans BYOTT</t>
  </si>
  <si>
    <t>CheckLife</t>
  </si>
  <si>
    <t>Shaterax</t>
  </si>
  <si>
    <t>Neutralization Protocol</t>
  </si>
  <si>
    <t>Unravel Reality</t>
  </si>
  <si>
    <t>The Hook-up</t>
  </si>
  <si>
    <t>Dark Lantern T2</t>
  </si>
  <si>
    <t>Price of Treason</t>
  </si>
  <si>
    <t>Outsiders</t>
  </si>
  <si>
    <t>Franklin Richards</t>
  </si>
  <si>
    <t>Spider-Man T4 Sens</t>
  </si>
  <si>
    <t>Michael Collins</t>
  </si>
  <si>
    <t>Korath the pursuer</t>
  </si>
  <si>
    <t>Daredevil T6</t>
  </si>
  <si>
    <t>Dr Doom T6</t>
  </si>
  <si>
    <t>Spiderman T7MTU</t>
  </si>
  <si>
    <t>T8</t>
  </si>
  <si>
    <t>Trial by Jury</t>
  </si>
  <si>
    <t>Armageddon</t>
  </si>
  <si>
    <t>Steely Resolve</t>
  </si>
  <si>
    <t>Slobberin time</t>
  </si>
  <si>
    <t>Stryker's Island</t>
  </si>
  <si>
    <t>Blue Area of the moon</t>
  </si>
  <si>
    <t>Ego the living planet</t>
  </si>
  <si>
    <t>Stak tower</t>
  </si>
  <si>
    <t>31st Century metropolis</t>
  </si>
  <si>
    <t>BPRD Signal device</t>
  </si>
  <si>
    <t>Carnage t7</t>
  </si>
  <si>
    <t>Apokaliptican Zealot</t>
  </si>
  <si>
    <t>Parademon's Elite</t>
  </si>
  <si>
    <t>Unreavel Reality</t>
  </si>
  <si>
    <t>Created from Hate</t>
  </si>
  <si>
    <t>VenomBurn</t>
  </si>
  <si>
    <t>Winslow Schott</t>
  </si>
  <si>
    <t>Winslow Schott T1 DWF</t>
  </si>
  <si>
    <t>Prof Emil Hamlton T3</t>
  </si>
  <si>
    <t>Johnny Blaze T4 MTU</t>
  </si>
  <si>
    <t>Venom T5 MTU</t>
  </si>
  <si>
    <t>Brainiac Squad</t>
  </si>
  <si>
    <t>Injustice Light</t>
  </si>
  <si>
    <t>Crime Skull</t>
  </si>
  <si>
    <t>Exiled Mimic</t>
  </si>
  <si>
    <t>Prof Xmen Discard</t>
  </si>
  <si>
    <t>Green Bolt</t>
  </si>
  <si>
    <t>Aim Agents</t>
  </si>
  <si>
    <t>Prof X T1 MUN</t>
  </si>
  <si>
    <t>Brainiac 13</t>
  </si>
  <si>
    <t>The Hand T1 MUN</t>
  </si>
  <si>
    <t>Forge T2 MEV</t>
  </si>
  <si>
    <t>Emil hamilton t3</t>
  </si>
  <si>
    <t>Sin T2 MUN</t>
  </si>
  <si>
    <t>Prof X T2 MVL</t>
  </si>
  <si>
    <t>Dr Light T3 DGL</t>
  </si>
  <si>
    <t>Red Sull T2</t>
  </si>
  <si>
    <t>Iceman T3 MEV</t>
  </si>
  <si>
    <t>Dr Light T4 DJL</t>
  </si>
  <si>
    <t>Metalllo T4 DSM</t>
  </si>
  <si>
    <t>James Barnes T3</t>
  </si>
  <si>
    <t>Radioactive Man T3 MUN</t>
  </si>
  <si>
    <t>Dr Light T4 DCL</t>
  </si>
  <si>
    <t>Brainiac 5.1 T5</t>
  </si>
  <si>
    <t>Rogue T4 mvl</t>
  </si>
  <si>
    <t>Green Goblin T4 MEX</t>
  </si>
  <si>
    <t>Brainiac  2.5 T5</t>
  </si>
  <si>
    <t>Master Man</t>
  </si>
  <si>
    <t xml:space="preserve"> Dr Light T6 DOR</t>
  </si>
  <si>
    <t>Kingpin T4</t>
  </si>
  <si>
    <t>Mimic T4</t>
  </si>
  <si>
    <t>Green Goblin T5 MUN</t>
  </si>
  <si>
    <t>Brainiac 2.5 T6</t>
  </si>
  <si>
    <t>Red Sull T5</t>
  </si>
  <si>
    <t>Mimic T6 MEV</t>
  </si>
  <si>
    <t>Prof X T4 MXM</t>
  </si>
  <si>
    <t>Green Goblin T5 MSM</t>
  </si>
  <si>
    <t>Vandal Savage</t>
  </si>
  <si>
    <t>Lex Luthor T6 DSM</t>
  </si>
  <si>
    <t>Kingpin T5</t>
  </si>
  <si>
    <t>Rachel Summers T5 mev</t>
  </si>
  <si>
    <t>Agamemno</t>
  </si>
  <si>
    <t>Brainiac 12 T6</t>
  </si>
  <si>
    <t>Mr Fear</t>
  </si>
  <si>
    <t>Prof X T5 MOR</t>
  </si>
  <si>
    <t>Brainiac 13 T7</t>
  </si>
  <si>
    <t>Baron Strucker</t>
  </si>
  <si>
    <t>Heroic Effort</t>
  </si>
  <si>
    <t>Doomsday T8</t>
  </si>
  <si>
    <t>Taskmaster</t>
  </si>
  <si>
    <t>Five in one</t>
  </si>
  <si>
    <t>Emma Frost T6</t>
  </si>
  <si>
    <t>Hulk T7 MTU</t>
  </si>
  <si>
    <t>Comon Bond</t>
  </si>
  <si>
    <t>Mimic T6 mvl</t>
  </si>
  <si>
    <t>Marvel Most Wanted</t>
  </si>
  <si>
    <t>Red Skull T7</t>
  </si>
  <si>
    <t>Prof X T7 MVL</t>
  </si>
  <si>
    <t>The Sleeper</t>
  </si>
  <si>
    <t>Cyclops T8</t>
  </si>
  <si>
    <t>New Identity</t>
  </si>
  <si>
    <t>Hired Hit</t>
  </si>
  <si>
    <t>Prof X T8</t>
  </si>
  <si>
    <t xml:space="preserve"> Mobilize</t>
  </si>
  <si>
    <t>Code White</t>
  </si>
  <si>
    <t>Straight to the grave</t>
  </si>
  <si>
    <t xml:space="preserve"> Dirty Tricks</t>
  </si>
  <si>
    <t>Armored Escort</t>
  </si>
  <si>
    <t>To Me My X-Men</t>
  </si>
  <si>
    <t>Imprisoned in the source</t>
  </si>
  <si>
    <t>Death of Superman</t>
  </si>
  <si>
    <t>Realm of mind</t>
  </si>
  <si>
    <t>Neverending Battle</t>
  </si>
  <si>
    <t>Xavier School</t>
  </si>
  <si>
    <t>Hostile takeover</t>
  </si>
  <si>
    <t>Underground laboratory</t>
  </si>
  <si>
    <t>Prof X Mansion</t>
  </si>
  <si>
    <t>Knowledge is power</t>
  </si>
  <si>
    <t>State of the Union</t>
  </si>
  <si>
    <t>Prof X School of higher</t>
  </si>
  <si>
    <t>Bizarro Ray</t>
  </si>
  <si>
    <t>Hostage Situation</t>
  </si>
  <si>
    <t>World's Wostest</t>
  </si>
  <si>
    <t>Knowledge is Power</t>
  </si>
  <si>
    <t>Fatal Weakness</t>
  </si>
  <si>
    <t>Hidden Agenda</t>
  </si>
  <si>
    <t>Imprisoned in the Source</t>
  </si>
  <si>
    <t>The Rapture</t>
  </si>
  <si>
    <t>The Order</t>
  </si>
  <si>
    <t>Iceman T1 MTU</t>
  </si>
  <si>
    <t>Johnny Walker T2 MTU</t>
  </si>
  <si>
    <t>Consulting the Orb</t>
  </si>
  <si>
    <t>A proud Zinco product</t>
  </si>
  <si>
    <t>Astral Supression</t>
  </si>
  <si>
    <t>Lizard MTU</t>
  </si>
  <si>
    <t>Slyde</t>
  </si>
  <si>
    <t>Fusion</t>
  </si>
  <si>
    <t>Doppleganger</t>
  </si>
  <si>
    <t>Answer</t>
  </si>
  <si>
    <t>Luna Maximof</t>
  </si>
  <si>
    <t>Crystal T3</t>
  </si>
  <si>
    <t>Human Torch T3</t>
  </si>
  <si>
    <t>Carnage T4 MTU</t>
  </si>
  <si>
    <t xml:space="preserve">Demonic Association </t>
  </si>
  <si>
    <t>The Contract</t>
  </si>
  <si>
    <t>Legacy of Evil</t>
  </si>
  <si>
    <t>Alien Symbiote</t>
  </si>
  <si>
    <t>Halo</t>
  </si>
  <si>
    <t>Owen Mercer</t>
  </si>
  <si>
    <t>Grace</t>
  </si>
  <si>
    <t>Kimyo Hoshi T3</t>
  </si>
  <si>
    <t>Batman T4 DWF</t>
  </si>
  <si>
    <t>Batman and the Outsiders</t>
  </si>
  <si>
    <t>Betrayal of trust</t>
  </si>
  <si>
    <t>Soul Slicer</t>
  </si>
  <si>
    <t>Recruiting Drive</t>
  </si>
  <si>
    <t>Booze Elementals</t>
  </si>
  <si>
    <t>Optitron Corporation</t>
  </si>
  <si>
    <t>SuperToolbox</t>
  </si>
  <si>
    <t>Speedball is Dead</t>
  </si>
  <si>
    <t>Titans of Tomorrow</t>
  </si>
  <si>
    <t>Bat  Signal</t>
  </si>
  <si>
    <t>Aquaman  T4 DCL</t>
  </si>
  <si>
    <t>Random Quick</t>
  </si>
  <si>
    <t>Random</t>
  </si>
  <si>
    <t>Terra T2</t>
  </si>
  <si>
    <t>Bette Kane DCL</t>
  </si>
  <si>
    <t>Mr Sinister T5</t>
  </si>
  <si>
    <t>She Hulk T5</t>
  </si>
  <si>
    <t>The Sentry</t>
  </si>
  <si>
    <t>Trouble with dinosaurs</t>
  </si>
  <si>
    <t>Human Torch MCG T6</t>
  </si>
  <si>
    <t>Alias Investigaton</t>
  </si>
  <si>
    <t xml:space="preserve">Karnak </t>
  </si>
  <si>
    <t>Triton</t>
  </si>
  <si>
    <t xml:space="preserve"> time thief</t>
  </si>
  <si>
    <t>Check Got In</t>
  </si>
  <si>
    <t>Subdarkseid</t>
  </si>
  <si>
    <t>time thief</t>
  </si>
  <si>
    <t>eye of agamotto</t>
  </si>
  <si>
    <t>Senyaka T2</t>
  </si>
  <si>
    <t>Senyaka T3</t>
  </si>
  <si>
    <t>SubSeid</t>
  </si>
  <si>
    <t>Dawn Granger</t>
  </si>
  <si>
    <t>Apokaliptian Zealots</t>
  </si>
  <si>
    <t>Holly Granger</t>
  </si>
  <si>
    <t>Dark Fury</t>
  </si>
  <si>
    <t>Joining The Darkseid</t>
  </si>
  <si>
    <t>Curse of Darkness</t>
  </si>
  <si>
    <t xml:space="preserve"> Beetle &lt;&gt; Mach 1, Reluctant Hero (Thunderbolts)</t>
  </si>
  <si>
    <t>Speedball T1</t>
  </si>
  <si>
    <t>Speed Demon T1</t>
  </si>
  <si>
    <t>Taskmaster T3</t>
  </si>
  <si>
    <t>Kyle Richmond T3 MTU</t>
  </si>
  <si>
    <t>Karla Sofen T3</t>
  </si>
  <si>
    <t>Swordsman T2</t>
  </si>
  <si>
    <t>Act of Face</t>
  </si>
  <si>
    <t>Yellowjacket, Rita DeMara (Masters of Evil)</t>
  </si>
  <si>
    <t>Beetle, Armorsmith (Masters of Evil)</t>
  </si>
  <si>
    <t>Faces of Evil, Team-Up</t>
  </si>
  <si>
    <t>Blackbird Blue, Unique</t>
  </si>
  <si>
    <t>Kid Devil DLS</t>
  </si>
  <si>
    <t>Duela Dent DLS</t>
  </si>
  <si>
    <t>Connie Webb, Knight (Checkmate)</t>
  </si>
  <si>
    <t>Ahmed Samsarra, White King (Checkmate)</t>
  </si>
  <si>
    <t>Quicksilver T2 MVL</t>
  </si>
  <si>
    <t>Huntress, Reluctant Queen (Checkmate)</t>
  </si>
  <si>
    <t>Juggernaut T4</t>
  </si>
  <si>
    <t>Mystique T6 MXM</t>
  </si>
  <si>
    <t>The Uni-Power</t>
  </si>
  <si>
    <t xml:space="preserve"> Checkmate Safe House</t>
  </si>
  <si>
    <t>Nth Metal</t>
  </si>
  <si>
    <t>Check Tus</t>
  </si>
  <si>
    <t>Human Torch T4</t>
  </si>
  <si>
    <t>Air Walker T5</t>
  </si>
  <si>
    <t>Firelord T6</t>
  </si>
  <si>
    <t>Tyrant T8</t>
  </si>
  <si>
    <t>Sensei T6</t>
  </si>
  <si>
    <t>Losing The Arguments</t>
  </si>
  <si>
    <t>Moutain Stronghold</t>
  </si>
  <si>
    <t>Hank Pym P1 MUN</t>
  </si>
  <si>
    <t>Lady Deathstrike</t>
  </si>
  <si>
    <t>Call In a Favor</t>
  </si>
  <si>
    <t>Wonder Man T6 MAV</t>
  </si>
  <si>
    <t>She Hulk T5 MUN</t>
  </si>
  <si>
    <t>Heroes In Reserve</t>
  </si>
  <si>
    <t>Atlantis Attacks!</t>
  </si>
  <si>
    <t>Hawkeye T4 MAV</t>
  </si>
  <si>
    <t>Human Torch, Secret Avenger</t>
  </si>
  <si>
    <t>Natasha Romanoff T2  MAV</t>
  </si>
  <si>
    <t>Hawkeye, Secret Avenger</t>
  </si>
  <si>
    <t>Rick Jones T1</t>
  </si>
  <si>
    <t>Dawn Granger T1</t>
  </si>
  <si>
    <t>Holly granger T2</t>
  </si>
  <si>
    <t>Blink T1</t>
  </si>
  <si>
    <t>Duela Dent T1</t>
  </si>
  <si>
    <t>Kid Devil</t>
  </si>
  <si>
    <t>The Omniverse</t>
  </si>
  <si>
    <t>Beak Save The Day</t>
  </si>
  <si>
    <t>Nocturne T2 MEV</t>
  </si>
  <si>
    <t>Mariko Yashida T3 MEV</t>
  </si>
  <si>
    <t>Proteus T2 MEV</t>
  </si>
  <si>
    <t>Mr Sinistre T1 MEV</t>
  </si>
  <si>
    <t>Vision T3 MEV</t>
  </si>
  <si>
    <t>The Great Taboo</t>
  </si>
  <si>
    <t>Speedball</t>
  </si>
  <si>
    <t>Hank Pym MUN</t>
  </si>
  <si>
    <t>Lady DeathStrike MUN</t>
  </si>
  <si>
    <t>thanagarian invasion</t>
  </si>
  <si>
    <t>the inu pwer</t>
  </si>
  <si>
    <t>Brotherhood Underworld</t>
  </si>
  <si>
    <t>Black Rose</t>
  </si>
  <si>
    <t>Meatmarket</t>
  </si>
  <si>
    <t>Illyana Rasputin T4</t>
  </si>
  <si>
    <t>Satanna</t>
  </si>
  <si>
    <t>Blackheart</t>
  </si>
  <si>
    <t>Death Embrace</t>
  </si>
  <si>
    <t>Secret So Runnaways</t>
  </si>
  <si>
    <t>Harvey Bullock T1 DLS</t>
  </si>
  <si>
    <t>Robotic Offensive</t>
  </si>
  <si>
    <t>Super Skrull</t>
  </si>
  <si>
    <t>messiah complex</t>
  </si>
  <si>
    <t>Have a blast</t>
  </si>
  <si>
    <t>Scarlet witch T5</t>
  </si>
  <si>
    <t>Uatu the watcher</t>
  </si>
  <si>
    <t>Future Technology</t>
  </si>
  <si>
    <t>Thing T3 MOR</t>
  </si>
  <si>
    <t>Book of oa</t>
  </si>
  <si>
    <t>Jade</t>
  </si>
  <si>
    <t>Central power battery</t>
  </si>
  <si>
    <t>Blue area of the moon</t>
  </si>
  <si>
    <t>JLA Aquaman</t>
  </si>
  <si>
    <t>Adam Strange T2</t>
  </si>
  <si>
    <t>Barbara Gordon T2 DJL</t>
  </si>
  <si>
    <t>Aquaman T3 DJL</t>
  </si>
  <si>
    <t>Martian Manhunter T8 DJL</t>
  </si>
  <si>
    <t>Nyssa Raatko T6 DLS</t>
  </si>
  <si>
    <t>Lady Shiva T7 DOR</t>
  </si>
  <si>
    <t>Losing the argument</t>
  </si>
  <si>
    <t>Spiderman T7 MTU</t>
  </si>
  <si>
    <t>Kelex T2 DJL</t>
  </si>
  <si>
    <t>Lois Lane DSM</t>
  </si>
  <si>
    <t>Kara Zor El T7</t>
  </si>
  <si>
    <t>For the Man who has everything</t>
  </si>
  <si>
    <t>Roy Haper T3 DCL</t>
  </si>
  <si>
    <t>Demongoblin T5</t>
  </si>
  <si>
    <t>Dweller in the dark</t>
  </si>
  <si>
    <t>Rogue T3 MOR</t>
  </si>
  <si>
    <t>Dick Grayson T6 DOR</t>
  </si>
  <si>
    <t>Tim Drake T2 DOR GK</t>
  </si>
  <si>
    <t>MXM Brotherood</t>
  </si>
  <si>
    <t>Dormamu T7</t>
  </si>
  <si>
    <t>Bat Mite</t>
  </si>
  <si>
    <t>Falcon</t>
  </si>
  <si>
    <t>Ares</t>
  </si>
  <si>
    <t>Above The Law</t>
  </si>
  <si>
    <t>Dr Strange t2</t>
  </si>
  <si>
    <t>Central Power Battery</t>
  </si>
  <si>
    <t>X-Corporation</t>
  </si>
  <si>
    <t>Batman t3 dcl</t>
  </si>
  <si>
    <t>Four Freedoms Plaza</t>
  </si>
  <si>
    <t>Invisible Woman-The Invisible Girl</t>
  </si>
  <si>
    <t>Uatu the Watcher, He Who Watches </t>
  </si>
  <si>
    <t>Mr. Fantastic-Reed Richards </t>
  </si>
  <si>
    <t>Namorita, Atlantean Warrior Princess</t>
  </si>
  <si>
    <t>Human Torch - Sparky</t>
  </si>
  <si>
    <t>Dr. Strange, Ally of The Four </t>
  </si>
  <si>
    <t>The Pogo Plane </t>
  </si>
  <si>
    <t> Fantasticar </t>
  </si>
  <si>
    <t>Future Technology </t>
  </si>
  <si>
    <t>Flamethrower </t>
  </si>
  <si>
    <t>Eye of Agamotto, Uniqu</t>
  </si>
  <si>
    <t>Dark Lantern, Mockery</t>
  </si>
  <si>
    <t>Huntress, Vicious Vigilante</t>
  </si>
  <si>
    <t>Dark Firestorm, Mockery</t>
  </si>
  <si>
    <t>Barbara Gordon &lt;&gt; Oracle, Hacker Elite</t>
  </si>
  <si>
    <t>Joining the Darkseid, Team-Up</t>
  </si>
  <si>
    <t>The Penguin, Gentleman of Crime</t>
  </si>
  <si>
    <t>Catwoman, Cat o' Nine Tails</t>
  </si>
  <si>
    <t>Johnny Quick, Earth 3</t>
  </si>
  <si>
    <t>Superwoman, Earth 3</t>
  </si>
  <si>
    <t>Owlman, Earth 3</t>
  </si>
  <si>
    <t>Black Manta, Deepwater Denizen</t>
  </si>
  <si>
    <t>Jemm, Son of Saturn</t>
  </si>
  <si>
    <t>Ultraman, Earth 3</t>
  </si>
  <si>
    <t>White Martian, Earth 3</t>
  </si>
  <si>
    <t>Prometheus, New Year's Evil</t>
  </si>
  <si>
    <t>Skreeeeeee!</t>
  </si>
  <si>
    <t>Devastating Blow</t>
  </si>
  <si>
    <t>Hunte Castle</t>
  </si>
  <si>
    <t>Lockjaw - Inhuman's Best Friend</t>
  </si>
  <si>
    <t>Luna Maximoff - Only Human</t>
  </si>
  <si>
    <t>Quicksilver - Inhuman by Marriage</t>
  </si>
  <si>
    <t>Electro - Shock Jock</t>
  </si>
  <si>
    <t>Vulture - Aerial Stalker</t>
  </si>
  <si>
    <t>Slyde - Jalome Beacher</t>
  </si>
  <si>
    <t>Fusion - Markley</t>
  </si>
  <si>
    <t>Spider-Slayer V.X. - Arachnid Hunter</t>
  </si>
  <si>
    <t>Razorfist - Sociopathic Mercenary</t>
  </si>
  <si>
    <t>Doppelganger - Killer Clone</t>
  </si>
  <si>
    <t>The Vault</t>
  </si>
  <si>
    <t>The Contract - Team-Up</t>
  </si>
  <si>
    <t>Legacy Of Evil</t>
  </si>
  <si>
    <t>Mega-Blast</t>
  </si>
  <si>
    <t>Kill Or Be Killed</t>
  </si>
  <si>
    <t>Goblin Glider</t>
  </si>
  <si>
    <t>T-Jet - Tamaranian Fighter</t>
  </si>
  <si>
    <t>Random Punks - Army</t>
  </si>
  <si>
    <t>Professor Ivo - Anthony Ivo</t>
  </si>
  <si>
    <t>Black Mask - Roman Sionis</t>
  </si>
  <si>
    <t>Queen of Fables  Wickedest Witch</t>
  </si>
  <si>
    <t>Guy Gardner  Warrior</t>
  </si>
  <si>
    <t>Dr. Doom  Richards Rival</t>
  </si>
  <si>
    <t>Mojo  Ruler of Mojoworld</t>
  </si>
  <si>
    <t>Felix Faust  Infernal Dealmaker</t>
  </si>
  <si>
    <t>Kanjar Ro  Kylaq defense minister</t>
  </si>
  <si>
    <t>Light Brigade  Construct</t>
  </si>
  <si>
    <t>Lost in Translation</t>
  </si>
  <si>
    <t>Mosaic World</t>
  </si>
  <si>
    <t>Lair of the Mastermind</t>
  </si>
  <si>
    <t>IQ, Ira Quimby</t>
  </si>
  <si>
    <t>Dr. Doom, Diaboloical Genius</t>
  </si>
  <si>
    <t>Criminal Masterminds</t>
  </si>
  <si>
    <t>Lockjaw, Inhuman's Best Friend</t>
  </si>
  <si>
    <t>Black Bolt, Enemy Within</t>
  </si>
  <si>
    <t>Alpha Primates</t>
  </si>
  <si>
    <t>Franklin Richards, Creator of Counter-Earth</t>
  </si>
  <si>
    <t>Warskrull, Skrull Infiltrator</t>
  </si>
  <si>
    <t>Quickilver, Ihuman by Marriage</t>
  </si>
  <si>
    <t>Wolverine, Skrullknucklehead</t>
  </si>
  <si>
    <t>Tonaja, The Responsible One</t>
  </si>
  <si>
    <t>Crystal, Elementelle</t>
  </si>
  <si>
    <t>Human Torch, Sparky</t>
  </si>
  <si>
    <t>Ethan Edwards, Visitor From Another World</t>
  </si>
  <si>
    <t>Dewoz, Dark Reflection</t>
  </si>
  <si>
    <t>Paibok, The Power Skrull</t>
  </si>
  <si>
    <t>It's Slobberin' Time</t>
  </si>
  <si>
    <t>Electric Eve, Livewire</t>
  </si>
  <si>
    <t>Quicksilver, Inhuman By Marriage</t>
  </si>
  <si>
    <t>Ape X, Xina</t>
  </si>
  <si>
    <t>Mikado and Mosha, Angels</t>
  </si>
  <si>
    <t>Speedball, Painmonger</t>
  </si>
  <si>
    <t>Caliban, Pestilence</t>
  </si>
  <si>
    <t>Rictor, Julio Rictor</t>
  </si>
  <si>
    <t>Jester, Jonathan Powers</t>
  </si>
  <si>
    <t>Deathstroke, Lethal Weapon</t>
  </si>
  <si>
    <t>Wolverine, Covert Predator</t>
  </si>
  <si>
    <t>John Henry Irons, Steel Driving Man</t>
  </si>
  <si>
    <t>Lex Luthor, Motropolis Mogul</t>
  </si>
  <si>
    <t>Chomin, Qwardian Spy</t>
  </si>
  <si>
    <t>Xallarap, Anti-Green Lantern Corps</t>
  </si>
  <si>
    <t>Felix Faust, Infernal Dealmaker</t>
  </si>
  <si>
    <t>Fiero, Qwardian Conglomerate</t>
  </si>
  <si>
    <t>The Ring has Chosen</t>
  </si>
  <si>
    <t>Anti-Green Lantern</t>
  </si>
  <si>
    <t>Iron Fist, Secret Avenger</t>
  </si>
  <si>
    <t>Captain America, Secret Avenger</t>
  </si>
  <si>
    <t>Manhunter Protector, Army</t>
  </si>
  <si>
    <t>Manhunter Soldier, Army</t>
  </si>
  <si>
    <t>Manhunter Excavator, Army</t>
  </si>
  <si>
    <t>Sleeper Agent, Manhunter Sleeper</t>
  </si>
  <si>
    <t>Rocket Red, Manhunter Sleeper</t>
  </si>
  <si>
    <t>Qwardian Pincer</t>
  </si>
  <si>
    <t>Ole!</t>
  </si>
  <si>
    <t>Epic Battle</t>
  </si>
  <si>
    <t>Plans Within Plans</t>
  </si>
  <si>
    <t>Manhunter Science</t>
  </si>
  <si>
    <t>There is No Escape</t>
  </si>
  <si>
    <t>Cheetah, Feral Feline</t>
  </si>
  <si>
    <t>Terry Sloane &lt;&gt; Mr. Terrific, Golden Age Gold Medalist</t>
  </si>
  <si>
    <t>Dr. Pyscho, Mental Giant</t>
  </si>
  <si>
    <t>Ishmael Gregor &lt;&gt; Sabbac, Malevolent Marvel</t>
  </si>
  <si>
    <t>Zazzala &lt;&gt; Queen Bee, Mistress of the Hive</t>
  </si>
  <si>
    <t>Ted Grant &lt;&gt; Wildcat, Golden Age Pugilist</t>
  </si>
  <si>
    <t>The Calculator, Evil Oracle</t>
  </si>
  <si>
    <t>Deathstroke the Terminator, Lethal Weapon</t>
  </si>
  <si>
    <t>Sinestro, Villain Reborn</t>
  </si>
  <si>
    <t>Black Adam, Teth-Adam</t>
  </si>
  <si>
    <t>Die for Darkseid!</t>
  </si>
  <si>
    <t>No Man Escapes the Manhunter</t>
  </si>
  <si>
    <t>Return Fire!</t>
  </si>
  <si>
    <t>Ratcatcher, Otis Flannegan</t>
  </si>
  <si>
    <t>Manhunter Clone, Clone of Paul Kirk</t>
  </si>
  <si>
    <t>Tommy, Runaway</t>
  </si>
  <si>
    <t>The Phantom Stranger, Wandering Hero</t>
  </si>
  <si>
    <t>Jaime Reyes ◊ Blue Beetle</t>
  </si>
  <si>
    <t>Electric Eve, Live Wire</t>
  </si>
  <si>
    <t>Artie, Arthur Maddicks</t>
  </si>
  <si>
    <t>Copperhead, Slithering Assassin</t>
  </si>
  <si>
    <t>Rocket Racer, Robert Farrell</t>
  </si>
  <si>
    <t>Toad, Hopalong</t>
  </si>
  <si>
    <t>Speedball, Robert Baldwin</t>
  </si>
  <si>
    <t>Last Laugh</t>
  </si>
  <si>
    <t>   Penal Colony</t>
  </si>
  <si>
    <t>Dr. Minerva - Starforce</t>
  </si>
  <si>
    <t>Lieutenant Kona Lor - Lunatic Legion</t>
  </si>
  <si>
    <t>Captain Att-Lass - Starforce</t>
  </si>
  <si>
    <t>Neutralization Protocol &lt;&gt; OMAC Robot - Army</t>
  </si>
  <si>
    <t>Ultimus - Starforce</t>
  </si>
  <si>
    <t>Ronan the Accuser - Starforce</t>
  </si>
  <si>
    <t>Admiral Galen Kor - Lunatic Legion</t>
  </si>
  <si>
    <t>Bron Char - Lunatic Legion</t>
  </si>
  <si>
    <t>Commander Dylon Cir - Lunatic Legion</t>
  </si>
  <si>
    <t>Colonel Yon-Rogg - Commander of the Helion</t>
  </si>
  <si>
    <t>Ahmed Samsarra - White King</t>
  </si>
  <si>
    <t>Annihilation Protocol &lt;&gt; OMAC Robot - Army</t>
  </si>
  <si>
    <t>Shatterax - Starforce</t>
  </si>
  <si>
    <t>Huntress - Reluctant Queen</t>
  </si>
  <si>
    <t>lockjaw</t>
  </si>
  <si>
    <t>Ahura</t>
  </si>
  <si>
    <t>Silver Surfer, Skyrider of the Spaceways</t>
  </si>
  <si>
    <t>Serifan</t>
  </si>
  <si>
    <t>Beautiful Dreamer</t>
  </si>
  <si>
    <t>Galactus</t>
  </si>
  <si>
    <t>Forever People</t>
  </si>
  <si>
    <t>OU</t>
  </si>
  <si>
    <t>Above the law &lt;&gt; New bro</t>
  </si>
  <si>
    <t>Boot  to the Head &lt;&gt; Next Bro</t>
  </si>
  <si>
    <t>CHAR.</t>
  </si>
  <si>
    <t>PLOT</t>
  </si>
  <si>
    <t>LOC</t>
  </si>
  <si>
    <t>EQU</t>
  </si>
  <si>
    <t>NON-CHAR.</t>
  </si>
  <si>
    <t>TOTAL</t>
  </si>
  <si>
    <t>MAIN TEAMS</t>
  </si>
  <si>
    <t>SUPPORT TEAMS</t>
  </si>
  <si>
    <t>POUBELLE TEAMS</t>
  </si>
  <si>
    <t>TEAM 1</t>
  </si>
  <si>
    <t>Arkham Inmates</t>
  </si>
  <si>
    <t>exhaust power up insanity</t>
  </si>
  <si>
    <t>Alpha Flight</t>
  </si>
  <si>
    <t>TEAM 2</t>
  </si>
  <si>
    <t>Brotherhood</t>
  </si>
  <si>
    <t>Checkmate</t>
  </si>
  <si>
    <t>location</t>
  </si>
  <si>
    <t>Anti-Matter</t>
  </si>
  <si>
    <t>TEAM 3</t>
  </si>
  <si>
    <t>Fantastic Four</t>
  </si>
  <si>
    <t>Crime Lords</t>
  </si>
  <si>
    <t>polyvalent</t>
  </si>
  <si>
    <t>Asguard</t>
  </si>
  <si>
    <t>TEAM 4</t>
  </si>
  <si>
    <t>glee</t>
  </si>
  <si>
    <t>face down res. polyvalent</t>
  </si>
  <si>
    <t>Atlantis</t>
  </si>
  <si>
    <t>TEAM 5</t>
  </si>
  <si>
    <t>Injustice Gang</t>
  </si>
  <si>
    <t>Doom</t>
  </si>
  <si>
    <t>plot polyvalent</t>
  </si>
  <si>
    <t>BPRD</t>
  </si>
  <si>
    <t>TEAM 6</t>
  </si>
  <si>
    <t>JLA</t>
  </si>
  <si>
    <t>Futur Foes</t>
  </si>
  <si>
    <t>Birds of Prey</t>
  </si>
  <si>
    <t>TEAM A</t>
  </si>
  <si>
    <t>Marvel Knight</t>
  </si>
  <si>
    <t>Herald of Galactus</t>
  </si>
  <si>
    <t>Crisis</t>
  </si>
  <si>
    <t>TEAM B</t>
  </si>
  <si>
    <t>Secret Society</t>
  </si>
  <si>
    <t>Inhumans</t>
  </si>
  <si>
    <t>stall face-up res. polyvalent</t>
  </si>
  <si>
    <t>Deathstroke</t>
  </si>
  <si>
    <t>TEAM C</t>
  </si>
  <si>
    <t>JSA</t>
  </si>
  <si>
    <t>stall higher cost identity</t>
  </si>
  <si>
    <t>Doom Patrol</t>
  </si>
  <si>
    <t>UNAF.</t>
  </si>
  <si>
    <t>Teen Titans</t>
  </si>
  <si>
    <t>Kang Council</t>
  </si>
  <si>
    <t>Power up control</t>
  </si>
  <si>
    <t>Exiles</t>
  </si>
  <si>
    <t>X Men</t>
  </si>
  <si>
    <t>Kree</t>
  </si>
  <si>
    <t>swarm press</t>
  </si>
  <si>
    <t>Fearsome Five</t>
  </si>
  <si>
    <t>League of Assassins</t>
  </si>
  <si>
    <t>Loc</t>
  </si>
  <si>
    <t>Marvel Defenders</t>
  </si>
  <si>
    <t>backup stall control</t>
  </si>
  <si>
    <t>Hellfire Club</t>
  </si>
  <si>
    <t>Répartition en general des persos dans les main teams en Curve</t>
  </si>
  <si>
    <t>swarm team-atk</t>
  </si>
  <si>
    <t>Horsmen of Apocalypse</t>
  </si>
  <si>
    <t>COST 1/2</t>
  </si>
  <si>
    <t>COST 3</t>
  </si>
  <si>
    <t>COST 4</t>
  </si>
  <si>
    <t>COST 5</t>
  </si>
  <si>
    <t>COST 6/7/8</t>
  </si>
  <si>
    <t>Rajout Boost</t>
  </si>
  <si>
    <t>Revenge Squad</t>
  </si>
  <si>
    <t>ongoing</t>
  </si>
  <si>
    <t>Infinity Watch</t>
  </si>
  <si>
    <t>Sinister Syndicate</t>
  </si>
  <si>
    <t>bourin</t>
  </si>
  <si>
    <t>Invaders</t>
  </si>
  <si>
    <t>Team Superman</t>
  </si>
  <si>
    <t>stall</t>
  </si>
  <si>
    <t>Legionnaire</t>
  </si>
  <si>
    <t>Répartition edes couts des persos dans les main teams en Swarm/Weenie</t>
  </si>
  <si>
    <t>Thunderbolt</t>
  </si>
  <si>
    <t>+1/+1</t>
  </si>
  <si>
    <t>Manhunter</t>
  </si>
  <si>
    <t>Rajout boost</t>
  </si>
  <si>
    <t>Underworld</t>
  </si>
  <si>
    <t>KO pile</t>
  </si>
  <si>
    <t>Marauders</t>
  </si>
  <si>
    <t>Villains United</t>
  </si>
  <si>
    <t>bourin swarm</t>
  </si>
  <si>
    <t>Masters of Evil</t>
  </si>
  <si>
    <t>X Force</t>
  </si>
  <si>
    <t>Morlocks</t>
  </si>
  <si>
    <t>Gotham Knight</t>
  </si>
  <si>
    <t>Negative Zone</t>
  </si>
  <si>
    <t>New Gods</t>
  </si>
  <si>
    <t>Total Team up: 7  dans generic + 9 apportées par les teams</t>
  </si>
  <si>
    <t>Nextwave</t>
  </si>
  <si>
    <t>Phallanx</t>
  </si>
  <si>
    <t>Purifiers</t>
  </si>
  <si>
    <t>Runaways</t>
  </si>
  <si>
    <t>SHIELD</t>
  </si>
  <si>
    <t>Secret Six</t>
  </si>
  <si>
    <t>Shadowpact</t>
  </si>
  <si>
    <t>Shiar</t>
  </si>
  <si>
    <t>Skrull</t>
  </si>
  <si>
    <t>Speedforce</t>
  </si>
  <si>
    <t>Squadron Supreme</t>
  </si>
  <si>
    <t>Starjammers</t>
  </si>
  <si>
    <t>Tool Society</t>
  </si>
  <si>
    <t>United Front</t>
  </si>
  <si>
    <t>Warbound</t>
  </si>
  <si>
    <t>Weapon X</t>
  </si>
  <si>
    <t>X Factor</t>
  </si>
  <si>
    <t>X Statix</t>
  </si>
  <si>
    <t>JLI</t>
  </si>
  <si>
    <t>Perso</t>
  </si>
  <si>
    <t>Plot</t>
  </si>
  <si>
    <t>Equip</t>
  </si>
  <si>
    <t>DCR-180</t>
  </si>
  <si>
    <t>DJL-178</t>
  </si>
  <si>
    <t>Glass Jaw</t>
  </si>
  <si>
    <t>DCR-177</t>
  </si>
  <si>
    <t>MHG-179</t>
  </si>
  <si>
    <t>DCR-159</t>
  </si>
  <si>
    <t>MOR-214</t>
  </si>
  <si>
    <t>Savage beatdown</t>
  </si>
  <si>
    <t>MHG-182</t>
  </si>
  <si>
    <t>MSM-029</t>
  </si>
  <si>
    <t>Jet Pack</t>
  </si>
  <si>
    <t>MOR-170</t>
  </si>
  <si>
    <t>Puppet Master</t>
  </si>
  <si>
    <t>MUN-327</t>
  </si>
  <si>
    <t>DJL-148</t>
  </si>
  <si>
    <t>DGL-198</t>
  </si>
  <si>
    <t>EHB-009</t>
  </si>
  <si>
    <t>Kate Corrigan</t>
  </si>
  <si>
    <t>MEV-267</t>
  </si>
  <si>
    <t>MOR-098</t>
  </si>
  <si>
    <t>MXM-196</t>
  </si>
  <si>
    <t>EHB-040</t>
  </si>
  <si>
    <t>Ilsa Haupstein</t>
  </si>
  <si>
    <t>DCR-192</t>
  </si>
  <si>
    <t>DWF-204</t>
  </si>
  <si>
    <t>DJL-187</t>
  </si>
  <si>
    <t>MUN-264</t>
  </si>
  <si>
    <t>MOR-189</t>
  </si>
  <si>
    <t>MHG-080</t>
  </si>
  <si>
    <t>MVL-237</t>
  </si>
  <si>
    <t>MUN-284</t>
  </si>
  <si>
    <t>DOR-157</t>
  </si>
  <si>
    <t>MUN-294</t>
  </si>
  <si>
    <t>DGL-185</t>
  </si>
  <si>
    <t>MUN-285</t>
  </si>
  <si>
    <t>DGL-204</t>
  </si>
  <si>
    <t>MUN-295</t>
  </si>
  <si>
    <t>MOR-220</t>
  </si>
  <si>
    <t>MUN-307</t>
  </si>
  <si>
    <t>DCR-195</t>
  </si>
  <si>
    <t>Rann</t>
  </si>
  <si>
    <t>DCR-174</t>
  </si>
  <si>
    <t>DWF-209</t>
  </si>
  <si>
    <t>Cracskhot</t>
  </si>
  <si>
    <t>DCR-199</t>
  </si>
  <si>
    <t>DCR-175</t>
  </si>
  <si>
    <t>DJL-168</t>
  </si>
  <si>
    <t>MHG-199</t>
  </si>
  <si>
    <t>Battleworld</t>
  </si>
  <si>
    <t>DCR-176</t>
  </si>
  <si>
    <t>MOR-183</t>
  </si>
  <si>
    <t>MSM-150</t>
  </si>
  <si>
    <t>MOR-173</t>
  </si>
  <si>
    <t>MOR-174</t>
  </si>
  <si>
    <t>DOR-160</t>
  </si>
  <si>
    <t>MHG-180</t>
  </si>
  <si>
    <t>MTU-197</t>
  </si>
  <si>
    <t>MEX-014</t>
  </si>
  <si>
    <t>MOR-202</t>
  </si>
  <si>
    <t>MHG-178</t>
  </si>
  <si>
    <t>MTU-207</t>
  </si>
  <si>
    <t>What Are Friends For?</t>
  </si>
  <si>
    <t>MTU-211</t>
  </si>
  <si>
    <t>DLS-185</t>
  </si>
  <si>
    <t>level 12 intelligence</t>
  </si>
  <si>
    <t>MAV-120</t>
  </si>
  <si>
    <t>MMK-214</t>
  </si>
  <si>
    <t>meltdown</t>
  </si>
  <si>
    <t>MVL-235</t>
  </si>
  <si>
    <t>MUN-303</t>
  </si>
  <si>
    <t>Death of the dream</t>
  </si>
  <si>
    <t>DOR-153</t>
  </si>
  <si>
    <t>DCX-024</t>
  </si>
  <si>
    <t>Roshambo</t>
  </si>
  <si>
    <t>MUN-323</t>
  </si>
  <si>
    <t>MOR-206</t>
  </si>
  <si>
    <t>MCG-039</t>
  </si>
  <si>
    <t>Pathetic attempt</t>
  </si>
  <si>
    <t>MCG-038</t>
  </si>
  <si>
    <t>MTU-204</t>
  </si>
  <si>
    <t>Poker Night</t>
  </si>
  <si>
    <t>MUN-317</t>
  </si>
  <si>
    <t>No Retreat, No Surrender</t>
  </si>
  <si>
    <t>DLS-187</t>
  </si>
  <si>
    <t>MXM-194</t>
  </si>
  <si>
    <t>DWF-207</t>
  </si>
  <si>
    <t>DWF-212</t>
  </si>
  <si>
    <t>Jack In the box</t>
  </si>
  <si>
    <t>MOR-218</t>
  </si>
  <si>
    <t>MUN-326</t>
  </si>
  <si>
    <t>MUN-329</t>
  </si>
  <si>
    <t>DGL-201</t>
  </si>
  <si>
    <t>DJL-174</t>
  </si>
  <si>
    <t>DCR-191</t>
  </si>
  <si>
    <t>GENERIC</t>
  </si>
  <si>
    <t>Marvel Knights</t>
  </si>
  <si>
    <t>X-Men</t>
  </si>
  <si>
    <t>MAV-001</t>
  </si>
  <si>
    <t>Beast</t>
  </si>
  <si>
    <t>MEV-102</t>
  </si>
  <si>
    <t>MHG-154</t>
  </si>
  <si>
    <t>Valeria Von Doom</t>
  </si>
  <si>
    <t>DJL-085</t>
  </si>
  <si>
    <t>Illusionary Warriors</t>
  </si>
  <si>
    <t>DJL-062</t>
  </si>
  <si>
    <t>MMK-020</t>
  </si>
  <si>
    <t>DCL-161</t>
  </si>
  <si>
    <t>MTU-001</t>
  </si>
  <si>
    <t>DCL-066</t>
  </si>
  <si>
    <t>Bette Kane</t>
  </si>
  <si>
    <t>MOR-008</t>
  </si>
  <si>
    <t>Dazzler</t>
  </si>
  <si>
    <t>DGL-003</t>
  </si>
  <si>
    <t>MAV-021</t>
  </si>
  <si>
    <t>Rick Jones</t>
  </si>
  <si>
    <t>MEV-114</t>
  </si>
  <si>
    <t>MOR-050</t>
  </si>
  <si>
    <t>DCL-128</t>
  </si>
  <si>
    <t>The Penguin</t>
  </si>
  <si>
    <t>DJL-064</t>
  </si>
  <si>
    <t>MEQ-006</t>
  </si>
  <si>
    <t>DCL-168</t>
  </si>
  <si>
    <t>Dr. Polaris</t>
  </si>
  <si>
    <t>MEV-197</t>
  </si>
  <si>
    <t>Spider-Man</t>
  </si>
  <si>
    <t>DCL-079</t>
  </si>
  <si>
    <t>Mia Dearden</t>
  </si>
  <si>
    <t>MUN-280</t>
  </si>
  <si>
    <t>Professor X</t>
  </si>
  <si>
    <t>DGL-007</t>
  </si>
  <si>
    <t>MUN-019</t>
  </si>
  <si>
    <t>MXM-101</t>
  </si>
  <si>
    <t>Rem-Ram</t>
  </si>
  <si>
    <t>MVL-157</t>
  </si>
  <si>
    <t>H.E.R.B.I.E.</t>
  </si>
  <si>
    <t>DCL-132</t>
  </si>
  <si>
    <t>The Shade</t>
  </si>
  <si>
    <t>DCL-030</t>
  </si>
  <si>
    <t>VIxen</t>
  </si>
  <si>
    <t>MVL-103</t>
  </si>
  <si>
    <t>Black Widow</t>
  </si>
  <si>
    <t>DCR-219</t>
  </si>
  <si>
    <t>MSM-045</t>
  </si>
  <si>
    <t>DSM-136</t>
  </si>
  <si>
    <t>Roy Harper</t>
  </si>
  <si>
    <t>MVL-027</t>
  </si>
  <si>
    <t>DGL-023</t>
  </si>
  <si>
    <t>MAV-027</t>
  </si>
  <si>
    <t>Wasp</t>
  </si>
  <si>
    <t>MHG-209</t>
  </si>
  <si>
    <t>MOR-047</t>
  </si>
  <si>
    <t>Human Torch</t>
  </si>
  <si>
    <t>DJL-077</t>
  </si>
  <si>
    <t>Captain Boomerang</t>
  </si>
  <si>
    <t>DCR-217</t>
  </si>
  <si>
    <t>MVL-108</t>
  </si>
  <si>
    <t>Daredevil</t>
  </si>
  <si>
    <t>DCL-183</t>
  </si>
  <si>
    <t>MTU-003</t>
  </si>
  <si>
    <t>Blade</t>
  </si>
  <si>
    <t>DCL-067</t>
  </si>
  <si>
    <t>Bumblebee</t>
  </si>
  <si>
    <t>MEV-157</t>
  </si>
  <si>
    <t>DGL-062</t>
  </si>
  <si>
    <t>MAV-019</t>
  </si>
  <si>
    <t>Natasha Romanoff</t>
  </si>
  <si>
    <t>MEV-112</t>
  </si>
  <si>
    <t>MOR-055</t>
  </si>
  <si>
    <t>Mr. Fantastic</t>
  </si>
  <si>
    <t>DJL-088</t>
  </si>
  <si>
    <t>DJL-041</t>
  </si>
  <si>
    <t>MVL-124</t>
  </si>
  <si>
    <t>Punisher</t>
  </si>
  <si>
    <t>DJL-122</t>
  </si>
  <si>
    <t>Funky Flashman</t>
  </si>
  <si>
    <t>MSM-033</t>
  </si>
  <si>
    <t>Black Cat</t>
  </si>
  <si>
    <t>DOR-047</t>
  </si>
  <si>
    <t>MEV-003</t>
  </si>
  <si>
    <t>DGL-049</t>
  </si>
  <si>
    <t>Henry King Jr</t>
  </si>
  <si>
    <t>MEX-011</t>
  </si>
  <si>
    <t>MEV-115</t>
  </si>
  <si>
    <t>MOR-060</t>
  </si>
  <si>
    <t>She-Thing</t>
  </si>
  <si>
    <t>DJL-094</t>
  </si>
  <si>
    <t>Poison Ivy</t>
  </si>
  <si>
    <t>DJL-005</t>
  </si>
  <si>
    <t>MUN-010</t>
  </si>
  <si>
    <t>Dr. Strange</t>
  </si>
  <si>
    <t>DCL-159</t>
  </si>
  <si>
    <t>Charaxes</t>
  </si>
  <si>
    <t>MTU-002</t>
  </si>
  <si>
    <t>DCL-062</t>
  </si>
  <si>
    <t>Argent</t>
  </si>
  <si>
    <t>MEV-010</t>
  </si>
  <si>
    <t>Forge</t>
  </si>
  <si>
    <t>DGL-059</t>
  </si>
  <si>
    <t>MUN-004</t>
  </si>
  <si>
    <t>MXM-083</t>
  </si>
  <si>
    <t>MVL-151</t>
  </si>
  <si>
    <t>Ant-Man</t>
  </si>
  <si>
    <t>DCL-111</t>
  </si>
  <si>
    <t>Barracuda</t>
  </si>
  <si>
    <t>DCR-204</t>
  </si>
  <si>
    <t>Barbara Gordon</t>
  </si>
  <si>
    <t>MVL-104</t>
  </si>
  <si>
    <t>DCL-170</t>
  </si>
  <si>
    <t>Dr. Sivana</t>
  </si>
  <si>
    <t>MTU-014</t>
  </si>
  <si>
    <t>Night Trasher</t>
  </si>
  <si>
    <t>DCL-075</t>
  </si>
  <si>
    <t>Jericho</t>
  </si>
  <si>
    <t>MEV-245</t>
  </si>
  <si>
    <t>Nightcrawler</t>
  </si>
  <si>
    <t>DGL-038</t>
  </si>
  <si>
    <t>MUN-018</t>
  </si>
  <si>
    <t>MXM-087</t>
  </si>
  <si>
    <t>MVL-166</t>
  </si>
  <si>
    <t>Luke Cage</t>
  </si>
  <si>
    <t>DCL-134</t>
  </si>
  <si>
    <t>DJL-019</t>
  </si>
  <si>
    <t>Red Tornado</t>
  </si>
  <si>
    <t>MUN-008</t>
  </si>
  <si>
    <t>Cloak</t>
  </si>
  <si>
    <t>DJL-119</t>
  </si>
  <si>
    <t>Deadshot</t>
  </si>
  <si>
    <t>MTU-018</t>
  </si>
  <si>
    <t>Shanna the She-Devil</t>
  </si>
  <si>
    <t>DCL-076</t>
  </si>
  <si>
    <t>MOR-007</t>
  </si>
  <si>
    <t>Cyclops</t>
  </si>
  <si>
    <t>DGL-048</t>
  </si>
  <si>
    <t>Hector Hammond</t>
  </si>
  <si>
    <t>MUN-013</t>
  </si>
  <si>
    <t>MOR-087</t>
  </si>
  <si>
    <t>Pyro</t>
  </si>
  <si>
    <t>MVL-173</t>
  </si>
  <si>
    <t>DCX</t>
  </si>
  <si>
    <t>DCL-019</t>
  </si>
  <si>
    <t>Kendra Saunders</t>
  </si>
  <si>
    <t>MMK-015</t>
  </si>
  <si>
    <t>DLS-219</t>
  </si>
  <si>
    <t>Peter Merkel</t>
  </si>
  <si>
    <t>MUL-026</t>
  </si>
  <si>
    <t>DCL-088</t>
  </si>
  <si>
    <t>Tim Drake</t>
  </si>
  <si>
    <t>MVL-011</t>
  </si>
  <si>
    <t>DGL-020</t>
  </si>
  <si>
    <t>Kyle Rayner</t>
  </si>
  <si>
    <t>MAV-002</t>
  </si>
  <si>
    <t>MUL-035</t>
  </si>
  <si>
    <t>Quicksilver</t>
  </si>
  <si>
    <t>MOR-062</t>
  </si>
  <si>
    <t>Thing</t>
  </si>
  <si>
    <t>DCL-123</t>
  </si>
  <si>
    <t>DCL-012</t>
  </si>
  <si>
    <t>Firehawk</t>
  </si>
  <si>
    <t>MVL-106</t>
  </si>
  <si>
    <t>DCR-158</t>
  </si>
  <si>
    <t>MSM-007</t>
  </si>
  <si>
    <t>DLS-128</t>
  </si>
  <si>
    <t>Bart Allen</t>
  </si>
  <si>
    <t>MEV-014</t>
  </si>
  <si>
    <t>Iceman</t>
  </si>
  <si>
    <t>DGL-021</t>
  </si>
  <si>
    <t>MAV-020</t>
  </si>
  <si>
    <t>MXM-089</t>
  </si>
  <si>
    <t>Crimson Commando</t>
  </si>
  <si>
    <t>MVL-169</t>
  </si>
  <si>
    <t>Medusa</t>
  </si>
  <si>
    <t>DJL-096</t>
  </si>
  <si>
    <t>Sam Scudder</t>
  </si>
  <si>
    <t>DCR-016</t>
  </si>
  <si>
    <t>MVL-114</t>
  </si>
  <si>
    <t>Ghost Rider</t>
  </si>
  <si>
    <t>DCL-169</t>
  </si>
  <si>
    <t>Dr. Psycho</t>
  </si>
  <si>
    <t>MSM-034</t>
  </si>
  <si>
    <t>DLS-132</t>
  </si>
  <si>
    <t>MXM-023</t>
  </si>
  <si>
    <t>DGL-026</t>
  </si>
  <si>
    <t>MEV-202</t>
  </si>
  <si>
    <t>MEX-009</t>
  </si>
  <si>
    <t>MVL-179</t>
  </si>
  <si>
    <t>DCL-127</t>
  </si>
  <si>
    <t>DCL-018</t>
  </si>
  <si>
    <t>Katar Hol</t>
  </si>
  <si>
    <t>MXM-208</t>
  </si>
  <si>
    <t>DCL-181</t>
  </si>
  <si>
    <t>MTU-009</t>
  </si>
  <si>
    <t>Ka-Zar</t>
  </si>
  <si>
    <t>DOR-053</t>
  </si>
  <si>
    <t>MXM-002</t>
  </si>
  <si>
    <t>DGL-053</t>
  </si>
  <si>
    <t>MUN-012</t>
  </si>
  <si>
    <t>MXM-094</t>
  </si>
  <si>
    <t>MHG-100</t>
  </si>
  <si>
    <t>DCL-112</t>
  </si>
  <si>
    <t>Black Manta</t>
  </si>
  <si>
    <t>DJL-020</t>
  </si>
  <si>
    <t>MUN-086</t>
  </si>
  <si>
    <t>DJL-120</t>
  </si>
  <si>
    <t>MUN-269</t>
  </si>
  <si>
    <t>DWF-102</t>
  </si>
  <si>
    <t>MOR-029</t>
  </si>
  <si>
    <t>DJL-202</t>
  </si>
  <si>
    <t>Fatality</t>
  </si>
  <si>
    <t>MUN-114</t>
  </si>
  <si>
    <t>Tigra</t>
  </si>
  <si>
    <t>MXM-104</t>
  </si>
  <si>
    <t>MOR</t>
  </si>
  <si>
    <t>DJL-080</t>
  </si>
  <si>
    <t>David Clinton</t>
  </si>
  <si>
    <t>DWF-006</t>
  </si>
  <si>
    <t>John Henry Irons</t>
  </si>
  <si>
    <t>MUN-024</t>
  </si>
  <si>
    <t>DJL-121</t>
  </si>
  <si>
    <t>Floronic Man</t>
  </si>
  <si>
    <t>MUL-003</t>
  </si>
  <si>
    <t>DCL-090</t>
  </si>
  <si>
    <t>Vic Stone</t>
  </si>
  <si>
    <t>MEV-095</t>
  </si>
  <si>
    <t>Lady Mastermind</t>
  </si>
  <si>
    <t>DCL-014</t>
  </si>
  <si>
    <t>Hal Jordan</t>
  </si>
  <si>
    <t>MUN-098</t>
  </si>
  <si>
    <t>Justice</t>
  </si>
  <si>
    <t>MVL-073</t>
  </si>
  <si>
    <t>MVL</t>
  </si>
  <si>
    <t>Invisible Woman T3</t>
  </si>
  <si>
    <t>DCL-129</t>
  </si>
  <si>
    <t>Power Ring</t>
  </si>
  <si>
    <t>DJL-001</t>
  </si>
  <si>
    <t>Aquaman</t>
  </si>
  <si>
    <t>MMK-011</t>
  </si>
  <si>
    <t>Elektra</t>
  </si>
  <si>
    <t>DJL-114</t>
  </si>
  <si>
    <t>Captain Cold</t>
  </si>
  <si>
    <t>MTU-010</t>
  </si>
  <si>
    <t>DLS-130</t>
  </si>
  <si>
    <t>Beast Boy</t>
  </si>
  <si>
    <t>MEV-144</t>
  </si>
  <si>
    <t>Mariko Yashida</t>
  </si>
  <si>
    <t>DGL-009</t>
  </si>
  <si>
    <t>MAV-005</t>
  </si>
  <si>
    <t>Carol Danvers</t>
  </si>
  <si>
    <t>MAV-206</t>
  </si>
  <si>
    <t>Mammomax</t>
  </si>
  <si>
    <t>MXM-203</t>
  </si>
  <si>
    <t>DCL-119</t>
  </si>
  <si>
    <t>DCL-001</t>
  </si>
  <si>
    <t>MMK-018</t>
  </si>
  <si>
    <t>DJL-131</t>
  </si>
  <si>
    <t>MAA-026</t>
  </si>
  <si>
    <t>DCL-087</t>
  </si>
  <si>
    <t>MEV-004</t>
  </si>
  <si>
    <t>DGL-025</t>
  </si>
  <si>
    <t>Tomar Re</t>
  </si>
  <si>
    <t>MAV-012</t>
  </si>
  <si>
    <t>MVL-055</t>
  </si>
  <si>
    <t>Dark Beast</t>
  </si>
  <si>
    <t>MUN-102</t>
  </si>
  <si>
    <t>DJL-089</t>
  </si>
  <si>
    <t>The Joker</t>
  </si>
  <si>
    <t>DCL-032</t>
  </si>
  <si>
    <t>MMK-025</t>
  </si>
  <si>
    <t>DCL-185</t>
  </si>
  <si>
    <t>Sinestro</t>
  </si>
  <si>
    <t>MTU-022</t>
  </si>
  <si>
    <t>DLS-153</t>
  </si>
  <si>
    <t>MVL-010</t>
  </si>
  <si>
    <t>Emma Frost</t>
  </si>
  <si>
    <t>DGL-040</t>
  </si>
  <si>
    <t>Dr. Light</t>
  </si>
  <si>
    <t>MXM-212</t>
  </si>
  <si>
    <t>Dr. Druid</t>
  </si>
  <si>
    <t>MOR-077</t>
  </si>
  <si>
    <t>MOR-051</t>
  </si>
  <si>
    <t>DCL-136</t>
  </si>
  <si>
    <t>DCR-014</t>
  </si>
  <si>
    <t>MVL-133</t>
  </si>
  <si>
    <t>DCL-182</t>
  </si>
  <si>
    <t>Psycho-Pirate</t>
  </si>
  <si>
    <t>MSM-056</t>
  </si>
  <si>
    <t>Will O' The Wisp</t>
  </si>
  <si>
    <t>DOR-051</t>
  </si>
  <si>
    <t>MOR-010</t>
  </si>
  <si>
    <t>Gambit</t>
  </si>
  <si>
    <t>DGL-039</t>
  </si>
  <si>
    <t>Carol Ferris</t>
  </si>
  <si>
    <t>MUN-016</t>
  </si>
  <si>
    <t>MXM-084</t>
  </si>
  <si>
    <t>MOR-048</t>
  </si>
  <si>
    <t>DCL-116</t>
  </si>
  <si>
    <t>DJL-014</t>
  </si>
  <si>
    <t>MVL-125</t>
  </si>
  <si>
    <t>DCL-175</t>
  </si>
  <si>
    <t>Gorilla Grodd</t>
  </si>
  <si>
    <t>MSM-044</t>
  </si>
  <si>
    <t>Julia Carpenter</t>
  </si>
  <si>
    <t>DWF-081</t>
  </si>
  <si>
    <t>Dick Grayson</t>
  </si>
  <si>
    <t>MOR-022</t>
  </si>
  <si>
    <t>Rogue</t>
  </si>
  <si>
    <t>DJL-199</t>
  </si>
  <si>
    <t>Oliver Queen</t>
  </si>
  <si>
    <t>MUN-029</t>
  </si>
  <si>
    <t>MXM-107</t>
  </si>
  <si>
    <t>MVL-171</t>
  </si>
  <si>
    <t>Mr Fantastic</t>
  </si>
  <si>
    <t>DJL-082</t>
  </si>
  <si>
    <t>Evan Mc Culloch</t>
  </si>
  <si>
    <t>DWF-076</t>
  </si>
  <si>
    <t>Vixen</t>
  </si>
  <si>
    <t>MUN-231</t>
  </si>
  <si>
    <t>DCL-172</t>
  </si>
  <si>
    <t>MTU-025</t>
  </si>
  <si>
    <t>DCL-074</t>
  </si>
  <si>
    <t>Hot Spot</t>
  </si>
  <si>
    <t>MVL-014</t>
  </si>
  <si>
    <t>DGL-006</t>
  </si>
  <si>
    <t>MEQ-010</t>
  </si>
  <si>
    <t>Hank Pym</t>
  </si>
  <si>
    <t>MXM-110</t>
  </si>
  <si>
    <t>MVL-177</t>
  </si>
  <si>
    <t>DCL-118</t>
  </si>
  <si>
    <t>DCL-013</t>
  </si>
  <si>
    <t>Firestorm</t>
  </si>
  <si>
    <t>MVL-109</t>
  </si>
  <si>
    <t>DCL-171</t>
  </si>
  <si>
    <t>MHG-187</t>
  </si>
  <si>
    <t>DCL-085</t>
  </si>
  <si>
    <t>Rose Wilson</t>
  </si>
  <si>
    <t>MXM-019</t>
  </si>
  <si>
    <t>DGL-055</t>
  </si>
  <si>
    <t>MAV-018</t>
  </si>
  <si>
    <t>Monica Rambeau</t>
  </si>
  <si>
    <t>MOR-091</t>
  </si>
  <si>
    <t>MEQ-015</t>
  </si>
  <si>
    <t>DCL-124</t>
  </si>
  <si>
    <t>DCL-007</t>
  </si>
  <si>
    <t>Batman</t>
  </si>
  <si>
    <t>MEX-001</t>
  </si>
  <si>
    <t>DCL-162</t>
  </si>
  <si>
    <t>Darkseid</t>
  </si>
  <si>
    <t>MUN-026</t>
  </si>
  <si>
    <t>DCL-089</t>
  </si>
  <si>
    <t>MAA-010</t>
  </si>
  <si>
    <t>DJL-124</t>
  </si>
  <si>
    <t>MUN-031</t>
  </si>
  <si>
    <t>MEV-107</t>
  </si>
  <si>
    <t>MOR-056</t>
  </si>
  <si>
    <t>DJL-083</t>
  </si>
  <si>
    <t>DJL-012</t>
  </si>
  <si>
    <t>MVL-105</t>
  </si>
  <si>
    <t>DCL-155</t>
  </si>
  <si>
    <t>MTU-026</t>
  </si>
  <si>
    <t>Venom</t>
  </si>
  <si>
    <t>DOR-050</t>
  </si>
  <si>
    <t>MEV-035</t>
  </si>
  <si>
    <t>DCL-020</t>
  </si>
  <si>
    <t>MUN-109</t>
  </si>
  <si>
    <t>She Hulk</t>
  </si>
  <si>
    <t>MEV-094</t>
  </si>
  <si>
    <t>MVL-156</t>
  </si>
  <si>
    <t>DCL-131</t>
  </si>
  <si>
    <t>Scarecrow</t>
  </si>
  <si>
    <t>DJL-048</t>
  </si>
  <si>
    <t>MUN-262</t>
  </si>
  <si>
    <t>DCL-157</t>
  </si>
  <si>
    <t>MTU-013</t>
  </si>
  <si>
    <t>DOR-052</t>
  </si>
  <si>
    <t>MEV-198</t>
  </si>
  <si>
    <t>Stepford Cuckoos</t>
  </si>
  <si>
    <t>DGL-015</t>
  </si>
  <si>
    <t>MAV-023</t>
  </si>
  <si>
    <t>She-Hulk</t>
  </si>
  <si>
    <t>MXM-102</t>
  </si>
  <si>
    <t>MOR-063</t>
  </si>
  <si>
    <t>DCL-138</t>
  </si>
  <si>
    <t>DCL-008</t>
  </si>
  <si>
    <t>Big Barda</t>
  </si>
  <si>
    <t>MVL-131</t>
  </si>
  <si>
    <t>Vengeance</t>
  </si>
  <si>
    <t>DJL-117</t>
  </si>
  <si>
    <t>MSM-002</t>
  </si>
  <si>
    <t>DLS-136</t>
  </si>
  <si>
    <t>Connor Kent</t>
  </si>
  <si>
    <t>MEV-247</t>
  </si>
  <si>
    <t>Rachel Summers</t>
  </si>
  <si>
    <t>DJL-136</t>
  </si>
  <si>
    <t>MXM-213</t>
  </si>
  <si>
    <t>Sub-Mariner</t>
  </si>
  <si>
    <t>MXM-103</t>
  </si>
  <si>
    <t>MVL-178</t>
  </si>
  <si>
    <t>DJL-097</t>
  </si>
  <si>
    <t>DJL-025</t>
  </si>
  <si>
    <t>Zatanna</t>
  </si>
  <si>
    <t>MVL-121</t>
  </si>
  <si>
    <t>Moon Knight</t>
  </si>
  <si>
    <t>DJL-135</t>
  </si>
  <si>
    <t>Sacrecrow</t>
  </si>
  <si>
    <t>MTU-015</t>
  </si>
  <si>
    <t>Phil Urich</t>
  </si>
  <si>
    <t>DCL-077</t>
  </si>
  <si>
    <t>Koriand'r</t>
  </si>
  <si>
    <t>MUL-029</t>
  </si>
  <si>
    <t>DGL-008</t>
  </si>
  <si>
    <t>Guy Gardner</t>
  </si>
  <si>
    <t>MUN-118</t>
  </si>
  <si>
    <t>Wonder Man</t>
  </si>
  <si>
    <t>MXM-099</t>
  </si>
  <si>
    <t>Polaris</t>
  </si>
  <si>
    <t>MVL-155</t>
  </si>
  <si>
    <t>DCL-115</t>
  </si>
  <si>
    <t>Circe</t>
  </si>
  <si>
    <t>DJL-009</t>
  </si>
  <si>
    <t>MVL-118</t>
  </si>
  <si>
    <t>IronFist</t>
  </si>
  <si>
    <t>DJL-115</t>
  </si>
  <si>
    <t>MAV-210</t>
  </si>
  <si>
    <t>White Tiger</t>
  </si>
  <si>
    <t>DLS-148</t>
  </si>
  <si>
    <t>MXM-026</t>
  </si>
  <si>
    <t>DGL-024</t>
  </si>
  <si>
    <t>MUN-022</t>
  </si>
  <si>
    <t>MVL-059</t>
  </si>
  <si>
    <t>Juggernaut</t>
  </si>
  <si>
    <t>MOR-046</t>
  </si>
  <si>
    <t>DCL-109</t>
  </si>
  <si>
    <t>Abra Kadabra</t>
  </si>
  <si>
    <t>DCL-002</t>
  </si>
  <si>
    <t>MMK-027</t>
  </si>
  <si>
    <t>DCL-154</t>
  </si>
  <si>
    <t>Amazo</t>
  </si>
  <si>
    <t>MSM-042</t>
  </si>
  <si>
    <t>DLS-131</t>
  </si>
  <si>
    <t>MVL-019</t>
  </si>
  <si>
    <t>DGL-019</t>
  </si>
  <si>
    <t>MAV-028</t>
  </si>
  <si>
    <t>MXM-093</t>
  </si>
  <si>
    <t>Harry Delgado</t>
  </si>
  <si>
    <t>MVL-153</t>
  </si>
  <si>
    <t>DCL-130</t>
  </si>
  <si>
    <t>Prometheus</t>
  </si>
  <si>
    <t>DCL-016</t>
  </si>
  <si>
    <t>MHG-213</t>
  </si>
  <si>
    <t>DCL-180</t>
  </si>
  <si>
    <t>Mr. Freeze</t>
  </si>
  <si>
    <t>MSM-051</t>
  </si>
  <si>
    <t>DOR-041</t>
  </si>
  <si>
    <t>MEV-008</t>
  </si>
  <si>
    <t>DGL-002</t>
  </si>
  <si>
    <t>Alan Scott</t>
  </si>
  <si>
    <t>MUN-017</t>
  </si>
  <si>
    <t>MXM-098</t>
  </si>
  <si>
    <t>MVL-172</t>
  </si>
  <si>
    <t>DCL-122</t>
  </si>
  <si>
    <t>DCL-021</t>
  </si>
  <si>
    <t>Martian Manhunter</t>
  </si>
  <si>
    <t>MVL-119</t>
  </si>
  <si>
    <t>DCL-176</t>
  </si>
  <si>
    <t>MTU-027</t>
  </si>
  <si>
    <t>DCL-065</t>
  </si>
  <si>
    <t>MEV-148</t>
  </si>
  <si>
    <t>DJL-049</t>
  </si>
  <si>
    <t>MUN-084</t>
  </si>
  <si>
    <t>MVL-054</t>
  </si>
  <si>
    <t>MVL-158</t>
  </si>
  <si>
    <t>DJL-093</t>
  </si>
  <si>
    <t>DJL-002</t>
  </si>
  <si>
    <t>MVL-115</t>
  </si>
  <si>
    <t>DCL-167</t>
  </si>
  <si>
    <t>Doomsday</t>
  </si>
  <si>
    <t>MTU-021</t>
  </si>
  <si>
    <t>DCL-070</t>
  </si>
  <si>
    <t>MEV-018</t>
  </si>
  <si>
    <t>Jean Grey</t>
  </si>
  <si>
    <t>DJL-198</t>
  </si>
  <si>
    <t>Mogo</t>
  </si>
  <si>
    <t>MAV-004</t>
  </si>
  <si>
    <t>MOR-081</t>
  </si>
  <si>
    <t>Magneto</t>
  </si>
  <si>
    <t>DWF-170</t>
  </si>
  <si>
    <t>DJL-023</t>
  </si>
  <si>
    <t>MVL-126</t>
  </si>
  <si>
    <t>DJL-132</t>
  </si>
  <si>
    <t>MSM-008</t>
  </si>
  <si>
    <t>DCL-078</t>
  </si>
  <si>
    <t>MMK-191</t>
  </si>
  <si>
    <t>DCX-008</t>
  </si>
  <si>
    <t>I'm back,Poozers!</t>
  </si>
  <si>
    <t>MAV-013</t>
  </si>
  <si>
    <t>Hercules</t>
  </si>
  <si>
    <t>MXM-092</t>
  </si>
  <si>
    <t>Fabian Cortez</t>
  </si>
  <si>
    <t>MSM-114</t>
  </si>
  <si>
    <t>Silver Surfer</t>
  </si>
  <si>
    <t>DJL-092</t>
  </si>
  <si>
    <t>Libra</t>
  </si>
  <si>
    <t>DJL-015</t>
  </si>
  <si>
    <t>MVL-111</t>
  </si>
  <si>
    <t>DCL-188</t>
  </si>
  <si>
    <t>MTU-017</t>
  </si>
  <si>
    <t>DLS-168</t>
  </si>
  <si>
    <t>T-Jet</t>
  </si>
  <si>
    <t>MAA-003</t>
  </si>
  <si>
    <t>X-Men Assemble!</t>
  </si>
  <si>
    <t>DGL-031</t>
  </si>
  <si>
    <t>Guardians Reborn</t>
  </si>
  <si>
    <t>MUN-096</t>
  </si>
  <si>
    <t>Iron Man</t>
  </si>
  <si>
    <t>MOR-101</t>
  </si>
  <si>
    <t>MAV-205</t>
  </si>
  <si>
    <t>Framistat</t>
  </si>
  <si>
    <t>DJL-109</t>
  </si>
  <si>
    <t>DCL-054</t>
  </si>
  <si>
    <t>MVL-143</t>
  </si>
  <si>
    <t>Defensive Formation</t>
  </si>
  <si>
    <t>DCL-195</t>
  </si>
  <si>
    <t>Forced Conscription</t>
  </si>
  <si>
    <t>MSM-010</t>
  </si>
  <si>
    <t>Daily Bugle</t>
  </si>
  <si>
    <t>DOR-058</t>
  </si>
  <si>
    <t>MOR-031</t>
  </si>
  <si>
    <t>Children of the Atom</t>
  </si>
  <si>
    <t>DGL-035</t>
  </si>
  <si>
    <t>Oa</t>
  </si>
  <si>
    <t>MAV-031</t>
  </si>
  <si>
    <t>MOR-103</t>
  </si>
  <si>
    <t>MOR-067</t>
  </si>
  <si>
    <t>DJL-103</t>
  </si>
  <si>
    <t>DCL-039</t>
  </si>
  <si>
    <t>MMK-045</t>
  </si>
  <si>
    <t>DCL-202</t>
  </si>
  <si>
    <t>MSM-011</t>
  </si>
  <si>
    <t>DOR-059</t>
  </si>
  <si>
    <t>MOR-033</t>
  </si>
  <si>
    <t>DGL-192</t>
  </si>
  <si>
    <t>MUN-039</t>
  </si>
  <si>
    <t>MOR-105</t>
  </si>
  <si>
    <t>MOR-069</t>
  </si>
  <si>
    <t>DJL-111</t>
  </si>
  <si>
    <t>Secret files</t>
  </si>
  <si>
    <t>DJL-038</t>
  </si>
  <si>
    <t>The Watchtower</t>
  </si>
  <si>
    <t>MVL-139</t>
  </si>
  <si>
    <t>Dark Alley</t>
  </si>
  <si>
    <t>DCL-203</t>
  </si>
  <si>
    <t>MSM-012</t>
  </si>
  <si>
    <t>DOR-056</t>
  </si>
  <si>
    <t>MOR-038</t>
  </si>
  <si>
    <t>Xavier's School</t>
  </si>
  <si>
    <t>DGL-197</t>
  </si>
  <si>
    <t>MUN-036</t>
  </si>
  <si>
    <t>Atlantis Attack!</t>
  </si>
  <si>
    <t>MVL-098</t>
  </si>
  <si>
    <t>MOR-072</t>
  </si>
  <si>
    <t>It's Clobberin' Time!</t>
  </si>
  <si>
    <t>DCL-144</t>
  </si>
  <si>
    <t>DJL-029</t>
  </si>
  <si>
    <t>Hero's Welcome</t>
  </si>
  <si>
    <t>MHG-120</t>
  </si>
  <si>
    <t>Himalayan Enclave</t>
  </si>
  <si>
    <t>DCX-018</t>
  </si>
  <si>
    <t>MTU-032</t>
  </si>
  <si>
    <t>DOR-060</t>
  </si>
  <si>
    <t>MVL-036</t>
  </si>
  <si>
    <t>Xavier's Institute of Higher learning</t>
  </si>
  <si>
    <t>DGL-027</t>
  </si>
  <si>
    <t>MAV-194</t>
  </si>
  <si>
    <t>MXM-112</t>
  </si>
  <si>
    <t>MOR-073</t>
  </si>
  <si>
    <t>DJL-102</t>
  </si>
  <si>
    <t>DJL-032</t>
  </si>
  <si>
    <t>Reform the League</t>
  </si>
  <si>
    <t>MMK-032</t>
  </si>
  <si>
    <t>DJL-143</t>
  </si>
  <si>
    <t>MTU-035</t>
  </si>
  <si>
    <t>DOR-061</t>
  </si>
  <si>
    <t>MVL-038</t>
  </si>
  <si>
    <t>DGL-215</t>
  </si>
  <si>
    <t>MUN-038</t>
  </si>
  <si>
    <t>MXM-122</t>
  </si>
  <si>
    <t>MTU-214</t>
  </si>
  <si>
    <t>DGL-188</t>
  </si>
  <si>
    <t>DJL-152</t>
  </si>
  <si>
    <t>Justice League Signal Device</t>
  </si>
  <si>
    <t>MMK-218</t>
  </si>
  <si>
    <t>Psychoville</t>
  </si>
  <si>
    <t>DJL-146</t>
  </si>
  <si>
    <t>MTU-034</t>
  </si>
  <si>
    <t>DCL-106</t>
  </si>
  <si>
    <t>Prodigies</t>
  </si>
  <si>
    <t>MXM-029</t>
  </si>
  <si>
    <t>DGL-182</t>
  </si>
  <si>
    <t>MUN-044</t>
  </si>
  <si>
    <t>Reckless Youth</t>
  </si>
  <si>
    <t>MXM-118</t>
  </si>
  <si>
    <t>MOR-074</t>
  </si>
  <si>
    <t>DCL-141</t>
  </si>
  <si>
    <t>Earth 3</t>
  </si>
  <si>
    <t>DJL-153</t>
  </si>
  <si>
    <t>MXM-164</t>
  </si>
  <si>
    <t>Hellfire club</t>
  </si>
  <si>
    <t>DCL-189</t>
  </si>
  <si>
    <t>MTU-039</t>
  </si>
  <si>
    <t>Spider-Signal</t>
  </si>
  <si>
    <t>DSM-138</t>
  </si>
  <si>
    <t>New Teen Titans</t>
  </si>
  <si>
    <t>MXM-034</t>
  </si>
  <si>
    <t>DGL-071</t>
  </si>
  <si>
    <t>MAV-034</t>
  </si>
  <si>
    <t>Legendary Battle</t>
  </si>
  <si>
    <t>MXM-121</t>
  </si>
  <si>
    <t>EHB-050</t>
  </si>
  <si>
    <t>MHG-207</t>
  </si>
  <si>
    <t>MMK-031</t>
  </si>
  <si>
    <t>DJL-149</t>
  </si>
  <si>
    <t>MTU-038</t>
  </si>
  <si>
    <t>Need a Lift?</t>
  </si>
  <si>
    <t>DCL-105</t>
  </si>
  <si>
    <t>More Than Just Sidekicks</t>
  </si>
  <si>
    <t>MXM-035</t>
  </si>
  <si>
    <t>Turnabout</t>
  </si>
  <si>
    <t>DGL-183</t>
  </si>
  <si>
    <t>MUN-034</t>
  </si>
  <si>
    <t>Safe House n°23</t>
  </si>
  <si>
    <t>MEV-119</t>
  </si>
  <si>
    <t>Acolyte Protection</t>
  </si>
  <si>
    <t>DJL-195</t>
  </si>
  <si>
    <t>DJL-104</t>
  </si>
  <si>
    <t>Gang up</t>
  </si>
  <si>
    <t>DWF-217</t>
  </si>
  <si>
    <t>Training Day</t>
  </si>
  <si>
    <t>MEV-273</t>
  </si>
  <si>
    <t>Here Comes Tmorrow</t>
  </si>
  <si>
    <t>djl-142</t>
  </si>
  <si>
    <t>Funky's Big Rat Code</t>
  </si>
  <si>
    <t>MTU-041</t>
  </si>
  <si>
    <t>DLS-159</t>
  </si>
  <si>
    <t>Generation Next</t>
  </si>
  <si>
    <t>DLS-172</t>
  </si>
  <si>
    <t>DLS-194</t>
  </si>
  <si>
    <t>ARKHAM</t>
  </si>
  <si>
    <t>CHECKMATE</t>
  </si>
  <si>
    <t>CRIME LORDS</t>
  </si>
  <si>
    <t>DARKSEID</t>
  </si>
  <si>
    <t>DOOM</t>
  </si>
  <si>
    <t>FUTURE FOES</t>
  </si>
  <si>
    <t>Gotham Knights</t>
  </si>
  <si>
    <t>HERALD OF GALACTUS</t>
  </si>
  <si>
    <t>INHUMANS</t>
  </si>
  <si>
    <t>KANG COUNCIL</t>
  </si>
  <si>
    <t>KREE</t>
  </si>
  <si>
    <t>LEAGUE OF ASSASSINS</t>
  </si>
  <si>
    <t>MARVEL DEFENDERS</t>
  </si>
  <si>
    <t>OUTSIDERS</t>
  </si>
  <si>
    <t>REVENGE SQUAD</t>
  </si>
  <si>
    <t>SINISTER SYNDICATE</t>
  </si>
  <si>
    <t>TEAM SUPERMAN</t>
  </si>
  <si>
    <t>THUNDERBOLT</t>
  </si>
  <si>
    <t>UNDERWORLD</t>
  </si>
  <si>
    <t>VILLAINS UNITED</t>
  </si>
  <si>
    <t>X-FORCE</t>
  </si>
  <si>
    <t>DOR-067</t>
  </si>
  <si>
    <t>Harley Quinn</t>
  </si>
  <si>
    <t>DCR-089</t>
  </si>
  <si>
    <t>MUN-138</t>
  </si>
  <si>
    <t>AIM Agents</t>
  </si>
  <si>
    <t>DLS</t>
  </si>
  <si>
    <t>Apokaliptan Zealot</t>
  </si>
  <si>
    <t>MOR-107</t>
  </si>
  <si>
    <t>DLS-054</t>
  </si>
  <si>
    <t>DOR-001</t>
  </si>
  <si>
    <t>MHG-007</t>
  </si>
  <si>
    <t>Frankie Raye</t>
  </si>
  <si>
    <t>MHG-104</t>
  </si>
  <si>
    <t>DCR-002</t>
  </si>
  <si>
    <t>MAV-175</t>
  </si>
  <si>
    <t>Kang</t>
  </si>
  <si>
    <t>MHG-060</t>
  </si>
  <si>
    <t>DOR-107</t>
  </si>
  <si>
    <t>Talia</t>
  </si>
  <si>
    <t>MTU-070</t>
  </si>
  <si>
    <t>DWF-083</t>
  </si>
  <si>
    <t>DSM-071</t>
  </si>
  <si>
    <t>MAV-211</t>
  </si>
  <si>
    <t>Basilisk</t>
  </si>
  <si>
    <t>DSM-014</t>
  </si>
  <si>
    <t>Lois Lane</t>
  </si>
  <si>
    <t>MAV-083</t>
  </si>
  <si>
    <t>MTU</t>
  </si>
  <si>
    <t>DCR-119</t>
  </si>
  <si>
    <t>Alexander Luthor</t>
  </si>
  <si>
    <t>MEV-059</t>
  </si>
  <si>
    <t>DOR-077</t>
  </si>
  <si>
    <t>DCR-102</t>
  </si>
  <si>
    <t>MUN-145</t>
  </si>
  <si>
    <t>The Hand</t>
  </si>
  <si>
    <t>DSM-105</t>
  </si>
  <si>
    <t>Gole</t>
  </si>
  <si>
    <t>MVL-211</t>
  </si>
  <si>
    <t>DLS-061</t>
  </si>
  <si>
    <t>DOR-019</t>
  </si>
  <si>
    <t>MHG-012</t>
  </si>
  <si>
    <t>MHG-089</t>
  </si>
  <si>
    <t>DCR-012</t>
  </si>
  <si>
    <t>Jakeem Williams</t>
  </si>
  <si>
    <t>MAV-170</t>
  </si>
  <si>
    <t>MHG-047</t>
  </si>
  <si>
    <t>DCR-138</t>
  </si>
  <si>
    <t>MTU-068</t>
  </si>
  <si>
    <t>DWF-101</t>
  </si>
  <si>
    <t>DCX-004</t>
  </si>
  <si>
    <t>MTU-101</t>
  </si>
  <si>
    <t>Lizard</t>
  </si>
  <si>
    <t>DJL-209</t>
  </si>
  <si>
    <t>Kelex</t>
  </si>
  <si>
    <t>MUN-056</t>
  </si>
  <si>
    <t>Green Goblin</t>
  </si>
  <si>
    <t>MTU-132</t>
  </si>
  <si>
    <t>DCR-125</t>
  </si>
  <si>
    <t>Cheetah</t>
  </si>
  <si>
    <t>MEV-047</t>
  </si>
  <si>
    <t>Cable</t>
  </si>
  <si>
    <t>DWF-126</t>
  </si>
  <si>
    <t>DCR-094</t>
  </si>
  <si>
    <t>MUN-160</t>
  </si>
  <si>
    <t>Sin</t>
  </si>
  <si>
    <t>DLS-093</t>
  </si>
  <si>
    <t>MOR-116</t>
  </si>
  <si>
    <t>Rama-tut</t>
  </si>
  <si>
    <t>DLS-062</t>
  </si>
  <si>
    <t>DCR-061</t>
  </si>
  <si>
    <t>Ragman</t>
  </si>
  <si>
    <t>MHG-003</t>
  </si>
  <si>
    <t>Destroyer</t>
  </si>
  <si>
    <t>MHG-110</t>
  </si>
  <si>
    <t>DCR-026</t>
  </si>
  <si>
    <t>Terry Sloan</t>
  </si>
  <si>
    <t>MHG-139</t>
  </si>
  <si>
    <t>MHG-048</t>
  </si>
  <si>
    <t>Clumsy Foulup</t>
  </si>
  <si>
    <t>DSM-143</t>
  </si>
  <si>
    <t>Bronze Tiger</t>
  </si>
  <si>
    <t>MTU-045</t>
  </si>
  <si>
    <t>DWF-103</t>
  </si>
  <si>
    <t>Thunder</t>
  </si>
  <si>
    <t>DWF-182</t>
  </si>
  <si>
    <t>MTU-114</t>
  </si>
  <si>
    <t>Vulture</t>
  </si>
  <si>
    <t>DWF-004</t>
  </si>
  <si>
    <t>MUN-059</t>
  </si>
  <si>
    <t>MTU-153</t>
  </si>
  <si>
    <t>Shathra</t>
  </si>
  <si>
    <t>DCR-131</t>
  </si>
  <si>
    <t>MEV-071</t>
  </si>
  <si>
    <t>X-23</t>
  </si>
  <si>
    <t>DCR-086</t>
  </si>
  <si>
    <t>Aspiring Pawn</t>
  </si>
  <si>
    <t>MUN-162</t>
  </si>
  <si>
    <t>Viper</t>
  </si>
  <si>
    <t>DLS-110</t>
  </si>
  <si>
    <t>MHG-131</t>
  </si>
  <si>
    <t>Domm-Bot Corps</t>
  </si>
  <si>
    <t>DLS-053</t>
  </si>
  <si>
    <t>Emerald Empress</t>
  </si>
  <si>
    <t>DOR-009</t>
  </si>
  <si>
    <t>MHG-019</t>
  </si>
  <si>
    <t>MHG-111</t>
  </si>
  <si>
    <t>DCR-015</t>
  </si>
  <si>
    <t>MUN-260</t>
  </si>
  <si>
    <t>MHG-051</t>
  </si>
  <si>
    <t>Dr. Minerva</t>
  </si>
  <si>
    <t>DCL-214</t>
  </si>
  <si>
    <t>Shadow Assassin</t>
  </si>
  <si>
    <t>MTU-058</t>
  </si>
  <si>
    <t>John Walker</t>
  </si>
  <si>
    <t>DWF-088</t>
  </si>
  <si>
    <t>DWF-179</t>
  </si>
  <si>
    <t>Pr. Emil Hamilton</t>
  </si>
  <si>
    <t>MSM-022</t>
  </si>
  <si>
    <t>DWF-010</t>
  </si>
  <si>
    <t>Krypto</t>
  </si>
  <si>
    <t>MUN-051</t>
  </si>
  <si>
    <t>MTU-156</t>
  </si>
  <si>
    <t>DCR-143</t>
  </si>
  <si>
    <t>MEV-031</t>
  </si>
  <si>
    <t>Wolfsbane</t>
  </si>
  <si>
    <t>DSM-137</t>
  </si>
  <si>
    <t>Blockbuster</t>
  </si>
  <si>
    <t>DCR-087</t>
  </si>
  <si>
    <t>MUN-149</t>
  </si>
  <si>
    <t>James Barnes</t>
  </si>
  <si>
    <t>DLS-091</t>
  </si>
  <si>
    <t>MHG-133</t>
  </si>
  <si>
    <t>Dr. Doom3</t>
  </si>
  <si>
    <t>DLS-046</t>
  </si>
  <si>
    <t>DCL-006</t>
  </si>
  <si>
    <t>MHG-001</t>
  </si>
  <si>
    <t>Air Walker</t>
  </si>
  <si>
    <t>MHG-098</t>
  </si>
  <si>
    <t>DLS-195</t>
  </si>
  <si>
    <t>Crimson Avenger</t>
  </si>
  <si>
    <t>MAV-169</t>
  </si>
  <si>
    <t>Kang &lt;&gt; Cobra</t>
  </si>
  <si>
    <t>MHG-191</t>
  </si>
  <si>
    <t>DOR-109</t>
  </si>
  <si>
    <t>Ubu</t>
  </si>
  <si>
    <t>MTU-051</t>
  </si>
  <si>
    <t>DWF-086</t>
  </si>
  <si>
    <t>DCR-213</t>
  </si>
  <si>
    <t>MUN-066</t>
  </si>
  <si>
    <t>Speed Demon</t>
  </si>
  <si>
    <t>DSM-024</t>
  </si>
  <si>
    <t>Superman (red)</t>
  </si>
  <si>
    <t>MAV-092</t>
  </si>
  <si>
    <t>Eric Josten</t>
  </si>
  <si>
    <t>MTU-151</t>
  </si>
  <si>
    <t>Queen Lilith</t>
  </si>
  <si>
    <t>DCR-135</t>
  </si>
  <si>
    <t>Ishmael Gregor</t>
  </si>
  <si>
    <t>MEV-066</t>
  </si>
  <si>
    <t>Siryn</t>
  </si>
  <si>
    <t>DWF-128</t>
  </si>
  <si>
    <t>DCR-099</t>
  </si>
  <si>
    <t>MUN-154</t>
  </si>
  <si>
    <t>MODOC Squad</t>
  </si>
  <si>
    <t>DLS-106</t>
  </si>
  <si>
    <t>Lashina</t>
  </si>
  <si>
    <t>MEQ-008</t>
  </si>
  <si>
    <t>Dr.Doom</t>
  </si>
  <si>
    <t>DLS-050</t>
  </si>
  <si>
    <t>DJL-218</t>
  </si>
  <si>
    <t>The Creeper</t>
  </si>
  <si>
    <t>MHG-008</t>
  </si>
  <si>
    <t>MHG-095</t>
  </si>
  <si>
    <t>DCR-023</t>
  </si>
  <si>
    <t>Stargirl</t>
  </si>
  <si>
    <t>MAV-171</t>
  </si>
  <si>
    <t>Kang &lt;&gt; Ransom</t>
  </si>
  <si>
    <t>MHG-056</t>
  </si>
  <si>
    <t>DCL-208</t>
  </si>
  <si>
    <t>MTU-052</t>
  </si>
  <si>
    <t>DWF-092</t>
  </si>
  <si>
    <t>DWF-159</t>
  </si>
  <si>
    <t>Alexandra Allston</t>
  </si>
  <si>
    <t>MSM-075</t>
  </si>
  <si>
    <t>Hammerhead</t>
  </si>
  <si>
    <t>DWF-003</t>
  </si>
  <si>
    <t>MAV-109</t>
  </si>
  <si>
    <t>Zarathos</t>
  </si>
  <si>
    <t>DWF-129</t>
  </si>
  <si>
    <t>Crime Doctor</t>
  </si>
  <si>
    <t>MEV-069</t>
  </si>
  <si>
    <t>U Go Girl</t>
  </si>
  <si>
    <t>DWF-141</t>
  </si>
  <si>
    <t>Mr. Zsasz</t>
  </si>
  <si>
    <t>DCR-100</t>
  </si>
  <si>
    <t>MUN-155</t>
  </si>
  <si>
    <t>Red Skull</t>
  </si>
  <si>
    <t>DLS-103</t>
  </si>
  <si>
    <t>Guillotina</t>
  </si>
  <si>
    <t>MVL-204</t>
  </si>
  <si>
    <t>Dr. Doom4 mor</t>
  </si>
  <si>
    <t>DLS-052</t>
  </si>
  <si>
    <t>The Dominator</t>
  </si>
  <si>
    <t>DWF-042</t>
  </si>
  <si>
    <t>MUN-257</t>
  </si>
  <si>
    <t>MHG-102</t>
  </si>
  <si>
    <t>Jolen</t>
  </si>
  <si>
    <t>DLS-196</t>
  </si>
  <si>
    <t>MAV-166</t>
  </si>
  <si>
    <t>Growing Man</t>
  </si>
  <si>
    <t>MHG-049</t>
  </si>
  <si>
    <t>Captain Yon Rog</t>
  </si>
  <si>
    <t>DBM-014</t>
  </si>
  <si>
    <t>Hook</t>
  </si>
  <si>
    <t>MTU-060</t>
  </si>
  <si>
    <t>Kyle Richmond</t>
  </si>
  <si>
    <t>DWF-099</t>
  </si>
  <si>
    <t>DWF-183</t>
  </si>
  <si>
    <t>MTU-089</t>
  </si>
  <si>
    <t>DWF-014</t>
  </si>
  <si>
    <t>Natasha Irons</t>
  </si>
  <si>
    <t>MUN-064</t>
  </si>
  <si>
    <t>Radioactive Man</t>
  </si>
  <si>
    <t>MUN-214</t>
  </si>
  <si>
    <t>Thanos</t>
  </si>
  <si>
    <t>DCR-144</t>
  </si>
  <si>
    <t>Zazzala</t>
  </si>
  <si>
    <t>MEV-053</t>
  </si>
  <si>
    <t>Domino</t>
  </si>
  <si>
    <t>DCR-210</t>
  </si>
  <si>
    <t>DLS-200</t>
  </si>
  <si>
    <t>Director Bones</t>
  </si>
  <si>
    <t>MTU-088</t>
  </si>
  <si>
    <t>Albert Malik</t>
  </si>
  <si>
    <t>DLS-096</t>
  </si>
  <si>
    <t>Dark Thanagrian</t>
  </si>
  <si>
    <t>MVL-205</t>
  </si>
  <si>
    <t>Dr. Doom4 gipsy</t>
  </si>
  <si>
    <t>DLS-069</t>
  </si>
  <si>
    <t>DWF-065</t>
  </si>
  <si>
    <t>MHG-005</t>
  </si>
  <si>
    <t>Firelord</t>
  </si>
  <si>
    <t>MHG-113</t>
  </si>
  <si>
    <t>DCR-029</t>
  </si>
  <si>
    <t>MAV-167</t>
  </si>
  <si>
    <t>Kang &lt;&gt; Earth</t>
  </si>
  <si>
    <t>MHG-050</t>
  </si>
  <si>
    <t>DBM-015</t>
  </si>
  <si>
    <t>Kyle Abbot</t>
  </si>
  <si>
    <t>MTU-067</t>
  </si>
  <si>
    <t>Sub Mariner</t>
  </si>
  <si>
    <t>DWF-096</t>
  </si>
  <si>
    <t>DJL-212</t>
  </si>
  <si>
    <t>Maxima</t>
  </si>
  <si>
    <t>MTU-108</t>
  </si>
  <si>
    <t>Spider-Slayer V.X.</t>
  </si>
  <si>
    <t>DWF-021</t>
  </si>
  <si>
    <t>Superman (no cost)</t>
  </si>
  <si>
    <t>MEX-012</t>
  </si>
  <si>
    <t>MEV-140</t>
  </si>
  <si>
    <t>Illyana Rasputin</t>
  </si>
  <si>
    <t>DCR-130</t>
  </si>
  <si>
    <t>MEV-072</t>
  </si>
  <si>
    <t>DWF-125</t>
  </si>
  <si>
    <t>DCR-082</t>
  </si>
  <si>
    <t>MMK-099</t>
  </si>
  <si>
    <t>DGL-156</t>
  </si>
  <si>
    <t>Virman Vundabar</t>
  </si>
  <si>
    <t>MHG-150</t>
  </si>
  <si>
    <t>DLS-055</t>
  </si>
  <si>
    <t>Glorith</t>
  </si>
  <si>
    <t>DOR-010</t>
  </si>
  <si>
    <t>MHG-013</t>
  </si>
  <si>
    <t>MHG-109</t>
  </si>
  <si>
    <t>Nahrees</t>
  </si>
  <si>
    <t>DCR-017</t>
  </si>
  <si>
    <t>Mickael Holt</t>
  </si>
  <si>
    <t>MAV-174</t>
  </si>
  <si>
    <t>Kang &lt;&gt; Master…</t>
  </si>
  <si>
    <t>MHG-058</t>
  </si>
  <si>
    <t>Mar-Vell</t>
  </si>
  <si>
    <t>DCL-216</t>
  </si>
  <si>
    <t>MTU-063</t>
  </si>
  <si>
    <t>DWF-105</t>
  </si>
  <si>
    <t>DSM-077</t>
  </si>
  <si>
    <t>MTU-095</t>
  </si>
  <si>
    <t>Electro</t>
  </si>
  <si>
    <t>DWF-012</t>
  </si>
  <si>
    <t>Loser</t>
  </si>
  <si>
    <t>MAV-107</t>
  </si>
  <si>
    <t>MTU-133</t>
  </si>
  <si>
    <t>Black Heart</t>
  </si>
  <si>
    <t>DCR-141</t>
  </si>
  <si>
    <t>The Calculator</t>
  </si>
  <si>
    <t>MEV-048</t>
  </si>
  <si>
    <t>DOR-070</t>
  </si>
  <si>
    <t>Man-Bat</t>
  </si>
  <si>
    <t>DCR-088</t>
  </si>
  <si>
    <t>MUN-153</t>
  </si>
  <si>
    <t>DLS-100</t>
  </si>
  <si>
    <t>MEX-002</t>
  </si>
  <si>
    <t>Dr. Doom5 mex</t>
  </si>
  <si>
    <t>DLS-056</t>
  </si>
  <si>
    <t>DWF-043</t>
  </si>
  <si>
    <t>MHG-023</t>
  </si>
  <si>
    <t>Terrax</t>
  </si>
  <si>
    <t>MHG-096</t>
  </si>
  <si>
    <t>DCR-025</t>
  </si>
  <si>
    <t>Ted Grant</t>
  </si>
  <si>
    <t>MXM-220</t>
  </si>
  <si>
    <t>MTU-216</t>
  </si>
  <si>
    <t>Ronan the Accuser</t>
  </si>
  <si>
    <t>DBM-018</t>
  </si>
  <si>
    <t>MTU-065</t>
  </si>
  <si>
    <t>DCX-022</t>
  </si>
  <si>
    <t>Eradicator</t>
  </si>
  <si>
    <t>DWF-174</t>
  </si>
  <si>
    <t>MTU-110</t>
  </si>
  <si>
    <t>Swarm</t>
  </si>
  <si>
    <t>DWF-017</t>
  </si>
  <si>
    <t>Power Girl</t>
  </si>
  <si>
    <t>MUN-071</t>
  </si>
  <si>
    <t>MTU-146</t>
  </si>
  <si>
    <t>Morlun</t>
  </si>
  <si>
    <t>DCR-129</t>
  </si>
  <si>
    <t>MEV-063</t>
  </si>
  <si>
    <t>Rictor</t>
  </si>
  <si>
    <t>DWF-130</t>
  </si>
  <si>
    <t>Firefly</t>
  </si>
  <si>
    <t>DCR-085</t>
  </si>
  <si>
    <t>Arthur Kendrick</t>
  </si>
  <si>
    <t>MUN-158</t>
  </si>
  <si>
    <t>Scientist Supreme</t>
  </si>
  <si>
    <t>DLS-111</t>
  </si>
  <si>
    <t>Stompa</t>
  </si>
  <si>
    <t>MXM-204</t>
  </si>
  <si>
    <t>Kristoff Von Doom</t>
  </si>
  <si>
    <t>DLS-064</t>
  </si>
  <si>
    <t>Star Fingers</t>
  </si>
  <si>
    <t>DWF-089</t>
  </si>
  <si>
    <t>MHG-015</t>
  </si>
  <si>
    <t>Morg</t>
  </si>
  <si>
    <t>MHG-114</t>
  </si>
  <si>
    <t>DCR-020</t>
  </si>
  <si>
    <t>Rex Tyler</t>
  </si>
  <si>
    <t>MAV-165</t>
  </si>
  <si>
    <t>Baltag</t>
  </si>
  <si>
    <t>MHG-045</t>
  </si>
  <si>
    <t>DCL-209</t>
  </si>
  <si>
    <t>Merlyn</t>
  </si>
  <si>
    <t>MTU-062</t>
  </si>
  <si>
    <t>Richard Rider</t>
  </si>
  <si>
    <t>DWF-085</t>
  </si>
  <si>
    <t>Geo-Force</t>
  </si>
  <si>
    <t>DWF-171</t>
  </si>
  <si>
    <t>MTU-090</t>
  </si>
  <si>
    <t>Black Tarantula</t>
  </si>
  <si>
    <t>DCL-028</t>
  </si>
  <si>
    <t>Superman</t>
  </si>
  <si>
    <t>MHG-217</t>
  </si>
  <si>
    <t>MTU-145</t>
  </si>
  <si>
    <t>Mordred The Mystic</t>
  </si>
  <si>
    <t>DCR-127</t>
  </si>
  <si>
    <t>MEV-046</t>
  </si>
  <si>
    <t>Anarchist</t>
  </si>
  <si>
    <t>DCX-001</t>
  </si>
  <si>
    <t>Hush</t>
  </si>
  <si>
    <t>DCR-083</t>
  </si>
  <si>
    <t>Amanda Waller</t>
  </si>
  <si>
    <t>MUN-150</t>
  </si>
  <si>
    <t>Kingpin</t>
  </si>
  <si>
    <t>DLS-094</t>
  </si>
  <si>
    <t>MOR-112</t>
  </si>
  <si>
    <t>Dr. Doom6 mor</t>
  </si>
  <si>
    <t>DLS-045</t>
  </si>
  <si>
    <t>DWF-052</t>
  </si>
  <si>
    <t>MHG-022</t>
  </si>
  <si>
    <t>Stardust</t>
  </si>
  <si>
    <t>MHG-112</t>
  </si>
  <si>
    <t>DCR-021</t>
  </si>
  <si>
    <t>Richard Tyler</t>
  </si>
  <si>
    <t>MAV-176</t>
  </si>
  <si>
    <t>Kang &lt;&gt; Conqueror</t>
  </si>
  <si>
    <t>MHG-061</t>
  </si>
  <si>
    <t>DSM-144</t>
  </si>
  <si>
    <t>MTU-059</t>
  </si>
  <si>
    <t>Johnny Blaze</t>
  </si>
  <si>
    <t>DWF-094</t>
  </si>
  <si>
    <t>Kimiyo Hoshi</t>
  </si>
  <si>
    <t>DWF-178</t>
  </si>
  <si>
    <t>MSM-020</t>
  </si>
  <si>
    <t>Rhino</t>
  </si>
  <si>
    <t>DCR-171</t>
  </si>
  <si>
    <t>Superboy</t>
  </si>
  <si>
    <t>MAV-098</t>
  </si>
  <si>
    <t>Jolt</t>
  </si>
  <si>
    <t>MHG-214</t>
  </si>
  <si>
    <t>Mephisto</t>
  </si>
  <si>
    <t>DCR-133</t>
  </si>
  <si>
    <t>MEV-052</t>
  </si>
  <si>
    <t>Cannonball</t>
  </si>
  <si>
    <t>DWF-139</t>
  </si>
  <si>
    <t>Matt Hagen</t>
  </si>
  <si>
    <t>DCR-103</t>
  </si>
  <si>
    <t>Valentina Vostok</t>
  </si>
  <si>
    <t>MEX-006</t>
  </si>
  <si>
    <t>DLS-095</t>
  </si>
  <si>
    <t>MHG-134</t>
  </si>
  <si>
    <t>Dr. Doom6 mhg</t>
  </si>
  <si>
    <t>DLS-048</t>
  </si>
  <si>
    <t>DOR-004</t>
  </si>
  <si>
    <t>MHG-018</t>
  </si>
  <si>
    <t>MHG-108</t>
  </si>
  <si>
    <t>DCR-022</t>
  </si>
  <si>
    <t>Sand</t>
  </si>
  <si>
    <t>MAV-177</t>
  </si>
  <si>
    <t>Kang &lt;&gt; Ultimate</t>
  </si>
  <si>
    <t>MHG-070</t>
  </si>
  <si>
    <t>DCL-212</t>
  </si>
  <si>
    <t>MTU-046</t>
  </si>
  <si>
    <t>Brunnhilde</t>
  </si>
  <si>
    <t>DWF-080</t>
  </si>
  <si>
    <t>Black Lighning</t>
  </si>
  <si>
    <t>DWF-173</t>
  </si>
  <si>
    <t>MTU-112</t>
  </si>
  <si>
    <t>DWF-019</t>
  </si>
  <si>
    <t>MUN-055</t>
  </si>
  <si>
    <t>Genis-Vell</t>
  </si>
  <si>
    <t>MTU-155</t>
  </si>
  <si>
    <t>DCR-122</t>
  </si>
  <si>
    <t>Bizarro</t>
  </si>
  <si>
    <t>MEV-056</t>
  </si>
  <si>
    <t>Hepzibah</t>
  </si>
  <si>
    <t>DWF-127</t>
  </si>
  <si>
    <t>Catwoman</t>
  </si>
  <si>
    <t>DCR-081</t>
  </si>
  <si>
    <t>MMK-106</t>
  </si>
  <si>
    <t>Mr. Fear</t>
  </si>
  <si>
    <t>DLS-097</t>
  </si>
  <si>
    <t>Dark Warrior</t>
  </si>
  <si>
    <t>MVL-209</t>
  </si>
  <si>
    <t>Dreadnought Tank</t>
  </si>
  <si>
    <t>DLS-071</t>
  </si>
  <si>
    <t>Validus</t>
  </si>
  <si>
    <t>DCR-062</t>
  </si>
  <si>
    <t>MHG-002</t>
  </si>
  <si>
    <t>MHG-090</t>
  </si>
  <si>
    <t>Alaris</t>
  </si>
  <si>
    <t>DCX-016</t>
  </si>
  <si>
    <t>MHG-140</t>
  </si>
  <si>
    <t>MHG-046</t>
  </si>
  <si>
    <t>DCL-204</t>
  </si>
  <si>
    <t>Cassandra Cain</t>
  </si>
  <si>
    <t>MTU-054</t>
  </si>
  <si>
    <t>DWF-104</t>
  </si>
  <si>
    <t>DWWF-169</t>
  </si>
  <si>
    <t>MTU-091</t>
  </si>
  <si>
    <t>Bullseye</t>
  </si>
  <si>
    <t>DWF-018</t>
  </si>
  <si>
    <t>Pyrogen</t>
  </si>
  <si>
    <t>MAV-094</t>
  </si>
  <si>
    <t>MTU-140</t>
  </si>
  <si>
    <t>DCR-137</t>
  </si>
  <si>
    <t>MEV-065</t>
  </si>
  <si>
    <t>Shatterstar</t>
  </si>
  <si>
    <t>DOR-068</t>
  </si>
  <si>
    <t>Killer Croc</t>
  </si>
  <si>
    <t>DCR-084</t>
  </si>
  <si>
    <t>MUN-156</t>
  </si>
  <si>
    <t>DLS-098</t>
  </si>
  <si>
    <t>MHG-145</t>
  </si>
  <si>
    <t>Molecule Man</t>
  </si>
  <si>
    <t>DLS-059</t>
  </si>
  <si>
    <t>DLS-152</t>
  </si>
  <si>
    <t>MHG-020</t>
  </si>
  <si>
    <t>MHG-103</t>
  </si>
  <si>
    <t>DLS-198</t>
  </si>
  <si>
    <t>S.T.R.I.P.E.</t>
  </si>
  <si>
    <t>MAV-164</t>
  </si>
  <si>
    <t>Amenhotep</t>
  </si>
  <si>
    <t>MHG-052</t>
  </si>
  <si>
    <t>DBM-021</t>
  </si>
  <si>
    <t>MTU-048</t>
  </si>
  <si>
    <t>DWF-090</t>
  </si>
  <si>
    <t>DLS-212</t>
  </si>
  <si>
    <t>Brainiac 2.5</t>
  </si>
  <si>
    <t>MEX-003</t>
  </si>
  <si>
    <t>DSM-022</t>
  </si>
  <si>
    <t>MUN-057</t>
  </si>
  <si>
    <t>mmk</t>
  </si>
  <si>
    <t>mephisto</t>
  </si>
  <si>
    <t>DCR-123</t>
  </si>
  <si>
    <t>Black Adam</t>
  </si>
  <si>
    <t>MEV-062</t>
  </si>
  <si>
    <t>Phat</t>
  </si>
  <si>
    <t>DWF-145</t>
  </si>
  <si>
    <t>DCR-095</t>
  </si>
  <si>
    <t>MUN-146</t>
  </si>
  <si>
    <t>Head Case</t>
  </si>
  <si>
    <t>DLS-192</t>
  </si>
  <si>
    <t>MOR-113</t>
  </si>
  <si>
    <t>Doom8 mor</t>
  </si>
  <si>
    <t>DLS-058</t>
  </si>
  <si>
    <t>DOR-011</t>
  </si>
  <si>
    <t>MHG-024</t>
  </si>
  <si>
    <t>MHG-107</t>
  </si>
  <si>
    <t>DLS-197</t>
  </si>
  <si>
    <t>MAV-172</t>
  </si>
  <si>
    <t>MHG-065</t>
  </si>
  <si>
    <t>DLS-060</t>
  </si>
  <si>
    <t>MTU-047</t>
  </si>
  <si>
    <t>Devil Slayer</t>
  </si>
  <si>
    <t>DWF-091</t>
  </si>
  <si>
    <t>DWF-165</t>
  </si>
  <si>
    <t>MTU-092</t>
  </si>
  <si>
    <t>Carnage</t>
  </si>
  <si>
    <t>DCL</t>
  </si>
  <si>
    <t>MUN-065</t>
  </si>
  <si>
    <t>MTU-138</t>
  </si>
  <si>
    <t>Dweller-in-Darkness</t>
  </si>
  <si>
    <t>DCR-136</t>
  </si>
  <si>
    <t>MEV-049</t>
  </si>
  <si>
    <t>DOR-072</t>
  </si>
  <si>
    <t>DCR-093</t>
  </si>
  <si>
    <t>MHG-215</t>
  </si>
  <si>
    <t>DWF-164</t>
  </si>
  <si>
    <t>Dark Champion</t>
  </si>
  <si>
    <t>MVL-216</t>
  </si>
  <si>
    <t>DLS-070</t>
  </si>
  <si>
    <t>DWF-040</t>
  </si>
  <si>
    <t>MHG-025</t>
  </si>
  <si>
    <t>The Fallen One</t>
  </si>
  <si>
    <t>MTU-215</t>
  </si>
  <si>
    <t>DCR-028</t>
  </si>
  <si>
    <t>MUN-261</t>
  </si>
  <si>
    <t>MHG-079</t>
  </si>
  <si>
    <t>DLS-210</t>
  </si>
  <si>
    <t>MTU-064</t>
  </si>
  <si>
    <t xml:space="preserve">Dwf </t>
  </si>
  <si>
    <t>DWF-163</t>
  </si>
  <si>
    <t>MSM-072</t>
  </si>
  <si>
    <t>DWF-020</t>
  </si>
  <si>
    <t>MUN-063</t>
  </si>
  <si>
    <t>Melissa Gold</t>
  </si>
  <si>
    <t>MTU-141</t>
  </si>
  <si>
    <t>Madelyne Pryor</t>
  </si>
  <si>
    <t>DCR-121</t>
  </si>
  <si>
    <t>MEV-064</t>
  </si>
  <si>
    <t>Roberto Da Costa</t>
  </si>
  <si>
    <t>DWF-146</t>
  </si>
  <si>
    <t>DCR-101</t>
  </si>
  <si>
    <t>MUN-140</t>
  </si>
  <si>
    <t>DWF</t>
  </si>
  <si>
    <t>Kara Zor El</t>
  </si>
  <si>
    <t>MOR-129</t>
  </si>
  <si>
    <t>Doomstadt</t>
  </si>
  <si>
    <t>DLS-063</t>
  </si>
  <si>
    <t>DWF-066</t>
  </si>
  <si>
    <t>MEX-010</t>
  </si>
  <si>
    <t>MHG-099</t>
  </si>
  <si>
    <t>Gorgon</t>
  </si>
  <si>
    <t>DCR-013</t>
  </si>
  <si>
    <t>Jay Garrick</t>
  </si>
  <si>
    <t>MAV-173</t>
  </si>
  <si>
    <t>MHG-082</t>
  </si>
  <si>
    <t>DCL-215</t>
  </si>
  <si>
    <t>Shrike</t>
  </si>
  <si>
    <t>MTU-066</t>
  </si>
  <si>
    <t>DWF-093</t>
  </si>
  <si>
    <t>MTU-105</t>
  </si>
  <si>
    <t>DSM-023</t>
  </si>
  <si>
    <t>MXM-216</t>
  </si>
  <si>
    <t>MTU-154</t>
  </si>
  <si>
    <t>Shuma-Gorath</t>
  </si>
  <si>
    <t>DCR-128</t>
  </si>
  <si>
    <t>MEV-204</t>
  </si>
  <si>
    <t>DWF-123</t>
  </si>
  <si>
    <t>DCR-109</t>
  </si>
  <si>
    <t>MTU-212</t>
  </si>
  <si>
    <t>DCL-163</t>
  </si>
  <si>
    <t>mask of doom</t>
  </si>
  <si>
    <t>DLS-047</t>
  </si>
  <si>
    <t>Composite Man</t>
  </si>
  <si>
    <t>DWF-041</t>
  </si>
  <si>
    <t>MHG-010</t>
  </si>
  <si>
    <t>MHG-101</t>
  </si>
  <si>
    <t>DCR-027</t>
  </si>
  <si>
    <t>MAV-168</t>
  </si>
  <si>
    <t>MHG-074</t>
  </si>
  <si>
    <t>DCL-211</t>
  </si>
  <si>
    <t>MTU-055</t>
  </si>
  <si>
    <t>DWF-108</t>
  </si>
  <si>
    <t>DWF-187</t>
  </si>
  <si>
    <t>MSM-097</t>
  </si>
  <si>
    <t>DJL-210</t>
  </si>
  <si>
    <t>Look-Alike Squad</t>
  </si>
  <si>
    <t>MUN-072</t>
  </si>
  <si>
    <t>MTU-149</t>
  </si>
  <si>
    <t>DLS-207</t>
  </si>
  <si>
    <t>MEV-057</t>
  </si>
  <si>
    <t>James Proudstar</t>
  </si>
  <si>
    <t>DWF-124</t>
  </si>
  <si>
    <t>Bat-Mite</t>
  </si>
  <si>
    <t>DCR-105</t>
  </si>
  <si>
    <t>MUN-157</t>
  </si>
  <si>
    <t xml:space="preserve">DWF </t>
  </si>
  <si>
    <t>A Clash of worlds</t>
  </si>
  <si>
    <t>DLS-081</t>
  </si>
  <si>
    <t>DOR-026</t>
  </si>
  <si>
    <t>Bat-Signal</t>
  </si>
  <si>
    <t>MHG-011</t>
  </si>
  <si>
    <t>MHG-116</t>
  </si>
  <si>
    <t>DCR-042</t>
  </si>
  <si>
    <t>T-Shpere</t>
  </si>
  <si>
    <t>MAV-184</t>
  </si>
  <si>
    <t>MHG-076</t>
  </si>
  <si>
    <t>DOR-113</t>
  </si>
  <si>
    <t>MTU-073</t>
  </si>
  <si>
    <t>The B-Team</t>
  </si>
  <si>
    <t>DWF-109</t>
  </si>
  <si>
    <t>DGL-153</t>
  </si>
  <si>
    <t>MTU-122</t>
  </si>
  <si>
    <t>Hidden Cache</t>
  </si>
  <si>
    <t>DWF-036</t>
  </si>
  <si>
    <t>MUN-079</t>
  </si>
  <si>
    <t>Ruthless Agression</t>
  </si>
  <si>
    <t>MTU-161</t>
  </si>
  <si>
    <t>The Dark Dimention</t>
  </si>
  <si>
    <t>DCR-154</t>
  </si>
  <si>
    <t>Systematic Torture</t>
  </si>
  <si>
    <t>MEV-050</t>
  </si>
  <si>
    <t>DOR-089</t>
  </si>
  <si>
    <t>Fear and Confusion</t>
  </si>
  <si>
    <t>DCR-104</t>
  </si>
  <si>
    <t>MUN-176</t>
  </si>
  <si>
    <t>New King in Town</t>
  </si>
  <si>
    <t>DLS-123</t>
  </si>
  <si>
    <t>MVL-215</t>
  </si>
  <si>
    <t>DLS-080</t>
  </si>
  <si>
    <t>DOR-028</t>
  </si>
  <si>
    <t>MHG-032</t>
  </si>
  <si>
    <t>MHG-124</t>
  </si>
  <si>
    <t>DCR-032</t>
  </si>
  <si>
    <t>Advanced Warning</t>
  </si>
  <si>
    <t>MTU-209</t>
  </si>
  <si>
    <t>Damocles Base</t>
  </si>
  <si>
    <t>MHG-084</t>
  </si>
  <si>
    <t>DOR-115</t>
  </si>
  <si>
    <t>MTU-077</t>
  </si>
  <si>
    <t>Defenders Defend</t>
  </si>
  <si>
    <t>DWF-113</t>
  </si>
  <si>
    <t>Fighting The Lier</t>
  </si>
  <si>
    <t>DWF-196</t>
  </si>
  <si>
    <t>Never-Ending Battle</t>
  </si>
  <si>
    <t>MTU-130</t>
  </si>
  <si>
    <t>DWF-038</t>
  </si>
  <si>
    <t>Soaring to New Heights</t>
  </si>
  <si>
    <t>MUN-081</t>
  </si>
  <si>
    <t>Spedball Is Dead</t>
  </si>
  <si>
    <t>MTU-165</t>
  </si>
  <si>
    <t>DCR-147</t>
  </si>
  <si>
    <t>Baddest of The Bad</t>
  </si>
  <si>
    <t>MEV-077</t>
  </si>
  <si>
    <t>DWF-153</t>
  </si>
  <si>
    <t>DCR-112</t>
  </si>
  <si>
    <t>MSM</t>
  </si>
  <si>
    <t>MVL-217</t>
  </si>
  <si>
    <t>DLS-078</t>
  </si>
  <si>
    <t>DOR-029</t>
  </si>
  <si>
    <t>MHG-036</t>
  </si>
  <si>
    <t>MHG-123</t>
  </si>
  <si>
    <t>Terragenesis</t>
  </si>
  <si>
    <t>DCR-041</t>
  </si>
  <si>
    <t>MUN-328</t>
  </si>
  <si>
    <t>MHG-087</t>
  </si>
  <si>
    <t>DSM-146</t>
  </si>
  <si>
    <t>MTU-081</t>
  </si>
  <si>
    <t>DWF-112</t>
  </si>
  <si>
    <t>DGL-151</t>
  </si>
  <si>
    <t>Death of superman</t>
  </si>
  <si>
    <t>MTU-128</t>
  </si>
  <si>
    <t>Spider Hunt</t>
  </si>
  <si>
    <t>Cadmus labs</t>
  </si>
  <si>
    <t>DCL-262</t>
  </si>
  <si>
    <t>MTU-168</t>
  </si>
  <si>
    <t>Netherwolrd Gift</t>
  </si>
  <si>
    <t>DCR-149</t>
  </si>
  <si>
    <t>MEV-081</t>
  </si>
  <si>
    <t>DWF-152</t>
  </si>
  <si>
    <t>DCR-117</t>
  </si>
  <si>
    <t>MMK-119</t>
  </si>
  <si>
    <t>Armed Escort</t>
  </si>
  <si>
    <t>MOR-135</t>
  </si>
  <si>
    <t>DLS-074</t>
  </si>
  <si>
    <t>DWF-058</t>
  </si>
  <si>
    <t>Bat Got Your Togue?</t>
  </si>
  <si>
    <t>MHG-043</t>
  </si>
  <si>
    <t>Worldeater Aparatus</t>
  </si>
  <si>
    <t>MHG-126</t>
  </si>
  <si>
    <t>DCR-037</t>
  </si>
  <si>
    <t>MHG-169</t>
  </si>
  <si>
    <t>MHG-088</t>
  </si>
  <si>
    <t>DCL-220</t>
  </si>
  <si>
    <t>Lazarus Pit</t>
  </si>
  <si>
    <t>MTU-087</t>
  </si>
  <si>
    <t>Zzzax Attax</t>
  </si>
  <si>
    <t>DWF-121</t>
  </si>
  <si>
    <t>Taking Out The Trash</t>
  </si>
  <si>
    <t>DWF-186</t>
  </si>
  <si>
    <t>MTU-115</t>
  </si>
  <si>
    <t>DWF-032</t>
  </si>
  <si>
    <t>For the Man Who Has Everything</t>
  </si>
  <si>
    <t>MUN-082</t>
  </si>
  <si>
    <t>Unregistered Combatants</t>
  </si>
  <si>
    <t>MTU-162</t>
  </si>
  <si>
    <t>DCR-155</t>
  </si>
  <si>
    <t>MEV-079</t>
  </si>
  <si>
    <t>Born to Run</t>
  </si>
  <si>
    <t>DJL-217</t>
  </si>
  <si>
    <t>DCR-108</t>
  </si>
  <si>
    <t>MUN-330</t>
  </si>
  <si>
    <t>What if?</t>
  </si>
  <si>
    <t>DLS-120</t>
  </si>
  <si>
    <t>Joining the darkseid</t>
  </si>
  <si>
    <t>MHG-162</t>
  </si>
  <si>
    <t>For the glory of doom</t>
  </si>
  <si>
    <t>DSM-156</t>
  </si>
  <si>
    <t>DWF-061</t>
  </si>
  <si>
    <t>the hook up</t>
  </si>
  <si>
    <t>MHG-040</t>
  </si>
  <si>
    <t>The Herald Ordeal</t>
  </si>
  <si>
    <t>MHG-118</t>
  </si>
  <si>
    <t>DCR-033</t>
  </si>
  <si>
    <t>Allied Against the dark</t>
  </si>
  <si>
    <t>MTU-206</t>
  </si>
  <si>
    <t>We Had a Team-Up</t>
  </si>
  <si>
    <t>MHG-193</t>
  </si>
  <si>
    <t>DCL-247</t>
  </si>
  <si>
    <t>MTU-083</t>
  </si>
  <si>
    <t>MAV</t>
  </si>
  <si>
    <t>A day unlinke any other</t>
  </si>
  <si>
    <t>DWF-188</t>
  </si>
  <si>
    <t>Dimmensional Deal</t>
  </si>
  <si>
    <t>MTU-117</t>
  </si>
  <si>
    <t>DWF-026</t>
  </si>
  <si>
    <t>MAV-072</t>
  </si>
  <si>
    <t>Stormfront-1</t>
  </si>
  <si>
    <t>MTU-169</t>
  </si>
  <si>
    <t>MUN-308</t>
  </si>
  <si>
    <t>Heroes for Hire</t>
  </si>
  <si>
    <t>MEV-075</t>
  </si>
  <si>
    <t>Doopworld</t>
  </si>
  <si>
    <t>The penguin</t>
  </si>
  <si>
    <t>DWF-142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</si>
</sst>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23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name val="Calibri"/>
      <family val="2"/>
      <charset val="1"/>
    </font>
    <font>
      <sz val="10"/>
      <color rgb="FF000000"/>
      <name val="Verdana"/>
      <family val="2"/>
      <charset val="1"/>
    </font>
    <font>
      <u/>
      <sz val="11"/>
      <color rgb="FFFF0000"/>
      <name val="Calibri"/>
      <family val="2"/>
      <charset val="1"/>
    </font>
    <font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u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33CCCC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4" fillId="0" borderId="0" applyBorder="0" applyProtection="0"/>
    <xf numFmtId="0" fontId="5" fillId="0" borderId="0" applyBorder="0" applyProtection="0"/>
    <xf numFmtId="164" fontId="14" fillId="0" borderId="0" applyBorder="0" applyProtection="0"/>
  </cellStyleXfs>
  <cellXfs count="30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2" applyFont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8" fillId="0" borderId="0" xfId="2" applyFont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2" applyBorder="1" applyAlignment="1" applyProtection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5" fillId="2" borderId="0" xfId="2" applyFill="1" applyBorder="1" applyAlignment="1" applyProtection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5" fillId="0" borderId="0" xfId="2" applyBorder="1" applyAlignment="1" applyProtection="1"/>
    <xf numFmtId="0" fontId="5" fillId="0" borderId="0" xfId="2" applyBorder="1" applyAlignment="1" applyProtection="1">
      <alignment horizontal="center" vertical="center"/>
    </xf>
    <xf numFmtId="0" fontId="0" fillId="2" borderId="0" xfId="0" applyFill="1" applyAlignment="1">
      <alignment horizontal="center"/>
    </xf>
    <xf numFmtId="2" fontId="0" fillId="0" borderId="0" xfId="1" applyNumberFormat="1" applyFont="1" applyBorder="1" applyAlignment="1" applyProtection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left" vertical="center" indent="1"/>
    </xf>
    <xf numFmtId="0" fontId="1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0" fillId="3" borderId="0" xfId="0" applyFill="1"/>
    <xf numFmtId="0" fontId="16" fillId="0" borderId="8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0" fillId="0" borderId="0" xfId="0" quotePrefix="1" applyFont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5" fillId="0" borderId="30" xfId="0" applyFont="1" applyBorder="1"/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0" xfId="0" applyFont="1"/>
    <xf numFmtId="0" fontId="15" fillId="0" borderId="3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/>
    </xf>
    <xf numFmtId="0" fontId="15" fillId="0" borderId="34" xfId="0" applyFont="1" applyBorder="1"/>
    <xf numFmtId="0" fontId="15" fillId="0" borderId="34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0" fontId="0" fillId="0" borderId="10" xfId="0" applyBorder="1" applyAlignment="1">
      <alignment horizontal="center" vertic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17" xfId="0" applyBorder="1"/>
    <xf numFmtId="0" fontId="22" fillId="0" borderId="0" xfId="0" applyFont="1"/>
    <xf numFmtId="0" fontId="22" fillId="0" borderId="36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35" xfId="0" applyFont="1" applyBorder="1"/>
    <xf numFmtId="0" fontId="0" fillId="0" borderId="40" xfId="0" applyBorder="1" applyAlignment="1">
      <alignment horizontal="center" vertical="center"/>
    </xf>
    <xf numFmtId="0" fontId="22" fillId="0" borderId="17" xfId="0" applyFont="1" applyBorder="1"/>
    <xf numFmtId="0" fontId="22" fillId="0" borderId="41" xfId="0" applyFont="1" applyBorder="1"/>
    <xf numFmtId="0" fontId="22" fillId="0" borderId="42" xfId="0" applyFont="1" applyBorder="1"/>
    <xf numFmtId="0" fontId="0" fillId="0" borderId="40" xfId="0" applyBorder="1"/>
    <xf numFmtId="0" fontId="22" fillId="0" borderId="29" xfId="0" applyFont="1" applyBorder="1"/>
    <xf numFmtId="0" fontId="22" fillId="0" borderId="43" xfId="0" applyFont="1" applyBorder="1"/>
    <xf numFmtId="0" fontId="0" fillId="0" borderId="29" xfId="0" applyBorder="1"/>
    <xf numFmtId="0" fontId="0" fillId="0" borderId="42" xfId="0" applyBorder="1"/>
    <xf numFmtId="0" fontId="22" fillId="0" borderId="9" xfId="0" applyFont="1" applyBorder="1"/>
    <xf numFmtId="0" fontId="22" fillId="0" borderId="11" xfId="0" applyFont="1" applyBorder="1"/>
    <xf numFmtId="0" fontId="21" fillId="5" borderId="0" xfId="0" applyFont="1" applyFill="1" applyAlignment="1">
      <alignment horizontal="center"/>
    </xf>
    <xf numFmtId="0" fontId="21" fillId="5" borderId="29" xfId="0" applyFont="1" applyFill="1" applyBorder="1" applyAlignment="1">
      <alignment horizontal="center"/>
    </xf>
    <xf numFmtId="49" fontId="15" fillId="0" borderId="30" xfId="0" applyNumberFormat="1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15" fillId="0" borderId="4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9" xfId="0" applyBorder="1"/>
    <xf numFmtId="0" fontId="0" fillId="0" borderId="10" xfId="0" applyBorder="1"/>
    <xf numFmtId="0" fontId="22" fillId="0" borderId="35" xfId="0" applyFont="1" applyBorder="1" applyAlignment="1">
      <alignment horizontal="center" vertical="center"/>
    </xf>
    <xf numFmtId="0" fontId="22" fillId="0" borderId="40" xfId="0" applyFont="1" applyBorder="1"/>
    <xf numFmtId="0" fontId="0" fillId="0" borderId="15" xfId="0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3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49" fontId="15" fillId="0" borderId="31" xfId="0" applyNumberFormat="1" applyFont="1" applyBorder="1" applyAlignment="1">
      <alignment horizontal="center" vertical="center"/>
    </xf>
    <xf numFmtId="0" fontId="15" fillId="0" borderId="0" xfId="0" applyFont="1" applyBorder="1"/>
    <xf numFmtId="0" fontId="0" fillId="5" borderId="0" xfId="0" applyFill="1" applyAlignment="1">
      <alignment horizontal="center"/>
    </xf>
  </cellXfs>
  <cellStyles count="4">
    <cellStyle name="Lien hypertexte" xfId="2" builtinId="8"/>
    <cellStyle name="Monétaire" xfId="1" builtinId="4"/>
    <cellStyle name="Normal" xfId="0" builtinId="0"/>
    <cellStyle name="Texte explicatif" xfId="3" builtinId="53" customBuiltin="1"/>
  </cellStyles>
  <dxfs count="0"/>
  <tableStyles count="0" defaultTableStyle="TableStyleMedium2" defaultPivotStyle="PivotStyleLight16"/>
  <colors>
    <mruColors>
      <color rgb="FF33CCCC"/>
      <color rgb="FF5F5F5F"/>
      <color rgb="FF75DBFF"/>
      <color rgb="FFDDDDDD"/>
      <color rgb="FF00FFCC"/>
      <color rgb="FFA50021"/>
      <color rgb="FFFFCCFF"/>
      <color rgb="FF9900CC"/>
      <color rgb="FFFF33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015532/Desktop/EA%2520resized/Users/g-htd-radio519/Downloads/Starter%2520Deckli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Starter Goods"/>
      <sheetName val="Starter Villains"/>
      <sheetName val="Raid Deck Galactus"/>
      <sheetName val="Labo"/>
    </sheetNames>
    <sheetDataSet>
      <sheetData sheetId="0"/>
      <sheetData sheetId="1"/>
      <sheetData sheetId="2"/>
      <sheetData sheetId="3"/>
      <sheetData sheetId="4">
        <row r="1">
          <cell r="A1">
            <v>60</v>
          </cell>
          <cell r="B1" t="str">
            <v>PowerUp Abuse</v>
          </cell>
          <cell r="D1">
            <v>60</v>
          </cell>
          <cell r="E1" t="str">
            <v>S.H.I.E.L.D.</v>
          </cell>
          <cell r="G1">
            <v>60</v>
          </cell>
          <cell r="H1" t="str">
            <v>KO Team</v>
          </cell>
          <cell r="J1">
            <v>60</v>
          </cell>
          <cell r="K1" t="str">
            <v>Avengers</v>
          </cell>
          <cell r="M1">
            <v>60</v>
          </cell>
          <cell r="N1" t="str">
            <v>Avengers BYOT exclusif</v>
          </cell>
          <cell r="S1">
            <v>60</v>
          </cell>
          <cell r="T1" t="str">
            <v>Exhaust</v>
          </cell>
        </row>
        <row r="2">
          <cell r="A2">
            <v>4</v>
          </cell>
          <cell r="B2" t="str">
            <v>Mystique</v>
          </cell>
          <cell r="D2">
            <v>10</v>
          </cell>
          <cell r="E2" t="str">
            <v>SHIELD Agents</v>
          </cell>
          <cell r="G2">
            <v>4</v>
          </cell>
          <cell r="H2" t="str">
            <v>Jaime Reyes DCR1</v>
          </cell>
          <cell r="J2">
            <v>4</v>
          </cell>
          <cell r="K2" t="str">
            <v>Jarvis</v>
          </cell>
          <cell r="M2">
            <v>4</v>
          </cell>
          <cell r="N2" t="str">
            <v>Speed</v>
          </cell>
          <cell r="S2">
            <v>4</v>
          </cell>
          <cell r="T2" t="str">
            <v>Connie Webb</v>
          </cell>
        </row>
        <row r="3">
          <cell r="A3">
            <v>3</v>
          </cell>
          <cell r="B3" t="str">
            <v>Connie</v>
          </cell>
          <cell r="D3">
            <v>3</v>
          </cell>
          <cell r="E3" t="str">
            <v>Life Model Decoy</v>
          </cell>
          <cell r="G3">
            <v>4</v>
          </cell>
          <cell r="H3" t="str">
            <v>Mr. Fantastic MOR2</v>
          </cell>
          <cell r="J3">
            <v>4</v>
          </cell>
          <cell r="K3" t="str">
            <v>Iron Fist</v>
          </cell>
          <cell r="M3">
            <v>4</v>
          </cell>
          <cell r="N3" t="str">
            <v>Jarvis</v>
          </cell>
          <cell r="P3">
            <v>1</v>
          </cell>
          <cell r="Q3" t="str">
            <v>Mr. X</v>
          </cell>
          <cell r="S3">
            <v>3</v>
          </cell>
          <cell r="T3" t="str">
            <v>Mr. X</v>
          </cell>
        </row>
        <row r="4">
          <cell r="A4">
            <v>3</v>
          </cell>
          <cell r="B4" t="str">
            <v>Black Thorn</v>
          </cell>
          <cell r="D4">
            <v>3</v>
          </cell>
          <cell r="E4" t="str">
            <v>Squirrel Girl</v>
          </cell>
          <cell r="G4">
            <v>4</v>
          </cell>
          <cell r="H4" t="str">
            <v>Black Panther MXM3</v>
          </cell>
          <cell r="J4">
            <v>4</v>
          </cell>
          <cell r="K4" t="str">
            <v>Natasha Romanoff</v>
          </cell>
          <cell r="M4">
            <v>4</v>
          </cell>
          <cell r="N4" t="str">
            <v>Wasp</v>
          </cell>
          <cell r="P4" t="str">
            <v>3+1</v>
          </cell>
          <cell r="Q4" t="str">
            <v>Heroes Welcome</v>
          </cell>
          <cell r="S4">
            <v>4</v>
          </cell>
          <cell r="T4" t="str">
            <v>Puppet</v>
          </cell>
        </row>
        <row r="5">
          <cell r="A5">
            <v>4</v>
          </cell>
          <cell r="B5" t="str">
            <v>Ahmed</v>
          </cell>
          <cell r="D5">
            <v>3</v>
          </cell>
          <cell r="E5" t="str">
            <v>Speedball</v>
          </cell>
          <cell r="G5">
            <v>3</v>
          </cell>
          <cell r="H5" t="str">
            <v>Punisher MMK4</v>
          </cell>
          <cell r="J5">
            <v>3</v>
          </cell>
          <cell r="K5" t="str">
            <v>Captain America</v>
          </cell>
          <cell r="M5">
            <v>1</v>
          </cell>
          <cell r="N5" t="str">
            <v>Iron Fist</v>
          </cell>
          <cell r="P5" t="str">
            <v>2 DCL</v>
          </cell>
          <cell r="Q5" t="str">
            <v>Straight</v>
          </cell>
          <cell r="S5">
            <v>1</v>
          </cell>
          <cell r="T5" t="str">
            <v>Black Thorn</v>
          </cell>
        </row>
        <row r="6">
          <cell r="A6">
            <v>3</v>
          </cell>
          <cell r="B6" t="str">
            <v>Blob</v>
          </cell>
          <cell r="D6">
            <v>1</v>
          </cell>
          <cell r="E6" t="str">
            <v>Hank Pym</v>
          </cell>
          <cell r="G6">
            <v>2</v>
          </cell>
          <cell r="H6" t="str">
            <v>Mr . Fantastic MOR5</v>
          </cell>
          <cell r="J6">
            <v>3</v>
          </cell>
          <cell r="K6" t="str">
            <v>Quicksilver</v>
          </cell>
          <cell r="M6">
            <v>1</v>
          </cell>
          <cell r="N6" t="str">
            <v>Natasha Romanoff</v>
          </cell>
          <cell r="P6" t="str">
            <v>1 EA</v>
          </cell>
          <cell r="Q6" t="str">
            <v>Straight</v>
          </cell>
          <cell r="S6">
            <v>4</v>
          </cell>
          <cell r="T6" t="str">
            <v>Ahmed</v>
          </cell>
        </row>
        <row r="7">
          <cell r="A7">
            <v>2</v>
          </cell>
          <cell r="B7" t="str">
            <v>Quicksilver</v>
          </cell>
          <cell r="D7">
            <v>4</v>
          </cell>
          <cell r="E7" t="str">
            <v>Wolverine</v>
          </cell>
          <cell r="G7">
            <v>3</v>
          </cell>
          <cell r="H7" t="str">
            <v>Vic Stone DCL6</v>
          </cell>
          <cell r="J7">
            <v>2</v>
          </cell>
          <cell r="K7" t="str">
            <v>Patriot</v>
          </cell>
          <cell r="M7">
            <v>4</v>
          </cell>
          <cell r="N7" t="str">
            <v>Captain America</v>
          </cell>
          <cell r="P7" t="str">
            <v>1 ech</v>
          </cell>
          <cell r="Q7" t="str">
            <v>Straight</v>
          </cell>
          <cell r="S7">
            <v>1</v>
          </cell>
          <cell r="T7" t="str">
            <v>Cardiac</v>
          </cell>
        </row>
        <row r="8">
          <cell r="A8">
            <v>1</v>
          </cell>
          <cell r="B8" t="str">
            <v>Lex Luthor</v>
          </cell>
          <cell r="D8">
            <v>1</v>
          </cell>
          <cell r="E8" t="str">
            <v>Blade</v>
          </cell>
          <cell r="G8">
            <v>3</v>
          </cell>
          <cell r="H8" t="str">
            <v>Iron Man MUN7</v>
          </cell>
          <cell r="J8">
            <v>1</v>
          </cell>
          <cell r="K8" t="str">
            <v>Iron Man</v>
          </cell>
          <cell r="M8">
            <v>2</v>
          </cell>
          <cell r="N8" t="str">
            <v>Quicksilver</v>
          </cell>
          <cell r="P8" t="str">
            <v>3+1EA</v>
          </cell>
          <cell r="Q8" t="str">
            <v>No man escapes</v>
          </cell>
          <cell r="S8">
            <v>1</v>
          </cell>
          <cell r="T8" t="str">
            <v>Spider Girl</v>
          </cell>
        </row>
        <row r="9">
          <cell r="A9">
            <v>1</v>
          </cell>
          <cell r="B9" t="str">
            <v>Huntress</v>
          </cell>
          <cell r="D9">
            <v>1</v>
          </cell>
          <cell r="E9" t="str">
            <v>Lady Deathstrike</v>
          </cell>
          <cell r="G9">
            <v>4</v>
          </cell>
          <cell r="H9" t="str">
            <v>Heroes Of Two Worlds</v>
          </cell>
          <cell r="J9">
            <v>1</v>
          </cell>
          <cell r="K9" t="str">
            <v>Hawkeye</v>
          </cell>
          <cell r="M9">
            <v>3</v>
          </cell>
          <cell r="N9" t="str">
            <v>Iron Man mun4</v>
          </cell>
          <cell r="P9" t="str">
            <v>3+1</v>
          </cell>
          <cell r="Q9" t="str">
            <v>Kooey</v>
          </cell>
          <cell r="S9">
            <v>1</v>
          </cell>
          <cell r="T9" t="str">
            <v>Rose Wilson T3</v>
          </cell>
        </row>
        <row r="10">
          <cell r="A10">
            <v>2</v>
          </cell>
          <cell r="B10" t="str">
            <v>Mystique</v>
          </cell>
          <cell r="D10">
            <v>4</v>
          </cell>
          <cell r="E10" t="str">
            <v>Birthing Chamber</v>
          </cell>
          <cell r="G10">
            <v>4</v>
          </cell>
          <cell r="H10" t="str">
            <v>Enemy</v>
          </cell>
          <cell r="J10">
            <v>2</v>
          </cell>
          <cell r="K10" t="str">
            <v>Carol Danvers</v>
          </cell>
          <cell r="M10">
            <v>1</v>
          </cell>
          <cell r="N10" t="str">
            <v>Carol Danvers</v>
          </cell>
          <cell r="P10">
            <v>1</v>
          </cell>
          <cell r="Q10" t="str">
            <v>Bwahahaha</v>
          </cell>
          <cell r="S10">
            <v>3</v>
          </cell>
          <cell r="T10" t="str">
            <v>Rogue</v>
          </cell>
        </row>
        <row r="11">
          <cell r="A11">
            <v>1</v>
          </cell>
          <cell r="B11" t="str">
            <v>Magneto</v>
          </cell>
          <cell r="D11">
            <v>4</v>
          </cell>
          <cell r="E11" t="str">
            <v>SHIELD Hellicarrier</v>
          </cell>
          <cell r="G11">
            <v>4</v>
          </cell>
          <cell r="H11" t="str">
            <v>Secret Origins</v>
          </cell>
          <cell r="J11">
            <v>1</v>
          </cell>
          <cell r="K11" t="str">
            <v>Monica Rambeau</v>
          </cell>
          <cell r="M11">
            <v>1</v>
          </cell>
          <cell r="N11" t="str">
            <v>Monica Rambeau</v>
          </cell>
          <cell r="S11">
            <v>1</v>
          </cell>
          <cell r="T11" t="str">
            <v>Terra</v>
          </cell>
        </row>
        <row r="12">
          <cell r="A12">
            <v>1</v>
          </cell>
          <cell r="B12" t="str">
            <v>Koriand'r</v>
          </cell>
          <cell r="D12">
            <v>4</v>
          </cell>
          <cell r="E12" t="str">
            <v>Mobilize</v>
          </cell>
          <cell r="G12">
            <v>4</v>
          </cell>
          <cell r="H12" t="str">
            <v>Tech Upgrade</v>
          </cell>
          <cell r="J12">
            <v>1</v>
          </cell>
          <cell r="K12" t="str">
            <v>Wolverine</v>
          </cell>
          <cell r="M12">
            <v>1</v>
          </cell>
          <cell r="N12" t="str">
            <v>Spider-Man</v>
          </cell>
          <cell r="P12">
            <v>3</v>
          </cell>
          <cell r="Q12" t="str">
            <v>Mighiest heroes</v>
          </cell>
          <cell r="S12">
            <v>1</v>
          </cell>
          <cell r="T12" t="str">
            <v>Loser</v>
          </cell>
        </row>
        <row r="13">
          <cell r="A13">
            <v>1</v>
          </cell>
          <cell r="B13" t="str">
            <v>31st Century Metropolis</v>
          </cell>
          <cell r="D13">
            <v>4</v>
          </cell>
          <cell r="E13" t="str">
            <v>Adamantium Claw</v>
          </cell>
          <cell r="G13">
            <v>4</v>
          </cell>
          <cell r="H13" t="str">
            <v>Cannibal Tech</v>
          </cell>
          <cell r="J13">
            <v>1</v>
          </cell>
          <cell r="K13" t="str">
            <v>Captain America</v>
          </cell>
          <cell r="M13">
            <v>1</v>
          </cell>
          <cell r="N13" t="str">
            <v>Wolverine</v>
          </cell>
          <cell r="P13" t="str">
            <v>1 n to f</v>
          </cell>
          <cell r="Q13" t="str">
            <v>Mightiest$</v>
          </cell>
          <cell r="S13">
            <v>1</v>
          </cell>
          <cell r="T13" t="str">
            <v>Rose Wilson T5</v>
          </cell>
        </row>
        <row r="14">
          <cell r="A14">
            <v>2</v>
          </cell>
          <cell r="B14" t="str">
            <v>Lost City</v>
          </cell>
          <cell r="D14">
            <v>4</v>
          </cell>
          <cell r="E14" t="str">
            <v>Mob Mentality</v>
          </cell>
          <cell r="G14">
            <v>4</v>
          </cell>
          <cell r="H14" t="str">
            <v>Steel Girder</v>
          </cell>
          <cell r="J14">
            <v>1</v>
          </cell>
          <cell r="K14" t="str">
            <v>Hercules</v>
          </cell>
          <cell r="M14">
            <v>2</v>
          </cell>
          <cell r="N14" t="str">
            <v>Captain America mun6</v>
          </cell>
          <cell r="P14">
            <v>3</v>
          </cell>
          <cell r="Q14" t="str">
            <v>resist</v>
          </cell>
          <cell r="S14">
            <v>1</v>
          </cell>
          <cell r="T14" t="str">
            <v>Dr. Light</v>
          </cell>
        </row>
        <row r="15">
          <cell r="A15">
            <v>2</v>
          </cell>
          <cell r="B15" t="str">
            <v>Avalon</v>
          </cell>
          <cell r="D15">
            <v>4</v>
          </cell>
          <cell r="E15" t="str">
            <v>Megablast</v>
          </cell>
          <cell r="G15">
            <v>4</v>
          </cell>
          <cell r="H15" t="str">
            <v>Light Armor</v>
          </cell>
          <cell r="J15">
            <v>4</v>
          </cell>
          <cell r="K15" t="str">
            <v>Playroom</v>
          </cell>
          <cell r="M15">
            <v>1</v>
          </cell>
          <cell r="N15" t="str">
            <v>Hercules mun7</v>
          </cell>
          <cell r="P15">
            <v>1</v>
          </cell>
          <cell r="Q15" t="str">
            <v>sat hq</v>
          </cell>
          <cell r="S15">
            <v>1</v>
          </cell>
          <cell r="T15" t="str">
            <v>Mimic</v>
          </cell>
        </row>
        <row r="16">
          <cell r="A16">
            <v>1</v>
          </cell>
          <cell r="B16" t="str">
            <v>Slaughter Swamp</v>
          </cell>
          <cell r="D16">
            <v>4</v>
          </cell>
          <cell r="E16" t="str">
            <v>Flying Kick</v>
          </cell>
          <cell r="G16">
            <v>3</v>
          </cell>
          <cell r="H16" t="str">
            <v>Twin Firearms</v>
          </cell>
          <cell r="J16">
            <v>4</v>
          </cell>
          <cell r="K16" t="str">
            <v>Cutting Lose</v>
          </cell>
          <cell r="M16">
            <v>4</v>
          </cell>
          <cell r="N16" t="str">
            <v>Avengers Assemble!</v>
          </cell>
          <cell r="P16">
            <v>2</v>
          </cell>
          <cell r="Q16" t="str">
            <v>aquam</v>
          </cell>
          <cell r="S16">
            <v>1</v>
          </cell>
          <cell r="T16" t="str">
            <v>Huntress</v>
          </cell>
        </row>
        <row r="17">
          <cell r="A17">
            <v>4</v>
          </cell>
          <cell r="B17" t="str">
            <v>Brother 1 Satellite</v>
          </cell>
          <cell r="D17">
            <v>3</v>
          </cell>
          <cell r="E17" t="str">
            <v>Clock Of Nabu</v>
          </cell>
          <cell r="G17">
            <v>2</v>
          </cell>
          <cell r="H17" t="str">
            <v>Personal Force Field</v>
          </cell>
          <cell r="J17">
            <v>4</v>
          </cell>
          <cell r="K17" t="str">
            <v>Legendary Battles</v>
          </cell>
          <cell r="M17">
            <v>4</v>
          </cell>
          <cell r="N17" t="str">
            <v>Avengers Reassembled</v>
          </cell>
          <cell r="P17">
            <v>3</v>
          </cell>
          <cell r="Q17" t="str">
            <v>katar</v>
          </cell>
          <cell r="S17">
            <v>1</v>
          </cell>
          <cell r="T17" t="str">
            <v>Galactus7</v>
          </cell>
        </row>
        <row r="18">
          <cell r="A18">
            <v>1</v>
          </cell>
          <cell r="B18" t="str">
            <v>Savage Land</v>
          </cell>
          <cell r="D18">
            <v>3</v>
          </cell>
          <cell r="E18" t="str">
            <v>BPRD Signal Device</v>
          </cell>
          <cell r="G18">
            <v>2</v>
          </cell>
          <cell r="H18" t="str">
            <v>The Tallus</v>
          </cell>
          <cell r="J18">
            <v>4</v>
          </cell>
          <cell r="K18" t="str">
            <v>Avengers Reassembled</v>
          </cell>
          <cell r="M18">
            <v>4</v>
          </cell>
          <cell r="N18" t="str">
            <v>Young Avengers</v>
          </cell>
          <cell r="P18" t="str">
            <v>3+1</v>
          </cell>
          <cell r="Q18" t="str">
            <v>new era</v>
          </cell>
          <cell r="S18">
            <v>1</v>
          </cell>
          <cell r="T18" t="str">
            <v>Koriand'r</v>
          </cell>
        </row>
        <row r="19">
          <cell r="A19">
            <v>1</v>
          </cell>
          <cell r="B19" t="str">
            <v>SHIELD Hellicarrier</v>
          </cell>
          <cell r="D19">
            <v>0</v>
          </cell>
          <cell r="E19">
            <v>0</v>
          </cell>
          <cell r="G19">
            <v>1</v>
          </cell>
          <cell r="H19" t="str">
            <v>Quantum Bands</v>
          </cell>
          <cell r="J19">
            <v>4</v>
          </cell>
          <cell r="K19" t="str">
            <v>Pathetic Attempt</v>
          </cell>
          <cell r="M19">
            <v>4</v>
          </cell>
          <cell r="N19" t="str">
            <v>Legendary Battles</v>
          </cell>
          <cell r="P19">
            <v>2</v>
          </cell>
          <cell r="Q19" t="str">
            <v>hall of</v>
          </cell>
          <cell r="S19">
            <v>4</v>
          </cell>
          <cell r="T19" t="str">
            <v>Brother I Sattelite</v>
          </cell>
        </row>
        <row r="20">
          <cell r="A20">
            <v>4</v>
          </cell>
          <cell r="B20" t="str">
            <v>Freedom Force</v>
          </cell>
          <cell r="D20">
            <v>0</v>
          </cell>
          <cell r="E20">
            <v>0</v>
          </cell>
          <cell r="G20">
            <v>1</v>
          </cell>
          <cell r="H20" t="str">
            <v>High-Tech Flare Gun</v>
          </cell>
          <cell r="J20">
            <v>4</v>
          </cell>
          <cell r="K20" t="str">
            <v>Mobilize</v>
          </cell>
          <cell r="M20">
            <v>4</v>
          </cell>
          <cell r="N20" t="str">
            <v>Reckless Youth</v>
          </cell>
          <cell r="P20">
            <v>1</v>
          </cell>
          <cell r="Q20" t="str">
            <v>magneto</v>
          </cell>
          <cell r="S20">
            <v>2</v>
          </cell>
          <cell r="T20" t="str">
            <v>Xavier's School</v>
          </cell>
        </row>
        <row r="21">
          <cell r="A21">
            <v>3</v>
          </cell>
          <cell r="B21" t="str">
            <v>Knight's Gambit</v>
          </cell>
          <cell r="D21">
            <v>60</v>
          </cell>
          <cell r="E21" t="str">
            <v>X-Men Titans</v>
          </cell>
          <cell r="J21">
            <v>4</v>
          </cell>
          <cell r="K21" t="str">
            <v>Young Avengers</v>
          </cell>
          <cell r="M21">
            <v>4</v>
          </cell>
          <cell r="N21" t="str">
            <v>Chaos Magic</v>
          </cell>
          <cell r="P21">
            <v>1</v>
          </cell>
          <cell r="Q21" t="str">
            <v>blob</v>
          </cell>
          <cell r="S21">
            <v>1</v>
          </cell>
          <cell r="T21" t="str">
            <v>31th Century Metropolis</v>
          </cell>
        </row>
        <row r="22">
          <cell r="A22">
            <v>4</v>
          </cell>
          <cell r="B22" t="str">
            <v>PA</v>
          </cell>
          <cell r="D22">
            <v>4</v>
          </cell>
          <cell r="E22" t="str">
            <v>Archangel</v>
          </cell>
          <cell r="J22">
            <v>4</v>
          </cell>
          <cell r="K22" t="str">
            <v>Switching Sides</v>
          </cell>
          <cell r="M22">
            <v>3</v>
          </cell>
          <cell r="N22" t="str">
            <v>Switching Sides</v>
          </cell>
          <cell r="P22">
            <v>1</v>
          </cell>
          <cell r="Q22" t="str">
            <v>martian</v>
          </cell>
          <cell r="S22">
            <v>1</v>
          </cell>
          <cell r="T22" t="str">
            <v>UN Building</v>
          </cell>
        </row>
        <row r="23">
          <cell r="A23">
            <v>4</v>
          </cell>
          <cell r="B23" t="str">
            <v>Enemy</v>
          </cell>
          <cell r="D23">
            <v>2</v>
          </cell>
          <cell r="E23" t="str">
            <v>Speedy</v>
          </cell>
          <cell r="M23">
            <v>3</v>
          </cell>
          <cell r="N23" t="str">
            <v>Playroom</v>
          </cell>
          <cell r="P23">
            <v>1</v>
          </cell>
          <cell r="Q23" t="str">
            <v>batamn</v>
          </cell>
          <cell r="S23">
            <v>1</v>
          </cell>
          <cell r="T23" t="str">
            <v>Ego The Living Planet</v>
          </cell>
        </row>
        <row r="24">
          <cell r="A24">
            <v>4</v>
          </cell>
          <cell r="B24" t="str">
            <v>Straight</v>
          </cell>
          <cell r="D24">
            <v>4</v>
          </cell>
          <cell r="E24" t="str">
            <v>Cyclops</v>
          </cell>
          <cell r="G24">
            <v>60</v>
          </cell>
          <cell r="H24" t="str">
            <v>Deapool 7</v>
          </cell>
          <cell r="J24">
            <v>60</v>
          </cell>
          <cell r="K24" t="str">
            <v>Weapon X</v>
          </cell>
          <cell r="P24">
            <v>2</v>
          </cell>
          <cell r="Q24" t="str">
            <v>aval</v>
          </cell>
          <cell r="S24">
            <v>1</v>
          </cell>
          <cell r="T24" t="str">
            <v>Xavier's Institute of Higher…</v>
          </cell>
        </row>
        <row r="25">
          <cell r="A25">
            <v>4</v>
          </cell>
          <cell r="B25" t="str">
            <v>NTH Metal</v>
          </cell>
          <cell r="D25">
            <v>2</v>
          </cell>
          <cell r="E25" t="str">
            <v>Beast</v>
          </cell>
          <cell r="G25">
            <v>4</v>
          </cell>
          <cell r="H25" t="str">
            <v>Moonstar</v>
          </cell>
          <cell r="J25">
            <v>4</v>
          </cell>
          <cell r="K25" t="str">
            <v>Brent Jackson</v>
          </cell>
          <cell r="P25" t="str">
            <v>3+1</v>
          </cell>
          <cell r="Q25" t="str">
            <v>mystique</v>
          </cell>
          <cell r="S25">
            <v>1</v>
          </cell>
          <cell r="T25" t="str">
            <v>United Planet HQ</v>
          </cell>
        </row>
        <row r="26">
          <cell r="D26">
            <v>3</v>
          </cell>
          <cell r="E26" t="str">
            <v>Vic Stone</v>
          </cell>
          <cell r="G26">
            <v>4</v>
          </cell>
          <cell r="H26" t="str">
            <v>Cable</v>
          </cell>
          <cell r="J26">
            <v>4</v>
          </cell>
          <cell r="K26" t="str">
            <v>Malcolm Colcord</v>
          </cell>
          <cell r="S26">
            <v>1</v>
          </cell>
          <cell r="T26" t="str">
            <v>Birthing Chamber</v>
          </cell>
        </row>
        <row r="27">
          <cell r="A27">
            <v>60</v>
          </cell>
          <cell r="B27" t="str">
            <v>Anti-quicky-lock-doom</v>
          </cell>
          <cell r="D27">
            <v>1</v>
          </cell>
          <cell r="E27" t="str">
            <v>Lady Mastermind</v>
          </cell>
          <cell r="G27">
            <v>4</v>
          </cell>
          <cell r="H27" t="str">
            <v>Deadpool</v>
          </cell>
          <cell r="J27">
            <v>4</v>
          </cell>
          <cell r="K27" t="str">
            <v>Captain America</v>
          </cell>
          <cell r="S27">
            <v>1</v>
          </cell>
          <cell r="T27" t="str">
            <v>X-Corporation</v>
          </cell>
        </row>
        <row r="28">
          <cell r="A28">
            <v>4</v>
          </cell>
          <cell r="B28" t="str">
            <v>Archangel 1</v>
          </cell>
          <cell r="D28">
            <v>1</v>
          </cell>
          <cell r="E28" t="str">
            <v>Rose</v>
          </cell>
          <cell r="G28">
            <v>4</v>
          </cell>
          <cell r="H28" t="str">
            <v>Vision</v>
          </cell>
          <cell r="J28">
            <v>4</v>
          </cell>
          <cell r="K28" t="str">
            <v>X23</v>
          </cell>
          <cell r="S28">
            <v>1</v>
          </cell>
          <cell r="T28" t="str">
            <v>Slaughter Swamp</v>
          </cell>
        </row>
        <row r="29">
          <cell r="A29">
            <v>4</v>
          </cell>
          <cell r="B29" t="str">
            <v>Gambit 2</v>
          </cell>
          <cell r="D29">
            <v>2</v>
          </cell>
          <cell r="E29" t="str">
            <v>X-23</v>
          </cell>
          <cell r="G29">
            <v>3</v>
          </cell>
          <cell r="H29" t="str">
            <v>Cable</v>
          </cell>
          <cell r="J29">
            <v>4</v>
          </cell>
          <cell r="K29" t="str">
            <v>Iron Man</v>
          </cell>
          <cell r="S29">
            <v>1</v>
          </cell>
          <cell r="T29" t="str">
            <v>SHIELD Hellicarier</v>
          </cell>
        </row>
        <row r="30">
          <cell r="A30">
            <v>1</v>
          </cell>
          <cell r="B30" t="str">
            <v>Sage 3</v>
          </cell>
          <cell r="D30">
            <v>1</v>
          </cell>
          <cell r="E30" t="str">
            <v>Tim Drake</v>
          </cell>
          <cell r="G30">
            <v>2</v>
          </cell>
          <cell r="H30" t="str">
            <v>Deadpool</v>
          </cell>
          <cell r="J30">
            <v>3</v>
          </cell>
          <cell r="K30" t="str">
            <v>Sabretooth</v>
          </cell>
          <cell r="S30">
            <v>4</v>
          </cell>
          <cell r="T30" t="str">
            <v>Enemy of My Enemy</v>
          </cell>
        </row>
        <row r="31">
          <cell r="A31">
            <v>1</v>
          </cell>
          <cell r="B31" t="str">
            <v>Iceman 3</v>
          </cell>
          <cell r="D31">
            <v>1</v>
          </cell>
          <cell r="E31" t="str">
            <v>Gambit</v>
          </cell>
          <cell r="G31">
            <v>1</v>
          </cell>
          <cell r="H31" t="str">
            <v>Deadpool</v>
          </cell>
          <cell r="J31">
            <v>2</v>
          </cell>
          <cell r="K31" t="str">
            <v>Maverick</v>
          </cell>
          <cell r="S31">
            <v>4</v>
          </cell>
          <cell r="T31" t="str">
            <v>Straight to The Grave</v>
          </cell>
        </row>
        <row r="32">
          <cell r="A32">
            <v>1</v>
          </cell>
          <cell r="B32" t="str">
            <v>Cardiac 3</v>
          </cell>
          <cell r="D32">
            <v>1</v>
          </cell>
          <cell r="E32" t="str">
            <v>Iceman</v>
          </cell>
          <cell r="G32">
            <v>4</v>
          </cell>
          <cell r="H32" t="str">
            <v>Trouble With Clones</v>
          </cell>
          <cell r="J32">
            <v>1</v>
          </cell>
          <cell r="K32" t="str">
            <v>Sauron</v>
          </cell>
          <cell r="S32">
            <v>3</v>
          </cell>
          <cell r="T32" t="str">
            <v>Press The Attack</v>
          </cell>
        </row>
        <row r="33">
          <cell r="A33">
            <v>1</v>
          </cell>
          <cell r="B33" t="str">
            <v>Spider Girl 3</v>
          </cell>
          <cell r="D33">
            <v>1</v>
          </cell>
          <cell r="E33" t="str">
            <v>M</v>
          </cell>
          <cell r="G33">
            <v>4</v>
          </cell>
          <cell r="H33" t="str">
            <v>Techno-Organic Virus</v>
          </cell>
          <cell r="J33">
            <v>1</v>
          </cell>
          <cell r="K33" t="str">
            <v>Sublime</v>
          </cell>
          <cell r="S33">
            <v>4</v>
          </cell>
          <cell r="T33" t="str">
            <v>Pathetic Attempt</v>
          </cell>
        </row>
        <row r="34">
          <cell r="A34">
            <v>1</v>
          </cell>
          <cell r="B34" t="str">
            <v>Rogue 4</v>
          </cell>
          <cell r="D34">
            <v>1</v>
          </cell>
          <cell r="E34" t="str">
            <v>Blink</v>
          </cell>
          <cell r="G34">
            <v>4</v>
          </cell>
          <cell r="H34" t="str">
            <v>Bosom Buddies</v>
          </cell>
          <cell r="J34">
            <v>1</v>
          </cell>
          <cell r="K34" t="str">
            <v>Garrison Kane</v>
          </cell>
        </row>
        <row r="35">
          <cell r="A35">
            <v>1</v>
          </cell>
          <cell r="B35" t="str">
            <v>Gambit 4</v>
          </cell>
          <cell r="D35">
            <v>1</v>
          </cell>
          <cell r="E35" t="str">
            <v>Cyclops</v>
          </cell>
          <cell r="G35">
            <v>4</v>
          </cell>
          <cell r="H35" t="str">
            <v>The Select</v>
          </cell>
          <cell r="J35">
            <v>1</v>
          </cell>
          <cell r="K35" t="str">
            <v>Stepford Cuckoos</v>
          </cell>
        </row>
        <row r="36">
          <cell r="A36">
            <v>1</v>
          </cell>
          <cell r="B36" t="str">
            <v>Loser 4</v>
          </cell>
          <cell r="D36">
            <v>1</v>
          </cell>
          <cell r="E36" t="str">
            <v>Koriand'r 7</v>
          </cell>
          <cell r="G36">
            <v>4</v>
          </cell>
          <cell r="H36" t="str">
            <v>Extended Monologue</v>
          </cell>
          <cell r="J36">
            <v>1</v>
          </cell>
          <cell r="K36" t="str">
            <v>Hulk</v>
          </cell>
        </row>
        <row r="37">
          <cell r="A37">
            <v>1</v>
          </cell>
          <cell r="B37" t="str">
            <v>Wonder Woman 4</v>
          </cell>
          <cell r="D37">
            <v>4</v>
          </cell>
          <cell r="E37" t="str">
            <v>Enemy Of My Enemy</v>
          </cell>
          <cell r="G37">
            <v>4</v>
          </cell>
          <cell r="H37" t="str">
            <v>We Can Rebuild Him</v>
          </cell>
          <cell r="J37">
            <v>1</v>
          </cell>
          <cell r="K37" t="str">
            <v>Wolverine</v>
          </cell>
        </row>
        <row r="38">
          <cell r="A38">
            <v>1</v>
          </cell>
          <cell r="B38" t="str">
            <v>Lex Luthor 5</v>
          </cell>
          <cell r="D38">
            <v>4</v>
          </cell>
          <cell r="E38" t="str">
            <v>Mobilize</v>
          </cell>
          <cell r="G38">
            <v>4</v>
          </cell>
          <cell r="H38" t="str">
            <v>Enemy of My Enemy</v>
          </cell>
          <cell r="J38">
            <v>1</v>
          </cell>
          <cell r="K38" t="str">
            <v>Deadpool</v>
          </cell>
        </row>
        <row r="39">
          <cell r="A39">
            <v>1</v>
          </cell>
          <cell r="B39" t="str">
            <v>Rose Wilson 5</v>
          </cell>
          <cell r="D39">
            <v>4</v>
          </cell>
          <cell r="E39" t="str">
            <v>Secret Origins</v>
          </cell>
          <cell r="G39">
            <v>4</v>
          </cell>
          <cell r="H39" t="str">
            <v>Heroes of Two Worlds</v>
          </cell>
          <cell r="J39">
            <v>4</v>
          </cell>
          <cell r="K39" t="str">
            <v>Weapon X Satellite</v>
          </cell>
        </row>
        <row r="40">
          <cell r="A40">
            <v>1</v>
          </cell>
          <cell r="B40" t="str">
            <v>Mr. Sinister 5</v>
          </cell>
          <cell r="D40">
            <v>4</v>
          </cell>
          <cell r="E40" t="str">
            <v>Pathetic Attempt</v>
          </cell>
          <cell r="G40">
            <v>4</v>
          </cell>
          <cell r="H40" t="str">
            <v>Pathetic Attempt</v>
          </cell>
          <cell r="J40">
            <v>4</v>
          </cell>
          <cell r="K40" t="str">
            <v>War of the Programs</v>
          </cell>
        </row>
        <row r="41">
          <cell r="A41">
            <v>1</v>
          </cell>
          <cell r="B41" t="str">
            <v>Mimic 6</v>
          </cell>
          <cell r="D41">
            <v>3</v>
          </cell>
          <cell r="E41" t="str">
            <v>Death of The Dream</v>
          </cell>
          <cell r="G41">
            <v>2</v>
          </cell>
          <cell r="H41" t="str">
            <v>Black Box</v>
          </cell>
          <cell r="J41">
            <v>4</v>
          </cell>
          <cell r="K41" t="str">
            <v>Erase</v>
          </cell>
        </row>
        <row r="42">
          <cell r="A42">
            <v>1</v>
          </cell>
          <cell r="B42" t="str">
            <v>Human Torch 6</v>
          </cell>
          <cell r="D42">
            <v>4</v>
          </cell>
          <cell r="E42" t="str">
            <v>Bamf!</v>
          </cell>
          <cell r="J42">
            <v>4</v>
          </cell>
          <cell r="K42" t="str">
            <v>Cutting Lose</v>
          </cell>
        </row>
        <row r="43">
          <cell r="A43">
            <v>1</v>
          </cell>
          <cell r="B43" t="str">
            <v>Spider-Man 6</v>
          </cell>
          <cell r="D43">
            <v>4</v>
          </cell>
          <cell r="E43" t="str">
            <v>Teen Titans Go!</v>
          </cell>
          <cell r="J43">
            <v>4</v>
          </cell>
          <cell r="K43" t="str">
            <v>Savage Beatdown</v>
          </cell>
        </row>
        <row r="44">
          <cell r="A44">
            <v>1</v>
          </cell>
          <cell r="B44" t="str">
            <v>Koriand'r 7</v>
          </cell>
          <cell r="D44">
            <v>3</v>
          </cell>
          <cell r="E44" t="str">
            <v>Omnipotence</v>
          </cell>
          <cell r="J44">
            <v>4</v>
          </cell>
          <cell r="K44" t="str">
            <v>Mobilize</v>
          </cell>
        </row>
        <row r="45">
          <cell r="A45">
            <v>4</v>
          </cell>
          <cell r="B45" t="str">
            <v>Underground Movement</v>
          </cell>
          <cell r="D45">
            <v>3</v>
          </cell>
          <cell r="E45" t="str">
            <v>X-Men United</v>
          </cell>
          <cell r="J45">
            <v>4</v>
          </cell>
          <cell r="K45" t="str">
            <v>Secret Origins</v>
          </cell>
        </row>
        <row r="46">
          <cell r="A46">
            <v>4</v>
          </cell>
          <cell r="B46" t="str">
            <v>Mobilize</v>
          </cell>
          <cell r="D46">
            <v>1</v>
          </cell>
          <cell r="E46" t="str">
            <v>X-Corp Amsterdam</v>
          </cell>
        </row>
        <row r="47">
          <cell r="A47">
            <v>4</v>
          </cell>
          <cell r="B47" t="str">
            <v>Enemy Of My Enemy</v>
          </cell>
        </row>
        <row r="48">
          <cell r="A48">
            <v>4</v>
          </cell>
          <cell r="B48" t="str">
            <v>Secret Origins</v>
          </cell>
        </row>
        <row r="49">
          <cell r="A49">
            <v>3</v>
          </cell>
          <cell r="B49" t="str">
            <v>Press The Attack</v>
          </cell>
        </row>
        <row r="50">
          <cell r="A50">
            <v>4</v>
          </cell>
          <cell r="B50" t="str">
            <v>Pathetic Attempt</v>
          </cell>
        </row>
        <row r="51">
          <cell r="A51">
            <v>4</v>
          </cell>
          <cell r="B51" t="str">
            <v>Death Of The Dream</v>
          </cell>
        </row>
        <row r="52">
          <cell r="A52">
            <v>4</v>
          </cell>
          <cell r="B52" t="str">
            <v>Teamwork</v>
          </cell>
        </row>
        <row r="53">
          <cell r="A53">
            <v>4</v>
          </cell>
          <cell r="B53" t="str">
            <v>Xavier's Institute…</v>
          </cell>
        </row>
        <row r="54">
          <cell r="A54">
            <v>1</v>
          </cell>
          <cell r="B54" t="str">
            <v>United Planets HQ</v>
          </cell>
        </row>
        <row r="55">
          <cell r="A55">
            <v>1</v>
          </cell>
          <cell r="B55" t="str">
            <v>X-Corp Amsterdam</v>
          </cell>
        </row>
        <row r="59">
          <cell r="A59">
            <v>0</v>
          </cell>
          <cell r="B59">
            <v>0</v>
          </cell>
        </row>
        <row r="60">
          <cell r="A60">
            <v>0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2">
          <cell r="A62">
            <v>0</v>
          </cell>
          <cell r="B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N37"/>
  <sheetViews>
    <sheetView topLeftCell="AI1" zoomScaleNormal="100" workbookViewId="0">
      <selection activeCell="X14" sqref="X14"/>
    </sheetView>
  </sheetViews>
  <sheetFormatPr baseColWidth="10" defaultColWidth="9.140625" defaultRowHeight="15"/>
  <cols>
    <col min="1" max="1" width="3" customWidth="1"/>
    <col min="2" max="2" width="21.85546875" customWidth="1"/>
    <col min="3" max="3" width="3" style="1" customWidth="1"/>
    <col min="4" max="4" width="21.42578125" style="1" customWidth="1"/>
    <col min="5" max="5" width="3" customWidth="1"/>
    <col min="6" max="6" width="25.42578125" customWidth="1"/>
    <col min="7" max="7" width="3" customWidth="1"/>
    <col min="8" max="8" width="23.140625" customWidth="1"/>
    <col min="9" max="9" width="3" customWidth="1"/>
    <col min="10" max="10" width="28.5703125" customWidth="1"/>
    <col min="11" max="11" width="3" customWidth="1"/>
    <col min="12" max="12" width="20.5703125" customWidth="1"/>
    <col min="13" max="13" width="3" customWidth="1"/>
    <col min="14" max="14" width="28.85546875" customWidth="1"/>
    <col min="15" max="15" width="3" customWidth="1"/>
    <col min="16" max="16" width="22.140625" customWidth="1"/>
    <col min="17" max="17" width="3" customWidth="1"/>
    <col min="18" max="18" width="23.140625" customWidth="1"/>
    <col min="19" max="19" width="3" customWidth="1"/>
    <col min="20" max="20" width="18.5703125" customWidth="1"/>
    <col min="21" max="21" width="3" customWidth="1"/>
    <col min="22" max="22" width="23" customWidth="1"/>
    <col min="23" max="23" width="3" style="2" customWidth="1"/>
    <col min="24" max="24" width="22.42578125" customWidth="1"/>
    <col min="25" max="25" width="3" customWidth="1"/>
    <col min="26" max="26" width="37.42578125" customWidth="1"/>
    <col min="27" max="27" width="3.140625" customWidth="1"/>
    <col min="28" max="28" width="21.5703125" customWidth="1"/>
    <col min="29" max="29" width="3.140625" customWidth="1"/>
    <col min="30" max="30" width="30.42578125" customWidth="1"/>
    <col min="31" max="31" width="3.140625" customWidth="1"/>
    <col min="32" max="32" width="22.140625" customWidth="1"/>
    <col min="33" max="33" width="3.140625" customWidth="1"/>
    <col min="34" max="34" width="21.85546875" customWidth="1"/>
    <col min="35" max="35" width="3.140625" customWidth="1"/>
    <col min="36" max="36" width="21.85546875" customWidth="1"/>
    <col min="37" max="37" width="2.85546875" customWidth="1"/>
    <col min="38" max="38" width="18.85546875" customWidth="1"/>
    <col min="39" max="39" width="3" bestFit="1" customWidth="1"/>
    <col min="40" max="40" width="22.140625" bestFit="1" customWidth="1"/>
    <col min="41" max="1025" width="10.7109375" customWidth="1"/>
  </cols>
  <sheetData>
    <row r="1" spans="1:40" s="149" customFormat="1">
      <c r="A1" s="176">
        <f>SUM(A2:A28)</f>
        <v>60</v>
      </c>
      <c r="B1" s="177" t="s">
        <v>0</v>
      </c>
      <c r="C1" s="170">
        <f>SUM(C2:C22)</f>
        <v>60</v>
      </c>
      <c r="D1" s="178" t="s">
        <v>1</v>
      </c>
      <c r="E1" s="179">
        <f>SUM(E2:E31)</f>
        <v>60</v>
      </c>
      <c r="F1" s="177" t="s">
        <v>2</v>
      </c>
      <c r="G1" s="179">
        <f>SUM(G2:G28)</f>
        <v>60</v>
      </c>
      <c r="H1" s="177" t="s">
        <v>3</v>
      </c>
      <c r="I1" s="179">
        <f>SUM(I2:I25)</f>
        <v>60</v>
      </c>
      <c r="J1" s="177" t="s">
        <v>4</v>
      </c>
      <c r="K1" s="179">
        <f>SUM(K2:K24)</f>
        <v>60</v>
      </c>
      <c r="L1" s="177" t="s">
        <v>5</v>
      </c>
      <c r="M1" s="179">
        <f>SUM(M2:M37)</f>
        <v>60</v>
      </c>
      <c r="N1" s="177" t="s">
        <v>6</v>
      </c>
      <c r="O1" s="170">
        <f>SUM(O2:O19)</f>
        <v>60</v>
      </c>
      <c r="P1" s="177" t="s">
        <v>7</v>
      </c>
      <c r="Q1" s="179">
        <f>SUM(Q2:Q21)</f>
        <v>60</v>
      </c>
      <c r="R1" s="177" t="s">
        <v>8</v>
      </c>
      <c r="S1" s="179">
        <f>SUM(S2:S19)</f>
        <v>60</v>
      </c>
      <c r="T1" s="177" t="s">
        <v>9</v>
      </c>
      <c r="U1" s="146">
        <f>SUM(U2:U19)</f>
        <v>60</v>
      </c>
      <c r="V1" s="180" t="s">
        <v>10</v>
      </c>
      <c r="W1" s="179">
        <f>SUM(W2:W25)</f>
        <v>60</v>
      </c>
      <c r="X1" s="181" t="s">
        <v>11</v>
      </c>
      <c r="Y1" s="146">
        <f>SUM(Y2:Y30)</f>
        <v>60</v>
      </c>
      <c r="Z1" s="182" t="s">
        <v>12</v>
      </c>
      <c r="AA1" s="146">
        <f>SUM(AA2:AA19)</f>
        <v>60</v>
      </c>
      <c r="AB1" s="181" t="s">
        <v>13</v>
      </c>
      <c r="AC1" s="179">
        <f>SUM(AC2:AC25)</f>
        <v>60</v>
      </c>
      <c r="AD1" s="177" t="s">
        <v>14</v>
      </c>
      <c r="AE1" s="146">
        <f>SUM(AE2:AE17)</f>
        <v>60</v>
      </c>
      <c r="AF1" s="182" t="s">
        <v>15</v>
      </c>
      <c r="AG1" s="179">
        <f>SUM(AG2:AG23)</f>
        <v>60</v>
      </c>
      <c r="AH1" s="177" t="s">
        <v>16</v>
      </c>
      <c r="AI1" s="179">
        <f>SUM(AI2:AI16)</f>
        <v>60</v>
      </c>
      <c r="AJ1" s="177" t="s">
        <v>17</v>
      </c>
      <c r="AK1" s="183">
        <f>SUM(AK2:AK21)</f>
        <v>60</v>
      </c>
      <c r="AL1" s="184" t="s">
        <v>18</v>
      </c>
      <c r="AM1" s="17">
        <f>SUM(AM2:AM19)</f>
        <v>60</v>
      </c>
      <c r="AN1" s="163" t="s">
        <v>919</v>
      </c>
    </row>
    <row r="2" spans="1:40">
      <c r="A2" s="5">
        <v>4</v>
      </c>
      <c r="B2" s="5" t="s">
        <v>19</v>
      </c>
      <c r="C2" s="5">
        <v>4</v>
      </c>
      <c r="D2" s="5" t="s">
        <v>20</v>
      </c>
      <c r="E2" s="5">
        <v>4</v>
      </c>
      <c r="F2" s="7" t="s">
        <v>21</v>
      </c>
      <c r="G2" s="7">
        <v>3</v>
      </c>
      <c r="H2" s="7" t="s">
        <v>22</v>
      </c>
      <c r="I2" s="7">
        <v>4</v>
      </c>
      <c r="J2" s="7" t="s">
        <v>22</v>
      </c>
      <c r="K2" s="5">
        <v>4</v>
      </c>
      <c r="L2" s="5" t="s">
        <v>23</v>
      </c>
      <c r="M2" s="7">
        <v>3</v>
      </c>
      <c r="N2" s="7" t="s">
        <v>24</v>
      </c>
      <c r="O2" s="11">
        <v>4</v>
      </c>
      <c r="P2" s="5" t="s">
        <v>25</v>
      </c>
      <c r="Q2" s="7">
        <v>12</v>
      </c>
      <c r="R2" s="7" t="s">
        <v>26</v>
      </c>
      <c r="S2" s="5">
        <v>4</v>
      </c>
      <c r="T2" s="12" t="s">
        <v>19</v>
      </c>
      <c r="U2" s="8">
        <v>3</v>
      </c>
      <c r="V2" s="8" t="s">
        <v>27</v>
      </c>
      <c r="W2" s="7">
        <v>4</v>
      </c>
      <c r="X2" s="13" t="s">
        <v>24</v>
      </c>
      <c r="Y2" s="8">
        <v>4</v>
      </c>
      <c r="Z2" s="8" t="s">
        <v>28</v>
      </c>
      <c r="AA2" s="8">
        <v>4</v>
      </c>
      <c r="AB2" s="14" t="s">
        <v>29</v>
      </c>
      <c r="AC2" s="7">
        <v>4</v>
      </c>
      <c r="AD2" s="7" t="s">
        <v>30</v>
      </c>
      <c r="AE2" s="8">
        <v>4</v>
      </c>
      <c r="AF2" s="8" t="s">
        <v>23</v>
      </c>
      <c r="AG2" s="8">
        <v>1</v>
      </c>
      <c r="AH2" s="8" t="s">
        <v>27</v>
      </c>
      <c r="AI2" s="8">
        <v>4</v>
      </c>
      <c r="AJ2" s="8" t="s">
        <v>31</v>
      </c>
      <c r="AK2" s="15">
        <v>4</v>
      </c>
      <c r="AL2" s="16" t="s">
        <v>23</v>
      </c>
      <c r="AM2" s="18">
        <v>4</v>
      </c>
      <c r="AN2" s="8" t="s">
        <v>23</v>
      </c>
    </row>
    <row r="3" spans="1:40">
      <c r="A3" s="5">
        <v>3</v>
      </c>
      <c r="B3" s="5" t="s">
        <v>32</v>
      </c>
      <c r="C3" s="5">
        <v>3</v>
      </c>
      <c r="D3" s="5" t="s">
        <v>33</v>
      </c>
      <c r="E3" s="5">
        <v>3</v>
      </c>
      <c r="F3" s="7" t="s">
        <v>34</v>
      </c>
      <c r="G3" s="17">
        <v>4</v>
      </c>
      <c r="H3" s="17" t="s">
        <v>35</v>
      </c>
      <c r="I3" s="7">
        <v>4</v>
      </c>
      <c r="J3" s="18" t="s">
        <v>36</v>
      </c>
      <c r="K3" s="5">
        <v>3</v>
      </c>
      <c r="L3" s="5" t="s">
        <v>37</v>
      </c>
      <c r="M3" s="7">
        <v>1</v>
      </c>
      <c r="N3" s="7" t="s">
        <v>38</v>
      </c>
      <c r="O3" s="11">
        <v>4</v>
      </c>
      <c r="P3" s="5" t="s">
        <v>39</v>
      </c>
      <c r="Q3" s="7">
        <v>6</v>
      </c>
      <c r="R3" s="7" t="s">
        <v>40</v>
      </c>
      <c r="S3" s="5">
        <v>15</v>
      </c>
      <c r="T3" s="5" t="s">
        <v>9</v>
      </c>
      <c r="U3" s="8">
        <v>1</v>
      </c>
      <c r="V3" s="8" t="s">
        <v>41</v>
      </c>
      <c r="W3" s="7">
        <v>4</v>
      </c>
      <c r="X3" s="13" t="s">
        <v>31</v>
      </c>
      <c r="Y3" s="8">
        <v>4</v>
      </c>
      <c r="Z3" s="8" t="s">
        <v>42</v>
      </c>
      <c r="AA3" s="8">
        <v>4</v>
      </c>
      <c r="AB3" s="14" t="s">
        <v>43</v>
      </c>
      <c r="AC3" s="7">
        <v>3</v>
      </c>
      <c r="AD3" s="7" t="s">
        <v>44</v>
      </c>
      <c r="AE3" s="8">
        <v>4</v>
      </c>
      <c r="AF3" s="8" t="s">
        <v>45</v>
      </c>
      <c r="AG3" s="8">
        <v>3</v>
      </c>
      <c r="AH3" s="8" t="s">
        <v>22</v>
      </c>
      <c r="AI3" s="19">
        <v>4</v>
      </c>
      <c r="AJ3" s="200" t="s">
        <v>46</v>
      </c>
      <c r="AK3" s="8">
        <v>4</v>
      </c>
      <c r="AL3" s="25" t="s">
        <v>47</v>
      </c>
      <c r="AM3" s="24">
        <v>4</v>
      </c>
      <c r="AN3" s="8" t="s">
        <v>2872</v>
      </c>
    </row>
    <row r="4" spans="1:40">
      <c r="A4" s="8">
        <v>1</v>
      </c>
      <c r="B4" s="8" t="s">
        <v>48</v>
      </c>
      <c r="C4" s="5">
        <v>1</v>
      </c>
      <c r="D4" s="5" t="s">
        <v>49</v>
      </c>
      <c r="E4" s="5">
        <v>3</v>
      </c>
      <c r="F4" s="7" t="s">
        <v>22</v>
      </c>
      <c r="G4" s="7">
        <v>3</v>
      </c>
      <c r="H4" s="7" t="s">
        <v>50</v>
      </c>
      <c r="I4" s="7">
        <v>1</v>
      </c>
      <c r="J4" s="18" t="s">
        <v>48</v>
      </c>
      <c r="K4" s="5">
        <v>1</v>
      </c>
      <c r="L4" s="5" t="s">
        <v>51</v>
      </c>
      <c r="M4" s="20">
        <v>1</v>
      </c>
      <c r="N4" s="20" t="s">
        <v>52</v>
      </c>
      <c r="O4" s="11">
        <v>4</v>
      </c>
      <c r="P4" s="5" t="s">
        <v>53</v>
      </c>
      <c r="Q4" s="7">
        <v>4</v>
      </c>
      <c r="R4" s="7" t="s">
        <v>54</v>
      </c>
      <c r="S4" s="8">
        <v>1</v>
      </c>
      <c r="T4" s="8" t="s">
        <v>48</v>
      </c>
      <c r="U4" s="8">
        <v>4</v>
      </c>
      <c r="V4" s="8" t="s">
        <v>55</v>
      </c>
      <c r="W4" s="7">
        <v>3</v>
      </c>
      <c r="X4" s="13" t="s">
        <v>56</v>
      </c>
      <c r="Y4" s="8">
        <v>2</v>
      </c>
      <c r="Z4" s="8" t="s">
        <v>36</v>
      </c>
      <c r="AA4" s="8">
        <v>4</v>
      </c>
      <c r="AB4" s="14" t="s">
        <v>57</v>
      </c>
      <c r="AC4" s="7">
        <v>2</v>
      </c>
      <c r="AD4" s="7" t="s">
        <v>58</v>
      </c>
      <c r="AE4" s="8">
        <v>4</v>
      </c>
      <c r="AF4" s="8" t="s">
        <v>59</v>
      </c>
      <c r="AG4" s="8">
        <v>3</v>
      </c>
      <c r="AH4" s="8" t="s">
        <v>36</v>
      </c>
      <c r="AI4" s="19">
        <v>4</v>
      </c>
      <c r="AJ4" s="200" t="s">
        <v>60</v>
      </c>
      <c r="AK4" s="25">
        <v>4</v>
      </c>
      <c r="AL4" s="25" t="s">
        <v>43</v>
      </c>
      <c r="AM4" s="24">
        <v>4</v>
      </c>
      <c r="AN4" s="8" t="s">
        <v>2842</v>
      </c>
    </row>
    <row r="5" spans="1:40">
      <c r="A5" s="5">
        <v>4</v>
      </c>
      <c r="B5" s="5" t="s">
        <v>43</v>
      </c>
      <c r="C5" s="5">
        <v>4</v>
      </c>
      <c r="D5" s="5" t="s">
        <v>61</v>
      </c>
      <c r="E5" s="5">
        <v>1</v>
      </c>
      <c r="F5" s="7" t="s">
        <v>38</v>
      </c>
      <c r="G5" s="7">
        <v>1</v>
      </c>
      <c r="H5" s="7" t="s">
        <v>48</v>
      </c>
      <c r="I5" s="7">
        <v>4</v>
      </c>
      <c r="J5" s="18" t="s">
        <v>50</v>
      </c>
      <c r="K5" s="5">
        <v>4</v>
      </c>
      <c r="L5" s="5" t="s">
        <v>62</v>
      </c>
      <c r="M5" s="7">
        <v>3</v>
      </c>
      <c r="N5" s="7" t="s">
        <v>63</v>
      </c>
      <c r="O5" s="11">
        <v>3</v>
      </c>
      <c r="P5" s="5" t="s">
        <v>64</v>
      </c>
      <c r="Q5" s="7">
        <v>2</v>
      </c>
      <c r="R5" s="7" t="s">
        <v>65</v>
      </c>
      <c r="S5" s="5">
        <v>1</v>
      </c>
      <c r="T5" s="12" t="s">
        <v>66</v>
      </c>
      <c r="U5" s="8">
        <v>4</v>
      </c>
      <c r="V5" s="8" t="s">
        <v>30</v>
      </c>
      <c r="W5" s="7">
        <v>2</v>
      </c>
      <c r="X5" s="13" t="s">
        <v>67</v>
      </c>
      <c r="Y5" s="8">
        <v>1</v>
      </c>
      <c r="Z5" s="8" t="s">
        <v>68</v>
      </c>
      <c r="AA5" s="8">
        <v>4</v>
      </c>
      <c r="AB5" s="14" t="s">
        <v>69</v>
      </c>
      <c r="AC5" s="7">
        <v>2</v>
      </c>
      <c r="AD5" s="7" t="s">
        <v>70</v>
      </c>
      <c r="AE5" s="8">
        <v>4</v>
      </c>
      <c r="AF5" s="8" t="s">
        <v>29</v>
      </c>
      <c r="AG5" s="8">
        <v>4</v>
      </c>
      <c r="AH5" s="8" t="s">
        <v>31</v>
      </c>
      <c r="AI5" s="19">
        <v>4</v>
      </c>
      <c r="AJ5" s="200" t="s">
        <v>71</v>
      </c>
      <c r="AK5" s="8">
        <v>3</v>
      </c>
      <c r="AL5" s="70" t="s">
        <v>72</v>
      </c>
      <c r="AM5" s="24">
        <v>4</v>
      </c>
      <c r="AN5" s="8" t="s">
        <v>2637</v>
      </c>
    </row>
    <row r="6" spans="1:40">
      <c r="A6" s="5">
        <v>3</v>
      </c>
      <c r="B6" s="5" t="s">
        <v>73</v>
      </c>
      <c r="C6" s="5">
        <v>4</v>
      </c>
      <c r="D6" s="5" t="s">
        <v>74</v>
      </c>
      <c r="E6" s="5">
        <v>4</v>
      </c>
      <c r="F6" s="7" t="s">
        <v>75</v>
      </c>
      <c r="G6" s="7">
        <v>1</v>
      </c>
      <c r="H6" s="7" t="s">
        <v>76</v>
      </c>
      <c r="I6" s="7">
        <v>4</v>
      </c>
      <c r="J6" s="18" t="s">
        <v>77</v>
      </c>
      <c r="K6" s="5">
        <v>3</v>
      </c>
      <c r="L6" s="5" t="s">
        <v>78</v>
      </c>
      <c r="M6" s="17">
        <v>1</v>
      </c>
      <c r="N6" s="17" t="s">
        <v>79</v>
      </c>
      <c r="O6" s="11">
        <v>3</v>
      </c>
      <c r="P6" s="5" t="s">
        <v>80</v>
      </c>
      <c r="Q6" s="7">
        <v>1</v>
      </c>
      <c r="R6" s="7" t="s">
        <v>81</v>
      </c>
      <c r="S6" s="5">
        <v>4</v>
      </c>
      <c r="T6" s="12" t="s">
        <v>43</v>
      </c>
      <c r="U6" s="8">
        <v>3</v>
      </c>
      <c r="V6" s="8" t="s">
        <v>44</v>
      </c>
      <c r="W6" s="7">
        <v>2</v>
      </c>
      <c r="X6" s="13" t="s">
        <v>82</v>
      </c>
      <c r="Y6" s="8">
        <v>1</v>
      </c>
      <c r="Z6" s="8" t="s">
        <v>83</v>
      </c>
      <c r="AA6" s="8">
        <v>4</v>
      </c>
      <c r="AB6" s="14" t="s">
        <v>84</v>
      </c>
      <c r="AC6" s="7">
        <v>4</v>
      </c>
      <c r="AD6" s="7" t="s">
        <v>85</v>
      </c>
      <c r="AE6" s="8">
        <v>4</v>
      </c>
      <c r="AF6" s="8" t="s">
        <v>86</v>
      </c>
      <c r="AG6" s="19">
        <v>4</v>
      </c>
      <c r="AH6" s="19" t="s">
        <v>46</v>
      </c>
      <c r="AI6" s="19">
        <v>4</v>
      </c>
      <c r="AJ6" s="200" t="s">
        <v>87</v>
      </c>
      <c r="AK6" s="8">
        <v>1</v>
      </c>
      <c r="AL6" s="70" t="s">
        <v>88</v>
      </c>
      <c r="AM6" s="24">
        <v>4</v>
      </c>
      <c r="AN6" s="8" t="s">
        <v>1307</v>
      </c>
    </row>
    <row r="7" spans="1:40">
      <c r="A7" s="18">
        <v>1</v>
      </c>
      <c r="B7" s="18" t="s">
        <v>89</v>
      </c>
      <c r="C7" s="5">
        <v>4</v>
      </c>
      <c r="D7" s="5" t="s">
        <v>75</v>
      </c>
      <c r="E7" s="5">
        <v>4</v>
      </c>
      <c r="F7" s="7" t="s">
        <v>90</v>
      </c>
      <c r="G7" s="7">
        <v>3</v>
      </c>
      <c r="H7" s="7" t="s">
        <v>91</v>
      </c>
      <c r="I7" s="7">
        <v>1</v>
      </c>
      <c r="J7" s="7" t="s">
        <v>43</v>
      </c>
      <c r="K7" s="18">
        <v>1</v>
      </c>
      <c r="L7" s="18" t="s">
        <v>92</v>
      </c>
      <c r="M7" s="17">
        <v>1</v>
      </c>
      <c r="N7" s="17" t="s">
        <v>48</v>
      </c>
      <c r="O7" s="11">
        <v>4</v>
      </c>
      <c r="P7" s="5" t="s">
        <v>93</v>
      </c>
      <c r="Q7" s="7">
        <v>1</v>
      </c>
      <c r="R7" s="7" t="s">
        <v>94</v>
      </c>
      <c r="S7" s="5">
        <v>4</v>
      </c>
      <c r="T7" s="12" t="s">
        <v>95</v>
      </c>
      <c r="U7" s="8">
        <v>1</v>
      </c>
      <c r="V7" s="8" t="s">
        <v>96</v>
      </c>
      <c r="W7" s="7">
        <v>1</v>
      </c>
      <c r="X7" s="13" t="s">
        <v>97</v>
      </c>
      <c r="Y7" s="8">
        <v>1</v>
      </c>
      <c r="Z7" s="8" t="s">
        <v>98</v>
      </c>
      <c r="AA7" s="8">
        <v>4</v>
      </c>
      <c r="AB7" s="14" t="s">
        <v>99</v>
      </c>
      <c r="AC7" s="7">
        <v>2</v>
      </c>
      <c r="AD7" s="7" t="s">
        <v>100</v>
      </c>
      <c r="AE7" s="8">
        <v>4</v>
      </c>
      <c r="AF7" s="8" t="s">
        <v>101</v>
      </c>
      <c r="AG7" s="19">
        <v>1</v>
      </c>
      <c r="AH7" s="21" t="s">
        <v>60</v>
      </c>
      <c r="AI7" s="5">
        <v>4</v>
      </c>
      <c r="AJ7" s="39" t="s">
        <v>102</v>
      </c>
      <c r="AK7" s="8">
        <v>3</v>
      </c>
      <c r="AL7" s="70" t="s">
        <v>103</v>
      </c>
      <c r="AM7" s="24">
        <v>4</v>
      </c>
      <c r="AN7" s="8" t="s">
        <v>2873</v>
      </c>
    </row>
    <row r="8" spans="1:40">
      <c r="A8" s="5">
        <v>1</v>
      </c>
      <c r="B8" s="5" t="s">
        <v>104</v>
      </c>
      <c r="C8" s="5">
        <v>1</v>
      </c>
      <c r="D8" s="5" t="s">
        <v>105</v>
      </c>
      <c r="E8" s="5">
        <v>1</v>
      </c>
      <c r="F8" s="7" t="s">
        <v>48</v>
      </c>
      <c r="G8" s="5">
        <v>4</v>
      </c>
      <c r="H8" s="5" t="s">
        <v>77</v>
      </c>
      <c r="I8" s="17">
        <v>1</v>
      </c>
      <c r="J8" s="18" t="s">
        <v>106</v>
      </c>
      <c r="K8" s="5">
        <v>1</v>
      </c>
      <c r="L8" s="5" t="s">
        <v>107</v>
      </c>
      <c r="M8" s="7">
        <v>1</v>
      </c>
      <c r="N8" s="7" t="s">
        <v>94</v>
      </c>
      <c r="O8" s="11">
        <v>4</v>
      </c>
      <c r="P8" s="5" t="s">
        <v>108</v>
      </c>
      <c r="Q8" s="7">
        <v>4</v>
      </c>
      <c r="R8" s="7" t="s">
        <v>109</v>
      </c>
      <c r="S8" s="5">
        <v>4</v>
      </c>
      <c r="T8" s="5" t="s">
        <v>110</v>
      </c>
      <c r="U8" s="8">
        <v>4</v>
      </c>
      <c r="V8" s="8" t="s">
        <v>46</v>
      </c>
      <c r="W8" s="7">
        <v>1</v>
      </c>
      <c r="X8" s="14" t="s">
        <v>111</v>
      </c>
      <c r="Y8" s="8">
        <v>1</v>
      </c>
      <c r="Z8" s="22" t="s">
        <v>112</v>
      </c>
      <c r="AA8" s="8">
        <v>4</v>
      </c>
      <c r="AB8" s="14" t="s">
        <v>113</v>
      </c>
      <c r="AC8" s="7">
        <v>1</v>
      </c>
      <c r="AD8" s="7" t="s">
        <v>48</v>
      </c>
      <c r="AE8" s="8">
        <v>4</v>
      </c>
      <c r="AF8" s="8" t="s">
        <v>84</v>
      </c>
      <c r="AG8" s="21">
        <v>4</v>
      </c>
      <c r="AH8" s="21" t="s">
        <v>29</v>
      </c>
      <c r="AI8" s="5">
        <v>4</v>
      </c>
      <c r="AJ8" s="39" t="s">
        <v>114</v>
      </c>
      <c r="AK8" s="25">
        <v>4</v>
      </c>
      <c r="AL8" s="25" t="s">
        <v>57</v>
      </c>
      <c r="AM8" s="24">
        <v>4</v>
      </c>
      <c r="AN8" s="8" t="s">
        <v>2639</v>
      </c>
    </row>
    <row r="9" spans="1:40">
      <c r="A9" s="5">
        <v>1</v>
      </c>
      <c r="B9" s="5" t="s">
        <v>115</v>
      </c>
      <c r="C9" s="5">
        <v>4</v>
      </c>
      <c r="D9" s="5" t="s">
        <v>116</v>
      </c>
      <c r="E9" s="5">
        <v>3</v>
      </c>
      <c r="F9" s="7" t="s">
        <v>117</v>
      </c>
      <c r="G9" s="7">
        <v>1</v>
      </c>
      <c r="H9" s="7" t="s">
        <v>118</v>
      </c>
      <c r="I9" s="128">
        <v>1</v>
      </c>
      <c r="J9" s="129" t="s">
        <v>2912</v>
      </c>
      <c r="K9" s="5">
        <v>3</v>
      </c>
      <c r="L9" s="5" t="s">
        <v>119</v>
      </c>
      <c r="M9" s="20">
        <v>1</v>
      </c>
      <c r="N9" s="20" t="s">
        <v>109</v>
      </c>
      <c r="O9" s="24">
        <v>4</v>
      </c>
      <c r="P9" s="18" t="s">
        <v>120</v>
      </c>
      <c r="Q9" s="7">
        <v>1</v>
      </c>
      <c r="R9" s="7" t="s">
        <v>106</v>
      </c>
      <c r="S9" s="5">
        <v>1</v>
      </c>
      <c r="T9" s="5" t="s">
        <v>121</v>
      </c>
      <c r="U9" s="8">
        <v>3</v>
      </c>
      <c r="V9" s="8" t="s">
        <v>60</v>
      </c>
      <c r="W9" s="7">
        <v>4</v>
      </c>
      <c r="X9" s="13" t="s">
        <v>52</v>
      </c>
      <c r="Y9" s="8">
        <v>1</v>
      </c>
      <c r="Z9" s="8" t="s">
        <v>111</v>
      </c>
      <c r="AA9" s="8">
        <v>4</v>
      </c>
      <c r="AB9" s="14" t="s">
        <v>2913</v>
      </c>
      <c r="AC9" s="7">
        <v>4</v>
      </c>
      <c r="AD9" s="7" t="s">
        <v>123</v>
      </c>
      <c r="AE9" s="8">
        <v>4</v>
      </c>
      <c r="AF9" s="8" t="s">
        <v>124</v>
      </c>
      <c r="AG9" s="19">
        <v>1</v>
      </c>
      <c r="AH9" s="19" t="s">
        <v>125</v>
      </c>
      <c r="AI9" s="5">
        <v>4</v>
      </c>
      <c r="AJ9" s="39" t="s">
        <v>126</v>
      </c>
      <c r="AK9" s="25">
        <v>3</v>
      </c>
      <c r="AL9" s="25" t="s">
        <v>69</v>
      </c>
      <c r="AM9" s="35">
        <v>4</v>
      </c>
      <c r="AN9" s="8" t="s">
        <v>2874</v>
      </c>
    </row>
    <row r="10" spans="1:40">
      <c r="A10" s="18">
        <v>1</v>
      </c>
      <c r="B10" s="5" t="s">
        <v>127</v>
      </c>
      <c r="C10" s="5">
        <v>4</v>
      </c>
      <c r="D10" s="5" t="s">
        <v>128</v>
      </c>
      <c r="E10" s="5">
        <v>1</v>
      </c>
      <c r="F10" s="7" t="s">
        <v>129</v>
      </c>
      <c r="G10" s="17">
        <v>1</v>
      </c>
      <c r="H10" s="17" t="s">
        <v>130</v>
      </c>
      <c r="I10" s="20">
        <v>1</v>
      </c>
      <c r="J10" s="23" t="s">
        <v>73</v>
      </c>
      <c r="K10" s="5">
        <v>4</v>
      </c>
      <c r="L10" s="5" t="s">
        <v>131</v>
      </c>
      <c r="M10" s="17">
        <v>1</v>
      </c>
      <c r="N10" s="17" t="s">
        <v>132</v>
      </c>
      <c r="O10" s="11">
        <v>4</v>
      </c>
      <c r="P10" s="18" t="s">
        <v>133</v>
      </c>
      <c r="Q10" s="7">
        <v>1</v>
      </c>
      <c r="R10" s="7" t="s">
        <v>134</v>
      </c>
      <c r="S10" s="5">
        <v>4</v>
      </c>
      <c r="T10" s="5" t="s">
        <v>135</v>
      </c>
      <c r="U10" s="8">
        <v>4</v>
      </c>
      <c r="V10" s="8" t="s">
        <v>29</v>
      </c>
      <c r="W10" s="7">
        <v>1</v>
      </c>
      <c r="X10" s="14" t="s">
        <v>48</v>
      </c>
      <c r="Y10" s="8">
        <v>1</v>
      </c>
      <c r="Z10" s="8" t="s">
        <v>136</v>
      </c>
      <c r="AA10" s="8">
        <v>4</v>
      </c>
      <c r="AB10" s="14" t="s">
        <v>137</v>
      </c>
      <c r="AC10" s="7">
        <v>4</v>
      </c>
      <c r="AD10" s="7" t="s">
        <v>29</v>
      </c>
      <c r="AE10" s="144">
        <v>4</v>
      </c>
      <c r="AF10" s="144" t="s">
        <v>2914</v>
      </c>
      <c r="AG10" s="19">
        <v>1</v>
      </c>
      <c r="AH10" s="19" t="s">
        <v>87</v>
      </c>
      <c r="AI10" s="5">
        <v>4</v>
      </c>
      <c r="AJ10" s="39" t="s">
        <v>139</v>
      </c>
      <c r="AK10" s="25">
        <v>4</v>
      </c>
      <c r="AL10" s="25" t="s">
        <v>84</v>
      </c>
      <c r="AM10" s="24">
        <v>4</v>
      </c>
      <c r="AN10" s="8" t="s">
        <v>1588</v>
      </c>
    </row>
    <row r="11" spans="1:40">
      <c r="A11" s="18">
        <v>1</v>
      </c>
      <c r="B11" s="18" t="s">
        <v>140</v>
      </c>
      <c r="C11" s="5">
        <v>1</v>
      </c>
      <c r="D11" s="5" t="s">
        <v>141</v>
      </c>
      <c r="E11" s="5">
        <v>1</v>
      </c>
      <c r="F11" s="7" t="s">
        <v>89</v>
      </c>
      <c r="G11" s="7">
        <v>2</v>
      </c>
      <c r="H11" s="7" t="s">
        <v>3</v>
      </c>
      <c r="I11" s="17">
        <v>1</v>
      </c>
      <c r="J11" s="18" t="s">
        <v>130</v>
      </c>
      <c r="K11" s="5">
        <v>3</v>
      </c>
      <c r="L11" s="5" t="s">
        <v>142</v>
      </c>
      <c r="M11" s="17">
        <v>1</v>
      </c>
      <c r="N11" s="17" t="s">
        <v>143</v>
      </c>
      <c r="O11" s="11">
        <v>1</v>
      </c>
      <c r="P11" s="5" t="s">
        <v>144</v>
      </c>
      <c r="Q11" s="7">
        <v>3</v>
      </c>
      <c r="R11" s="7" t="s">
        <v>145</v>
      </c>
      <c r="S11" s="5">
        <v>2</v>
      </c>
      <c r="T11" s="5" t="s">
        <v>146</v>
      </c>
      <c r="U11" s="8">
        <v>4</v>
      </c>
      <c r="V11" s="8" t="s">
        <v>147</v>
      </c>
      <c r="W11" s="7">
        <v>4</v>
      </c>
      <c r="X11" s="13" t="s">
        <v>148</v>
      </c>
      <c r="Y11" s="8">
        <v>1</v>
      </c>
      <c r="Z11" s="8" t="s">
        <v>48</v>
      </c>
      <c r="AA11" s="8">
        <v>4</v>
      </c>
      <c r="AB11" s="14" t="s">
        <v>149</v>
      </c>
      <c r="AC11" s="7">
        <v>2</v>
      </c>
      <c r="AD11" s="7" t="s">
        <v>150</v>
      </c>
      <c r="AE11" s="8">
        <v>4</v>
      </c>
      <c r="AF11" s="8" t="s">
        <v>138</v>
      </c>
      <c r="AG11" s="21">
        <v>1</v>
      </c>
      <c r="AH11" s="21" t="s">
        <v>151</v>
      </c>
      <c r="AI11" s="18">
        <v>4</v>
      </c>
      <c r="AJ11" s="39" t="s">
        <v>152</v>
      </c>
      <c r="AK11" s="25">
        <v>3</v>
      </c>
      <c r="AL11" s="25" t="s">
        <v>153</v>
      </c>
      <c r="AM11" s="24">
        <v>4</v>
      </c>
      <c r="AN11" s="8" t="s">
        <v>186</v>
      </c>
    </row>
    <row r="12" spans="1:40">
      <c r="A12" s="5">
        <v>1</v>
      </c>
      <c r="B12" s="5" t="s">
        <v>154</v>
      </c>
      <c r="C12" s="5">
        <v>1</v>
      </c>
      <c r="D12" s="5" t="s">
        <v>155</v>
      </c>
      <c r="E12" s="5">
        <v>1</v>
      </c>
      <c r="F12" s="7" t="s">
        <v>156</v>
      </c>
      <c r="G12" s="7">
        <v>1</v>
      </c>
      <c r="H12" s="7" t="s">
        <v>116</v>
      </c>
      <c r="I12" s="7">
        <v>1</v>
      </c>
      <c r="J12" s="18" t="s">
        <v>89</v>
      </c>
      <c r="K12" s="5">
        <v>3</v>
      </c>
      <c r="L12" s="5" t="s">
        <v>158</v>
      </c>
      <c r="M12" s="7">
        <v>4</v>
      </c>
      <c r="N12" s="7" t="s">
        <v>148</v>
      </c>
      <c r="O12" s="11">
        <v>1</v>
      </c>
      <c r="P12" s="5" t="s">
        <v>159</v>
      </c>
      <c r="Q12" s="7">
        <v>3</v>
      </c>
      <c r="R12" s="7" t="s">
        <v>160</v>
      </c>
      <c r="S12" s="5">
        <v>4</v>
      </c>
      <c r="T12" s="5" t="s">
        <v>161</v>
      </c>
      <c r="U12" s="8">
        <v>4</v>
      </c>
      <c r="V12" s="8" t="s">
        <v>162</v>
      </c>
      <c r="W12" s="7">
        <v>1</v>
      </c>
      <c r="X12" s="13" t="s">
        <v>163</v>
      </c>
      <c r="Y12" s="8">
        <v>4</v>
      </c>
      <c r="Z12" s="8" t="s">
        <v>29</v>
      </c>
      <c r="AA12" s="8">
        <v>4</v>
      </c>
      <c r="AB12" s="14" t="s">
        <v>164</v>
      </c>
      <c r="AC12" s="7">
        <v>1</v>
      </c>
      <c r="AD12" s="7" t="s">
        <v>165</v>
      </c>
      <c r="AE12" s="8">
        <v>4</v>
      </c>
      <c r="AF12" s="8" t="s">
        <v>142</v>
      </c>
      <c r="AG12" s="18">
        <v>1</v>
      </c>
      <c r="AH12" s="18" t="s">
        <v>167</v>
      </c>
      <c r="AI12" s="5">
        <v>4</v>
      </c>
      <c r="AJ12" s="39" t="s">
        <v>168</v>
      </c>
      <c r="AK12" s="25">
        <v>1</v>
      </c>
      <c r="AL12" s="25" t="s">
        <v>124</v>
      </c>
      <c r="AM12" s="35">
        <v>4</v>
      </c>
      <c r="AN12" s="8" t="s">
        <v>585</v>
      </c>
    </row>
    <row r="13" spans="1:40">
      <c r="A13" s="5">
        <v>1</v>
      </c>
      <c r="B13" s="5" t="s">
        <v>88</v>
      </c>
      <c r="C13" s="5">
        <v>4</v>
      </c>
      <c r="D13" s="5" t="s">
        <v>169</v>
      </c>
      <c r="E13" s="5">
        <v>1</v>
      </c>
      <c r="F13" s="7" t="s">
        <v>170</v>
      </c>
      <c r="G13" s="17">
        <v>3</v>
      </c>
      <c r="H13" s="17" t="s">
        <v>171</v>
      </c>
      <c r="I13" s="7">
        <v>1</v>
      </c>
      <c r="J13" s="18" t="s">
        <v>157</v>
      </c>
      <c r="K13" s="5">
        <v>4</v>
      </c>
      <c r="L13" s="5" t="s">
        <v>173</v>
      </c>
      <c r="M13" s="7">
        <v>1</v>
      </c>
      <c r="N13" s="7" t="s">
        <v>174</v>
      </c>
      <c r="O13" s="11">
        <v>4</v>
      </c>
      <c r="P13" s="5" t="s">
        <v>175</v>
      </c>
      <c r="Q13" s="7">
        <v>1</v>
      </c>
      <c r="R13" s="7" t="s">
        <v>176</v>
      </c>
      <c r="S13" s="5">
        <v>4</v>
      </c>
      <c r="T13" s="5" t="s">
        <v>177</v>
      </c>
      <c r="U13" s="8">
        <v>4</v>
      </c>
      <c r="V13" s="8" t="s">
        <v>142</v>
      </c>
      <c r="W13" s="7">
        <v>4</v>
      </c>
      <c r="X13" s="14" t="s">
        <v>178</v>
      </c>
      <c r="Y13" s="8">
        <v>1</v>
      </c>
      <c r="Z13" s="8" t="s">
        <v>179</v>
      </c>
      <c r="AA13" s="8">
        <v>4</v>
      </c>
      <c r="AB13" s="14" t="s">
        <v>180</v>
      </c>
      <c r="AC13" s="7">
        <v>1</v>
      </c>
      <c r="AD13" s="7" t="s">
        <v>167</v>
      </c>
      <c r="AE13" s="8">
        <v>4</v>
      </c>
      <c r="AF13" s="8" t="s">
        <v>166</v>
      </c>
      <c r="AG13" s="18">
        <v>2</v>
      </c>
      <c r="AH13" s="18" t="s">
        <v>182</v>
      </c>
      <c r="AI13" s="18">
        <v>4</v>
      </c>
      <c r="AJ13" s="39" t="s">
        <v>183</v>
      </c>
      <c r="AK13" s="25">
        <v>3</v>
      </c>
      <c r="AL13" s="25" t="s">
        <v>184</v>
      </c>
      <c r="AM13" s="35">
        <v>4</v>
      </c>
      <c r="AN13" s="8" t="s">
        <v>206</v>
      </c>
    </row>
    <row r="14" spans="1:40">
      <c r="A14" s="5">
        <v>1</v>
      </c>
      <c r="B14" s="5" t="s">
        <v>185</v>
      </c>
      <c r="C14" s="5">
        <v>4</v>
      </c>
      <c r="D14" s="5" t="s">
        <v>186</v>
      </c>
      <c r="E14" s="7">
        <v>1</v>
      </c>
      <c r="F14" s="7" t="s">
        <v>127</v>
      </c>
      <c r="G14" s="7">
        <v>3</v>
      </c>
      <c r="H14" s="7" t="s">
        <v>137</v>
      </c>
      <c r="I14" s="7">
        <v>4</v>
      </c>
      <c r="J14" s="18" t="s">
        <v>172</v>
      </c>
      <c r="K14" s="5">
        <v>2</v>
      </c>
      <c r="L14" s="5" t="s">
        <v>187</v>
      </c>
      <c r="M14" s="7">
        <v>1</v>
      </c>
      <c r="N14" s="7" t="s">
        <v>89</v>
      </c>
      <c r="O14" s="24">
        <v>4</v>
      </c>
      <c r="P14" s="18" t="s">
        <v>188</v>
      </c>
      <c r="Q14" s="7">
        <v>3</v>
      </c>
      <c r="R14" s="7" t="s">
        <v>142</v>
      </c>
      <c r="S14" s="18">
        <v>3</v>
      </c>
      <c r="T14" s="18" t="s">
        <v>189</v>
      </c>
      <c r="U14" s="8">
        <v>4</v>
      </c>
      <c r="V14" s="8" t="s">
        <v>190</v>
      </c>
      <c r="W14" s="7">
        <v>4</v>
      </c>
      <c r="X14" s="14" t="s">
        <v>126</v>
      </c>
      <c r="Y14" s="8">
        <v>1</v>
      </c>
      <c r="Z14" s="8" t="s">
        <v>43</v>
      </c>
      <c r="AA14" s="8">
        <v>4</v>
      </c>
      <c r="AB14" s="14" t="s">
        <v>191</v>
      </c>
      <c r="AC14" s="7">
        <v>1</v>
      </c>
      <c r="AD14" s="7" t="s">
        <v>192</v>
      </c>
      <c r="AE14" s="8">
        <v>3</v>
      </c>
      <c r="AF14" s="8" t="s">
        <v>181</v>
      </c>
      <c r="AG14" s="5">
        <v>4</v>
      </c>
      <c r="AH14" s="5" t="s">
        <v>102</v>
      </c>
      <c r="AI14" s="7">
        <v>4</v>
      </c>
      <c r="AJ14" s="201" t="s">
        <v>194</v>
      </c>
      <c r="AK14" s="25">
        <v>3</v>
      </c>
      <c r="AL14" s="25" t="s">
        <v>138</v>
      </c>
      <c r="AM14" s="24">
        <v>4</v>
      </c>
      <c r="AN14" s="8" t="s">
        <v>1681</v>
      </c>
    </row>
    <row r="15" spans="1:40">
      <c r="A15" s="5">
        <v>1</v>
      </c>
      <c r="B15" s="5" t="s">
        <v>195</v>
      </c>
      <c r="C15" s="5">
        <v>4</v>
      </c>
      <c r="D15" s="5" t="s">
        <v>196</v>
      </c>
      <c r="E15" s="7">
        <v>1</v>
      </c>
      <c r="F15" s="7" t="s">
        <v>116</v>
      </c>
      <c r="G15" s="17">
        <v>3</v>
      </c>
      <c r="H15" s="17" t="s">
        <v>197</v>
      </c>
      <c r="I15" s="7">
        <v>1</v>
      </c>
      <c r="J15" s="18" t="s">
        <v>185</v>
      </c>
      <c r="K15" s="5">
        <v>4</v>
      </c>
      <c r="L15" s="5" t="s">
        <v>84</v>
      </c>
      <c r="M15" s="5">
        <v>1</v>
      </c>
      <c r="N15" s="5" t="s">
        <v>199</v>
      </c>
      <c r="O15" s="24">
        <v>4</v>
      </c>
      <c r="P15" s="18" t="s">
        <v>200</v>
      </c>
      <c r="Q15" s="7">
        <v>4</v>
      </c>
      <c r="R15" s="7" t="s">
        <v>201</v>
      </c>
      <c r="S15" s="18">
        <v>1</v>
      </c>
      <c r="T15" s="18" t="s">
        <v>202</v>
      </c>
      <c r="U15" s="8">
        <v>4</v>
      </c>
      <c r="V15" s="8" t="s">
        <v>166</v>
      </c>
      <c r="W15" s="7">
        <v>1</v>
      </c>
      <c r="X15" s="14" t="s">
        <v>203</v>
      </c>
      <c r="Y15" s="8">
        <v>1</v>
      </c>
      <c r="Z15" s="22" t="s">
        <v>150</v>
      </c>
      <c r="AA15" s="8">
        <v>2</v>
      </c>
      <c r="AB15" s="14" t="s">
        <v>183</v>
      </c>
      <c r="AC15" s="7">
        <v>4</v>
      </c>
      <c r="AD15" s="7" t="s">
        <v>142</v>
      </c>
      <c r="AE15" s="8">
        <v>3</v>
      </c>
      <c r="AF15" s="8" t="s">
        <v>193</v>
      </c>
      <c r="AG15" s="5">
        <v>2</v>
      </c>
      <c r="AH15" s="5" t="s">
        <v>114</v>
      </c>
      <c r="AI15" s="18">
        <v>4</v>
      </c>
      <c r="AJ15" s="39" t="s">
        <v>205</v>
      </c>
      <c r="AK15" s="25">
        <v>4</v>
      </c>
      <c r="AL15" s="25" t="s">
        <v>190</v>
      </c>
      <c r="AM15" s="24">
        <v>2</v>
      </c>
      <c r="AN15" s="8" t="s">
        <v>649</v>
      </c>
    </row>
    <row r="16" spans="1:40">
      <c r="A16" s="5">
        <v>1</v>
      </c>
      <c r="B16" s="5" t="s">
        <v>192</v>
      </c>
      <c r="C16" s="5">
        <v>4</v>
      </c>
      <c r="D16" s="5" t="s">
        <v>206</v>
      </c>
      <c r="E16" s="7">
        <v>1</v>
      </c>
      <c r="F16" s="7" t="s">
        <v>104</v>
      </c>
      <c r="G16" s="7">
        <v>4</v>
      </c>
      <c r="H16" s="7" t="s">
        <v>131</v>
      </c>
      <c r="I16" s="17">
        <v>1</v>
      </c>
      <c r="J16" s="18" t="s">
        <v>198</v>
      </c>
      <c r="K16" s="5">
        <v>4</v>
      </c>
      <c r="L16" s="5" t="s">
        <v>166</v>
      </c>
      <c r="M16" s="20">
        <v>1</v>
      </c>
      <c r="N16" s="20" t="s">
        <v>127</v>
      </c>
      <c r="O16" s="24">
        <v>4</v>
      </c>
      <c r="P16" s="18" t="s">
        <v>181</v>
      </c>
      <c r="Q16" s="7">
        <v>4</v>
      </c>
      <c r="R16" s="7" t="s">
        <v>207</v>
      </c>
      <c r="S16" s="18">
        <v>1</v>
      </c>
      <c r="T16" s="18" t="s">
        <v>208</v>
      </c>
      <c r="U16" s="22">
        <v>4</v>
      </c>
      <c r="V16" s="22" t="s">
        <v>169</v>
      </c>
      <c r="W16" s="7">
        <v>1</v>
      </c>
      <c r="X16" s="14" t="s">
        <v>209</v>
      </c>
      <c r="Y16" s="8">
        <v>1</v>
      </c>
      <c r="Z16" s="8" t="s">
        <v>109</v>
      </c>
      <c r="AA16" s="8">
        <v>2</v>
      </c>
      <c r="AB16" s="14" t="s">
        <v>210</v>
      </c>
      <c r="AC16" s="7">
        <v>4</v>
      </c>
      <c r="AD16" s="7" t="s">
        <v>211</v>
      </c>
      <c r="AE16" s="8">
        <v>3</v>
      </c>
      <c r="AF16" s="8" t="s">
        <v>204</v>
      </c>
      <c r="AG16" s="5">
        <v>3</v>
      </c>
      <c r="AH16" s="5" t="s">
        <v>126</v>
      </c>
      <c r="AI16" s="18">
        <v>4</v>
      </c>
      <c r="AJ16" s="39" t="s">
        <v>142</v>
      </c>
      <c r="AK16" s="25">
        <v>4</v>
      </c>
      <c r="AL16" s="25" t="s">
        <v>213</v>
      </c>
      <c r="AM16" s="168">
        <v>3</v>
      </c>
      <c r="AN16" s="144" t="s">
        <v>137</v>
      </c>
    </row>
    <row r="17" spans="1:40">
      <c r="A17" s="5">
        <v>1</v>
      </c>
      <c r="B17" s="5" t="s">
        <v>214</v>
      </c>
      <c r="C17" s="5">
        <v>4</v>
      </c>
      <c r="D17" s="5" t="s">
        <v>215</v>
      </c>
      <c r="E17" s="7">
        <v>1</v>
      </c>
      <c r="F17" s="7" t="s">
        <v>88</v>
      </c>
      <c r="G17" s="7">
        <v>4</v>
      </c>
      <c r="H17" s="7" t="s">
        <v>142</v>
      </c>
      <c r="I17" s="17">
        <v>1</v>
      </c>
      <c r="J17" s="18" t="s">
        <v>192</v>
      </c>
      <c r="K17" s="5">
        <v>3</v>
      </c>
      <c r="L17" s="5" t="s">
        <v>137</v>
      </c>
      <c r="M17" s="7">
        <v>1</v>
      </c>
      <c r="N17" s="7" t="s">
        <v>88</v>
      </c>
      <c r="O17" s="11">
        <v>4</v>
      </c>
      <c r="P17" s="5" t="s">
        <v>216</v>
      </c>
      <c r="Q17" s="7">
        <v>4</v>
      </c>
      <c r="R17" s="7" t="s">
        <v>137</v>
      </c>
      <c r="S17" s="18">
        <v>1</v>
      </c>
      <c r="T17" s="18" t="s">
        <v>217</v>
      </c>
      <c r="U17" s="8">
        <v>3</v>
      </c>
      <c r="V17" s="8" t="s">
        <v>218</v>
      </c>
      <c r="W17" s="7">
        <v>3</v>
      </c>
      <c r="X17" s="14" t="s">
        <v>219</v>
      </c>
      <c r="Y17" s="8">
        <v>1</v>
      </c>
      <c r="Z17" s="22" t="s">
        <v>220</v>
      </c>
      <c r="AA17" s="8">
        <v>2</v>
      </c>
      <c r="AB17" s="14" t="s">
        <v>166</v>
      </c>
      <c r="AC17" s="7">
        <v>4</v>
      </c>
      <c r="AD17" s="7" t="s">
        <v>221</v>
      </c>
      <c r="AE17" s="8">
        <v>3</v>
      </c>
      <c r="AF17" s="8" t="s">
        <v>212</v>
      </c>
      <c r="AG17" s="5">
        <v>4</v>
      </c>
      <c r="AH17" s="5" t="s">
        <v>139</v>
      </c>
      <c r="AK17" s="25">
        <v>1</v>
      </c>
      <c r="AL17" s="25" t="s">
        <v>222</v>
      </c>
      <c r="AM17" s="202">
        <v>1</v>
      </c>
      <c r="AN17" s="138" t="s">
        <v>270</v>
      </c>
    </row>
    <row r="18" spans="1:40">
      <c r="A18" s="23">
        <v>1</v>
      </c>
      <c r="B18" s="23" t="s">
        <v>223</v>
      </c>
      <c r="C18" s="5">
        <v>3</v>
      </c>
      <c r="D18" s="5" t="s">
        <v>224</v>
      </c>
      <c r="E18" s="7">
        <v>1</v>
      </c>
      <c r="F18" s="7" t="s">
        <v>225</v>
      </c>
      <c r="G18" s="17">
        <v>4</v>
      </c>
      <c r="H18" s="17" t="s">
        <v>226</v>
      </c>
      <c r="I18" s="7">
        <v>4</v>
      </c>
      <c r="J18" s="18" t="s">
        <v>169</v>
      </c>
      <c r="K18" s="5">
        <v>3</v>
      </c>
      <c r="L18" s="5" t="s">
        <v>204</v>
      </c>
      <c r="M18" s="7">
        <v>1</v>
      </c>
      <c r="N18" s="7" t="s">
        <v>228</v>
      </c>
      <c r="O18" s="11">
        <v>4</v>
      </c>
      <c r="P18" s="5" t="s">
        <v>229</v>
      </c>
      <c r="Q18" s="7">
        <v>2</v>
      </c>
      <c r="R18" s="7" t="s">
        <v>189</v>
      </c>
      <c r="S18" s="5">
        <v>3</v>
      </c>
      <c r="T18" s="5" t="s">
        <v>230</v>
      </c>
      <c r="U18" s="8">
        <v>3</v>
      </c>
      <c r="V18" s="8" t="s">
        <v>213</v>
      </c>
      <c r="W18" s="7">
        <v>1</v>
      </c>
      <c r="X18" s="14" t="s">
        <v>231</v>
      </c>
      <c r="Y18" s="8">
        <v>1</v>
      </c>
      <c r="Z18" s="22" t="s">
        <v>232</v>
      </c>
      <c r="AA18" s="8">
        <v>1</v>
      </c>
      <c r="AB18" s="14" t="s">
        <v>233</v>
      </c>
      <c r="AC18" s="7">
        <v>3</v>
      </c>
      <c r="AD18" s="7" t="s">
        <v>234</v>
      </c>
      <c r="AG18" s="18">
        <v>3</v>
      </c>
      <c r="AH18" s="18" t="s">
        <v>213</v>
      </c>
      <c r="AK18" s="25">
        <v>1</v>
      </c>
      <c r="AL18" s="25" t="s">
        <v>235</v>
      </c>
      <c r="AM18" s="202">
        <v>1</v>
      </c>
      <c r="AN18" s="138" t="s">
        <v>707</v>
      </c>
    </row>
    <row r="19" spans="1:40">
      <c r="A19" s="5">
        <v>3</v>
      </c>
      <c r="B19" s="5" t="s">
        <v>184</v>
      </c>
      <c r="C19" s="5">
        <v>4</v>
      </c>
      <c r="D19" s="5" t="s">
        <v>236</v>
      </c>
      <c r="E19" s="5">
        <v>1</v>
      </c>
      <c r="F19" s="7" t="s">
        <v>185</v>
      </c>
      <c r="G19" s="7">
        <v>4</v>
      </c>
      <c r="H19" s="7" t="s">
        <v>176</v>
      </c>
      <c r="I19" s="7">
        <v>4</v>
      </c>
      <c r="J19" s="18" t="s">
        <v>227</v>
      </c>
      <c r="K19" s="5">
        <v>2</v>
      </c>
      <c r="L19" s="5" t="s">
        <v>233</v>
      </c>
      <c r="M19" s="7">
        <v>1</v>
      </c>
      <c r="N19" s="7" t="s">
        <v>225</v>
      </c>
      <c r="O19" s="26"/>
      <c r="P19" s="26"/>
      <c r="Q19" s="7">
        <v>1</v>
      </c>
      <c r="R19" s="7" t="s">
        <v>238</v>
      </c>
      <c r="S19" s="5">
        <v>3</v>
      </c>
      <c r="T19" s="5" t="s">
        <v>239</v>
      </c>
      <c r="U19" s="22">
        <v>3</v>
      </c>
      <c r="V19" s="22" t="s">
        <v>149</v>
      </c>
      <c r="W19" s="7">
        <v>1</v>
      </c>
      <c r="X19" s="14" t="s">
        <v>240</v>
      </c>
      <c r="Y19" s="8">
        <v>1</v>
      </c>
      <c r="Z19" s="22" t="s">
        <v>89</v>
      </c>
      <c r="AA19" s="8">
        <v>1</v>
      </c>
      <c r="AB19" s="14" t="s">
        <v>241</v>
      </c>
      <c r="AC19" s="7">
        <v>3</v>
      </c>
      <c r="AD19" s="7" t="s">
        <v>137</v>
      </c>
      <c r="AG19" s="5">
        <v>4</v>
      </c>
      <c r="AH19" s="5" t="s">
        <v>168</v>
      </c>
      <c r="AK19" s="25">
        <v>3</v>
      </c>
      <c r="AL19" s="27" t="s">
        <v>242</v>
      </c>
      <c r="AM19" s="24">
        <v>1</v>
      </c>
      <c r="AN19" s="8" t="s">
        <v>2681</v>
      </c>
    </row>
    <row r="20" spans="1:40">
      <c r="A20" s="5">
        <v>4</v>
      </c>
      <c r="B20" s="5" t="s">
        <v>243</v>
      </c>
      <c r="C20" s="5">
        <v>1</v>
      </c>
      <c r="D20" s="5" t="s">
        <v>244</v>
      </c>
      <c r="E20" s="7">
        <v>4</v>
      </c>
      <c r="F20" s="7" t="s">
        <v>137</v>
      </c>
      <c r="G20" s="7">
        <v>4</v>
      </c>
      <c r="H20" s="7" t="s">
        <v>169</v>
      </c>
      <c r="I20" s="7">
        <v>4</v>
      </c>
      <c r="J20" s="18" t="s">
        <v>189</v>
      </c>
      <c r="K20" s="5">
        <v>2</v>
      </c>
      <c r="L20" s="5" t="s">
        <v>124</v>
      </c>
      <c r="M20" s="7">
        <v>1</v>
      </c>
      <c r="N20" s="5" t="s">
        <v>245</v>
      </c>
      <c r="P20" s="26"/>
      <c r="Q20" s="7">
        <v>1</v>
      </c>
      <c r="R20" s="7" t="s">
        <v>235</v>
      </c>
      <c r="W20" s="7">
        <v>4</v>
      </c>
      <c r="X20" s="14" t="s">
        <v>142</v>
      </c>
      <c r="Y20" s="8">
        <v>1</v>
      </c>
      <c r="Z20" s="22" t="s">
        <v>246</v>
      </c>
      <c r="AC20" s="7">
        <v>3</v>
      </c>
      <c r="AD20" s="7" t="s">
        <v>247</v>
      </c>
      <c r="AG20" s="18">
        <v>3</v>
      </c>
      <c r="AH20" s="18" t="s">
        <v>183</v>
      </c>
      <c r="AK20" s="25">
        <v>4</v>
      </c>
      <c r="AL20" s="25" t="s">
        <v>169</v>
      </c>
    </row>
    <row r="21" spans="1:40">
      <c r="A21" s="5">
        <v>4</v>
      </c>
      <c r="B21" s="5" t="s">
        <v>239</v>
      </c>
      <c r="C21" s="5">
        <v>1</v>
      </c>
      <c r="D21" s="5" t="s">
        <v>248</v>
      </c>
      <c r="E21" s="7">
        <v>4</v>
      </c>
      <c r="F21" s="7" t="s">
        <v>113</v>
      </c>
      <c r="G21" s="17">
        <v>3</v>
      </c>
      <c r="H21" s="17" t="s">
        <v>249</v>
      </c>
      <c r="I21" s="7">
        <v>4</v>
      </c>
      <c r="J21" s="18" t="s">
        <v>226</v>
      </c>
      <c r="K21" s="18">
        <v>3</v>
      </c>
      <c r="L21" s="7" t="s">
        <v>250</v>
      </c>
      <c r="M21" s="7">
        <v>1</v>
      </c>
      <c r="N21" s="7" t="s">
        <v>185</v>
      </c>
      <c r="Q21" s="7">
        <v>2</v>
      </c>
      <c r="R21" s="7" t="s">
        <v>251</v>
      </c>
      <c r="W21" s="7">
        <v>4</v>
      </c>
      <c r="X21" s="14" t="s">
        <v>137</v>
      </c>
      <c r="Y21" s="8">
        <v>1</v>
      </c>
      <c r="Z21" s="8" t="s">
        <v>252</v>
      </c>
      <c r="AC21" s="7">
        <v>2</v>
      </c>
      <c r="AD21" s="7" t="s">
        <v>189</v>
      </c>
      <c r="AG21" s="7">
        <v>3</v>
      </c>
      <c r="AH21" s="7" t="s">
        <v>164</v>
      </c>
      <c r="AK21" s="25">
        <v>3</v>
      </c>
      <c r="AL21" s="25" t="s">
        <v>253</v>
      </c>
    </row>
    <row r="22" spans="1:40">
      <c r="A22" s="5">
        <v>4</v>
      </c>
      <c r="B22" s="5" t="s">
        <v>137</v>
      </c>
      <c r="E22" s="17">
        <v>4</v>
      </c>
      <c r="F22" s="17" t="s">
        <v>142</v>
      </c>
      <c r="G22" s="7">
        <v>4</v>
      </c>
      <c r="H22" s="7" t="s">
        <v>254</v>
      </c>
      <c r="I22" s="7">
        <v>4</v>
      </c>
      <c r="J22" s="18" t="s">
        <v>142</v>
      </c>
      <c r="K22" s="18">
        <v>1</v>
      </c>
      <c r="L22" s="18" t="s">
        <v>193</v>
      </c>
      <c r="M22" s="7">
        <v>4</v>
      </c>
      <c r="N22" s="7" t="s">
        <v>255</v>
      </c>
      <c r="O22" s="26"/>
      <c r="P22" s="26"/>
      <c r="W22" s="7">
        <v>2</v>
      </c>
      <c r="X22" s="14" t="s">
        <v>131</v>
      </c>
      <c r="Y22" s="8">
        <v>4</v>
      </c>
      <c r="Z22" s="22" t="s">
        <v>256</v>
      </c>
      <c r="AC22" s="7">
        <v>3</v>
      </c>
      <c r="AD22" s="7" t="s">
        <v>257</v>
      </c>
      <c r="AG22" s="18">
        <v>4</v>
      </c>
      <c r="AH22" s="18" t="s">
        <v>166</v>
      </c>
    </row>
    <row r="23" spans="1:40">
      <c r="A23" s="5">
        <v>4</v>
      </c>
      <c r="B23" s="5" t="s">
        <v>258</v>
      </c>
      <c r="E23" s="7">
        <v>3</v>
      </c>
      <c r="F23" s="7" t="s">
        <v>259</v>
      </c>
      <c r="I23" s="7">
        <v>1</v>
      </c>
      <c r="J23" s="7" t="s">
        <v>202</v>
      </c>
      <c r="K23" s="18">
        <v>1</v>
      </c>
      <c r="L23" s="18" t="s">
        <v>260</v>
      </c>
      <c r="M23" s="7">
        <v>1</v>
      </c>
      <c r="N23" s="7" t="s">
        <v>261</v>
      </c>
      <c r="O23" s="26"/>
      <c r="P23" s="26"/>
      <c r="W23" s="7">
        <v>4</v>
      </c>
      <c r="X23" s="14" t="s">
        <v>259</v>
      </c>
      <c r="Y23" s="8">
        <v>4</v>
      </c>
      <c r="Z23" s="22" t="s">
        <v>166</v>
      </c>
      <c r="AC23" s="7">
        <v>1</v>
      </c>
      <c r="AD23" s="7" t="s">
        <v>262</v>
      </c>
      <c r="AG23" s="18">
        <v>4</v>
      </c>
      <c r="AH23" s="18" t="s">
        <v>142</v>
      </c>
    </row>
    <row r="24" spans="1:40">
      <c r="A24" s="5">
        <v>4</v>
      </c>
      <c r="B24" s="5" t="s">
        <v>131</v>
      </c>
      <c r="E24" s="7">
        <v>3</v>
      </c>
      <c r="F24" s="7" t="s">
        <v>263</v>
      </c>
      <c r="I24" s="7">
        <v>4</v>
      </c>
      <c r="J24" s="18" t="s">
        <v>184</v>
      </c>
      <c r="K24" s="18">
        <v>1</v>
      </c>
      <c r="L24" s="18" t="s">
        <v>238</v>
      </c>
      <c r="M24" s="7">
        <v>1</v>
      </c>
      <c r="N24" s="7" t="s">
        <v>264</v>
      </c>
      <c r="O24" s="26"/>
      <c r="P24" s="26"/>
      <c r="W24" s="7">
        <v>1</v>
      </c>
      <c r="X24" s="14" t="s">
        <v>265</v>
      </c>
      <c r="Y24" s="8">
        <v>4</v>
      </c>
      <c r="Z24" s="22" t="s">
        <v>113</v>
      </c>
      <c r="AC24" s="7">
        <v>1</v>
      </c>
      <c r="AD24" s="7" t="s">
        <v>266</v>
      </c>
    </row>
    <row r="25" spans="1:40">
      <c r="A25" s="5">
        <v>4</v>
      </c>
      <c r="B25" s="5" t="s">
        <v>142</v>
      </c>
      <c r="E25" s="5">
        <v>3</v>
      </c>
      <c r="F25" s="7" t="s">
        <v>267</v>
      </c>
      <c r="I25" s="7">
        <v>4</v>
      </c>
      <c r="J25" s="18" t="s">
        <v>254</v>
      </c>
      <c r="M25" s="7">
        <v>1</v>
      </c>
      <c r="N25" s="7" t="s">
        <v>268</v>
      </c>
      <c r="O25" s="26"/>
      <c r="P25" s="26"/>
      <c r="R25" s="28"/>
      <c r="W25" s="7">
        <v>3</v>
      </c>
      <c r="X25" s="14" t="s">
        <v>269</v>
      </c>
      <c r="Y25" s="8">
        <v>4</v>
      </c>
      <c r="Z25" s="22" t="s">
        <v>142</v>
      </c>
      <c r="AC25" s="7">
        <v>1</v>
      </c>
      <c r="AD25" s="7" t="s">
        <v>270</v>
      </c>
    </row>
    <row r="26" spans="1:40">
      <c r="A26" s="5">
        <v>1</v>
      </c>
      <c r="B26" s="5" t="s">
        <v>202</v>
      </c>
      <c r="E26" s="7">
        <v>1</v>
      </c>
      <c r="F26" s="7" t="s">
        <v>271</v>
      </c>
      <c r="M26" s="20">
        <v>1</v>
      </c>
      <c r="N26" s="20" t="s">
        <v>272</v>
      </c>
      <c r="O26" s="26"/>
      <c r="Y26" s="8">
        <v>4</v>
      </c>
      <c r="Z26" s="22" t="s">
        <v>137</v>
      </c>
    </row>
    <row r="27" spans="1:40">
      <c r="A27" s="5">
        <v>4</v>
      </c>
      <c r="B27" s="5" t="s">
        <v>189</v>
      </c>
      <c r="E27" s="7">
        <v>1</v>
      </c>
      <c r="F27" s="7" t="s">
        <v>155</v>
      </c>
      <c r="M27" s="7">
        <v>1</v>
      </c>
      <c r="N27" s="7" t="s">
        <v>273</v>
      </c>
      <c r="Y27" s="8">
        <v>2</v>
      </c>
      <c r="Z27" s="22" t="s">
        <v>238</v>
      </c>
    </row>
    <row r="28" spans="1:40">
      <c r="A28" s="5">
        <v>1</v>
      </c>
      <c r="B28" s="5" t="s">
        <v>193</v>
      </c>
      <c r="E28" s="7">
        <v>1</v>
      </c>
      <c r="F28" s="7" t="s">
        <v>231</v>
      </c>
      <c r="J28" s="29"/>
      <c r="M28" s="20">
        <v>1</v>
      </c>
      <c r="N28" s="20" t="s">
        <v>128</v>
      </c>
      <c r="Y28" s="8">
        <v>1</v>
      </c>
      <c r="Z28" s="22" t="s">
        <v>259</v>
      </c>
    </row>
    <row r="29" spans="1:40">
      <c r="E29" s="7">
        <v>1</v>
      </c>
      <c r="F29" s="7" t="s">
        <v>219</v>
      </c>
      <c r="M29" s="17">
        <v>1</v>
      </c>
      <c r="N29" s="18" t="s">
        <v>274</v>
      </c>
      <c r="Y29" s="8">
        <v>4</v>
      </c>
      <c r="Z29" s="22" t="s">
        <v>275</v>
      </c>
    </row>
    <row r="30" spans="1:40">
      <c r="E30" s="5">
        <v>1</v>
      </c>
      <c r="F30" s="7" t="s">
        <v>276</v>
      </c>
      <c r="M30" s="7">
        <v>1</v>
      </c>
      <c r="N30" s="5" t="s">
        <v>277</v>
      </c>
      <c r="Y30" s="8">
        <v>3</v>
      </c>
      <c r="Z30" s="8" t="s">
        <v>278</v>
      </c>
    </row>
    <row r="31" spans="1:40">
      <c r="E31" s="7">
        <v>1</v>
      </c>
      <c r="F31" s="7" t="s">
        <v>279</v>
      </c>
      <c r="M31" s="20">
        <v>3</v>
      </c>
      <c r="N31" s="20" t="s">
        <v>280</v>
      </c>
    </row>
    <row r="32" spans="1:40">
      <c r="E32" s="1"/>
      <c r="F32" s="1"/>
      <c r="M32" s="7">
        <v>4</v>
      </c>
      <c r="N32" s="7" t="s">
        <v>142</v>
      </c>
    </row>
    <row r="33" spans="5:14">
      <c r="E33" s="1"/>
      <c r="F33" s="1"/>
      <c r="M33" s="7">
        <v>4</v>
      </c>
      <c r="N33" s="5" t="s">
        <v>131</v>
      </c>
    </row>
    <row r="34" spans="5:14">
      <c r="E34" s="1"/>
      <c r="F34" s="1"/>
      <c r="M34" s="20">
        <v>3</v>
      </c>
      <c r="N34" s="20" t="s">
        <v>207</v>
      </c>
    </row>
    <row r="35" spans="5:14">
      <c r="F35" s="30"/>
      <c r="M35" s="7">
        <v>3</v>
      </c>
      <c r="N35" s="7" t="s">
        <v>137</v>
      </c>
    </row>
    <row r="36" spans="5:14">
      <c r="F36" s="31"/>
      <c r="M36" s="17">
        <v>3</v>
      </c>
      <c r="N36" s="17" t="s">
        <v>281</v>
      </c>
    </row>
    <row r="37" spans="5:14">
      <c r="F37" s="31"/>
      <c r="M37" s="17">
        <v>1</v>
      </c>
      <c r="N37" s="17" t="s">
        <v>262</v>
      </c>
    </row>
  </sheetData>
  <printOptions horizontalCentered="1" verticalCentered="1"/>
  <pageMargins left="7.8472222222222193E-2" right="0.47222222222222199" top="0.35416666666666702" bottom="0.472222222222221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0099"/>
  </sheetPr>
  <dimension ref="A1:P35"/>
  <sheetViews>
    <sheetView topLeftCell="C1" zoomScaleNormal="100" workbookViewId="0">
      <selection activeCell="H28" sqref="H28"/>
    </sheetView>
  </sheetViews>
  <sheetFormatPr baseColWidth="10" defaultColWidth="9.140625" defaultRowHeight="15"/>
  <cols>
    <col min="1" max="1" width="3" style="58" customWidth="1"/>
    <col min="2" max="2" width="29.5703125" style="2" customWidth="1"/>
    <col min="3" max="3" width="3" style="58" customWidth="1"/>
    <col min="4" max="4" width="20.42578125" style="26" customWidth="1"/>
    <col min="5" max="5" width="3" style="58" customWidth="1"/>
    <col min="6" max="6" width="20.5703125" style="65" bestFit="1" customWidth="1"/>
    <col min="7" max="7" width="3" style="58" customWidth="1"/>
    <col min="8" max="8" width="32.42578125" style="26" customWidth="1"/>
    <col min="9" max="9" width="3" style="58" customWidth="1"/>
    <col min="10" max="10" width="30.140625" style="26" customWidth="1"/>
    <col min="11" max="11" width="3" style="58" customWidth="1"/>
    <col min="12" max="12" width="34.42578125" style="26" customWidth="1"/>
    <col min="13" max="13" width="3" style="58" customWidth="1"/>
    <col min="14" max="14" width="23.7109375" style="26" customWidth="1"/>
    <col min="15" max="15" width="3" style="173" customWidth="1"/>
    <col min="16" max="16" width="20.5703125" style="26" bestFit="1" customWidth="1"/>
    <col min="17" max="1025" width="10.7109375" customWidth="1"/>
  </cols>
  <sheetData>
    <row r="1" spans="1:16" s="195" customFormat="1">
      <c r="A1" s="177">
        <f>SUM(A2:A39)</f>
        <v>60</v>
      </c>
      <c r="B1" s="177" t="s">
        <v>1745</v>
      </c>
      <c r="C1" s="177">
        <f>SUM(C2:C39)</f>
        <v>60</v>
      </c>
      <c r="D1" s="182" t="s">
        <v>2</v>
      </c>
      <c r="E1" s="177">
        <f>SUM(E2:E39)</f>
        <v>60</v>
      </c>
      <c r="F1" s="181" t="s">
        <v>1785</v>
      </c>
      <c r="G1" s="177">
        <f>SUM(G2:G39)</f>
        <v>60</v>
      </c>
      <c r="H1" s="182" t="s">
        <v>1786</v>
      </c>
      <c r="I1" s="178">
        <f>SUM(I2:I39)</f>
        <v>60</v>
      </c>
      <c r="J1" s="193" t="s">
        <v>1787</v>
      </c>
      <c r="K1" s="177">
        <f>SUM(K2:K39)</f>
        <v>60</v>
      </c>
      <c r="L1" s="182" t="s">
        <v>1788</v>
      </c>
      <c r="M1" s="177">
        <f>SUM(M2:M34)</f>
        <v>60</v>
      </c>
      <c r="N1" s="182" t="s">
        <v>1789</v>
      </c>
      <c r="O1" s="194">
        <f>SUM(O2:O39)</f>
        <v>60</v>
      </c>
      <c r="P1" s="182" t="s">
        <v>1009</v>
      </c>
    </row>
    <row r="2" spans="1:16">
      <c r="A2" s="3">
        <v>4</v>
      </c>
      <c r="B2" s="17" t="s">
        <v>63</v>
      </c>
      <c r="C2" s="3">
        <v>1</v>
      </c>
      <c r="D2" s="8" t="s">
        <v>20</v>
      </c>
      <c r="E2" s="3">
        <v>1</v>
      </c>
      <c r="F2" s="34" t="s">
        <v>1048</v>
      </c>
      <c r="G2" s="3">
        <v>4</v>
      </c>
      <c r="H2" s="22" t="s">
        <v>30</v>
      </c>
      <c r="I2" s="3">
        <v>1</v>
      </c>
      <c r="J2" s="3" t="s">
        <v>1314</v>
      </c>
      <c r="K2" s="3">
        <v>13</v>
      </c>
      <c r="L2" s="22" t="s">
        <v>1790</v>
      </c>
      <c r="M2" s="5">
        <v>4</v>
      </c>
      <c r="N2" s="68" t="s">
        <v>39</v>
      </c>
      <c r="O2" s="172">
        <v>1</v>
      </c>
      <c r="P2" s="70" t="s">
        <v>1018</v>
      </c>
    </row>
    <row r="3" spans="1:16">
      <c r="A3" s="3">
        <v>4</v>
      </c>
      <c r="B3" s="17" t="s">
        <v>351</v>
      </c>
      <c r="C3" s="3">
        <v>4</v>
      </c>
      <c r="D3" s="8" t="s">
        <v>34</v>
      </c>
      <c r="E3" s="3">
        <v>2</v>
      </c>
      <c r="F3" s="34" t="s">
        <v>1791</v>
      </c>
      <c r="G3" s="3">
        <v>3</v>
      </c>
      <c r="H3" s="22" t="s">
        <v>1292</v>
      </c>
      <c r="I3" s="3">
        <v>1</v>
      </c>
      <c r="J3" s="70" t="s">
        <v>1361</v>
      </c>
      <c r="K3" s="3">
        <v>4</v>
      </c>
      <c r="L3" s="22" t="s">
        <v>1791</v>
      </c>
      <c r="M3" s="3">
        <v>4</v>
      </c>
      <c r="N3" s="68" t="s">
        <v>25</v>
      </c>
      <c r="O3" s="172">
        <v>1</v>
      </c>
      <c r="P3" s="70" t="s">
        <v>1792</v>
      </c>
    </row>
    <row r="4" spans="1:16">
      <c r="A4" s="3">
        <v>1</v>
      </c>
      <c r="B4" s="52" t="s">
        <v>1759</v>
      </c>
      <c r="C4" s="3">
        <v>1</v>
      </c>
      <c r="D4" s="22" t="s">
        <v>311</v>
      </c>
      <c r="E4" s="3">
        <v>2</v>
      </c>
      <c r="F4" s="34" t="s">
        <v>1733</v>
      </c>
      <c r="G4" s="3">
        <v>1</v>
      </c>
      <c r="H4" s="22" t="s">
        <v>356</v>
      </c>
      <c r="I4" s="3">
        <v>3</v>
      </c>
      <c r="J4" s="3" t="s">
        <v>1793</v>
      </c>
      <c r="K4" s="26">
        <v>4</v>
      </c>
      <c r="L4" s="26" t="s">
        <v>1794</v>
      </c>
      <c r="M4" s="5">
        <v>4</v>
      </c>
      <c r="N4" s="68" t="s">
        <v>1274</v>
      </c>
      <c r="O4" s="172">
        <v>1</v>
      </c>
      <c r="P4" s="70" t="s">
        <v>1023</v>
      </c>
    </row>
    <row r="5" spans="1:16">
      <c r="A5" s="3">
        <v>1</v>
      </c>
      <c r="B5" s="17" t="s">
        <v>311</v>
      </c>
      <c r="C5" s="3">
        <v>4</v>
      </c>
      <c r="D5" s="22" t="s">
        <v>1795</v>
      </c>
      <c r="E5" s="3">
        <v>4</v>
      </c>
      <c r="F5" s="34" t="s">
        <v>1796</v>
      </c>
      <c r="G5" s="3">
        <v>1</v>
      </c>
      <c r="H5" s="22" t="s">
        <v>19</v>
      </c>
      <c r="I5" s="3">
        <v>1</v>
      </c>
      <c r="J5" s="3" t="s">
        <v>1797</v>
      </c>
      <c r="K5" s="3">
        <v>2</v>
      </c>
      <c r="L5" s="22" t="s">
        <v>1798</v>
      </c>
      <c r="M5" s="5">
        <v>4</v>
      </c>
      <c r="N5" s="68" t="s">
        <v>1315</v>
      </c>
      <c r="O5" s="172">
        <v>1</v>
      </c>
      <c r="P5" s="70" t="s">
        <v>1027</v>
      </c>
    </row>
    <row r="6" spans="1:16">
      <c r="A6" s="3">
        <v>1</v>
      </c>
      <c r="B6" s="17" t="s">
        <v>1799</v>
      </c>
      <c r="C6" s="3">
        <v>4</v>
      </c>
      <c r="D6" s="22" t="s">
        <v>1016</v>
      </c>
      <c r="E6" s="3">
        <v>4</v>
      </c>
      <c r="F6" s="34" t="s">
        <v>20</v>
      </c>
      <c r="G6" s="3">
        <v>3</v>
      </c>
      <c r="H6" s="22" t="s">
        <v>1291</v>
      </c>
      <c r="I6" s="3">
        <v>4</v>
      </c>
      <c r="J6" s="3" t="s">
        <v>1400</v>
      </c>
      <c r="K6" s="3">
        <v>3</v>
      </c>
      <c r="L6" s="22" t="s">
        <v>1800</v>
      </c>
      <c r="M6" s="5">
        <v>4</v>
      </c>
      <c r="N6" s="68" t="s">
        <v>1337</v>
      </c>
      <c r="O6" s="172">
        <v>1</v>
      </c>
      <c r="P6" s="70" t="s">
        <v>405</v>
      </c>
    </row>
    <row r="7" spans="1:16">
      <c r="A7" s="3">
        <v>4</v>
      </c>
      <c r="B7" s="17" t="s">
        <v>1016</v>
      </c>
      <c r="C7" s="3">
        <v>1</v>
      </c>
      <c r="D7" s="22" t="s">
        <v>1799</v>
      </c>
      <c r="E7" s="3">
        <v>3</v>
      </c>
      <c r="F7" s="34" t="s">
        <v>1716</v>
      </c>
      <c r="G7" s="3">
        <v>4</v>
      </c>
      <c r="H7" s="22" t="s">
        <v>1801</v>
      </c>
      <c r="I7" s="3">
        <v>1</v>
      </c>
      <c r="J7" s="3" t="s">
        <v>1802</v>
      </c>
      <c r="K7" s="3">
        <v>1</v>
      </c>
      <c r="L7" s="22" t="s">
        <v>1048</v>
      </c>
      <c r="M7" s="5">
        <v>4</v>
      </c>
      <c r="N7" s="68" t="s">
        <v>120</v>
      </c>
      <c r="O7" s="172">
        <v>4</v>
      </c>
      <c r="P7" s="70" t="s">
        <v>381</v>
      </c>
    </row>
    <row r="8" spans="1:16">
      <c r="A8" s="3">
        <v>4</v>
      </c>
      <c r="B8" s="17" t="s">
        <v>840</v>
      </c>
      <c r="C8" s="3">
        <v>4</v>
      </c>
      <c r="D8" s="22" t="s">
        <v>351</v>
      </c>
      <c r="E8" s="3">
        <v>2</v>
      </c>
      <c r="F8" s="34" t="s">
        <v>311</v>
      </c>
      <c r="G8" s="3">
        <v>1</v>
      </c>
      <c r="H8" s="22" t="s">
        <v>351</v>
      </c>
      <c r="I8" s="3">
        <v>1</v>
      </c>
      <c r="J8" s="3" t="s">
        <v>311</v>
      </c>
      <c r="K8" s="3">
        <v>4</v>
      </c>
      <c r="L8" s="22" t="s">
        <v>1052</v>
      </c>
      <c r="M8" s="5">
        <v>4</v>
      </c>
      <c r="N8" s="68" t="s">
        <v>899</v>
      </c>
      <c r="O8" s="172">
        <v>4</v>
      </c>
      <c r="P8" s="8" t="s">
        <v>351</v>
      </c>
    </row>
    <row r="9" spans="1:16">
      <c r="A9" s="3">
        <v>4</v>
      </c>
      <c r="B9" s="17" t="s">
        <v>1803</v>
      </c>
      <c r="C9" s="3">
        <v>1</v>
      </c>
      <c r="D9" s="22" t="s">
        <v>1195</v>
      </c>
      <c r="E9" s="3">
        <v>4</v>
      </c>
      <c r="F9" s="34" t="s">
        <v>1294</v>
      </c>
      <c r="G9" s="3">
        <v>1</v>
      </c>
      <c r="H9" s="22" t="s">
        <v>1804</v>
      </c>
      <c r="I9" s="3">
        <v>1</v>
      </c>
      <c r="J9" s="3" t="s">
        <v>38</v>
      </c>
      <c r="K9" s="3">
        <v>3</v>
      </c>
      <c r="L9" s="22" t="s">
        <v>1805</v>
      </c>
      <c r="M9" s="5">
        <v>4</v>
      </c>
      <c r="N9" s="68" t="s">
        <v>1806</v>
      </c>
      <c r="O9" s="172">
        <v>4</v>
      </c>
      <c r="P9" s="70" t="s">
        <v>1016</v>
      </c>
    </row>
    <row r="10" spans="1:16">
      <c r="A10" s="3">
        <v>1</v>
      </c>
      <c r="B10" s="17" t="s">
        <v>199</v>
      </c>
      <c r="C10" s="3">
        <v>1</v>
      </c>
      <c r="D10" s="22" t="s">
        <v>432</v>
      </c>
      <c r="E10" s="3">
        <v>1</v>
      </c>
      <c r="F10" s="34" t="s">
        <v>1807</v>
      </c>
      <c r="G10" s="3">
        <v>1</v>
      </c>
      <c r="H10" s="22" t="s">
        <v>50</v>
      </c>
      <c r="I10" s="3">
        <v>4</v>
      </c>
      <c r="J10" s="3" t="s">
        <v>1382</v>
      </c>
      <c r="K10" s="3">
        <v>4</v>
      </c>
      <c r="L10" s="22" t="s">
        <v>186</v>
      </c>
      <c r="M10" s="5">
        <v>1</v>
      </c>
      <c r="N10" s="68" t="s">
        <v>144</v>
      </c>
      <c r="O10" s="172">
        <v>2</v>
      </c>
      <c r="P10" s="70" t="s">
        <v>1020</v>
      </c>
    </row>
    <row r="11" spans="1:16">
      <c r="A11" s="3">
        <v>1</v>
      </c>
      <c r="B11" s="17" t="s">
        <v>1808</v>
      </c>
      <c r="C11" s="3">
        <v>4</v>
      </c>
      <c r="D11" s="22" t="s">
        <v>1809</v>
      </c>
      <c r="E11" s="3">
        <v>1</v>
      </c>
      <c r="F11" s="34" t="s">
        <v>1754</v>
      </c>
      <c r="G11" s="3">
        <v>2</v>
      </c>
      <c r="H11" s="22" t="s">
        <v>1378</v>
      </c>
      <c r="I11" s="3">
        <v>4</v>
      </c>
      <c r="J11" s="3" t="s">
        <v>1273</v>
      </c>
      <c r="K11" s="3">
        <v>3</v>
      </c>
      <c r="L11" s="22" t="s">
        <v>206</v>
      </c>
      <c r="M11" s="5">
        <v>1</v>
      </c>
      <c r="N11" s="68" t="s">
        <v>159</v>
      </c>
      <c r="O11" s="172">
        <v>1</v>
      </c>
      <c r="P11" s="8" t="s">
        <v>1047</v>
      </c>
    </row>
    <row r="12" spans="1:16">
      <c r="A12" s="3">
        <v>2</v>
      </c>
      <c r="B12" s="17" t="s">
        <v>1811</v>
      </c>
      <c r="C12" s="3">
        <v>1</v>
      </c>
      <c r="D12" s="22" t="s">
        <v>133</v>
      </c>
      <c r="E12" s="3">
        <v>3</v>
      </c>
      <c r="F12" s="34" t="s">
        <v>143</v>
      </c>
      <c r="G12" s="3">
        <v>1</v>
      </c>
      <c r="H12" s="22" t="s">
        <v>1721</v>
      </c>
      <c r="I12" s="3">
        <v>4</v>
      </c>
      <c r="J12" s="3" t="s">
        <v>1292</v>
      </c>
      <c r="K12">
        <v>4</v>
      </c>
      <c r="L12" t="s">
        <v>1812</v>
      </c>
      <c r="M12" s="5">
        <v>4</v>
      </c>
      <c r="N12" s="68" t="s">
        <v>229</v>
      </c>
      <c r="O12" s="172">
        <v>1</v>
      </c>
      <c r="P12" s="70" t="s">
        <v>1810</v>
      </c>
    </row>
    <row r="13" spans="1:16">
      <c r="A13" s="3">
        <v>1</v>
      </c>
      <c r="B13" s="17" t="s">
        <v>1813</v>
      </c>
      <c r="C13" s="3">
        <v>1</v>
      </c>
      <c r="D13" s="22" t="s">
        <v>496</v>
      </c>
      <c r="E13" s="3">
        <v>4</v>
      </c>
      <c r="F13" s="34" t="s">
        <v>1814</v>
      </c>
      <c r="G13" s="3">
        <v>1</v>
      </c>
      <c r="H13" s="22" t="s">
        <v>1815</v>
      </c>
      <c r="I13" s="3">
        <v>2</v>
      </c>
      <c r="J13" s="3" t="s">
        <v>1578</v>
      </c>
      <c r="K13" s="3">
        <v>4</v>
      </c>
      <c r="L13" s="22" t="s">
        <v>1057</v>
      </c>
      <c r="M13" s="5">
        <v>4</v>
      </c>
      <c r="N13" s="68" t="s">
        <v>216</v>
      </c>
      <c r="O13" s="172">
        <v>1</v>
      </c>
      <c r="P13" s="8" t="s">
        <v>1905</v>
      </c>
    </row>
    <row r="14" spans="1:16">
      <c r="A14" s="3">
        <v>2</v>
      </c>
      <c r="B14" s="17" t="s">
        <v>897</v>
      </c>
      <c r="C14" s="3">
        <v>1</v>
      </c>
      <c r="D14" s="22" t="s">
        <v>1813</v>
      </c>
      <c r="E14" s="3">
        <v>4</v>
      </c>
      <c r="F14" s="34" t="s">
        <v>186</v>
      </c>
      <c r="G14" s="3">
        <v>1</v>
      </c>
      <c r="H14" s="22" t="s">
        <v>463</v>
      </c>
      <c r="I14" s="3">
        <v>4</v>
      </c>
      <c r="J14" s="3" t="s">
        <v>142</v>
      </c>
      <c r="K14" s="3">
        <v>4</v>
      </c>
      <c r="L14" s="26" t="s">
        <v>1816</v>
      </c>
      <c r="M14" s="5">
        <v>4</v>
      </c>
      <c r="N14" s="68" t="s">
        <v>200</v>
      </c>
      <c r="O14" s="172">
        <v>1</v>
      </c>
      <c r="P14" s="70" t="s">
        <v>549</v>
      </c>
    </row>
    <row r="15" spans="1:16">
      <c r="A15" s="3">
        <v>1</v>
      </c>
      <c r="B15" s="17" t="s">
        <v>1817</v>
      </c>
      <c r="C15" s="3">
        <v>4</v>
      </c>
      <c r="D15" s="22" t="s">
        <v>113</v>
      </c>
      <c r="E15" s="3">
        <v>4</v>
      </c>
      <c r="F15" s="34" t="s">
        <v>206</v>
      </c>
      <c r="G15" s="3">
        <v>4</v>
      </c>
      <c r="H15" s="22" t="s">
        <v>1016</v>
      </c>
      <c r="I15" s="3">
        <v>4</v>
      </c>
      <c r="J15" s="3" t="s">
        <v>987</v>
      </c>
      <c r="K15" s="3">
        <v>4</v>
      </c>
      <c r="L15" s="22" t="s">
        <v>169</v>
      </c>
      <c r="M15" s="5">
        <v>2</v>
      </c>
      <c r="N15" s="68" t="s">
        <v>193</v>
      </c>
      <c r="O15" s="172">
        <v>2</v>
      </c>
      <c r="P15" s="70" t="s">
        <v>501</v>
      </c>
    </row>
    <row r="16" spans="1:16">
      <c r="A16" s="3">
        <v>1</v>
      </c>
      <c r="B16" s="17" t="s">
        <v>1818</v>
      </c>
      <c r="C16" s="3">
        <v>4</v>
      </c>
      <c r="D16" s="22" t="s">
        <v>142</v>
      </c>
      <c r="E16" s="3">
        <v>4</v>
      </c>
      <c r="F16" s="34" t="s">
        <v>675</v>
      </c>
      <c r="G16" s="3">
        <v>1</v>
      </c>
      <c r="H16" s="22" t="s">
        <v>596</v>
      </c>
      <c r="I16" s="3">
        <v>1</v>
      </c>
      <c r="J16" s="3" t="s">
        <v>1033</v>
      </c>
      <c r="K16" s="3">
        <v>3</v>
      </c>
      <c r="L16" s="22" t="s">
        <v>1814</v>
      </c>
      <c r="M16" s="5">
        <v>4</v>
      </c>
      <c r="N16" s="68" t="s">
        <v>1523</v>
      </c>
      <c r="O16" s="172">
        <v>1</v>
      </c>
      <c r="P16" s="70" t="s">
        <v>612</v>
      </c>
    </row>
    <row r="17" spans="1:16">
      <c r="A17" s="3">
        <v>2</v>
      </c>
      <c r="B17" s="17" t="s">
        <v>469</v>
      </c>
      <c r="C17" s="3">
        <v>4</v>
      </c>
      <c r="D17" s="22" t="s">
        <v>1819</v>
      </c>
      <c r="E17" s="3">
        <v>1</v>
      </c>
      <c r="F17" s="34" t="s">
        <v>1226</v>
      </c>
      <c r="G17" s="3">
        <v>4</v>
      </c>
      <c r="H17" s="22" t="s">
        <v>142</v>
      </c>
      <c r="I17" s="3">
        <v>4</v>
      </c>
      <c r="J17" s="3" t="s">
        <v>113</v>
      </c>
      <c r="M17" s="5">
        <v>4</v>
      </c>
      <c r="N17" s="68" t="s">
        <v>181</v>
      </c>
      <c r="O17" s="172">
        <v>1</v>
      </c>
      <c r="P17" s="70" t="s">
        <v>679</v>
      </c>
    </row>
    <row r="18" spans="1:16">
      <c r="A18" s="3">
        <v>1</v>
      </c>
      <c r="B18" s="17" t="s">
        <v>1820</v>
      </c>
      <c r="C18" s="3">
        <v>4</v>
      </c>
      <c r="D18" s="22" t="s">
        <v>267</v>
      </c>
      <c r="E18" s="3">
        <v>4</v>
      </c>
      <c r="F18" s="34" t="s">
        <v>1723</v>
      </c>
      <c r="G18" s="89">
        <v>4</v>
      </c>
      <c r="H18" s="70" t="s">
        <v>1057</v>
      </c>
      <c r="I18" s="3">
        <v>4</v>
      </c>
      <c r="J18" s="3" t="s">
        <v>1821</v>
      </c>
      <c r="M18" s="5">
        <v>4</v>
      </c>
      <c r="N18" s="68" t="s">
        <v>1822</v>
      </c>
      <c r="O18" s="172">
        <v>1</v>
      </c>
      <c r="P18" s="70" t="s">
        <v>1129</v>
      </c>
    </row>
    <row r="19" spans="1:16">
      <c r="A19" s="3">
        <v>4</v>
      </c>
      <c r="B19" s="17" t="s">
        <v>1823</v>
      </c>
      <c r="C19" s="3">
        <v>2</v>
      </c>
      <c r="D19" s="22" t="s">
        <v>209</v>
      </c>
      <c r="E19" s="3">
        <v>4</v>
      </c>
      <c r="F19" s="34" t="s">
        <v>142</v>
      </c>
      <c r="G19" s="89">
        <v>4</v>
      </c>
      <c r="H19" s="70" t="s">
        <v>211</v>
      </c>
      <c r="I19" s="3">
        <v>4</v>
      </c>
      <c r="J19" s="3" t="s">
        <v>1597</v>
      </c>
      <c r="O19" s="172">
        <v>1</v>
      </c>
      <c r="P19" s="70" t="s">
        <v>1068</v>
      </c>
    </row>
    <row r="20" spans="1:16">
      <c r="A20" s="3">
        <v>4</v>
      </c>
      <c r="B20" s="17" t="s">
        <v>113</v>
      </c>
      <c r="C20" s="3">
        <v>2</v>
      </c>
      <c r="D20" s="22" t="s">
        <v>263</v>
      </c>
      <c r="E20" s="3">
        <v>4</v>
      </c>
      <c r="F20" s="34" t="s">
        <v>592</v>
      </c>
      <c r="G20" s="171">
        <v>4</v>
      </c>
      <c r="H20" s="8" t="s">
        <v>169</v>
      </c>
      <c r="I20" s="89">
        <v>4</v>
      </c>
      <c r="J20" s="89" t="s">
        <v>237</v>
      </c>
      <c r="O20" s="172">
        <v>1</v>
      </c>
      <c r="P20" s="70" t="s">
        <v>145</v>
      </c>
    </row>
    <row r="21" spans="1:16">
      <c r="A21" s="3">
        <v>4</v>
      </c>
      <c r="B21" s="17" t="s">
        <v>1224</v>
      </c>
      <c r="C21" s="3">
        <v>3</v>
      </c>
      <c r="D21" s="22" t="s">
        <v>1824</v>
      </c>
      <c r="E21" s="3">
        <v>2</v>
      </c>
      <c r="F21" s="34" t="s">
        <v>1738</v>
      </c>
      <c r="G21" s="89">
        <v>1</v>
      </c>
      <c r="H21" s="70" t="s">
        <v>145</v>
      </c>
      <c r="I21" s="3">
        <v>2</v>
      </c>
      <c r="J21" s="3" t="s">
        <v>209</v>
      </c>
      <c r="O21" s="172">
        <v>1</v>
      </c>
      <c r="P21" s="70" t="s">
        <v>1659</v>
      </c>
    </row>
    <row r="22" spans="1:16">
      <c r="A22" s="3">
        <v>3</v>
      </c>
      <c r="B22" s="17" t="s">
        <v>1782</v>
      </c>
      <c r="C22" s="3">
        <v>1</v>
      </c>
      <c r="D22" s="22" t="s">
        <v>219</v>
      </c>
      <c r="E22" s="3">
        <v>2</v>
      </c>
      <c r="F22" s="34" t="s">
        <v>610</v>
      </c>
      <c r="G22" s="89">
        <v>1</v>
      </c>
      <c r="H22" s="70" t="s">
        <v>219</v>
      </c>
      <c r="I22" s="89">
        <v>2</v>
      </c>
      <c r="J22" s="89" t="s">
        <v>1487</v>
      </c>
      <c r="O22" s="172">
        <v>1</v>
      </c>
      <c r="P22" s="70" t="s">
        <v>219</v>
      </c>
    </row>
    <row r="23" spans="1:16">
      <c r="A23" s="3">
        <v>1</v>
      </c>
      <c r="B23" s="17" t="s">
        <v>209</v>
      </c>
      <c r="C23" s="3">
        <v>4</v>
      </c>
      <c r="D23" s="22" t="s">
        <v>1214</v>
      </c>
      <c r="G23" s="89">
        <v>4</v>
      </c>
      <c r="H23" s="70" t="s">
        <v>1597</v>
      </c>
      <c r="I23" s="3">
        <v>4</v>
      </c>
      <c r="J23" s="89" t="s">
        <v>590</v>
      </c>
      <c r="O23" s="172">
        <v>4</v>
      </c>
      <c r="P23" s="70" t="s">
        <v>770</v>
      </c>
    </row>
    <row r="24" spans="1:16">
      <c r="A24" s="3">
        <v>3</v>
      </c>
      <c r="B24" s="17" t="s">
        <v>267</v>
      </c>
      <c r="C24" s="3">
        <v>4</v>
      </c>
      <c r="D24" s="8" t="s">
        <v>590</v>
      </c>
      <c r="G24" s="3">
        <v>1</v>
      </c>
      <c r="H24" s="22" t="s">
        <v>267</v>
      </c>
      <c r="O24" s="172">
        <v>1</v>
      </c>
      <c r="P24" s="70" t="s">
        <v>267</v>
      </c>
    </row>
    <row r="25" spans="1:16">
      <c r="A25" s="3">
        <v>1</v>
      </c>
      <c r="B25" s="17" t="s">
        <v>1773</v>
      </c>
      <c r="G25" s="3">
        <v>1</v>
      </c>
      <c r="H25" s="22" t="s">
        <v>209</v>
      </c>
      <c r="O25" s="172">
        <v>1</v>
      </c>
      <c r="P25" s="8" t="s">
        <v>2949</v>
      </c>
    </row>
    <row r="26" spans="1:16">
      <c r="A26" s="3">
        <v>1</v>
      </c>
      <c r="B26" s="17" t="s">
        <v>1783</v>
      </c>
      <c r="G26" s="3">
        <v>1</v>
      </c>
      <c r="H26" s="22" t="s">
        <v>223</v>
      </c>
      <c r="O26" s="172">
        <v>1</v>
      </c>
      <c r="P26" s="8" t="s">
        <v>1653</v>
      </c>
    </row>
    <row r="27" spans="1:16">
      <c r="A27" s="3">
        <v>1</v>
      </c>
      <c r="B27" s="17" t="s">
        <v>1825</v>
      </c>
      <c r="G27" s="3">
        <v>1</v>
      </c>
      <c r="H27" s="22" t="s">
        <v>251</v>
      </c>
      <c r="O27" s="172">
        <v>1</v>
      </c>
      <c r="P27" s="8" t="s">
        <v>2950</v>
      </c>
    </row>
    <row r="28" spans="1:16">
      <c r="A28" s="3">
        <v>1</v>
      </c>
      <c r="B28" s="17" t="s">
        <v>219</v>
      </c>
      <c r="G28" s="3">
        <v>1</v>
      </c>
      <c r="H28" s="22" t="s">
        <v>983</v>
      </c>
      <c r="O28" s="172">
        <v>1</v>
      </c>
      <c r="P28" s="8" t="s">
        <v>1850</v>
      </c>
    </row>
    <row r="29" spans="1:16">
      <c r="A29" s="3">
        <v>1</v>
      </c>
      <c r="B29" s="17" t="s">
        <v>145</v>
      </c>
      <c r="G29" s="3">
        <v>4</v>
      </c>
      <c r="H29" s="22" t="s">
        <v>610</v>
      </c>
      <c r="O29" s="172">
        <v>4</v>
      </c>
      <c r="P29" s="70" t="s">
        <v>142</v>
      </c>
    </row>
    <row r="30" spans="1:16">
      <c r="A30" s="3">
        <v>1</v>
      </c>
      <c r="B30" s="17" t="s">
        <v>1826</v>
      </c>
      <c r="O30" s="172">
        <v>4</v>
      </c>
      <c r="P30" s="70" t="s">
        <v>1057</v>
      </c>
    </row>
    <row r="31" spans="1:16">
      <c r="O31" s="172">
        <v>4</v>
      </c>
      <c r="P31" s="70" t="s">
        <v>237</v>
      </c>
    </row>
    <row r="32" spans="1:16">
      <c r="O32" s="172">
        <v>1</v>
      </c>
      <c r="P32" s="70" t="s">
        <v>1067</v>
      </c>
    </row>
    <row r="33" spans="15:16">
      <c r="O33" s="172">
        <v>4</v>
      </c>
      <c r="P33" s="70" t="s">
        <v>1054</v>
      </c>
    </row>
    <row r="34" spans="15:16">
      <c r="O34" s="172">
        <v>1</v>
      </c>
      <c r="P34" s="70" t="s">
        <v>734</v>
      </c>
    </row>
    <row r="35" spans="15:16">
      <c r="O35" s="172">
        <v>1</v>
      </c>
      <c r="P35" s="70" t="s">
        <v>251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FF"/>
  </sheetPr>
  <dimension ref="A1:N33"/>
  <sheetViews>
    <sheetView zoomScaleNormal="100" workbookViewId="0">
      <selection activeCell="C35" sqref="C35"/>
    </sheetView>
  </sheetViews>
  <sheetFormatPr baseColWidth="10" defaultColWidth="9.140625" defaultRowHeight="15"/>
  <cols>
    <col min="1" max="1" width="2.85546875" style="2" customWidth="1"/>
    <col min="2" max="2" width="40.5703125" style="2" customWidth="1"/>
    <col min="3" max="3" width="2.85546875" style="2" customWidth="1"/>
    <col min="4" max="4" width="40.5703125" style="2" customWidth="1"/>
    <col min="5" max="5" width="2.85546875" style="26" customWidth="1"/>
    <col min="6" max="6" width="36.5703125" style="26" customWidth="1"/>
    <col min="7" max="7" width="3" style="2" customWidth="1"/>
    <col min="8" max="8" width="32.5703125" style="2" customWidth="1"/>
    <col min="9" max="9" width="3" style="2" customWidth="1"/>
    <col min="10" max="10" width="21" style="26" customWidth="1"/>
    <col min="11" max="11" width="3" style="2" customWidth="1"/>
    <col min="12" max="12" width="35.140625" style="26" customWidth="1"/>
    <col min="13" max="13" width="3" bestFit="1" customWidth="1"/>
    <col min="14" max="14" width="19.28515625" bestFit="1" customWidth="1"/>
    <col min="15" max="1025" width="10.7109375" customWidth="1"/>
  </cols>
  <sheetData>
    <row r="1" spans="1:14" s="195" customFormat="1" ht="14.45" customHeight="1">
      <c r="A1" s="177">
        <f>SUM(A2:A33)</f>
        <v>60</v>
      </c>
      <c r="B1" s="177" t="s">
        <v>1827</v>
      </c>
      <c r="C1" s="177">
        <f>SUM(C2:C26)</f>
        <v>60</v>
      </c>
      <c r="D1" s="196" t="s">
        <v>1785</v>
      </c>
      <c r="E1" s="177">
        <f>SUM(E2:E27)</f>
        <v>60</v>
      </c>
      <c r="F1" s="177" t="s">
        <v>1828</v>
      </c>
      <c r="G1" s="177">
        <f>SUM(G2:G26)</f>
        <v>60</v>
      </c>
      <c r="H1" s="186" t="s">
        <v>1787</v>
      </c>
      <c r="I1" s="177">
        <f>SUM(I2:I30)</f>
        <v>60</v>
      </c>
      <c r="J1" s="193" t="s">
        <v>1829</v>
      </c>
      <c r="K1" s="177">
        <f>SUM(K2:K26)</f>
        <v>60</v>
      </c>
      <c r="L1" s="182" t="s">
        <v>1830</v>
      </c>
      <c r="M1" s="17">
        <f>SUM(M2:M16)</f>
        <v>60</v>
      </c>
      <c r="N1" s="175" t="s">
        <v>2150</v>
      </c>
    </row>
    <row r="2" spans="1:14">
      <c r="A2" s="7">
        <v>1</v>
      </c>
      <c r="B2" s="7" t="s">
        <v>38</v>
      </c>
      <c r="C2" s="3">
        <v>3</v>
      </c>
      <c r="D2" s="3" t="s">
        <v>20</v>
      </c>
      <c r="E2" s="7">
        <v>4</v>
      </c>
      <c r="F2" s="3" t="s">
        <v>1831</v>
      </c>
      <c r="G2" s="3">
        <v>1</v>
      </c>
      <c r="H2" s="68" t="s">
        <v>1314</v>
      </c>
      <c r="I2" s="3">
        <v>1</v>
      </c>
      <c r="J2" s="53" t="s">
        <v>1832</v>
      </c>
      <c r="K2" s="3">
        <v>4</v>
      </c>
      <c r="L2" s="8" t="s">
        <v>1833</v>
      </c>
      <c r="M2" s="18">
        <v>4</v>
      </c>
      <c r="N2" s="8" t="s">
        <v>1791</v>
      </c>
    </row>
    <row r="3" spans="1:14">
      <c r="A3" s="7">
        <v>4</v>
      </c>
      <c r="B3" s="3" t="s">
        <v>148</v>
      </c>
      <c r="C3" s="3">
        <v>2</v>
      </c>
      <c r="D3" s="3" t="s">
        <v>143</v>
      </c>
      <c r="E3" s="90">
        <v>4</v>
      </c>
      <c r="F3" s="3" t="s">
        <v>1750</v>
      </c>
      <c r="G3" s="3">
        <v>3</v>
      </c>
      <c r="H3" s="68" t="s">
        <v>1422</v>
      </c>
      <c r="I3" s="3">
        <v>1</v>
      </c>
      <c r="J3" s="53" t="s">
        <v>314</v>
      </c>
      <c r="K3" s="3">
        <v>3</v>
      </c>
      <c r="L3" s="8" t="s">
        <v>1090</v>
      </c>
      <c r="M3" s="18">
        <v>14</v>
      </c>
      <c r="N3" s="8" t="s">
        <v>1790</v>
      </c>
    </row>
    <row r="4" spans="1:14">
      <c r="A4" s="3">
        <v>1</v>
      </c>
      <c r="B4" s="3" t="s">
        <v>904</v>
      </c>
      <c r="C4" s="3">
        <v>1</v>
      </c>
      <c r="D4" s="3" t="s">
        <v>1834</v>
      </c>
      <c r="E4" s="90">
        <v>1</v>
      </c>
      <c r="F4" s="3" t="s">
        <v>1835</v>
      </c>
      <c r="G4" s="3">
        <v>1</v>
      </c>
      <c r="H4" s="68" t="s">
        <v>1797</v>
      </c>
      <c r="I4" s="3">
        <v>1</v>
      </c>
      <c r="J4" s="53" t="s">
        <v>1027</v>
      </c>
      <c r="K4" s="3">
        <v>4</v>
      </c>
      <c r="L4" s="8" t="s">
        <v>1836</v>
      </c>
      <c r="M4" s="18">
        <v>2</v>
      </c>
      <c r="N4" s="8" t="s">
        <v>1800</v>
      </c>
    </row>
    <row r="5" spans="1:14">
      <c r="A5" s="3">
        <v>1</v>
      </c>
      <c r="B5" s="3" t="s">
        <v>536</v>
      </c>
      <c r="C5" s="3">
        <v>4</v>
      </c>
      <c r="D5" s="3" t="s">
        <v>1294</v>
      </c>
      <c r="E5" s="90">
        <v>1</v>
      </c>
      <c r="F5" s="3" t="s">
        <v>801</v>
      </c>
      <c r="G5" s="3">
        <v>4</v>
      </c>
      <c r="H5" s="68" t="s">
        <v>1400</v>
      </c>
      <c r="I5" s="3">
        <v>1</v>
      </c>
      <c r="J5" s="53" t="s">
        <v>134</v>
      </c>
      <c r="K5" s="3">
        <v>4</v>
      </c>
      <c r="L5" s="8" t="s">
        <v>1449</v>
      </c>
      <c r="M5" s="18">
        <v>4</v>
      </c>
      <c r="N5" s="8" t="s">
        <v>1798</v>
      </c>
    </row>
    <row r="6" spans="1:14">
      <c r="A6" s="3">
        <v>1</v>
      </c>
      <c r="B6" s="3" t="s">
        <v>1449</v>
      </c>
      <c r="C6" s="3">
        <v>1</v>
      </c>
      <c r="D6" s="3" t="s">
        <v>1754</v>
      </c>
      <c r="E6" s="90">
        <v>1</v>
      </c>
      <c r="F6" s="3" t="s">
        <v>311</v>
      </c>
      <c r="G6" s="3">
        <v>1</v>
      </c>
      <c r="H6" s="68" t="s">
        <v>1802</v>
      </c>
      <c r="I6" s="3">
        <v>4</v>
      </c>
      <c r="J6" s="53" t="s">
        <v>1016</v>
      </c>
      <c r="K6" s="3">
        <v>1</v>
      </c>
      <c r="L6" s="8" t="s">
        <v>1106</v>
      </c>
      <c r="M6" s="18">
        <v>1</v>
      </c>
      <c r="N6" s="8" t="s">
        <v>1048</v>
      </c>
    </row>
    <row r="7" spans="1:14">
      <c r="A7" s="3">
        <v>1</v>
      </c>
      <c r="B7" s="3" t="s">
        <v>1493</v>
      </c>
      <c r="C7" s="3">
        <v>1</v>
      </c>
      <c r="D7" s="3" t="s">
        <v>1716</v>
      </c>
      <c r="E7" s="90">
        <v>1</v>
      </c>
      <c r="F7" s="3" t="s">
        <v>1837</v>
      </c>
      <c r="G7" s="3">
        <v>1</v>
      </c>
      <c r="H7" s="68" t="s">
        <v>311</v>
      </c>
      <c r="I7" s="3">
        <v>1</v>
      </c>
      <c r="J7" s="53" t="s">
        <v>1012</v>
      </c>
      <c r="K7" s="3">
        <v>2</v>
      </c>
      <c r="L7" s="8" t="s">
        <v>1838</v>
      </c>
      <c r="M7" s="18">
        <v>1</v>
      </c>
      <c r="N7" s="8" t="s">
        <v>2241</v>
      </c>
    </row>
    <row r="8" spans="1:14">
      <c r="A8" s="3">
        <v>1</v>
      </c>
      <c r="B8" s="3" t="s">
        <v>1508</v>
      </c>
      <c r="C8" s="3">
        <v>1</v>
      </c>
      <c r="D8" s="3" t="s">
        <v>1091</v>
      </c>
      <c r="E8" s="90">
        <v>4</v>
      </c>
      <c r="F8" s="3" t="s">
        <v>1291</v>
      </c>
      <c r="G8" s="3">
        <v>1</v>
      </c>
      <c r="H8" s="13" t="s">
        <v>1839</v>
      </c>
      <c r="I8" s="3">
        <v>1</v>
      </c>
      <c r="J8" s="53" t="s">
        <v>1840</v>
      </c>
      <c r="K8" s="3">
        <v>1</v>
      </c>
      <c r="L8" s="8" t="s">
        <v>1112</v>
      </c>
      <c r="M8" s="18">
        <v>4</v>
      </c>
      <c r="N8" s="8" t="s">
        <v>1057</v>
      </c>
    </row>
    <row r="9" spans="1:14">
      <c r="A9" s="3">
        <v>3</v>
      </c>
      <c r="B9" s="3" t="s">
        <v>174</v>
      </c>
      <c r="C9" s="3">
        <v>1</v>
      </c>
      <c r="D9" s="3" t="s">
        <v>1807</v>
      </c>
      <c r="E9" s="90">
        <v>1</v>
      </c>
      <c r="F9" s="3" t="s">
        <v>381</v>
      </c>
      <c r="G9" s="3">
        <v>1</v>
      </c>
      <c r="H9" s="68" t="s">
        <v>38</v>
      </c>
      <c r="I9" s="3">
        <v>1</v>
      </c>
      <c r="J9" s="53" t="s">
        <v>1358</v>
      </c>
      <c r="K9" s="3">
        <v>1</v>
      </c>
      <c r="L9" s="8" t="s">
        <v>1841</v>
      </c>
      <c r="M9" s="8">
        <v>4</v>
      </c>
      <c r="N9" s="8" t="s">
        <v>1052</v>
      </c>
    </row>
    <row r="10" spans="1:14">
      <c r="A10" s="3">
        <v>1</v>
      </c>
      <c r="B10" s="3" t="s">
        <v>1842</v>
      </c>
      <c r="C10" s="3">
        <v>1</v>
      </c>
      <c r="D10" s="3" t="s">
        <v>1797</v>
      </c>
      <c r="E10" s="90">
        <v>4</v>
      </c>
      <c r="F10" s="3" t="s">
        <v>351</v>
      </c>
      <c r="G10" s="3">
        <v>4</v>
      </c>
      <c r="H10" s="68" t="s">
        <v>1382</v>
      </c>
      <c r="I10" s="3">
        <v>4</v>
      </c>
      <c r="J10" s="53" t="s">
        <v>501</v>
      </c>
      <c r="K10" s="3">
        <v>3</v>
      </c>
      <c r="L10" s="8" t="s">
        <v>1118</v>
      </c>
      <c r="M10" s="18">
        <v>4</v>
      </c>
      <c r="N10" s="8" t="s">
        <v>1919</v>
      </c>
    </row>
    <row r="11" spans="1:14">
      <c r="A11" s="3">
        <v>1</v>
      </c>
      <c r="B11" s="3" t="s">
        <v>311</v>
      </c>
      <c r="C11" s="3">
        <v>3</v>
      </c>
      <c r="D11" s="3" t="s">
        <v>1359</v>
      </c>
      <c r="E11" s="90">
        <v>1</v>
      </c>
      <c r="F11" s="3" t="s">
        <v>463</v>
      </c>
      <c r="G11" s="3">
        <v>4</v>
      </c>
      <c r="H11" s="68" t="s">
        <v>1273</v>
      </c>
      <c r="I11" s="3">
        <v>4</v>
      </c>
      <c r="J11" s="53" t="s">
        <v>381</v>
      </c>
      <c r="K11" s="3">
        <v>1</v>
      </c>
      <c r="L11" s="8" t="s">
        <v>519</v>
      </c>
      <c r="M11" s="18">
        <v>3</v>
      </c>
      <c r="N11" s="8" t="s">
        <v>196</v>
      </c>
    </row>
    <row r="12" spans="1:14">
      <c r="A12" s="7">
        <v>1</v>
      </c>
      <c r="B12" s="7" t="s">
        <v>1799</v>
      </c>
      <c r="C12" s="3">
        <v>4</v>
      </c>
      <c r="D12" s="3" t="s">
        <v>1710</v>
      </c>
      <c r="E12" s="26">
        <v>1</v>
      </c>
      <c r="F12" s="26" t="s">
        <v>1905</v>
      </c>
      <c r="G12" s="3">
        <v>4</v>
      </c>
      <c r="H12" s="68" t="s">
        <v>1292</v>
      </c>
      <c r="I12" s="3">
        <v>1</v>
      </c>
      <c r="J12" s="53" t="s">
        <v>329</v>
      </c>
      <c r="K12" s="3">
        <v>1</v>
      </c>
      <c r="L12" s="8" t="s">
        <v>588</v>
      </c>
      <c r="M12" s="8">
        <v>3</v>
      </c>
      <c r="N12" s="8" t="s">
        <v>181</v>
      </c>
    </row>
    <row r="13" spans="1:14">
      <c r="A13" s="7">
        <v>1</v>
      </c>
      <c r="B13" s="7" t="s">
        <v>1843</v>
      </c>
      <c r="C13" s="3">
        <v>3</v>
      </c>
      <c r="D13" s="3" t="s">
        <v>311</v>
      </c>
      <c r="E13" s="90">
        <v>1</v>
      </c>
      <c r="F13" s="3" t="s">
        <v>840</v>
      </c>
      <c r="G13" s="3">
        <v>4</v>
      </c>
      <c r="H13" s="68" t="s">
        <v>1578</v>
      </c>
      <c r="I13" s="3">
        <v>3</v>
      </c>
      <c r="J13" s="53" t="s">
        <v>1020</v>
      </c>
      <c r="K13" s="3">
        <v>2</v>
      </c>
      <c r="L13" s="8" t="s">
        <v>1820</v>
      </c>
      <c r="M13" s="8">
        <v>4</v>
      </c>
      <c r="N13" s="8" t="s">
        <v>1805</v>
      </c>
    </row>
    <row r="14" spans="1:14">
      <c r="A14" s="7">
        <v>3</v>
      </c>
      <c r="B14" s="7" t="s">
        <v>1844</v>
      </c>
      <c r="C14" s="3">
        <v>1</v>
      </c>
      <c r="D14" s="3" t="s">
        <v>1101</v>
      </c>
      <c r="E14" s="90">
        <v>4</v>
      </c>
      <c r="F14" s="3" t="s">
        <v>1016</v>
      </c>
      <c r="G14" s="3">
        <v>4</v>
      </c>
      <c r="H14" s="68" t="s">
        <v>142</v>
      </c>
      <c r="I14" s="3">
        <v>1</v>
      </c>
      <c r="J14" s="53" t="s">
        <v>311</v>
      </c>
      <c r="K14" s="3">
        <v>4</v>
      </c>
      <c r="L14" s="8" t="s">
        <v>1148</v>
      </c>
      <c r="M14" s="18">
        <v>4</v>
      </c>
      <c r="N14" s="8" t="s">
        <v>1523</v>
      </c>
    </row>
    <row r="15" spans="1:14">
      <c r="A15" s="3">
        <v>1</v>
      </c>
      <c r="B15" s="3" t="s">
        <v>1845</v>
      </c>
      <c r="C15" s="3">
        <v>1</v>
      </c>
      <c r="D15" s="3" t="s">
        <v>1845</v>
      </c>
      <c r="E15" s="90">
        <v>1</v>
      </c>
      <c r="F15" s="3" t="s">
        <v>1037</v>
      </c>
      <c r="G15" s="3">
        <v>4</v>
      </c>
      <c r="H15" s="68" t="s">
        <v>987</v>
      </c>
      <c r="I15" s="3">
        <v>1</v>
      </c>
      <c r="J15" s="53" t="s">
        <v>405</v>
      </c>
      <c r="K15" s="3">
        <v>4</v>
      </c>
      <c r="L15" s="8" t="s">
        <v>895</v>
      </c>
      <c r="M15" s="18">
        <v>4</v>
      </c>
      <c r="N15" s="8" t="s">
        <v>2357</v>
      </c>
    </row>
    <row r="16" spans="1:14">
      <c r="A16" s="3">
        <v>1</v>
      </c>
      <c r="B16" s="3" t="s">
        <v>798</v>
      </c>
      <c r="C16" s="3">
        <v>4</v>
      </c>
      <c r="D16" s="3" t="s">
        <v>1708</v>
      </c>
      <c r="E16" s="90">
        <v>2</v>
      </c>
      <c r="F16" s="3" t="s">
        <v>1846</v>
      </c>
      <c r="G16" s="3">
        <v>1</v>
      </c>
      <c r="H16" s="68" t="s">
        <v>1033</v>
      </c>
      <c r="I16" s="3">
        <v>1</v>
      </c>
      <c r="J16" s="53" t="s">
        <v>670</v>
      </c>
      <c r="K16" s="3">
        <v>4</v>
      </c>
      <c r="L16" s="8" t="s">
        <v>142</v>
      </c>
      <c r="M16" s="18">
        <v>4</v>
      </c>
      <c r="N16" s="8" t="s">
        <v>206</v>
      </c>
    </row>
    <row r="17" spans="1:12">
      <c r="A17" s="3">
        <v>1</v>
      </c>
      <c r="B17" s="3" t="s">
        <v>1847</v>
      </c>
      <c r="C17" s="3">
        <v>4</v>
      </c>
      <c r="D17" s="3" t="s">
        <v>1814</v>
      </c>
      <c r="E17" s="90">
        <v>1</v>
      </c>
      <c r="F17" s="3" t="s">
        <v>670</v>
      </c>
      <c r="G17" s="3">
        <v>4</v>
      </c>
      <c r="H17" s="68" t="s">
        <v>113</v>
      </c>
      <c r="I17" s="3">
        <v>1</v>
      </c>
      <c r="J17" s="53" t="s">
        <v>323</v>
      </c>
      <c r="K17" s="3">
        <v>2</v>
      </c>
      <c r="L17" s="8" t="s">
        <v>1848</v>
      </c>
    </row>
    <row r="18" spans="1:12">
      <c r="A18" s="3">
        <v>1</v>
      </c>
      <c r="B18" s="3" t="s">
        <v>897</v>
      </c>
      <c r="C18" s="3">
        <v>4</v>
      </c>
      <c r="D18" s="3" t="s">
        <v>142</v>
      </c>
      <c r="E18" s="90">
        <v>4</v>
      </c>
      <c r="F18" s="3" t="s">
        <v>1828</v>
      </c>
      <c r="G18" s="3">
        <v>4</v>
      </c>
      <c r="H18" s="68" t="s">
        <v>1821</v>
      </c>
      <c r="I18" s="3">
        <v>3</v>
      </c>
      <c r="J18" s="53" t="s">
        <v>1023</v>
      </c>
      <c r="K18" s="3">
        <v>4</v>
      </c>
      <c r="L18" s="8" t="s">
        <v>1849</v>
      </c>
    </row>
    <row r="19" spans="1:12">
      <c r="A19" s="3">
        <v>4</v>
      </c>
      <c r="B19" s="3" t="s">
        <v>1318</v>
      </c>
      <c r="C19" s="3">
        <v>4</v>
      </c>
      <c r="D19" s="3" t="s">
        <v>206</v>
      </c>
      <c r="E19" s="90">
        <v>4</v>
      </c>
      <c r="F19" s="3" t="s">
        <v>142</v>
      </c>
      <c r="G19" s="3">
        <v>4</v>
      </c>
      <c r="H19" s="13" t="s">
        <v>1597</v>
      </c>
      <c r="I19" s="3">
        <v>1</v>
      </c>
      <c r="J19" s="53" t="s">
        <v>1472</v>
      </c>
      <c r="K19" s="3">
        <v>3</v>
      </c>
      <c r="L19" s="8" t="s">
        <v>1151</v>
      </c>
    </row>
    <row r="20" spans="1:12">
      <c r="A20" s="3">
        <v>1</v>
      </c>
      <c r="B20" s="3" t="s">
        <v>982</v>
      </c>
      <c r="C20" s="3">
        <v>3</v>
      </c>
      <c r="D20" s="3" t="s">
        <v>1558</v>
      </c>
      <c r="E20" s="90">
        <v>4</v>
      </c>
      <c r="F20" s="3" t="s">
        <v>928</v>
      </c>
      <c r="G20" s="3">
        <v>4</v>
      </c>
      <c r="H20" s="13" t="s">
        <v>209</v>
      </c>
      <c r="I20" s="3">
        <v>1</v>
      </c>
      <c r="J20" s="53" t="s">
        <v>1850</v>
      </c>
      <c r="K20" s="3">
        <v>3</v>
      </c>
      <c r="L20" s="8" t="s">
        <v>193</v>
      </c>
    </row>
    <row r="21" spans="1:12">
      <c r="A21" s="7">
        <v>4</v>
      </c>
      <c r="B21" s="3" t="s">
        <v>142</v>
      </c>
      <c r="C21" s="3">
        <v>4</v>
      </c>
      <c r="D21" s="3" t="s">
        <v>675</v>
      </c>
      <c r="E21" s="90">
        <v>4</v>
      </c>
      <c r="F21" s="3" t="s">
        <v>113</v>
      </c>
      <c r="G21" s="3">
        <v>4</v>
      </c>
      <c r="H21" s="13" t="s">
        <v>590</v>
      </c>
      <c r="I21" s="3">
        <v>1</v>
      </c>
      <c r="J21" s="53" t="s">
        <v>700</v>
      </c>
      <c r="K21" s="3">
        <v>3</v>
      </c>
      <c r="L21" s="8" t="s">
        <v>1153</v>
      </c>
    </row>
    <row r="22" spans="1:12">
      <c r="A22" s="7">
        <v>4</v>
      </c>
      <c r="B22" s="3" t="s">
        <v>1600</v>
      </c>
      <c r="C22" s="3">
        <v>1</v>
      </c>
      <c r="D22" s="3" t="s">
        <v>1851</v>
      </c>
      <c r="E22" s="90">
        <v>1</v>
      </c>
      <c r="F22" s="3" t="s">
        <v>1850</v>
      </c>
      <c r="G22" s="3">
        <v>1</v>
      </c>
      <c r="H22" s="13" t="s">
        <v>1071</v>
      </c>
      <c r="I22" s="3">
        <v>4</v>
      </c>
      <c r="J22" s="53" t="s">
        <v>142</v>
      </c>
      <c r="K22" s="3">
        <v>4</v>
      </c>
      <c r="L22" s="8" t="s">
        <v>1002</v>
      </c>
    </row>
    <row r="23" spans="1:12">
      <c r="A23" s="7">
        <v>4</v>
      </c>
      <c r="B23" s="7" t="s">
        <v>113</v>
      </c>
      <c r="C23" s="3">
        <v>2</v>
      </c>
      <c r="D23" s="3" t="s">
        <v>610</v>
      </c>
      <c r="E23" s="90">
        <v>4</v>
      </c>
      <c r="F23" s="3" t="s">
        <v>1783</v>
      </c>
      <c r="G23" s="3">
        <v>1</v>
      </c>
      <c r="H23" s="13" t="s">
        <v>610</v>
      </c>
      <c r="I23" s="3">
        <v>4</v>
      </c>
      <c r="J23" s="53" t="s">
        <v>1054</v>
      </c>
      <c r="K23" s="3">
        <v>1</v>
      </c>
      <c r="L23" s="8" t="s">
        <v>1852</v>
      </c>
    </row>
    <row r="24" spans="1:12">
      <c r="A24" s="3">
        <v>2</v>
      </c>
      <c r="B24" s="3" t="s">
        <v>978</v>
      </c>
      <c r="C24" s="3">
        <v>4</v>
      </c>
      <c r="D24" s="3" t="s">
        <v>1779</v>
      </c>
      <c r="E24" s="90">
        <v>4</v>
      </c>
      <c r="F24" s="3" t="s">
        <v>267</v>
      </c>
      <c r="G24" s="92"/>
      <c r="I24" s="3">
        <v>3</v>
      </c>
      <c r="J24" s="53" t="s">
        <v>734</v>
      </c>
      <c r="K24" s="3">
        <v>1</v>
      </c>
      <c r="L24" s="8" t="s">
        <v>1853</v>
      </c>
    </row>
    <row r="25" spans="1:12">
      <c r="A25" s="3">
        <v>4</v>
      </c>
      <c r="B25" s="3" t="s">
        <v>178</v>
      </c>
      <c r="C25" s="3">
        <v>1</v>
      </c>
      <c r="D25" s="3" t="s">
        <v>1001</v>
      </c>
      <c r="E25" s="91">
        <v>1</v>
      </c>
      <c r="F25" s="3" t="s">
        <v>145</v>
      </c>
      <c r="G25" s="92"/>
      <c r="I25" s="3">
        <v>1</v>
      </c>
      <c r="J25" s="53" t="s">
        <v>1067</v>
      </c>
      <c r="K25" s="87"/>
    </row>
    <row r="26" spans="1:12">
      <c r="A26" s="3">
        <v>4</v>
      </c>
      <c r="B26" s="3" t="s">
        <v>1583</v>
      </c>
      <c r="C26" s="3">
        <v>2</v>
      </c>
      <c r="D26" s="3" t="s">
        <v>1071</v>
      </c>
      <c r="E26" s="91">
        <v>1</v>
      </c>
      <c r="F26" s="3" t="s">
        <v>219</v>
      </c>
      <c r="G26" s="92"/>
      <c r="H26" s="87"/>
      <c r="I26" s="3">
        <v>1</v>
      </c>
      <c r="J26" s="53" t="s">
        <v>674</v>
      </c>
      <c r="K26" s="87"/>
    </row>
    <row r="27" spans="1:12">
      <c r="A27" s="3">
        <v>1</v>
      </c>
      <c r="B27" s="3" t="s">
        <v>1854</v>
      </c>
      <c r="C27" s="87"/>
      <c r="E27" s="91">
        <v>1</v>
      </c>
      <c r="F27" s="3" t="s">
        <v>1045</v>
      </c>
      <c r="H27" s="87"/>
      <c r="I27" s="3">
        <v>4</v>
      </c>
      <c r="J27" s="53" t="s">
        <v>1057</v>
      </c>
      <c r="K27" s="87"/>
    </row>
    <row r="28" spans="1:12">
      <c r="A28" s="3">
        <v>1</v>
      </c>
      <c r="B28" s="3" t="s">
        <v>203</v>
      </c>
      <c r="C28" s="87"/>
      <c r="H28" s="87"/>
      <c r="I28" s="3">
        <v>2</v>
      </c>
      <c r="J28" s="53" t="s">
        <v>145</v>
      </c>
      <c r="K28" s="87"/>
    </row>
    <row r="29" spans="1:12">
      <c r="A29" s="3">
        <v>1</v>
      </c>
      <c r="B29" s="3" t="s">
        <v>1525</v>
      </c>
      <c r="C29" s="87"/>
      <c r="H29" s="87"/>
      <c r="I29" s="3">
        <v>4</v>
      </c>
      <c r="J29" s="60" t="s">
        <v>1059</v>
      </c>
      <c r="K29" s="87"/>
    </row>
    <row r="30" spans="1:12">
      <c r="A30" s="3">
        <v>1</v>
      </c>
      <c r="B30" s="3" t="s">
        <v>209</v>
      </c>
      <c r="C30" s="87"/>
      <c r="H30" s="87"/>
      <c r="I30" s="3">
        <v>4</v>
      </c>
      <c r="J30" s="53" t="s">
        <v>1855</v>
      </c>
      <c r="K30" s="87"/>
    </row>
    <row r="31" spans="1:12">
      <c r="A31" s="3">
        <v>1</v>
      </c>
      <c r="B31" s="3" t="s">
        <v>1002</v>
      </c>
      <c r="C31" s="87"/>
      <c r="D31" s="87"/>
      <c r="F31" s="86"/>
      <c r="G31" s="87"/>
      <c r="H31" s="87"/>
      <c r="K31" s="87"/>
    </row>
    <row r="32" spans="1:12">
      <c r="A32" s="3">
        <v>1</v>
      </c>
      <c r="B32" s="3" t="s">
        <v>219</v>
      </c>
      <c r="C32" s="87"/>
      <c r="D32" s="87"/>
      <c r="F32" s="86"/>
      <c r="G32" s="87"/>
      <c r="H32" s="87"/>
      <c r="I32" s="87"/>
      <c r="K32" s="87"/>
      <c r="L32" s="86"/>
    </row>
    <row r="33" spans="1:12">
      <c r="A33" s="7">
        <v>3</v>
      </c>
      <c r="B33" s="3" t="s">
        <v>1003</v>
      </c>
      <c r="C33" s="87"/>
      <c r="D33" s="87"/>
      <c r="F33" s="86"/>
      <c r="G33" s="87"/>
      <c r="H33" s="87"/>
      <c r="I33" s="87"/>
      <c r="K33" s="87"/>
      <c r="L33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8000"/>
  </sheetPr>
  <dimension ref="A1:L31"/>
  <sheetViews>
    <sheetView zoomScaleNormal="100" workbookViewId="0">
      <selection activeCell="J25" sqref="J25"/>
    </sheetView>
  </sheetViews>
  <sheetFormatPr baseColWidth="10" defaultColWidth="9.140625" defaultRowHeight="15"/>
  <cols>
    <col min="1" max="1" width="3" style="2" customWidth="1"/>
    <col min="2" max="2" width="19.85546875" style="2" customWidth="1"/>
    <col min="3" max="3" width="3" style="2" customWidth="1"/>
    <col min="4" max="4" width="37.42578125" style="2" customWidth="1"/>
    <col min="5" max="5" width="3" style="2" customWidth="1"/>
    <col min="6" max="6" width="22.85546875" style="2" bestFit="1" customWidth="1"/>
    <col min="7" max="7" width="3" style="2" customWidth="1"/>
    <col min="8" max="8" width="43.140625" style="26" customWidth="1"/>
    <col min="9" max="9" width="3" style="2" customWidth="1"/>
    <col min="10" max="10" width="34.5703125" style="26" customWidth="1"/>
    <col min="11" max="1025" width="10.7109375" customWidth="1"/>
  </cols>
  <sheetData>
    <row r="1" spans="1:12" s="88" customFormat="1">
      <c r="A1" s="4">
        <f>SUM(A2:A22)</f>
        <v>60</v>
      </c>
      <c r="B1" s="4" t="s">
        <v>1856</v>
      </c>
      <c r="C1" s="4">
        <f>SUM(C2:C31)</f>
        <v>60</v>
      </c>
      <c r="D1" s="4" t="s">
        <v>1857</v>
      </c>
      <c r="E1" s="4">
        <f>SUM(E2:E24)</f>
        <v>60</v>
      </c>
      <c r="F1" s="33" t="s">
        <v>1787</v>
      </c>
      <c r="G1" s="4">
        <f>SUM(G2:G21)</f>
        <v>60</v>
      </c>
      <c r="H1" s="10" t="s">
        <v>1858</v>
      </c>
      <c r="I1" s="4">
        <f>SUM(I2:I26)</f>
        <v>60</v>
      </c>
      <c r="J1" s="10" t="s">
        <v>1859</v>
      </c>
    </row>
    <row r="2" spans="1:12">
      <c r="A2" s="7">
        <v>4</v>
      </c>
      <c r="B2" s="13" t="s">
        <v>1292</v>
      </c>
      <c r="C2" s="7">
        <v>1</v>
      </c>
      <c r="D2" s="7" t="s">
        <v>38</v>
      </c>
      <c r="E2" s="3">
        <v>4</v>
      </c>
      <c r="F2" s="3" t="s">
        <v>1292</v>
      </c>
      <c r="G2" s="43">
        <v>4</v>
      </c>
      <c r="H2" s="53" t="s">
        <v>373</v>
      </c>
      <c r="I2" s="3">
        <v>1</v>
      </c>
      <c r="J2" s="53" t="s">
        <v>1426</v>
      </c>
      <c r="K2" s="93"/>
      <c r="L2" s="93"/>
    </row>
    <row r="3" spans="1:12">
      <c r="A3" s="3">
        <v>4</v>
      </c>
      <c r="B3" s="13" t="s">
        <v>1860</v>
      </c>
      <c r="C3" s="3">
        <v>4</v>
      </c>
      <c r="D3" s="3" t="s">
        <v>24</v>
      </c>
      <c r="E3" s="3">
        <v>4</v>
      </c>
      <c r="F3" s="3" t="s">
        <v>1273</v>
      </c>
      <c r="G3" s="32">
        <v>4</v>
      </c>
      <c r="H3" s="53" t="s">
        <v>447</v>
      </c>
      <c r="I3" s="3">
        <v>4</v>
      </c>
      <c r="J3" s="53" t="s">
        <v>148</v>
      </c>
      <c r="K3" s="93"/>
      <c r="L3" s="93"/>
    </row>
    <row r="4" spans="1:12">
      <c r="A4" s="3">
        <v>4</v>
      </c>
      <c r="B4" s="13" t="s">
        <v>38</v>
      </c>
      <c r="C4" s="3">
        <v>4</v>
      </c>
      <c r="D4" s="3" t="s">
        <v>806</v>
      </c>
      <c r="E4" s="3">
        <v>1</v>
      </c>
      <c r="F4" s="3" t="s">
        <v>1802</v>
      </c>
      <c r="G4" s="32">
        <v>1</v>
      </c>
      <c r="H4" s="53" t="s">
        <v>1320</v>
      </c>
      <c r="I4" s="3">
        <v>4</v>
      </c>
      <c r="J4" s="53" t="s">
        <v>1319</v>
      </c>
      <c r="L4" s="93"/>
    </row>
    <row r="5" spans="1:12">
      <c r="A5" s="3">
        <v>4</v>
      </c>
      <c r="B5" s="13" t="s">
        <v>351</v>
      </c>
      <c r="C5" s="3">
        <v>1</v>
      </c>
      <c r="D5" s="3" t="s">
        <v>798</v>
      </c>
      <c r="E5" s="3">
        <v>1</v>
      </c>
      <c r="F5" s="3" t="s">
        <v>1314</v>
      </c>
      <c r="G5" s="43">
        <v>1</v>
      </c>
      <c r="H5" s="53" t="s">
        <v>471</v>
      </c>
      <c r="I5" s="3">
        <v>1</v>
      </c>
      <c r="J5" s="53" t="s">
        <v>1385</v>
      </c>
      <c r="L5" s="93"/>
    </row>
    <row r="6" spans="1:12">
      <c r="A6" s="3">
        <v>4</v>
      </c>
      <c r="B6" s="13" t="s">
        <v>463</v>
      </c>
      <c r="C6" s="3">
        <v>4</v>
      </c>
      <c r="D6" s="3" t="s">
        <v>148</v>
      </c>
      <c r="E6" s="3">
        <v>1</v>
      </c>
      <c r="F6" s="3" t="s">
        <v>1861</v>
      </c>
      <c r="G6" s="43">
        <v>1</v>
      </c>
      <c r="H6" s="53" t="s">
        <v>517</v>
      </c>
      <c r="I6" s="3">
        <v>4</v>
      </c>
      <c r="J6" s="53" t="s">
        <v>24</v>
      </c>
      <c r="L6" s="93"/>
    </row>
    <row r="7" spans="1:12">
      <c r="A7" s="3">
        <v>4</v>
      </c>
      <c r="B7" s="13" t="s">
        <v>1862</v>
      </c>
      <c r="C7" s="3">
        <v>1</v>
      </c>
      <c r="D7" s="3" t="s">
        <v>1385</v>
      </c>
      <c r="E7" s="3">
        <v>4</v>
      </c>
      <c r="F7" s="3" t="s">
        <v>1382</v>
      </c>
      <c r="G7" s="43">
        <v>4</v>
      </c>
      <c r="H7" s="53" t="s">
        <v>329</v>
      </c>
      <c r="I7" s="3">
        <v>1</v>
      </c>
      <c r="J7" s="53" t="s">
        <v>1493</v>
      </c>
      <c r="L7" s="93"/>
    </row>
    <row r="8" spans="1:12">
      <c r="A8" s="3">
        <v>4</v>
      </c>
      <c r="B8" s="13" t="s">
        <v>1863</v>
      </c>
      <c r="C8" s="3">
        <v>1</v>
      </c>
      <c r="D8" s="3" t="s">
        <v>1449</v>
      </c>
      <c r="E8" s="3">
        <v>3</v>
      </c>
      <c r="F8" s="3" t="s">
        <v>1400</v>
      </c>
      <c r="G8" s="43">
        <v>4</v>
      </c>
      <c r="H8" s="53" t="s">
        <v>398</v>
      </c>
      <c r="I8" s="3">
        <v>3</v>
      </c>
      <c r="J8" s="53" t="s">
        <v>1404</v>
      </c>
      <c r="L8" s="93"/>
    </row>
    <row r="9" spans="1:12">
      <c r="A9" s="3">
        <v>2</v>
      </c>
      <c r="B9" s="13" t="s">
        <v>597</v>
      </c>
      <c r="C9" s="7">
        <v>3</v>
      </c>
      <c r="D9" s="7" t="s">
        <v>1864</v>
      </c>
      <c r="E9" s="3">
        <v>1</v>
      </c>
      <c r="F9" s="3" t="s">
        <v>1865</v>
      </c>
      <c r="G9" s="43">
        <v>2</v>
      </c>
      <c r="H9" s="53" t="s">
        <v>350</v>
      </c>
      <c r="I9" s="3">
        <v>1</v>
      </c>
      <c r="J9" s="53" t="s">
        <v>1866</v>
      </c>
      <c r="L9" s="93"/>
    </row>
    <row r="10" spans="1:12">
      <c r="A10" s="3">
        <v>1</v>
      </c>
      <c r="B10" s="13" t="s">
        <v>1867</v>
      </c>
      <c r="C10" s="3">
        <v>1</v>
      </c>
      <c r="D10" s="3" t="s">
        <v>904</v>
      </c>
      <c r="E10" s="3">
        <v>1</v>
      </c>
      <c r="F10" s="3" t="s">
        <v>1797</v>
      </c>
      <c r="G10" s="43">
        <v>4</v>
      </c>
      <c r="H10" s="53" t="s">
        <v>1868</v>
      </c>
      <c r="I10" s="3">
        <v>4</v>
      </c>
      <c r="J10" s="53" t="s">
        <v>1295</v>
      </c>
      <c r="L10" s="93"/>
    </row>
    <row r="11" spans="1:12">
      <c r="A11" s="3">
        <v>1</v>
      </c>
      <c r="B11" s="13" t="s">
        <v>670</v>
      </c>
      <c r="C11" s="3">
        <v>1</v>
      </c>
      <c r="D11" s="3" t="s">
        <v>982</v>
      </c>
      <c r="E11" s="3">
        <v>3</v>
      </c>
      <c r="F11" s="3" t="s">
        <v>1422</v>
      </c>
      <c r="G11" s="43">
        <v>4</v>
      </c>
      <c r="H11" s="53" t="s">
        <v>1869</v>
      </c>
      <c r="I11" s="3">
        <v>3</v>
      </c>
      <c r="J11" s="53" t="s">
        <v>1846</v>
      </c>
      <c r="L11" s="93"/>
    </row>
    <row r="12" spans="1:12">
      <c r="A12" s="3">
        <v>1</v>
      </c>
      <c r="B12" s="13" t="s">
        <v>1449</v>
      </c>
      <c r="C12" s="7">
        <v>1</v>
      </c>
      <c r="D12" s="7" t="s">
        <v>1866</v>
      </c>
      <c r="E12" s="3">
        <v>1</v>
      </c>
      <c r="F12" s="3" t="s">
        <v>38</v>
      </c>
      <c r="G12" s="43">
        <v>4</v>
      </c>
      <c r="H12" s="53" t="s">
        <v>625</v>
      </c>
      <c r="I12" s="3">
        <v>1</v>
      </c>
      <c r="J12" s="53" t="s">
        <v>38</v>
      </c>
      <c r="L12" s="93"/>
    </row>
    <row r="13" spans="1:12">
      <c r="A13" s="3">
        <v>4</v>
      </c>
      <c r="B13" s="13" t="s">
        <v>113</v>
      </c>
      <c r="C13" s="3">
        <v>1</v>
      </c>
      <c r="D13" s="3" t="s">
        <v>1493</v>
      </c>
      <c r="E13" s="3">
        <v>4</v>
      </c>
      <c r="F13" s="3" t="s">
        <v>1517</v>
      </c>
      <c r="G13" s="32">
        <v>4</v>
      </c>
      <c r="H13" s="53" t="s">
        <v>642</v>
      </c>
      <c r="I13" s="3">
        <v>1</v>
      </c>
      <c r="J13" s="3" t="s">
        <v>904</v>
      </c>
      <c r="L13" s="93"/>
    </row>
    <row r="14" spans="1:12">
      <c r="A14" s="3">
        <v>4</v>
      </c>
      <c r="B14" s="13" t="s">
        <v>1870</v>
      </c>
      <c r="C14" s="3">
        <v>1</v>
      </c>
      <c r="D14" s="3" t="s">
        <v>597</v>
      </c>
      <c r="E14" s="3">
        <v>2</v>
      </c>
      <c r="F14" s="3" t="s">
        <v>1558</v>
      </c>
      <c r="G14" s="32">
        <v>4</v>
      </c>
      <c r="H14" s="53" t="s">
        <v>659</v>
      </c>
      <c r="I14" s="3">
        <v>4</v>
      </c>
      <c r="J14" s="53" t="s">
        <v>1625</v>
      </c>
      <c r="L14" s="93"/>
    </row>
    <row r="15" spans="1:12">
      <c r="A15" s="3">
        <v>4</v>
      </c>
      <c r="B15" s="13" t="s">
        <v>209</v>
      </c>
      <c r="C15" s="3">
        <v>1</v>
      </c>
      <c r="D15" s="3" t="s">
        <v>1562</v>
      </c>
      <c r="E15" s="3">
        <v>4</v>
      </c>
      <c r="F15" s="3" t="s">
        <v>1871</v>
      </c>
      <c r="G15" s="43">
        <v>3</v>
      </c>
      <c r="H15" s="53" t="s">
        <v>689</v>
      </c>
      <c r="I15" s="3">
        <v>4</v>
      </c>
      <c r="J15" s="53" t="s">
        <v>1526</v>
      </c>
      <c r="L15" s="93"/>
    </row>
    <row r="16" spans="1:12">
      <c r="A16" s="3">
        <v>3</v>
      </c>
      <c r="B16" s="13" t="s">
        <v>713</v>
      </c>
      <c r="C16" s="7">
        <v>1</v>
      </c>
      <c r="D16" s="7" t="s">
        <v>1846</v>
      </c>
      <c r="E16" s="7">
        <v>4</v>
      </c>
      <c r="F16" s="7" t="s">
        <v>113</v>
      </c>
      <c r="G16" s="43">
        <v>4</v>
      </c>
      <c r="H16" s="53" t="s">
        <v>1563</v>
      </c>
      <c r="I16" s="3">
        <v>4</v>
      </c>
      <c r="J16" s="53" t="s">
        <v>113</v>
      </c>
      <c r="L16" s="93"/>
    </row>
    <row r="17" spans="1:12">
      <c r="A17" s="3">
        <v>2</v>
      </c>
      <c r="B17" s="13" t="s">
        <v>764</v>
      </c>
      <c r="C17" s="7">
        <v>1</v>
      </c>
      <c r="D17" s="7" t="s">
        <v>1834</v>
      </c>
      <c r="E17" s="3">
        <v>1</v>
      </c>
      <c r="F17" s="3" t="s">
        <v>1563</v>
      </c>
      <c r="G17" s="43">
        <v>1</v>
      </c>
      <c r="H17" s="53" t="s">
        <v>1584</v>
      </c>
      <c r="I17" s="3">
        <v>2</v>
      </c>
      <c r="J17" s="53" t="s">
        <v>978</v>
      </c>
      <c r="L17" s="93"/>
    </row>
    <row r="18" spans="1:12">
      <c r="A18" s="3">
        <v>1</v>
      </c>
      <c r="B18" s="13" t="s">
        <v>972</v>
      </c>
      <c r="C18" s="7">
        <v>1</v>
      </c>
      <c r="D18" s="7" t="s">
        <v>670</v>
      </c>
      <c r="E18" s="7">
        <v>1</v>
      </c>
      <c r="F18" s="7" t="s">
        <v>1578</v>
      </c>
      <c r="G18" s="43">
        <v>4</v>
      </c>
      <c r="H18" s="53" t="s">
        <v>1601</v>
      </c>
      <c r="I18" s="3">
        <v>4</v>
      </c>
      <c r="J18" s="53" t="s">
        <v>178</v>
      </c>
      <c r="L18" s="93"/>
    </row>
    <row r="19" spans="1:12">
      <c r="A19" s="3">
        <v>4</v>
      </c>
      <c r="B19" s="13" t="s">
        <v>678</v>
      </c>
      <c r="C19" s="3">
        <v>4</v>
      </c>
      <c r="D19" s="3" t="s">
        <v>1600</v>
      </c>
      <c r="E19" s="3">
        <v>4</v>
      </c>
      <c r="F19" s="3" t="s">
        <v>1872</v>
      </c>
      <c r="G19" s="43">
        <v>2</v>
      </c>
      <c r="H19" s="53" t="s">
        <v>674</v>
      </c>
      <c r="I19" s="3">
        <v>1</v>
      </c>
      <c r="J19" s="53" t="s">
        <v>1583</v>
      </c>
      <c r="L19" s="93"/>
    </row>
    <row r="20" spans="1:12">
      <c r="A20" s="3">
        <v>2</v>
      </c>
      <c r="B20" s="13" t="s">
        <v>707</v>
      </c>
      <c r="C20" s="3">
        <v>4</v>
      </c>
      <c r="D20" s="3" t="s">
        <v>113</v>
      </c>
      <c r="E20" s="3">
        <v>4</v>
      </c>
      <c r="F20" s="3" t="s">
        <v>987</v>
      </c>
      <c r="G20" s="43">
        <v>1</v>
      </c>
      <c r="H20" s="53" t="s">
        <v>731</v>
      </c>
      <c r="I20" s="3">
        <v>1</v>
      </c>
      <c r="J20" s="53" t="s">
        <v>713</v>
      </c>
      <c r="L20" s="93"/>
    </row>
    <row r="21" spans="1:12">
      <c r="A21" s="3">
        <v>2</v>
      </c>
      <c r="B21" s="13" t="s">
        <v>694</v>
      </c>
      <c r="C21" s="3">
        <v>4</v>
      </c>
      <c r="D21" s="3" t="s">
        <v>178</v>
      </c>
      <c r="E21" s="7">
        <v>3</v>
      </c>
      <c r="F21" s="7" t="s">
        <v>209</v>
      </c>
      <c r="G21" s="43">
        <v>4</v>
      </c>
      <c r="H21" s="53" t="s">
        <v>1637</v>
      </c>
      <c r="I21" s="3">
        <v>1</v>
      </c>
      <c r="J21" s="53" t="s">
        <v>1655</v>
      </c>
      <c r="L21" s="93"/>
    </row>
    <row r="22" spans="1:12">
      <c r="A22" s="3">
        <v>1</v>
      </c>
      <c r="B22" s="13" t="s">
        <v>1873</v>
      </c>
      <c r="C22" s="3">
        <v>1</v>
      </c>
      <c r="D22" s="3" t="s">
        <v>978</v>
      </c>
      <c r="E22" s="3">
        <v>4</v>
      </c>
      <c r="F22" s="3" t="s">
        <v>1597</v>
      </c>
      <c r="G22" s="87"/>
      <c r="H22" s="86"/>
      <c r="I22" s="3">
        <v>2</v>
      </c>
      <c r="J22" s="53" t="s">
        <v>1646</v>
      </c>
      <c r="L22" s="93"/>
    </row>
    <row r="23" spans="1:12">
      <c r="C23" s="3">
        <v>3</v>
      </c>
      <c r="D23" s="3" t="s">
        <v>713</v>
      </c>
      <c r="E23" s="3">
        <v>4</v>
      </c>
      <c r="F23" s="3" t="s">
        <v>590</v>
      </c>
      <c r="G23" s="87"/>
      <c r="H23" s="86"/>
      <c r="I23" s="3">
        <v>1</v>
      </c>
      <c r="J23" s="53" t="s">
        <v>209</v>
      </c>
      <c r="L23" s="93"/>
    </row>
    <row r="24" spans="1:12">
      <c r="C24" s="3">
        <v>1</v>
      </c>
      <c r="D24" s="3" t="s">
        <v>209</v>
      </c>
      <c r="E24" s="3">
        <v>1</v>
      </c>
      <c r="F24" s="3" t="s">
        <v>1874</v>
      </c>
      <c r="H24" s="86"/>
      <c r="I24" s="3">
        <v>1</v>
      </c>
      <c r="J24" s="53" t="s">
        <v>707</v>
      </c>
      <c r="L24" s="93"/>
    </row>
    <row r="25" spans="1:12">
      <c r="C25" s="3">
        <v>4</v>
      </c>
      <c r="D25" s="3" t="s">
        <v>1583</v>
      </c>
      <c r="E25" s="87"/>
      <c r="F25" s="87"/>
      <c r="G25" s="87"/>
      <c r="H25" s="86"/>
      <c r="I25" s="3">
        <v>3</v>
      </c>
      <c r="J25" s="53" t="s">
        <v>1001</v>
      </c>
      <c r="L25" s="93"/>
    </row>
    <row r="26" spans="1:12">
      <c r="C26" s="3">
        <v>1</v>
      </c>
      <c r="D26" s="3" t="s">
        <v>1002</v>
      </c>
      <c r="E26" s="87"/>
      <c r="F26" s="87"/>
      <c r="G26" s="87"/>
      <c r="H26" s="86"/>
      <c r="I26" s="3">
        <v>4</v>
      </c>
      <c r="J26" s="53" t="s">
        <v>1875</v>
      </c>
      <c r="L26" s="93"/>
    </row>
    <row r="27" spans="1:12">
      <c r="C27" s="3">
        <v>1</v>
      </c>
      <c r="D27" s="3" t="s">
        <v>972</v>
      </c>
      <c r="E27" s="87"/>
      <c r="F27" s="87"/>
      <c r="G27" s="87"/>
      <c r="H27" s="86"/>
      <c r="L27" s="93"/>
    </row>
    <row r="28" spans="1:12">
      <c r="C28" s="3">
        <v>1</v>
      </c>
      <c r="D28" s="3" t="s">
        <v>694</v>
      </c>
      <c r="E28" s="87"/>
      <c r="F28" s="87"/>
      <c r="L28" s="93"/>
    </row>
    <row r="29" spans="1:12">
      <c r="B29" s="87"/>
      <c r="C29" s="3">
        <v>4</v>
      </c>
      <c r="D29" s="3" t="s">
        <v>678</v>
      </c>
      <c r="E29" s="87"/>
      <c r="F29" s="87"/>
      <c r="L29" s="93"/>
    </row>
    <row r="30" spans="1:12">
      <c r="B30" s="87"/>
      <c r="C30" s="3">
        <v>1</v>
      </c>
      <c r="D30" s="3" t="s">
        <v>707</v>
      </c>
      <c r="E30" s="87"/>
      <c r="F30" s="87"/>
      <c r="L30" s="93"/>
    </row>
    <row r="31" spans="1:12">
      <c r="B31" s="87"/>
      <c r="C31" s="3">
        <v>3</v>
      </c>
      <c r="D31" s="3" t="s">
        <v>1876</v>
      </c>
      <c r="E31" s="87"/>
      <c r="F31" s="87"/>
      <c r="L31" s="9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CC"/>
  </sheetPr>
  <dimension ref="A1:X34"/>
  <sheetViews>
    <sheetView topLeftCell="D1" zoomScaleNormal="100" workbookViewId="0">
      <selection activeCell="L33" sqref="L33"/>
    </sheetView>
  </sheetViews>
  <sheetFormatPr baseColWidth="10" defaultColWidth="9.140625" defaultRowHeight="15"/>
  <cols>
    <col min="1" max="1" width="3" customWidth="1"/>
    <col min="2" max="2" width="21.5703125" bestFit="1" customWidth="1"/>
    <col min="3" max="3" width="3" customWidth="1"/>
    <col min="4" max="4" width="36.5703125" customWidth="1"/>
    <col min="5" max="5" width="3" customWidth="1"/>
    <col min="6" max="6" width="36.5703125" customWidth="1"/>
    <col min="7" max="7" width="3" customWidth="1"/>
    <col min="8" max="8" width="20.5703125" customWidth="1"/>
    <col min="9" max="9" width="3" style="2" customWidth="1"/>
    <col min="10" max="10" width="23.42578125" style="26" customWidth="1"/>
    <col min="11" max="11" width="3" customWidth="1"/>
    <col min="12" max="12" width="20.5703125" customWidth="1"/>
    <col min="13" max="13" width="3" style="2" customWidth="1"/>
    <col min="14" max="14" width="26.85546875" style="26" customWidth="1"/>
    <col min="15" max="15" width="3" style="2" customWidth="1"/>
    <col min="16" max="16" width="24.85546875" style="26" customWidth="1"/>
    <col min="17" max="17" width="3" style="2" customWidth="1"/>
    <col min="18" max="18" width="32.42578125" style="26" customWidth="1"/>
    <col min="19" max="19" width="3" customWidth="1"/>
    <col min="20" max="20" width="25.85546875" customWidth="1"/>
    <col min="21" max="21" width="3" customWidth="1"/>
    <col min="22" max="22" width="39.42578125" bestFit="1" customWidth="1"/>
    <col min="23" max="23" width="3" bestFit="1" customWidth="1"/>
    <col min="24" max="24" width="19.28515625" bestFit="1" customWidth="1"/>
    <col min="25" max="1025" width="10.7109375" customWidth="1"/>
  </cols>
  <sheetData>
    <row r="1" spans="1:24" s="188" customFormat="1">
      <c r="A1" s="177">
        <f>SUM(A2:A28)</f>
        <v>60</v>
      </c>
      <c r="B1" s="186" t="s">
        <v>0</v>
      </c>
      <c r="C1" s="177">
        <f>SUM(C2:C33)</f>
        <v>60</v>
      </c>
      <c r="D1" s="177" t="s">
        <v>1745</v>
      </c>
      <c r="E1" s="177">
        <f>SUM(E2:E30)</f>
        <v>60</v>
      </c>
      <c r="F1" s="177" t="s">
        <v>1877</v>
      </c>
      <c r="G1" s="177">
        <f>SUM(G2:G25)</f>
        <v>60</v>
      </c>
      <c r="H1" s="177" t="s">
        <v>1878</v>
      </c>
      <c r="I1" s="177">
        <f>SUM(I2:I25)</f>
        <v>60</v>
      </c>
      <c r="J1" s="177" t="s">
        <v>1879</v>
      </c>
      <c r="K1" s="177">
        <f>SUM(K2:K16)</f>
        <v>60</v>
      </c>
      <c r="L1" s="177" t="s">
        <v>9</v>
      </c>
      <c r="M1" s="177">
        <f>SUM(M2:M31)</f>
        <v>60</v>
      </c>
      <c r="N1" s="177" t="s">
        <v>1880</v>
      </c>
      <c r="O1" s="177">
        <f>SUM(O2:O25)</f>
        <v>60</v>
      </c>
      <c r="P1" s="186" t="s">
        <v>574</v>
      </c>
      <c r="Q1" s="177">
        <f>SUM(Q2:Q34)</f>
        <v>60</v>
      </c>
      <c r="R1" s="177" t="s">
        <v>1881</v>
      </c>
      <c r="S1" s="177">
        <f>SUM(S2:S22)</f>
        <v>60</v>
      </c>
      <c r="T1" s="177" t="s">
        <v>1882</v>
      </c>
      <c r="U1" s="177">
        <v>60</v>
      </c>
      <c r="V1" s="177" t="s">
        <v>1883</v>
      </c>
      <c r="W1" s="17">
        <f>SUM(W2:W16)</f>
        <v>60</v>
      </c>
      <c r="X1" s="130" t="s">
        <v>2150</v>
      </c>
    </row>
    <row r="2" spans="1:24">
      <c r="A2" s="8">
        <v>4</v>
      </c>
      <c r="B2" s="13" t="s">
        <v>19</v>
      </c>
      <c r="C2" s="3">
        <v>4</v>
      </c>
      <c r="D2" s="3" t="s">
        <v>1884</v>
      </c>
      <c r="E2" s="3">
        <v>4</v>
      </c>
      <c r="F2" s="3" t="s">
        <v>1884</v>
      </c>
      <c r="G2" s="7">
        <v>4</v>
      </c>
      <c r="H2" s="3" t="s">
        <v>20</v>
      </c>
      <c r="I2" s="3">
        <v>4</v>
      </c>
      <c r="J2" s="53" t="s">
        <v>1274</v>
      </c>
      <c r="K2" s="5">
        <v>4</v>
      </c>
      <c r="L2" s="5" t="s">
        <v>19</v>
      </c>
      <c r="M2" s="3">
        <v>1</v>
      </c>
      <c r="N2" s="22" t="s">
        <v>311</v>
      </c>
      <c r="O2" s="7">
        <v>2</v>
      </c>
      <c r="P2" s="164" t="s">
        <v>1885</v>
      </c>
      <c r="Q2" s="7">
        <v>1</v>
      </c>
      <c r="R2" s="22" t="s">
        <v>1180</v>
      </c>
      <c r="S2" s="5">
        <v>4</v>
      </c>
      <c r="T2" s="5" t="s">
        <v>1082</v>
      </c>
      <c r="U2" s="5">
        <v>4</v>
      </c>
      <c r="V2" s="5" t="s">
        <v>3100</v>
      </c>
      <c r="W2" s="18">
        <v>4</v>
      </c>
      <c r="X2" s="8" t="s">
        <v>1791</v>
      </c>
    </row>
    <row r="3" spans="1:24">
      <c r="A3" s="8">
        <v>4</v>
      </c>
      <c r="B3" s="13" t="s">
        <v>32</v>
      </c>
      <c r="C3" s="3">
        <v>2</v>
      </c>
      <c r="D3" s="3" t="s">
        <v>311</v>
      </c>
      <c r="E3" s="8">
        <v>1</v>
      </c>
      <c r="F3" s="3" t="s">
        <v>38</v>
      </c>
      <c r="G3" s="7">
        <v>1</v>
      </c>
      <c r="H3" s="7" t="s">
        <v>1085</v>
      </c>
      <c r="I3" s="7">
        <v>4</v>
      </c>
      <c r="J3" s="53" t="s">
        <v>133</v>
      </c>
      <c r="K3" s="5">
        <v>15</v>
      </c>
      <c r="L3" s="5" t="s">
        <v>9</v>
      </c>
      <c r="M3" s="3">
        <v>4</v>
      </c>
      <c r="N3" s="22" t="s">
        <v>1884</v>
      </c>
      <c r="O3" s="7">
        <v>4</v>
      </c>
      <c r="P3" s="68" t="s">
        <v>19</v>
      </c>
      <c r="Q3" s="7">
        <v>1</v>
      </c>
      <c r="R3" s="22" t="s">
        <v>1886</v>
      </c>
      <c r="S3" s="5">
        <v>4</v>
      </c>
      <c r="T3" s="5" t="s">
        <v>1887</v>
      </c>
      <c r="U3" s="5">
        <v>4</v>
      </c>
      <c r="V3" s="5" t="s">
        <v>3101</v>
      </c>
      <c r="W3" s="18">
        <v>14</v>
      </c>
      <c r="X3" s="8" t="s">
        <v>1790</v>
      </c>
    </row>
    <row r="4" spans="1:24">
      <c r="A4" s="8">
        <v>2</v>
      </c>
      <c r="B4" s="13" t="s">
        <v>315</v>
      </c>
      <c r="C4" s="3">
        <v>4</v>
      </c>
      <c r="D4" s="3" t="s">
        <v>63</v>
      </c>
      <c r="E4" s="8">
        <v>1</v>
      </c>
      <c r="F4" s="3" t="s">
        <v>19</v>
      </c>
      <c r="G4" s="3">
        <v>1</v>
      </c>
      <c r="H4" s="3" t="s">
        <v>143</v>
      </c>
      <c r="I4" s="3">
        <v>4</v>
      </c>
      <c r="J4" s="53" t="s">
        <v>64</v>
      </c>
      <c r="K4" s="5">
        <v>2</v>
      </c>
      <c r="L4" s="5" t="s">
        <v>66</v>
      </c>
      <c r="M4" s="3">
        <v>1</v>
      </c>
      <c r="N4" s="22" t="s">
        <v>1296</v>
      </c>
      <c r="O4" s="7">
        <v>2</v>
      </c>
      <c r="P4" s="68" t="s">
        <v>73</v>
      </c>
      <c r="Q4" s="7">
        <v>1</v>
      </c>
      <c r="R4" s="22" t="s">
        <v>1294</v>
      </c>
      <c r="S4" s="8">
        <v>4</v>
      </c>
      <c r="T4" s="5" t="s">
        <v>1884</v>
      </c>
      <c r="U4" s="8">
        <v>4</v>
      </c>
      <c r="V4" s="5" t="s">
        <v>32</v>
      </c>
      <c r="W4" s="18">
        <v>2</v>
      </c>
      <c r="X4" s="8" t="s">
        <v>1800</v>
      </c>
    </row>
    <row r="5" spans="1:24">
      <c r="A5" s="8">
        <v>4</v>
      </c>
      <c r="B5" s="13" t="s">
        <v>43</v>
      </c>
      <c r="C5" s="3">
        <v>4</v>
      </c>
      <c r="D5" s="3" t="s">
        <v>351</v>
      </c>
      <c r="E5" s="8">
        <v>1</v>
      </c>
      <c r="F5" s="3" t="s">
        <v>323</v>
      </c>
      <c r="G5" s="3">
        <v>1</v>
      </c>
      <c r="H5" s="3" t="s">
        <v>105</v>
      </c>
      <c r="I5" s="3">
        <v>4</v>
      </c>
      <c r="J5" s="53" t="s">
        <v>1315</v>
      </c>
      <c r="K5" s="5">
        <v>4</v>
      </c>
      <c r="L5" s="5" t="s">
        <v>43</v>
      </c>
      <c r="M5" s="3">
        <v>2</v>
      </c>
      <c r="N5" s="22" t="s">
        <v>463</v>
      </c>
      <c r="O5" s="7">
        <v>3</v>
      </c>
      <c r="P5" s="68" t="s">
        <v>43</v>
      </c>
      <c r="Q5" s="7">
        <v>1</v>
      </c>
      <c r="R5" s="22" t="s">
        <v>1888</v>
      </c>
      <c r="S5" s="5">
        <v>4</v>
      </c>
      <c r="T5" s="8" t="s">
        <v>351</v>
      </c>
      <c r="U5" s="5">
        <v>4</v>
      </c>
      <c r="V5" s="8" t="s">
        <v>3102</v>
      </c>
      <c r="W5" s="18">
        <v>3</v>
      </c>
      <c r="X5" s="8" t="s">
        <v>1798</v>
      </c>
    </row>
    <row r="6" spans="1:24">
      <c r="A6" s="8">
        <v>4</v>
      </c>
      <c r="B6" s="13" t="s">
        <v>73</v>
      </c>
      <c r="C6" s="3">
        <v>1</v>
      </c>
      <c r="D6" s="3" t="s">
        <v>463</v>
      </c>
      <c r="E6" s="8">
        <v>4</v>
      </c>
      <c r="F6" s="3" t="s">
        <v>1886</v>
      </c>
      <c r="G6" s="3">
        <v>1</v>
      </c>
      <c r="H6" s="3" t="s">
        <v>33</v>
      </c>
      <c r="I6" s="3">
        <v>4</v>
      </c>
      <c r="J6" s="53" t="s">
        <v>1337</v>
      </c>
      <c r="K6" s="5">
        <v>4</v>
      </c>
      <c r="L6" s="5" t="s">
        <v>95</v>
      </c>
      <c r="M6" s="3">
        <v>4</v>
      </c>
      <c r="N6" s="22" t="s">
        <v>1889</v>
      </c>
      <c r="O6" s="7">
        <v>1</v>
      </c>
      <c r="P6" s="68" t="s">
        <v>1890</v>
      </c>
      <c r="Q6" s="7">
        <v>3</v>
      </c>
      <c r="R6" s="22" t="s">
        <v>1891</v>
      </c>
      <c r="S6" s="5">
        <v>3</v>
      </c>
      <c r="T6" s="5" t="s">
        <v>463</v>
      </c>
      <c r="U6" s="5">
        <v>3</v>
      </c>
      <c r="V6" s="5" t="s">
        <v>3018</v>
      </c>
      <c r="W6" s="18">
        <v>1</v>
      </c>
      <c r="X6" s="8" t="s">
        <v>1048</v>
      </c>
    </row>
    <row r="7" spans="1:24">
      <c r="A7" s="8">
        <v>1</v>
      </c>
      <c r="B7" s="13" t="s">
        <v>430</v>
      </c>
      <c r="C7" s="3">
        <v>1</v>
      </c>
      <c r="D7" s="3" t="s">
        <v>50</v>
      </c>
      <c r="E7" s="8">
        <v>4</v>
      </c>
      <c r="F7" s="3" t="s">
        <v>351</v>
      </c>
      <c r="G7" s="3">
        <v>1</v>
      </c>
      <c r="H7" s="3" t="s">
        <v>49</v>
      </c>
      <c r="I7" s="3">
        <v>4</v>
      </c>
      <c r="J7" s="53" t="s">
        <v>39</v>
      </c>
      <c r="K7" s="5">
        <v>4</v>
      </c>
      <c r="L7" s="5" t="s">
        <v>1892</v>
      </c>
      <c r="M7" s="3">
        <v>4</v>
      </c>
      <c r="N7" s="22" t="s">
        <v>1016</v>
      </c>
      <c r="O7" s="7">
        <v>1</v>
      </c>
      <c r="P7" s="68" t="s">
        <v>427</v>
      </c>
      <c r="Q7" s="7">
        <v>1</v>
      </c>
      <c r="R7" s="22" t="s">
        <v>20</v>
      </c>
      <c r="S7" s="129">
        <v>1</v>
      </c>
      <c r="T7" s="129" t="s">
        <v>2915</v>
      </c>
      <c r="U7" s="5">
        <v>3</v>
      </c>
      <c r="V7" s="5" t="s">
        <v>3103</v>
      </c>
      <c r="W7" s="18">
        <v>1</v>
      </c>
      <c r="X7" s="8" t="s">
        <v>2241</v>
      </c>
    </row>
    <row r="8" spans="1:24">
      <c r="A8" s="8">
        <v>2</v>
      </c>
      <c r="B8" s="13" t="s">
        <v>619</v>
      </c>
      <c r="C8" s="3">
        <v>1</v>
      </c>
      <c r="D8" s="3" t="s">
        <v>1799</v>
      </c>
      <c r="E8" s="8">
        <v>2</v>
      </c>
      <c r="F8" s="3" t="s">
        <v>463</v>
      </c>
      <c r="G8" s="3">
        <v>1</v>
      </c>
      <c r="H8" s="3" t="s">
        <v>311</v>
      </c>
      <c r="I8" s="3">
        <v>4</v>
      </c>
      <c r="J8" s="53" t="s">
        <v>25</v>
      </c>
      <c r="K8" s="5">
        <v>4</v>
      </c>
      <c r="L8" s="5" t="s">
        <v>135</v>
      </c>
      <c r="M8" s="3">
        <v>1</v>
      </c>
      <c r="N8" s="22" t="s">
        <v>430</v>
      </c>
      <c r="O8" s="7">
        <v>4</v>
      </c>
      <c r="P8" s="68" t="s">
        <v>323</v>
      </c>
      <c r="Q8" s="7">
        <v>1</v>
      </c>
      <c r="R8" s="22" t="s">
        <v>1887</v>
      </c>
      <c r="S8" s="5">
        <v>4</v>
      </c>
      <c r="T8" s="5" t="s">
        <v>1893</v>
      </c>
      <c r="U8" s="5">
        <v>4</v>
      </c>
      <c r="V8" s="5" t="s">
        <v>3104</v>
      </c>
      <c r="W8" s="18">
        <v>4</v>
      </c>
      <c r="X8" s="8" t="s">
        <v>1057</v>
      </c>
    </row>
    <row r="9" spans="1:24">
      <c r="A9" s="8">
        <v>1</v>
      </c>
      <c r="B9" s="13" t="s">
        <v>452</v>
      </c>
      <c r="C9" s="3">
        <v>4</v>
      </c>
      <c r="D9" s="3" t="s">
        <v>1016</v>
      </c>
      <c r="E9" s="8">
        <v>1</v>
      </c>
      <c r="F9" s="3" t="s">
        <v>311</v>
      </c>
      <c r="G9" s="3">
        <v>4</v>
      </c>
      <c r="H9" s="3" t="s">
        <v>61</v>
      </c>
      <c r="I9" s="3">
        <v>1</v>
      </c>
      <c r="J9" s="53" t="s">
        <v>144</v>
      </c>
      <c r="K9" s="5">
        <v>2</v>
      </c>
      <c r="L9" s="5" t="s">
        <v>1894</v>
      </c>
      <c r="M9" s="3">
        <v>3</v>
      </c>
      <c r="N9" s="22" t="s">
        <v>1895</v>
      </c>
      <c r="O9" s="7">
        <v>1</v>
      </c>
      <c r="P9" s="68" t="s">
        <v>1896</v>
      </c>
      <c r="Q9" s="7">
        <v>1</v>
      </c>
      <c r="R9" s="22" t="s">
        <v>1897</v>
      </c>
      <c r="S9" s="18">
        <v>1</v>
      </c>
      <c r="T9" s="18" t="s">
        <v>1129</v>
      </c>
      <c r="U9" s="94">
        <v>1</v>
      </c>
      <c r="V9" s="94" t="s">
        <v>1180</v>
      </c>
      <c r="W9" s="8">
        <v>4</v>
      </c>
      <c r="X9" s="8" t="s">
        <v>1052</v>
      </c>
    </row>
    <row r="10" spans="1:24">
      <c r="A10" s="8">
        <v>1</v>
      </c>
      <c r="B10" s="13" t="s">
        <v>1898</v>
      </c>
      <c r="C10" s="3">
        <v>1</v>
      </c>
      <c r="D10" s="3" t="s">
        <v>840</v>
      </c>
      <c r="E10" s="8">
        <v>4</v>
      </c>
      <c r="F10" s="3" t="s">
        <v>1016</v>
      </c>
      <c r="G10" s="95">
        <v>4</v>
      </c>
      <c r="H10" s="95" t="s">
        <v>351</v>
      </c>
      <c r="I10" s="89">
        <v>1</v>
      </c>
      <c r="J10" s="53" t="s">
        <v>159</v>
      </c>
      <c r="K10" s="5">
        <v>4</v>
      </c>
      <c r="L10" s="5" t="s">
        <v>1899</v>
      </c>
      <c r="M10" s="3">
        <v>1</v>
      </c>
      <c r="N10" s="22" t="s">
        <v>465</v>
      </c>
      <c r="O10" s="7">
        <v>3</v>
      </c>
      <c r="P10" s="68" t="s">
        <v>1900</v>
      </c>
      <c r="Q10" s="7">
        <v>2</v>
      </c>
      <c r="R10" s="22" t="s">
        <v>801</v>
      </c>
      <c r="S10" s="23">
        <v>1</v>
      </c>
      <c r="T10" s="23" t="s">
        <v>670</v>
      </c>
      <c r="U10" s="5">
        <v>1</v>
      </c>
      <c r="V10" s="5" t="s">
        <v>430</v>
      </c>
      <c r="W10" s="18">
        <v>3</v>
      </c>
      <c r="X10" s="8" t="s">
        <v>1919</v>
      </c>
    </row>
    <row r="11" spans="1:24">
      <c r="A11" s="8">
        <v>1</v>
      </c>
      <c r="B11" s="13" t="s">
        <v>597</v>
      </c>
      <c r="C11" s="3">
        <v>1</v>
      </c>
      <c r="D11" s="3" t="s">
        <v>1845</v>
      </c>
      <c r="E11" s="8">
        <v>2</v>
      </c>
      <c r="F11" s="3" t="s">
        <v>43</v>
      </c>
      <c r="G11" s="3">
        <v>4</v>
      </c>
      <c r="H11" s="3" t="s">
        <v>206</v>
      </c>
      <c r="I11" s="3">
        <v>4</v>
      </c>
      <c r="J11" s="53" t="s">
        <v>120</v>
      </c>
      <c r="K11" s="5">
        <v>4</v>
      </c>
      <c r="L11" s="5" t="s">
        <v>142</v>
      </c>
      <c r="M11" s="3">
        <v>1</v>
      </c>
      <c r="N11" s="22" t="s">
        <v>518</v>
      </c>
      <c r="O11" s="7">
        <v>3</v>
      </c>
      <c r="P11" s="68" t="s">
        <v>142</v>
      </c>
      <c r="Q11" s="7">
        <v>1</v>
      </c>
      <c r="R11" s="22" t="s">
        <v>1490</v>
      </c>
      <c r="S11" s="18">
        <v>2</v>
      </c>
      <c r="T11" s="18" t="s">
        <v>192</v>
      </c>
      <c r="U11" s="5">
        <v>1</v>
      </c>
      <c r="V11" s="5" t="s">
        <v>3105</v>
      </c>
      <c r="W11" s="18">
        <v>4</v>
      </c>
      <c r="X11" s="8" t="s">
        <v>169</v>
      </c>
    </row>
    <row r="12" spans="1:24">
      <c r="A12" s="8">
        <v>1</v>
      </c>
      <c r="B12" s="13" t="s">
        <v>1901</v>
      </c>
      <c r="C12" s="3">
        <v>1</v>
      </c>
      <c r="D12" s="3" t="s">
        <v>43</v>
      </c>
      <c r="E12" s="8">
        <v>1</v>
      </c>
      <c r="F12" s="3" t="s">
        <v>73</v>
      </c>
      <c r="G12" s="3">
        <v>4</v>
      </c>
      <c r="H12" s="3" t="s">
        <v>186</v>
      </c>
      <c r="I12" s="3">
        <v>4</v>
      </c>
      <c r="J12" s="53" t="s">
        <v>899</v>
      </c>
      <c r="K12" s="18">
        <v>3</v>
      </c>
      <c r="L12" s="18" t="s">
        <v>145</v>
      </c>
      <c r="M12" s="3">
        <v>1</v>
      </c>
      <c r="N12" s="22" t="s">
        <v>1475</v>
      </c>
      <c r="O12" s="7">
        <v>4</v>
      </c>
      <c r="P12" s="68" t="s">
        <v>1221</v>
      </c>
      <c r="Q12" s="7">
        <v>1</v>
      </c>
      <c r="R12" s="22" t="s">
        <v>311</v>
      </c>
      <c r="S12" s="5">
        <v>4</v>
      </c>
      <c r="T12" s="5" t="s">
        <v>113</v>
      </c>
      <c r="U12" s="5">
        <v>4</v>
      </c>
      <c r="V12" s="5" t="s">
        <v>142</v>
      </c>
      <c r="W12" s="8">
        <v>4</v>
      </c>
      <c r="X12" s="8" t="s">
        <v>181</v>
      </c>
    </row>
    <row r="13" spans="1:24">
      <c r="A13" s="8">
        <v>1</v>
      </c>
      <c r="B13" s="13" t="s">
        <v>1832</v>
      </c>
      <c r="C13" s="3">
        <v>4</v>
      </c>
      <c r="D13" s="3" t="s">
        <v>1760</v>
      </c>
      <c r="E13" s="8">
        <v>1</v>
      </c>
      <c r="F13" s="3" t="s">
        <v>427</v>
      </c>
      <c r="G13" s="95">
        <v>3</v>
      </c>
      <c r="H13" s="95" t="s">
        <v>1902</v>
      </c>
      <c r="I13" s="3">
        <v>4</v>
      </c>
      <c r="J13" s="53" t="s">
        <v>181</v>
      </c>
      <c r="K13" s="18">
        <v>1</v>
      </c>
      <c r="L13" s="18" t="s">
        <v>202</v>
      </c>
      <c r="M13" s="3">
        <v>1</v>
      </c>
      <c r="N13" s="22" t="s">
        <v>597</v>
      </c>
      <c r="O13" s="7">
        <v>2</v>
      </c>
      <c r="P13" s="68" t="s">
        <v>241</v>
      </c>
      <c r="Q13" s="7">
        <v>1</v>
      </c>
      <c r="R13" s="22" t="s">
        <v>350</v>
      </c>
      <c r="S13" s="5">
        <v>4</v>
      </c>
      <c r="T13" s="5" t="s">
        <v>142</v>
      </c>
      <c r="U13" s="5">
        <v>4</v>
      </c>
      <c r="V13" s="5" t="s">
        <v>259</v>
      </c>
      <c r="W13" s="8">
        <v>4</v>
      </c>
      <c r="X13" s="8" t="s">
        <v>1805</v>
      </c>
    </row>
    <row r="14" spans="1:24">
      <c r="A14" s="8">
        <v>1</v>
      </c>
      <c r="B14" s="13" t="s">
        <v>1904</v>
      </c>
      <c r="C14" s="3">
        <v>1</v>
      </c>
      <c r="D14" s="3" t="s">
        <v>174</v>
      </c>
      <c r="E14" s="8">
        <v>1</v>
      </c>
      <c r="F14" s="3" t="s">
        <v>1905</v>
      </c>
      <c r="G14" s="3">
        <v>4</v>
      </c>
      <c r="H14" s="3" t="s">
        <v>236</v>
      </c>
      <c r="I14" s="89">
        <v>4</v>
      </c>
      <c r="J14" s="53" t="s">
        <v>229</v>
      </c>
      <c r="K14" s="18">
        <v>1</v>
      </c>
      <c r="L14" s="18" t="s">
        <v>1227</v>
      </c>
      <c r="M14" s="3">
        <v>1</v>
      </c>
      <c r="N14" s="22" t="s">
        <v>1126</v>
      </c>
      <c r="O14" s="7">
        <v>1</v>
      </c>
      <c r="P14" s="68" t="s">
        <v>238</v>
      </c>
      <c r="Q14" s="7">
        <v>1</v>
      </c>
      <c r="R14" s="22" t="s">
        <v>38</v>
      </c>
      <c r="S14" s="5">
        <v>4</v>
      </c>
      <c r="T14" s="5" t="s">
        <v>1903</v>
      </c>
      <c r="U14" s="94">
        <v>4</v>
      </c>
      <c r="V14" s="94" t="s">
        <v>113</v>
      </c>
      <c r="W14" s="18">
        <v>4</v>
      </c>
      <c r="X14" s="8" t="s">
        <v>1523</v>
      </c>
    </row>
    <row r="15" spans="1:24">
      <c r="A15" s="8">
        <v>1</v>
      </c>
      <c r="B15" s="13" t="s">
        <v>575</v>
      </c>
      <c r="C15" s="3">
        <v>1</v>
      </c>
      <c r="D15" s="3" t="s">
        <v>430</v>
      </c>
      <c r="E15" s="8">
        <v>1</v>
      </c>
      <c r="F15" s="3" t="s">
        <v>465</v>
      </c>
      <c r="G15" s="95">
        <v>4</v>
      </c>
      <c r="H15" s="95" t="s">
        <v>181</v>
      </c>
      <c r="I15" s="3">
        <v>4</v>
      </c>
      <c r="J15" s="53" t="s">
        <v>216</v>
      </c>
      <c r="K15" s="5">
        <v>4</v>
      </c>
      <c r="L15" s="5" t="s">
        <v>1906</v>
      </c>
      <c r="M15" s="7">
        <v>1</v>
      </c>
      <c r="N15" s="22" t="s">
        <v>1907</v>
      </c>
      <c r="O15" s="7">
        <v>4</v>
      </c>
      <c r="P15" s="68" t="s">
        <v>69</v>
      </c>
      <c r="Q15" s="7">
        <v>1</v>
      </c>
      <c r="R15" s="22" t="s">
        <v>1908</v>
      </c>
      <c r="S15" s="23">
        <v>4</v>
      </c>
      <c r="T15" s="23" t="s">
        <v>1882</v>
      </c>
      <c r="U15" s="5">
        <v>4</v>
      </c>
      <c r="V15" s="5" t="s">
        <v>1511</v>
      </c>
      <c r="W15" s="18">
        <v>4</v>
      </c>
      <c r="X15" s="8" t="s">
        <v>2357</v>
      </c>
    </row>
    <row r="16" spans="1:24">
      <c r="A16" s="8">
        <v>1</v>
      </c>
      <c r="B16" s="13" t="s">
        <v>1226</v>
      </c>
      <c r="C16" s="3">
        <v>1</v>
      </c>
      <c r="D16" s="3" t="s">
        <v>897</v>
      </c>
      <c r="E16" s="8">
        <v>1</v>
      </c>
      <c r="F16" s="3" t="s">
        <v>536</v>
      </c>
      <c r="G16" s="3">
        <v>3</v>
      </c>
      <c r="H16" s="3" t="s">
        <v>675</v>
      </c>
      <c r="I16" s="3">
        <v>2</v>
      </c>
      <c r="J16" s="53" t="s">
        <v>193</v>
      </c>
      <c r="K16" s="5">
        <v>4</v>
      </c>
      <c r="L16" s="5" t="s">
        <v>239</v>
      </c>
      <c r="M16" s="3">
        <v>3</v>
      </c>
      <c r="N16" s="22" t="s">
        <v>1509</v>
      </c>
      <c r="O16" s="7">
        <v>4</v>
      </c>
      <c r="P16" s="68" t="s">
        <v>243</v>
      </c>
      <c r="Q16" s="7">
        <v>1</v>
      </c>
      <c r="R16" s="22" t="s">
        <v>1398</v>
      </c>
      <c r="S16" s="5">
        <v>3</v>
      </c>
      <c r="T16" s="5" t="s">
        <v>1548</v>
      </c>
      <c r="U16" s="5">
        <v>4</v>
      </c>
      <c r="V16" s="5" t="s">
        <v>3106</v>
      </c>
      <c r="W16" s="18">
        <v>4</v>
      </c>
      <c r="X16" s="8" t="s">
        <v>206</v>
      </c>
    </row>
    <row r="17" spans="1:22">
      <c r="A17" s="8">
        <v>3</v>
      </c>
      <c r="B17" s="13" t="s">
        <v>237</v>
      </c>
      <c r="C17" s="3">
        <v>1</v>
      </c>
      <c r="D17" s="3" t="s">
        <v>1475</v>
      </c>
      <c r="E17" s="8">
        <v>4</v>
      </c>
      <c r="F17" s="3" t="s">
        <v>1846</v>
      </c>
      <c r="G17" s="3">
        <v>3</v>
      </c>
      <c r="H17" s="3" t="s">
        <v>713</v>
      </c>
      <c r="I17" s="3">
        <v>4</v>
      </c>
      <c r="J17" s="53" t="s">
        <v>200</v>
      </c>
      <c r="M17" s="3">
        <v>1</v>
      </c>
      <c r="N17" s="22" t="s">
        <v>670</v>
      </c>
      <c r="O17" s="7">
        <v>4</v>
      </c>
      <c r="P17" s="68" t="s">
        <v>149</v>
      </c>
      <c r="Q17" s="7">
        <v>1</v>
      </c>
      <c r="R17" s="22" t="s">
        <v>381</v>
      </c>
      <c r="S17" s="18">
        <v>3</v>
      </c>
      <c r="T17" s="18" t="s">
        <v>1909</v>
      </c>
      <c r="U17" s="5">
        <v>4</v>
      </c>
      <c r="V17" s="5" t="s">
        <v>632</v>
      </c>
    </row>
    <row r="18" spans="1:22">
      <c r="A18" s="8">
        <v>4</v>
      </c>
      <c r="B18" s="13" t="s">
        <v>258</v>
      </c>
      <c r="C18" s="3">
        <v>1</v>
      </c>
      <c r="D18" s="3" t="s">
        <v>1846</v>
      </c>
      <c r="E18" s="8">
        <v>4</v>
      </c>
      <c r="F18" s="3" t="s">
        <v>1910</v>
      </c>
      <c r="G18" s="3">
        <v>1</v>
      </c>
      <c r="H18" s="3" t="s">
        <v>155</v>
      </c>
      <c r="I18" s="3">
        <v>4</v>
      </c>
      <c r="J18" s="53" t="s">
        <v>175</v>
      </c>
      <c r="M18" s="3">
        <v>1</v>
      </c>
      <c r="N18" s="22" t="s">
        <v>38</v>
      </c>
      <c r="O18" s="7">
        <v>4</v>
      </c>
      <c r="P18" s="68" t="s">
        <v>239</v>
      </c>
      <c r="Q18" s="7">
        <v>4</v>
      </c>
      <c r="R18" s="22" t="s">
        <v>1291</v>
      </c>
      <c r="S18" s="129">
        <v>2</v>
      </c>
      <c r="T18" s="129" t="s">
        <v>267</v>
      </c>
      <c r="U18" s="5">
        <v>1</v>
      </c>
      <c r="V18" s="5" t="s">
        <v>219</v>
      </c>
    </row>
    <row r="19" spans="1:22">
      <c r="A19" s="8">
        <v>4</v>
      </c>
      <c r="B19" s="13" t="s">
        <v>142</v>
      </c>
      <c r="C19" s="3">
        <v>1</v>
      </c>
      <c r="D19" s="3" t="s">
        <v>245</v>
      </c>
      <c r="E19" s="8">
        <v>4</v>
      </c>
      <c r="F19" s="3" t="s">
        <v>239</v>
      </c>
      <c r="G19" s="3">
        <v>4</v>
      </c>
      <c r="H19" s="3" t="s">
        <v>128</v>
      </c>
      <c r="M19" s="3">
        <v>4</v>
      </c>
      <c r="N19" s="22" t="s">
        <v>142</v>
      </c>
      <c r="O19" s="7">
        <v>1</v>
      </c>
      <c r="P19" s="68" t="s">
        <v>1911</v>
      </c>
      <c r="Q19" s="7">
        <v>2</v>
      </c>
      <c r="R19" s="22" t="s">
        <v>351</v>
      </c>
      <c r="S19" s="18">
        <v>2</v>
      </c>
      <c r="T19" s="18" t="s">
        <v>209</v>
      </c>
      <c r="U19" s="5">
        <v>2</v>
      </c>
      <c r="V19" s="5" t="s">
        <v>209</v>
      </c>
    </row>
    <row r="20" spans="1:22">
      <c r="A20" s="8">
        <v>2</v>
      </c>
      <c r="B20" s="13" t="s">
        <v>1221</v>
      </c>
      <c r="C20" s="3">
        <v>1</v>
      </c>
      <c r="D20" s="3" t="s">
        <v>1227</v>
      </c>
      <c r="E20" s="8">
        <v>4</v>
      </c>
      <c r="F20" s="3" t="s">
        <v>113</v>
      </c>
      <c r="G20" s="3">
        <v>1</v>
      </c>
      <c r="H20" s="3" t="s">
        <v>592</v>
      </c>
      <c r="I20" s="92"/>
      <c r="J20" s="87"/>
      <c r="M20" s="3">
        <v>4</v>
      </c>
      <c r="N20" s="22" t="s">
        <v>1057</v>
      </c>
      <c r="O20" s="7">
        <v>1</v>
      </c>
      <c r="P20" s="68" t="s">
        <v>1913</v>
      </c>
      <c r="Q20" s="7">
        <v>1</v>
      </c>
      <c r="R20" s="22" t="s">
        <v>1804</v>
      </c>
      <c r="S20" s="18">
        <v>2</v>
      </c>
      <c r="T20" s="18" t="s">
        <v>155</v>
      </c>
      <c r="U20" s="5">
        <v>2</v>
      </c>
      <c r="V20" s="5" t="s">
        <v>267</v>
      </c>
    </row>
    <row r="21" spans="1:22">
      <c r="A21" s="8">
        <v>1</v>
      </c>
      <c r="B21" s="13" t="s">
        <v>193</v>
      </c>
      <c r="C21" s="95">
        <v>1</v>
      </c>
      <c r="D21" s="95" t="s">
        <v>202</v>
      </c>
      <c r="E21" s="8">
        <v>4</v>
      </c>
      <c r="F21" s="3" t="s">
        <v>142</v>
      </c>
      <c r="G21" s="3">
        <v>1</v>
      </c>
      <c r="H21" s="3" t="s">
        <v>694</v>
      </c>
      <c r="I21" s="92"/>
      <c r="J21" s="87"/>
      <c r="M21" s="3">
        <v>4</v>
      </c>
      <c r="N21" s="22" t="s">
        <v>113</v>
      </c>
      <c r="O21" s="7">
        <v>4</v>
      </c>
      <c r="P21" s="68" t="s">
        <v>574</v>
      </c>
      <c r="Q21" s="7">
        <v>1</v>
      </c>
      <c r="R21" s="22" t="s">
        <v>1721</v>
      </c>
      <c r="S21" s="5">
        <v>2</v>
      </c>
      <c r="T21" s="5" t="s">
        <v>1912</v>
      </c>
      <c r="U21" s="5">
        <v>2</v>
      </c>
      <c r="V21" s="5" t="s">
        <v>2624</v>
      </c>
    </row>
    <row r="22" spans="1:22">
      <c r="A22" s="8">
        <v>3</v>
      </c>
      <c r="B22" s="13" t="s">
        <v>243</v>
      </c>
      <c r="C22" s="3">
        <v>4</v>
      </c>
      <c r="D22" s="3" t="s">
        <v>1224</v>
      </c>
      <c r="E22" s="8">
        <v>3</v>
      </c>
      <c r="F22" s="3" t="s">
        <v>1057</v>
      </c>
      <c r="G22" s="3">
        <v>1</v>
      </c>
      <c r="H22" s="3" t="s">
        <v>707</v>
      </c>
      <c r="I22" s="92"/>
      <c r="J22" s="87"/>
      <c r="K22" s="96"/>
      <c r="L22" s="96"/>
      <c r="M22" s="3">
        <v>3</v>
      </c>
      <c r="N22" s="22" t="s">
        <v>193</v>
      </c>
      <c r="O22" s="7">
        <v>1</v>
      </c>
      <c r="P22" s="68" t="s">
        <v>202</v>
      </c>
      <c r="Q22" s="7">
        <v>1</v>
      </c>
      <c r="R22" s="22" t="s">
        <v>806</v>
      </c>
      <c r="S22" s="5">
        <v>2</v>
      </c>
      <c r="T22" s="5" t="s">
        <v>219</v>
      </c>
    </row>
    <row r="23" spans="1:22">
      <c r="A23" s="8">
        <v>1</v>
      </c>
      <c r="B23" s="13" t="s">
        <v>1227</v>
      </c>
      <c r="C23" s="3">
        <v>4</v>
      </c>
      <c r="D23" s="3" t="s">
        <v>142</v>
      </c>
      <c r="E23" s="8">
        <v>1</v>
      </c>
      <c r="F23" s="3" t="s">
        <v>241</v>
      </c>
      <c r="G23" s="3">
        <v>1</v>
      </c>
      <c r="H23" s="3" t="s">
        <v>610</v>
      </c>
      <c r="I23" s="92"/>
      <c r="J23" s="87"/>
      <c r="K23" s="96"/>
      <c r="L23" s="96"/>
      <c r="M23" s="3">
        <v>2</v>
      </c>
      <c r="N23" s="22" t="s">
        <v>750</v>
      </c>
      <c r="O23" s="7">
        <v>4</v>
      </c>
      <c r="P23" s="68" t="s">
        <v>223</v>
      </c>
      <c r="Q23" s="7">
        <v>4</v>
      </c>
      <c r="R23" s="22" t="s">
        <v>1016</v>
      </c>
    </row>
    <row r="24" spans="1:22">
      <c r="A24" s="37">
        <v>1</v>
      </c>
      <c r="B24" s="97" t="s">
        <v>202</v>
      </c>
      <c r="C24" s="3">
        <v>4</v>
      </c>
      <c r="D24" s="3" t="s">
        <v>113</v>
      </c>
      <c r="E24" s="8">
        <v>1</v>
      </c>
      <c r="F24" s="3" t="s">
        <v>1849</v>
      </c>
      <c r="G24" s="3">
        <v>4</v>
      </c>
      <c r="H24" s="3" t="s">
        <v>678</v>
      </c>
      <c r="I24" s="92"/>
      <c r="J24" s="87"/>
      <c r="K24" s="96"/>
      <c r="L24" s="96"/>
      <c r="M24" s="3">
        <v>1</v>
      </c>
      <c r="N24" s="22" t="s">
        <v>155</v>
      </c>
      <c r="O24" s="7">
        <v>2</v>
      </c>
      <c r="P24" s="68" t="s">
        <v>1914</v>
      </c>
      <c r="Q24" s="7">
        <v>1</v>
      </c>
      <c r="R24" s="22" t="s">
        <v>1726</v>
      </c>
    </row>
    <row r="25" spans="1:22">
      <c r="A25" s="8">
        <v>4</v>
      </c>
      <c r="B25" s="13" t="s">
        <v>239</v>
      </c>
      <c r="C25" s="3">
        <v>3</v>
      </c>
      <c r="D25" s="3" t="s">
        <v>209</v>
      </c>
      <c r="E25" s="8">
        <v>1</v>
      </c>
      <c r="F25" s="3" t="s">
        <v>1227</v>
      </c>
      <c r="G25" s="8">
        <v>4</v>
      </c>
      <c r="H25" s="3" t="s">
        <v>169</v>
      </c>
      <c r="I25" s="92"/>
      <c r="J25" s="87"/>
      <c r="K25" s="96"/>
      <c r="L25" s="96"/>
      <c r="M25" s="3">
        <v>1</v>
      </c>
      <c r="N25" s="22" t="s">
        <v>615</v>
      </c>
      <c r="Q25" s="7">
        <v>4</v>
      </c>
      <c r="R25" s="22" t="s">
        <v>928</v>
      </c>
    </row>
    <row r="26" spans="1:22">
      <c r="A26" s="8">
        <v>4</v>
      </c>
      <c r="B26" s="13" t="s">
        <v>180</v>
      </c>
      <c r="C26" s="3">
        <v>2</v>
      </c>
      <c r="D26" s="3" t="s">
        <v>261</v>
      </c>
      <c r="E26" s="37">
        <v>1</v>
      </c>
      <c r="F26" s="95" t="s">
        <v>202</v>
      </c>
      <c r="J26" s="87"/>
      <c r="K26" s="96"/>
      <c r="L26" s="96"/>
      <c r="M26" s="3">
        <v>1</v>
      </c>
      <c r="N26" s="22" t="s">
        <v>219</v>
      </c>
      <c r="Q26" s="7">
        <v>3</v>
      </c>
      <c r="R26" s="22" t="s">
        <v>142</v>
      </c>
    </row>
    <row r="27" spans="1:22">
      <c r="A27" s="8">
        <v>3</v>
      </c>
      <c r="B27" s="13" t="s">
        <v>223</v>
      </c>
      <c r="C27" s="3">
        <v>1</v>
      </c>
      <c r="D27" s="3" t="s">
        <v>1585</v>
      </c>
      <c r="E27" s="8">
        <v>1</v>
      </c>
      <c r="F27" s="3" t="s">
        <v>209</v>
      </c>
      <c r="G27" s="26"/>
      <c r="H27" s="87"/>
      <c r="I27" s="87"/>
      <c r="J27" s="87"/>
      <c r="K27" s="96"/>
      <c r="L27" s="96"/>
      <c r="M27" s="3">
        <v>2</v>
      </c>
      <c r="N27" s="22" t="s">
        <v>713</v>
      </c>
      <c r="Q27" s="7">
        <v>4</v>
      </c>
      <c r="R27" s="22" t="s">
        <v>946</v>
      </c>
    </row>
    <row r="28" spans="1:22">
      <c r="A28" s="8">
        <v>1</v>
      </c>
      <c r="B28" s="13" t="s">
        <v>209</v>
      </c>
      <c r="C28" s="3">
        <v>1</v>
      </c>
      <c r="D28" s="3" t="s">
        <v>1915</v>
      </c>
      <c r="E28" s="8">
        <v>1</v>
      </c>
      <c r="F28" s="3" t="s">
        <v>267</v>
      </c>
      <c r="G28" s="26"/>
      <c r="H28" s="87"/>
      <c r="I28" s="87"/>
      <c r="J28" s="87"/>
      <c r="K28" s="96"/>
      <c r="L28" s="96"/>
      <c r="M28" s="3">
        <v>1</v>
      </c>
      <c r="N28" s="22" t="s">
        <v>1916</v>
      </c>
      <c r="Q28" s="7">
        <v>4</v>
      </c>
      <c r="R28" s="22" t="s">
        <v>1917</v>
      </c>
    </row>
    <row r="29" spans="1:22">
      <c r="A29" s="26"/>
      <c r="B29" s="87"/>
      <c r="C29" s="3">
        <v>1</v>
      </c>
      <c r="D29" s="3" t="s">
        <v>1918</v>
      </c>
      <c r="E29" s="8">
        <v>1</v>
      </c>
      <c r="F29" s="3" t="s">
        <v>155</v>
      </c>
      <c r="G29" s="26"/>
      <c r="H29" s="87"/>
      <c r="I29" s="87"/>
      <c r="J29" s="87"/>
      <c r="K29" s="96"/>
      <c r="L29" s="96"/>
      <c r="M29" s="3">
        <v>3</v>
      </c>
      <c r="N29" s="22" t="s">
        <v>678</v>
      </c>
      <c r="Q29" s="7">
        <v>3</v>
      </c>
      <c r="R29" s="22" t="s">
        <v>1919</v>
      </c>
    </row>
    <row r="30" spans="1:22">
      <c r="A30" s="26"/>
      <c r="B30" s="87"/>
      <c r="C30" s="3">
        <v>1</v>
      </c>
      <c r="D30" s="3" t="s">
        <v>155</v>
      </c>
      <c r="E30" s="8">
        <v>1</v>
      </c>
      <c r="F30" s="3" t="s">
        <v>1920</v>
      </c>
      <c r="G30" s="26"/>
      <c r="H30" s="87"/>
      <c r="I30" s="87"/>
      <c r="J30" s="87"/>
      <c r="K30" s="96"/>
      <c r="L30" s="96"/>
      <c r="M30" s="3">
        <v>2</v>
      </c>
      <c r="N30" s="22" t="s">
        <v>694</v>
      </c>
      <c r="Q30" s="7">
        <v>4</v>
      </c>
      <c r="R30" s="22" t="s">
        <v>145</v>
      </c>
    </row>
    <row r="31" spans="1:22">
      <c r="A31" s="26"/>
      <c r="B31" s="87"/>
      <c r="C31" s="3">
        <v>1</v>
      </c>
      <c r="D31" s="3" t="s">
        <v>145</v>
      </c>
      <c r="E31" s="26"/>
      <c r="F31" s="87"/>
      <c r="G31" s="87"/>
      <c r="H31" s="87"/>
      <c r="I31" s="87"/>
      <c r="J31" s="87"/>
      <c r="K31" s="96"/>
      <c r="L31" s="96"/>
      <c r="M31" s="3">
        <v>1</v>
      </c>
      <c r="N31" s="22" t="s">
        <v>707</v>
      </c>
      <c r="Q31" s="7">
        <v>1</v>
      </c>
      <c r="R31" s="22" t="s">
        <v>1046</v>
      </c>
    </row>
    <row r="32" spans="1:22">
      <c r="A32" s="26"/>
      <c r="B32" s="26"/>
      <c r="C32" s="3">
        <v>1</v>
      </c>
      <c r="D32" s="3" t="s">
        <v>267</v>
      </c>
      <c r="E32" s="26"/>
      <c r="F32" s="87"/>
      <c r="G32" s="87"/>
      <c r="H32" s="87"/>
      <c r="I32" s="87"/>
      <c r="J32" s="87"/>
      <c r="K32" s="96"/>
      <c r="L32" s="96"/>
      <c r="M32" s="87"/>
      <c r="Q32" s="7">
        <v>1</v>
      </c>
      <c r="R32" s="22" t="s">
        <v>209</v>
      </c>
    </row>
    <row r="33" spans="1:18">
      <c r="A33" s="26"/>
      <c r="B33" s="26"/>
      <c r="C33" s="3">
        <v>1</v>
      </c>
      <c r="D33" s="3" t="s">
        <v>1921</v>
      </c>
      <c r="E33" s="26"/>
      <c r="F33" s="87"/>
      <c r="G33" s="26"/>
      <c r="H33" s="87"/>
      <c r="I33" s="87"/>
      <c r="J33" s="87"/>
      <c r="K33" s="96"/>
      <c r="L33" s="96"/>
      <c r="M33" s="87"/>
      <c r="Q33" s="7">
        <v>1</v>
      </c>
      <c r="R33" s="22" t="s">
        <v>219</v>
      </c>
    </row>
    <row r="34" spans="1:18">
      <c r="A34" s="26"/>
      <c r="B34" s="87"/>
      <c r="C34" s="87"/>
      <c r="D34" s="26"/>
      <c r="E34" s="26"/>
      <c r="F34" s="87"/>
      <c r="G34" s="26"/>
      <c r="H34" s="87"/>
      <c r="I34" s="87"/>
      <c r="J34" s="87"/>
      <c r="K34" s="96"/>
      <c r="L34" s="96"/>
      <c r="M34" s="87"/>
      <c r="Q34" s="7">
        <v>2</v>
      </c>
      <c r="R34" s="22" t="s">
        <v>1071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CFF"/>
  </sheetPr>
  <dimension ref="A1:T39"/>
  <sheetViews>
    <sheetView topLeftCell="D1" zoomScaleNormal="100" workbookViewId="0">
      <selection activeCell="H37" sqref="H37"/>
    </sheetView>
  </sheetViews>
  <sheetFormatPr baseColWidth="10" defaultColWidth="9.140625" defaultRowHeight="15"/>
  <cols>
    <col min="1" max="1" width="3" style="1" customWidth="1"/>
    <col min="2" max="2" width="22.42578125" style="197" customWidth="1"/>
    <col min="3" max="3" width="3" style="1" customWidth="1"/>
    <col min="4" max="4" width="19.5703125" style="1" customWidth="1"/>
    <col min="5" max="5" width="3" customWidth="1"/>
    <col min="6" max="6" width="27.140625" customWidth="1"/>
    <col min="7" max="7" width="3" style="26" customWidth="1"/>
    <col min="8" max="8" width="30.140625" style="26" customWidth="1"/>
    <col min="9" max="9" width="3" style="26" customWidth="1"/>
    <col min="10" max="10" width="22.42578125" style="8" customWidth="1"/>
    <col min="11" max="11" width="3" style="26" customWidth="1"/>
    <col min="12" max="12" width="22.42578125" style="26" customWidth="1"/>
    <col min="13" max="13" width="3" style="26" customWidth="1"/>
    <col min="14" max="14" width="30.140625" style="26" customWidth="1"/>
    <col min="15" max="15" width="3" style="26" customWidth="1"/>
    <col min="16" max="16" width="21.42578125" style="26" customWidth="1"/>
    <col min="17" max="17" width="3" style="26" customWidth="1"/>
    <col min="18" max="18" width="19.42578125" style="26" customWidth="1"/>
    <col min="19" max="19" width="3" style="26" customWidth="1"/>
    <col min="20" max="20" width="30.140625" style="26" customWidth="1"/>
    <col min="21" max="1025" width="10.7109375" customWidth="1"/>
  </cols>
  <sheetData>
    <row r="1" spans="1:20" s="98" customFormat="1">
      <c r="A1" s="57">
        <f>SUM(A2:A22)</f>
        <v>60</v>
      </c>
      <c r="B1" s="57" t="s">
        <v>1787</v>
      </c>
      <c r="C1" s="198">
        <f>SUM(C2:C20)</f>
        <v>60</v>
      </c>
      <c r="D1" s="6" t="s">
        <v>1922</v>
      </c>
      <c r="E1" s="4">
        <f>SUM(E2:E27)</f>
        <v>60</v>
      </c>
      <c r="F1" s="33" t="s">
        <v>1859</v>
      </c>
      <c r="G1" s="4">
        <f>SUM(G2:G33)</f>
        <v>60</v>
      </c>
      <c r="H1" s="10" t="s">
        <v>1923</v>
      </c>
      <c r="I1" s="56">
        <f>SUM(I2:I37)</f>
        <v>60</v>
      </c>
      <c r="J1" s="10" t="s">
        <v>1857</v>
      </c>
      <c r="K1" s="42">
        <f>SUM(K2:K39)</f>
        <v>60</v>
      </c>
      <c r="L1" s="9" t="s">
        <v>2656</v>
      </c>
      <c r="M1" s="4">
        <f>SUM(M2:M30)</f>
        <v>60</v>
      </c>
      <c r="N1" s="9" t="s">
        <v>785</v>
      </c>
      <c r="O1" s="4">
        <f>SUM(O2:O32)</f>
        <v>60</v>
      </c>
      <c r="P1" s="10" t="s">
        <v>1924</v>
      </c>
      <c r="Q1" s="4">
        <f>SUM(Q2:Q30)</f>
        <v>60</v>
      </c>
      <c r="R1" s="10" t="s">
        <v>1880</v>
      </c>
      <c r="S1" s="17">
        <f>SUM(S2:S16)</f>
        <v>60</v>
      </c>
      <c r="T1" s="130" t="s">
        <v>2150</v>
      </c>
    </row>
    <row r="2" spans="1:20">
      <c r="A2" s="18">
        <v>4</v>
      </c>
      <c r="B2" s="18" t="s">
        <v>1273</v>
      </c>
      <c r="C2" s="24">
        <v>3</v>
      </c>
      <c r="D2" s="5" t="s">
        <v>33</v>
      </c>
      <c r="E2" s="5">
        <v>3</v>
      </c>
      <c r="F2" s="12" t="s">
        <v>1844</v>
      </c>
      <c r="G2" s="8">
        <v>4</v>
      </c>
      <c r="H2" s="8" t="s">
        <v>33</v>
      </c>
      <c r="I2" s="26">
        <v>3</v>
      </c>
      <c r="J2" s="8" t="s">
        <v>24</v>
      </c>
      <c r="K2" s="8">
        <v>4</v>
      </c>
      <c r="L2" s="8" t="s">
        <v>1277</v>
      </c>
      <c r="M2" s="35">
        <v>3</v>
      </c>
      <c r="N2" s="14" t="s">
        <v>1833</v>
      </c>
      <c r="O2" s="8">
        <v>3</v>
      </c>
      <c r="P2" s="8" t="s">
        <v>24</v>
      </c>
      <c r="Q2" s="8">
        <v>1</v>
      </c>
      <c r="R2" s="8" t="s">
        <v>311</v>
      </c>
      <c r="S2" s="18">
        <v>4</v>
      </c>
      <c r="T2" s="8" t="s">
        <v>1791</v>
      </c>
    </row>
    <row r="3" spans="1:20">
      <c r="A3" s="18">
        <v>4</v>
      </c>
      <c r="B3" s="18" t="s">
        <v>1292</v>
      </c>
      <c r="C3" s="24">
        <v>1</v>
      </c>
      <c r="D3" s="5" t="s">
        <v>49</v>
      </c>
      <c r="E3" s="5">
        <v>1</v>
      </c>
      <c r="F3" s="13" t="s">
        <v>1927</v>
      </c>
      <c r="G3" s="8">
        <v>1</v>
      </c>
      <c r="H3" s="8" t="s">
        <v>311</v>
      </c>
      <c r="I3" s="140">
        <v>1</v>
      </c>
      <c r="J3" s="70" t="s">
        <v>1926</v>
      </c>
      <c r="K3" s="8">
        <v>1</v>
      </c>
      <c r="L3" s="8" t="s">
        <v>1843</v>
      </c>
      <c r="M3" s="35">
        <v>1</v>
      </c>
      <c r="N3" s="14" t="s">
        <v>806</v>
      </c>
      <c r="O3" s="8">
        <v>1</v>
      </c>
      <c r="P3" s="8" t="s">
        <v>52</v>
      </c>
      <c r="Q3" s="8">
        <v>3</v>
      </c>
      <c r="R3" s="8" t="s">
        <v>1927</v>
      </c>
      <c r="S3" s="18">
        <v>14</v>
      </c>
      <c r="T3" s="8" t="s">
        <v>1790</v>
      </c>
    </row>
    <row r="4" spans="1:20">
      <c r="A4" s="18">
        <v>1</v>
      </c>
      <c r="B4" s="18" t="s">
        <v>38</v>
      </c>
      <c r="C4" s="24">
        <v>4</v>
      </c>
      <c r="D4" s="5" t="s">
        <v>20</v>
      </c>
      <c r="E4" s="5">
        <v>4</v>
      </c>
      <c r="F4" s="12" t="s">
        <v>79</v>
      </c>
      <c r="G4" s="8">
        <v>4</v>
      </c>
      <c r="H4" s="70" t="s">
        <v>1929</v>
      </c>
      <c r="I4" s="140">
        <v>1</v>
      </c>
      <c r="J4" s="70" t="s">
        <v>1475</v>
      </c>
      <c r="K4" s="8">
        <v>1</v>
      </c>
      <c r="L4" s="8" t="s">
        <v>65</v>
      </c>
      <c r="M4" s="35">
        <v>4</v>
      </c>
      <c r="N4" s="14" t="s">
        <v>826</v>
      </c>
      <c r="O4" s="8">
        <v>2</v>
      </c>
      <c r="P4" s="8" t="s">
        <v>837</v>
      </c>
      <c r="Q4" s="8">
        <v>4</v>
      </c>
      <c r="R4" s="8" t="s">
        <v>463</v>
      </c>
      <c r="S4" s="18">
        <v>2</v>
      </c>
      <c r="T4" s="8" t="s">
        <v>1800</v>
      </c>
    </row>
    <row r="5" spans="1:20">
      <c r="A5" s="18">
        <v>1</v>
      </c>
      <c r="B5" s="18" t="s">
        <v>1314</v>
      </c>
      <c r="C5" s="24">
        <v>4</v>
      </c>
      <c r="D5" s="5" t="s">
        <v>351</v>
      </c>
      <c r="E5" s="5">
        <v>1</v>
      </c>
      <c r="F5" s="12" t="s">
        <v>52</v>
      </c>
      <c r="G5" s="8">
        <v>1</v>
      </c>
      <c r="H5" s="8" t="s">
        <v>1298</v>
      </c>
      <c r="I5" s="140">
        <v>1</v>
      </c>
      <c r="J5" s="70" t="s">
        <v>1930</v>
      </c>
      <c r="K5" s="8">
        <v>4</v>
      </c>
      <c r="L5" s="70" t="s">
        <v>52</v>
      </c>
      <c r="M5" s="35">
        <v>2</v>
      </c>
      <c r="N5" s="14" t="s">
        <v>837</v>
      </c>
      <c r="O5" s="8">
        <v>2</v>
      </c>
      <c r="P5" s="8" t="s">
        <v>859</v>
      </c>
      <c r="Q5" s="8">
        <v>4</v>
      </c>
      <c r="R5" s="8" t="s">
        <v>351</v>
      </c>
      <c r="S5" s="18">
        <v>3</v>
      </c>
      <c r="T5" s="8" t="s">
        <v>1798</v>
      </c>
    </row>
    <row r="6" spans="1:20">
      <c r="A6" s="18">
        <v>1</v>
      </c>
      <c r="B6" s="18" t="s">
        <v>1802</v>
      </c>
      <c r="C6" s="24">
        <v>4</v>
      </c>
      <c r="D6" s="5" t="s">
        <v>61</v>
      </c>
      <c r="E6" s="18">
        <v>4</v>
      </c>
      <c r="F6" s="12" t="s">
        <v>148</v>
      </c>
      <c r="G6" s="8">
        <v>1</v>
      </c>
      <c r="H6" s="8" t="s">
        <v>52</v>
      </c>
      <c r="I6" s="140">
        <v>1</v>
      </c>
      <c r="J6" s="70" t="s">
        <v>1493</v>
      </c>
      <c r="K6" s="8">
        <v>1</v>
      </c>
      <c r="L6" s="8" t="s">
        <v>439</v>
      </c>
      <c r="M6" s="35">
        <v>2</v>
      </c>
      <c r="N6" s="14" t="s">
        <v>859</v>
      </c>
      <c r="O6" s="8">
        <v>4</v>
      </c>
      <c r="P6" s="8" t="s">
        <v>826</v>
      </c>
      <c r="Q6" s="8">
        <v>4</v>
      </c>
      <c r="R6" s="8" t="s">
        <v>1886</v>
      </c>
      <c r="S6" s="18">
        <v>1</v>
      </c>
      <c r="T6" s="8" t="s">
        <v>1048</v>
      </c>
    </row>
    <row r="7" spans="1:20">
      <c r="A7" s="18">
        <v>4</v>
      </c>
      <c r="B7" s="18" t="s">
        <v>1382</v>
      </c>
      <c r="C7" s="24">
        <v>1</v>
      </c>
      <c r="D7" s="5" t="s">
        <v>105</v>
      </c>
      <c r="E7" s="5">
        <v>1</v>
      </c>
      <c r="F7" s="12" t="s">
        <v>1807</v>
      </c>
      <c r="G7" s="8">
        <v>3</v>
      </c>
      <c r="H7" s="70" t="s">
        <v>1931</v>
      </c>
      <c r="I7" s="140">
        <v>1</v>
      </c>
      <c r="J7" s="70" t="s">
        <v>982</v>
      </c>
      <c r="K7" s="8">
        <v>4</v>
      </c>
      <c r="L7" s="70" t="s">
        <v>148</v>
      </c>
      <c r="M7" s="35">
        <v>1</v>
      </c>
      <c r="N7" s="14" t="s">
        <v>871</v>
      </c>
      <c r="O7" s="8">
        <v>1</v>
      </c>
      <c r="P7" s="8" t="s">
        <v>836</v>
      </c>
      <c r="Q7" s="8">
        <v>2</v>
      </c>
      <c r="R7" s="8" t="s">
        <v>38</v>
      </c>
      <c r="S7" s="18">
        <v>1</v>
      </c>
      <c r="T7" s="8" t="s">
        <v>2241</v>
      </c>
    </row>
    <row r="8" spans="1:20">
      <c r="A8" s="199">
        <v>1</v>
      </c>
      <c r="B8" s="21" t="s">
        <v>1361</v>
      </c>
      <c r="C8" s="24">
        <v>3</v>
      </c>
      <c r="D8" s="5" t="s">
        <v>713</v>
      </c>
      <c r="E8" s="5">
        <v>1</v>
      </c>
      <c r="F8" s="39" t="s">
        <v>904</v>
      </c>
      <c r="G8" s="8">
        <v>1</v>
      </c>
      <c r="H8" s="8" t="s">
        <v>513</v>
      </c>
      <c r="I8" s="26">
        <v>1</v>
      </c>
      <c r="J8" s="8" t="s">
        <v>2613</v>
      </c>
      <c r="K8" s="8">
        <v>1</v>
      </c>
      <c r="L8" s="8" t="s">
        <v>382</v>
      </c>
      <c r="M8" s="35">
        <v>1</v>
      </c>
      <c r="N8" s="14" t="s">
        <v>894</v>
      </c>
      <c r="O8" s="8">
        <v>4</v>
      </c>
      <c r="P8" s="8" t="s">
        <v>148</v>
      </c>
      <c r="Q8" s="8">
        <v>4</v>
      </c>
      <c r="R8" s="8" t="s">
        <v>20</v>
      </c>
      <c r="S8" s="18">
        <v>4</v>
      </c>
      <c r="T8" s="8" t="s">
        <v>1057</v>
      </c>
    </row>
    <row r="9" spans="1:20">
      <c r="A9" s="18">
        <v>3</v>
      </c>
      <c r="B9" s="18" t="s">
        <v>1400</v>
      </c>
      <c r="C9" s="24">
        <v>4</v>
      </c>
      <c r="D9" s="5" t="s">
        <v>1933</v>
      </c>
      <c r="E9" s="5">
        <v>2</v>
      </c>
      <c r="F9" s="39" t="s">
        <v>1934</v>
      </c>
      <c r="G9" s="8">
        <v>3</v>
      </c>
      <c r="H9" s="8" t="s">
        <v>430</v>
      </c>
      <c r="I9" s="140">
        <v>1</v>
      </c>
      <c r="J9" s="8" t="s">
        <v>599</v>
      </c>
      <c r="K9" s="8">
        <v>1</v>
      </c>
      <c r="L9" s="8" t="s">
        <v>1807</v>
      </c>
      <c r="M9" s="35">
        <v>1</v>
      </c>
      <c r="N9" s="14" t="s">
        <v>902</v>
      </c>
      <c r="O9" s="8">
        <v>1</v>
      </c>
      <c r="P9" s="8" t="s">
        <v>2658</v>
      </c>
      <c r="Q9" s="8">
        <v>4</v>
      </c>
      <c r="R9" s="8" t="s">
        <v>1292</v>
      </c>
      <c r="S9" s="8">
        <v>4</v>
      </c>
      <c r="T9" s="8" t="s">
        <v>1052</v>
      </c>
    </row>
    <row r="10" spans="1:20">
      <c r="A10" s="18">
        <v>1</v>
      </c>
      <c r="B10" s="18" t="s">
        <v>1865</v>
      </c>
      <c r="C10" s="24">
        <v>4</v>
      </c>
      <c r="D10" s="5" t="s">
        <v>155</v>
      </c>
      <c r="E10" s="5">
        <v>1</v>
      </c>
      <c r="F10" s="12" t="s">
        <v>599</v>
      </c>
      <c r="G10" s="8">
        <v>1</v>
      </c>
      <c r="H10" s="8" t="s">
        <v>1895</v>
      </c>
      <c r="I10" s="140">
        <v>1</v>
      </c>
      <c r="J10" s="8" t="s">
        <v>1932</v>
      </c>
      <c r="K10" s="8">
        <v>1</v>
      </c>
      <c r="L10" s="8" t="s">
        <v>430</v>
      </c>
      <c r="M10" s="35">
        <v>1</v>
      </c>
      <c r="N10" s="14" t="s">
        <v>1427</v>
      </c>
      <c r="O10" s="8">
        <v>1</v>
      </c>
      <c r="P10" s="8" t="s">
        <v>1427</v>
      </c>
      <c r="Q10" s="8">
        <v>1</v>
      </c>
      <c r="R10" s="8" t="s">
        <v>465</v>
      </c>
      <c r="S10" s="18">
        <v>4</v>
      </c>
      <c r="T10" s="8" t="s">
        <v>1919</v>
      </c>
    </row>
    <row r="11" spans="1:20">
      <c r="A11" s="18">
        <v>3</v>
      </c>
      <c r="B11" s="18" t="s">
        <v>1422</v>
      </c>
      <c r="C11" s="24">
        <v>4</v>
      </c>
      <c r="D11" s="5" t="s">
        <v>196</v>
      </c>
      <c r="E11" s="5">
        <v>1</v>
      </c>
      <c r="F11" s="12" t="s">
        <v>1493</v>
      </c>
      <c r="G11" s="8">
        <v>1</v>
      </c>
      <c r="H11" s="8" t="s">
        <v>518</v>
      </c>
      <c r="I11" s="140">
        <v>1</v>
      </c>
      <c r="J11" s="8" t="s">
        <v>1449</v>
      </c>
      <c r="K11" s="8">
        <v>1</v>
      </c>
      <c r="L11" s="8" t="s">
        <v>904</v>
      </c>
      <c r="M11" s="35">
        <v>1</v>
      </c>
      <c r="N11" s="14" t="s">
        <v>922</v>
      </c>
      <c r="O11" s="8">
        <v>1</v>
      </c>
      <c r="P11" s="8" t="s">
        <v>902</v>
      </c>
      <c r="Q11" s="8">
        <v>1</v>
      </c>
      <c r="R11" s="8" t="s">
        <v>1934</v>
      </c>
      <c r="S11" s="18">
        <v>4</v>
      </c>
      <c r="T11" s="8" t="s">
        <v>1681</v>
      </c>
    </row>
    <row r="12" spans="1:20">
      <c r="A12" s="18">
        <v>1</v>
      </c>
      <c r="B12" s="18" t="s">
        <v>1797</v>
      </c>
      <c r="C12" s="24">
        <v>4</v>
      </c>
      <c r="D12" s="5" t="s">
        <v>206</v>
      </c>
      <c r="E12" s="129">
        <v>1</v>
      </c>
      <c r="F12" s="132" t="s">
        <v>245</v>
      </c>
      <c r="G12" s="8">
        <v>1</v>
      </c>
      <c r="H12" s="8" t="s">
        <v>982</v>
      </c>
      <c r="I12" s="140">
        <v>1</v>
      </c>
      <c r="J12" s="8" t="s">
        <v>1807</v>
      </c>
      <c r="K12" s="8">
        <v>1</v>
      </c>
      <c r="L12" s="8" t="s">
        <v>599</v>
      </c>
      <c r="M12" s="35">
        <v>1</v>
      </c>
      <c r="N12" s="34" t="s">
        <v>932</v>
      </c>
      <c r="O12" s="8">
        <v>1</v>
      </c>
      <c r="P12" s="8" t="s">
        <v>922</v>
      </c>
      <c r="Q12" s="8">
        <v>1</v>
      </c>
      <c r="R12" s="8" t="s">
        <v>1895</v>
      </c>
      <c r="S12" s="8">
        <v>3</v>
      </c>
      <c r="T12" s="8" t="s">
        <v>181</v>
      </c>
    </row>
    <row r="13" spans="1:20">
      <c r="A13" s="18">
        <v>4</v>
      </c>
      <c r="B13" s="18" t="s">
        <v>1468</v>
      </c>
      <c r="C13" s="24">
        <v>4</v>
      </c>
      <c r="D13" s="5" t="s">
        <v>181</v>
      </c>
      <c r="E13" s="18">
        <v>3</v>
      </c>
      <c r="F13" s="39" t="s">
        <v>1893</v>
      </c>
      <c r="G13" s="8">
        <v>1</v>
      </c>
      <c r="H13" s="8" t="s">
        <v>599</v>
      </c>
      <c r="I13" s="140">
        <v>1</v>
      </c>
      <c r="J13" s="60" t="s">
        <v>430</v>
      </c>
      <c r="K13" s="8">
        <v>1</v>
      </c>
      <c r="L13" s="60" t="s">
        <v>2071</v>
      </c>
      <c r="M13" s="35">
        <v>1</v>
      </c>
      <c r="N13" s="140" t="s">
        <v>1895</v>
      </c>
      <c r="O13" s="8">
        <v>1</v>
      </c>
      <c r="P13" s="8" t="s">
        <v>1895</v>
      </c>
      <c r="Q13" s="8">
        <v>1</v>
      </c>
      <c r="R13" s="8" t="s">
        <v>1807</v>
      </c>
      <c r="S13" s="8">
        <v>4</v>
      </c>
      <c r="T13" s="8" t="s">
        <v>1805</v>
      </c>
    </row>
    <row r="14" spans="1:20">
      <c r="A14" s="18">
        <v>4</v>
      </c>
      <c r="B14" s="18" t="s">
        <v>987</v>
      </c>
      <c r="C14" s="24">
        <v>4</v>
      </c>
      <c r="D14" s="5" t="s">
        <v>215</v>
      </c>
      <c r="E14" s="5">
        <v>2</v>
      </c>
      <c r="F14" s="12" t="s">
        <v>1583</v>
      </c>
      <c r="G14" s="8">
        <v>1</v>
      </c>
      <c r="H14" s="8" t="s">
        <v>1475</v>
      </c>
      <c r="I14" s="140">
        <v>3</v>
      </c>
      <c r="J14" s="8" t="s">
        <v>1864</v>
      </c>
      <c r="K14" s="8">
        <v>1</v>
      </c>
      <c r="L14" s="8" t="s">
        <v>526</v>
      </c>
      <c r="M14" s="35">
        <v>1</v>
      </c>
      <c r="N14" s="140" t="s">
        <v>2657</v>
      </c>
      <c r="O14" s="8">
        <v>1</v>
      </c>
      <c r="P14" s="8" t="s">
        <v>932</v>
      </c>
      <c r="Q14" s="8">
        <v>1</v>
      </c>
      <c r="R14" s="8" t="s">
        <v>1358</v>
      </c>
      <c r="S14" s="18">
        <v>4</v>
      </c>
      <c r="T14" s="8" t="s">
        <v>1523</v>
      </c>
    </row>
    <row r="15" spans="1:20">
      <c r="A15" s="18">
        <v>4</v>
      </c>
      <c r="B15" s="18" t="s">
        <v>142</v>
      </c>
      <c r="C15" s="24">
        <v>4</v>
      </c>
      <c r="D15" s="5" t="s">
        <v>1523</v>
      </c>
      <c r="E15" s="18">
        <v>1</v>
      </c>
      <c r="F15" s="12" t="s">
        <v>219</v>
      </c>
      <c r="G15" s="8">
        <v>1</v>
      </c>
      <c r="H15" s="8" t="s">
        <v>519</v>
      </c>
      <c r="I15" s="140">
        <v>4</v>
      </c>
      <c r="J15" s="8" t="s">
        <v>148</v>
      </c>
      <c r="K15" s="8">
        <v>1</v>
      </c>
      <c r="L15" s="8" t="s">
        <v>1493</v>
      </c>
      <c r="M15" s="35">
        <v>4</v>
      </c>
      <c r="N15" s="34" t="s">
        <v>142</v>
      </c>
      <c r="O15" s="8">
        <v>1</v>
      </c>
      <c r="P15" s="8" t="s">
        <v>971</v>
      </c>
      <c r="Q15" s="8">
        <v>4</v>
      </c>
      <c r="R15" s="8" t="s">
        <v>142</v>
      </c>
      <c r="S15" s="18">
        <v>4</v>
      </c>
      <c r="T15" s="8" t="s">
        <v>2357</v>
      </c>
    </row>
    <row r="16" spans="1:20">
      <c r="A16" s="18">
        <v>4</v>
      </c>
      <c r="B16" s="18" t="s">
        <v>113</v>
      </c>
      <c r="C16" s="24">
        <v>4</v>
      </c>
      <c r="D16" s="5" t="s">
        <v>236</v>
      </c>
      <c r="E16" s="5">
        <v>4</v>
      </c>
      <c r="F16" s="12" t="s">
        <v>178</v>
      </c>
      <c r="G16" s="8">
        <v>1</v>
      </c>
      <c r="H16" s="8" t="s">
        <v>550</v>
      </c>
      <c r="I16" s="140">
        <v>1</v>
      </c>
      <c r="J16" s="8" t="s">
        <v>798</v>
      </c>
      <c r="K16" s="8">
        <v>1</v>
      </c>
      <c r="L16" s="8" t="s">
        <v>245</v>
      </c>
      <c r="M16" s="35">
        <v>4</v>
      </c>
      <c r="N16" s="34" t="s">
        <v>985</v>
      </c>
      <c r="O16" s="8">
        <v>1</v>
      </c>
      <c r="P16" s="8" t="s">
        <v>1807</v>
      </c>
      <c r="Q16" s="8">
        <v>4</v>
      </c>
      <c r="R16" s="8" t="s">
        <v>113</v>
      </c>
      <c r="S16" s="18">
        <v>4</v>
      </c>
      <c r="T16" s="8" t="s">
        <v>206</v>
      </c>
    </row>
    <row r="17" spans="1:18">
      <c r="A17" s="18">
        <v>4</v>
      </c>
      <c r="B17" s="18" t="s">
        <v>692</v>
      </c>
      <c r="C17" s="24">
        <v>4</v>
      </c>
      <c r="D17" s="5" t="s">
        <v>224</v>
      </c>
      <c r="E17" s="18">
        <v>1</v>
      </c>
      <c r="F17" s="39" t="s">
        <v>145</v>
      </c>
      <c r="G17" s="8">
        <v>1</v>
      </c>
      <c r="H17" s="8" t="s">
        <v>245</v>
      </c>
      <c r="I17" s="26">
        <v>1</v>
      </c>
      <c r="J17" s="8" t="s">
        <v>52</v>
      </c>
      <c r="K17" s="8">
        <v>1</v>
      </c>
      <c r="L17" s="8" t="s">
        <v>1562</v>
      </c>
      <c r="M17" s="35">
        <v>3</v>
      </c>
      <c r="N17" s="14" t="s">
        <v>1935</v>
      </c>
      <c r="O17" s="8">
        <v>1</v>
      </c>
      <c r="P17" s="8" t="s">
        <v>599</v>
      </c>
      <c r="Q17" s="8">
        <v>1</v>
      </c>
      <c r="R17" s="8" t="s">
        <v>750</v>
      </c>
    </row>
    <row r="18" spans="1:18">
      <c r="A18" s="18">
        <v>4</v>
      </c>
      <c r="B18" s="18" t="s">
        <v>1558</v>
      </c>
      <c r="C18" s="24">
        <v>1</v>
      </c>
      <c r="D18" s="5" t="s">
        <v>694</v>
      </c>
      <c r="E18" s="18">
        <v>1</v>
      </c>
      <c r="F18" s="39" t="s">
        <v>1646</v>
      </c>
      <c r="G18" s="8">
        <v>1</v>
      </c>
      <c r="H18" s="8" t="s">
        <v>1937</v>
      </c>
      <c r="I18" s="140">
        <v>1</v>
      </c>
      <c r="J18" s="8" t="s">
        <v>315</v>
      </c>
      <c r="K18" s="8">
        <v>1</v>
      </c>
      <c r="L18" s="8" t="s">
        <v>2619</v>
      </c>
      <c r="M18" s="35">
        <v>4</v>
      </c>
      <c r="N18" s="14" t="s">
        <v>991</v>
      </c>
      <c r="O18" s="8">
        <v>1</v>
      </c>
      <c r="P18" s="8" t="s">
        <v>904</v>
      </c>
      <c r="Q18" s="8">
        <v>1</v>
      </c>
      <c r="R18" s="8" t="s">
        <v>1735</v>
      </c>
    </row>
    <row r="19" spans="1:18">
      <c r="A19" s="18">
        <v>1</v>
      </c>
      <c r="B19" s="18" t="s">
        <v>1578</v>
      </c>
      <c r="C19" s="24">
        <v>1</v>
      </c>
      <c r="D19" s="5" t="s">
        <v>707</v>
      </c>
      <c r="E19" s="5">
        <v>3</v>
      </c>
      <c r="F19" s="12" t="s">
        <v>713</v>
      </c>
      <c r="G19" s="8">
        <v>2</v>
      </c>
      <c r="H19" s="8" t="s">
        <v>192</v>
      </c>
      <c r="I19" s="140">
        <v>1</v>
      </c>
      <c r="J19" s="8" t="s">
        <v>311</v>
      </c>
      <c r="K19" s="8">
        <v>1</v>
      </c>
      <c r="L19" s="8" t="s">
        <v>192</v>
      </c>
      <c r="M19" s="35">
        <v>3</v>
      </c>
      <c r="N19" s="14" t="s">
        <v>1848</v>
      </c>
      <c r="O19" s="8">
        <v>1</v>
      </c>
      <c r="P19" s="8" t="s">
        <v>1493</v>
      </c>
      <c r="Q19" s="8">
        <v>4</v>
      </c>
      <c r="R19" s="8" t="s">
        <v>209</v>
      </c>
    </row>
    <row r="20" spans="1:18">
      <c r="A20" s="18">
        <v>4</v>
      </c>
      <c r="B20" s="18" t="s">
        <v>1597</v>
      </c>
      <c r="C20" s="24">
        <v>2</v>
      </c>
      <c r="D20" s="5" t="s">
        <v>678</v>
      </c>
      <c r="E20" s="5">
        <v>4</v>
      </c>
      <c r="F20" s="12" t="s">
        <v>678</v>
      </c>
      <c r="G20" s="8">
        <v>4</v>
      </c>
      <c r="H20" s="8" t="s">
        <v>142</v>
      </c>
      <c r="I20" s="140">
        <v>1</v>
      </c>
      <c r="J20" s="8" t="s">
        <v>38</v>
      </c>
      <c r="K20" s="8">
        <v>1</v>
      </c>
      <c r="L20" s="8" t="s">
        <v>700</v>
      </c>
      <c r="M20" s="35">
        <v>4</v>
      </c>
      <c r="N20" s="14" t="s">
        <v>995</v>
      </c>
      <c r="O20" s="8">
        <v>4</v>
      </c>
      <c r="P20" s="8" t="s">
        <v>996</v>
      </c>
      <c r="Q20" s="8">
        <v>1</v>
      </c>
      <c r="R20" s="8" t="s">
        <v>1938</v>
      </c>
    </row>
    <row r="21" spans="1:18">
      <c r="A21" s="18">
        <v>3</v>
      </c>
      <c r="B21" s="18" t="s">
        <v>209</v>
      </c>
      <c r="E21" s="5">
        <v>1</v>
      </c>
      <c r="F21" s="12" t="s">
        <v>707</v>
      </c>
      <c r="G21" s="8">
        <v>4</v>
      </c>
      <c r="H21" s="8" t="s">
        <v>1511</v>
      </c>
      <c r="I21" s="26">
        <v>1</v>
      </c>
      <c r="J21" s="8" t="s">
        <v>2612</v>
      </c>
      <c r="K21" s="8">
        <v>3</v>
      </c>
      <c r="L21" s="8" t="s">
        <v>717</v>
      </c>
      <c r="M21" s="35">
        <v>4</v>
      </c>
      <c r="N21" s="14" t="s">
        <v>996</v>
      </c>
      <c r="O21" s="8">
        <v>4</v>
      </c>
      <c r="P21" s="8" t="s">
        <v>142</v>
      </c>
      <c r="Q21" s="8">
        <v>1</v>
      </c>
      <c r="R21" s="8" t="s">
        <v>155</v>
      </c>
    </row>
    <row r="22" spans="1:18">
      <c r="A22" s="18">
        <v>4</v>
      </c>
      <c r="B22" s="18" t="s">
        <v>590</v>
      </c>
      <c r="E22" s="18">
        <v>1</v>
      </c>
      <c r="F22" s="39" t="s">
        <v>694</v>
      </c>
      <c r="G22" s="8">
        <v>1</v>
      </c>
      <c r="H22" s="8" t="s">
        <v>675</v>
      </c>
      <c r="I22" s="140">
        <v>4</v>
      </c>
      <c r="J22" s="8" t="s">
        <v>142</v>
      </c>
      <c r="K22" s="8">
        <v>3</v>
      </c>
      <c r="L22" s="8" t="s">
        <v>1600</v>
      </c>
      <c r="M22" s="35">
        <v>3</v>
      </c>
      <c r="N22" s="34" t="s">
        <v>1033</v>
      </c>
      <c r="O22" s="8">
        <v>4</v>
      </c>
      <c r="P22" s="8" t="s">
        <v>995</v>
      </c>
      <c r="Q22" s="8">
        <v>2</v>
      </c>
      <c r="R22" s="8" t="s">
        <v>713</v>
      </c>
    </row>
    <row r="23" spans="1:18">
      <c r="E23" s="5">
        <v>4</v>
      </c>
      <c r="F23" s="12" t="s">
        <v>142</v>
      </c>
      <c r="G23" s="8">
        <v>4</v>
      </c>
      <c r="H23" s="8" t="s">
        <v>717</v>
      </c>
      <c r="I23" s="140">
        <v>3</v>
      </c>
      <c r="J23" s="8" t="s">
        <v>113</v>
      </c>
      <c r="K23" s="8">
        <v>4</v>
      </c>
      <c r="L23" s="8" t="s">
        <v>142</v>
      </c>
      <c r="M23" s="26">
        <v>4</v>
      </c>
      <c r="N23" s="26" t="s">
        <v>989</v>
      </c>
      <c r="O23" s="8">
        <v>3</v>
      </c>
      <c r="P23" s="8" t="s">
        <v>1547</v>
      </c>
      <c r="Q23" s="8">
        <v>1</v>
      </c>
      <c r="R23" s="8" t="s">
        <v>219</v>
      </c>
    </row>
    <row r="24" spans="1:18">
      <c r="E24" s="5">
        <v>4</v>
      </c>
      <c r="F24" s="12" t="s">
        <v>1600</v>
      </c>
      <c r="G24" s="8">
        <v>2</v>
      </c>
      <c r="H24" s="8" t="s">
        <v>193</v>
      </c>
      <c r="I24" s="140">
        <v>4</v>
      </c>
      <c r="J24" s="8" t="s">
        <v>1600</v>
      </c>
      <c r="K24" s="8">
        <v>1</v>
      </c>
      <c r="L24" s="8" t="s">
        <v>678</v>
      </c>
      <c r="M24" s="26">
        <v>2</v>
      </c>
      <c r="N24" s="26" t="s">
        <v>998</v>
      </c>
      <c r="O24" s="8">
        <v>4</v>
      </c>
      <c r="P24" s="8" t="s">
        <v>989</v>
      </c>
      <c r="Q24" s="8">
        <v>1</v>
      </c>
      <c r="R24" s="8" t="s">
        <v>1597</v>
      </c>
    </row>
    <row r="25" spans="1:18">
      <c r="E25" s="5">
        <v>4</v>
      </c>
      <c r="F25" s="12" t="s">
        <v>1526</v>
      </c>
      <c r="G25" s="8">
        <v>1</v>
      </c>
      <c r="H25" s="8" t="s">
        <v>999</v>
      </c>
      <c r="I25" s="140">
        <v>3</v>
      </c>
      <c r="J25" s="8" t="s">
        <v>1583</v>
      </c>
      <c r="K25" s="8">
        <v>1</v>
      </c>
      <c r="L25" s="8" t="s">
        <v>694</v>
      </c>
      <c r="M25" s="35">
        <v>3</v>
      </c>
      <c r="N25" s="34" t="s">
        <v>1000</v>
      </c>
      <c r="O25" s="8">
        <v>4</v>
      </c>
      <c r="P25" s="8" t="s">
        <v>178</v>
      </c>
      <c r="Q25" s="8">
        <v>1</v>
      </c>
      <c r="R25" s="8" t="s">
        <v>1918</v>
      </c>
    </row>
    <row r="26" spans="1:18">
      <c r="E26" s="5">
        <v>4</v>
      </c>
      <c r="F26" s="12" t="s">
        <v>1625</v>
      </c>
      <c r="G26" s="8">
        <v>2</v>
      </c>
      <c r="H26" s="8" t="s">
        <v>1033</v>
      </c>
      <c r="I26" s="140">
        <v>3</v>
      </c>
      <c r="J26" s="8" t="s">
        <v>713</v>
      </c>
      <c r="K26" s="8">
        <v>1</v>
      </c>
      <c r="L26" s="8" t="s">
        <v>707</v>
      </c>
      <c r="M26" s="35">
        <v>2</v>
      </c>
      <c r="N26" s="34" t="s">
        <v>1002</v>
      </c>
      <c r="O26" s="8">
        <v>3</v>
      </c>
      <c r="P26" s="8" t="s">
        <v>1583</v>
      </c>
      <c r="Q26" s="8">
        <v>1</v>
      </c>
      <c r="R26" s="8" t="s">
        <v>1920</v>
      </c>
    </row>
    <row r="27" spans="1:18">
      <c r="E27" s="5">
        <v>3</v>
      </c>
      <c r="F27" s="12" t="s">
        <v>1939</v>
      </c>
      <c r="G27" s="8">
        <v>2</v>
      </c>
      <c r="H27" s="8" t="s">
        <v>272</v>
      </c>
      <c r="I27" s="26">
        <v>1</v>
      </c>
      <c r="J27" s="8" t="s">
        <v>145</v>
      </c>
      <c r="K27" s="8">
        <v>3</v>
      </c>
      <c r="L27" s="8" t="s">
        <v>713</v>
      </c>
      <c r="O27" s="8">
        <v>1</v>
      </c>
      <c r="P27" s="8" t="s">
        <v>1000</v>
      </c>
      <c r="Q27" s="8">
        <v>1</v>
      </c>
      <c r="R27" s="8" t="s">
        <v>270</v>
      </c>
    </row>
    <row r="28" spans="1:18">
      <c r="G28" s="8">
        <v>2</v>
      </c>
      <c r="H28" s="8" t="s">
        <v>1938</v>
      </c>
      <c r="I28" s="140">
        <v>4</v>
      </c>
      <c r="J28" s="8" t="s">
        <v>178</v>
      </c>
      <c r="K28" s="8">
        <v>4</v>
      </c>
      <c r="L28" s="8" t="s">
        <v>178</v>
      </c>
      <c r="O28" s="8">
        <v>1</v>
      </c>
      <c r="P28" s="8" t="s">
        <v>998</v>
      </c>
      <c r="Q28" s="8">
        <v>1</v>
      </c>
      <c r="R28" s="8" t="s">
        <v>707</v>
      </c>
    </row>
    <row r="29" spans="1:18">
      <c r="G29" s="8">
        <v>1</v>
      </c>
      <c r="H29" s="8" t="s">
        <v>209</v>
      </c>
      <c r="I29" s="140">
        <v>1</v>
      </c>
      <c r="J29" s="8" t="s">
        <v>978</v>
      </c>
      <c r="K29" s="8">
        <v>2</v>
      </c>
      <c r="L29" s="8" t="s">
        <v>2123</v>
      </c>
      <c r="O29" s="8">
        <v>1</v>
      </c>
      <c r="P29" s="8" t="s">
        <v>1638</v>
      </c>
      <c r="Q29" s="8">
        <v>1</v>
      </c>
      <c r="R29" s="8" t="s">
        <v>694</v>
      </c>
    </row>
    <row r="30" spans="1:18">
      <c r="G30" s="8">
        <v>1</v>
      </c>
      <c r="H30" s="8" t="s">
        <v>155</v>
      </c>
      <c r="I30" s="140">
        <v>1</v>
      </c>
      <c r="J30" s="8" t="s">
        <v>209</v>
      </c>
      <c r="K30" s="8">
        <v>1</v>
      </c>
      <c r="L30" s="8" t="s">
        <v>219</v>
      </c>
      <c r="O30" s="8">
        <v>1</v>
      </c>
      <c r="P30" s="8" t="s">
        <v>155</v>
      </c>
      <c r="Q30" s="8">
        <v>4</v>
      </c>
      <c r="R30" s="8" t="s">
        <v>678</v>
      </c>
    </row>
    <row r="31" spans="1:18">
      <c r="G31" s="8">
        <v>1</v>
      </c>
      <c r="H31" s="8" t="s">
        <v>145</v>
      </c>
      <c r="I31" s="140">
        <v>1</v>
      </c>
      <c r="J31" s="8" t="s">
        <v>155</v>
      </c>
      <c r="K31" s="8">
        <v>1</v>
      </c>
      <c r="L31" s="8" t="s">
        <v>978</v>
      </c>
      <c r="O31" s="8">
        <v>1</v>
      </c>
      <c r="P31" s="8" t="s">
        <v>978</v>
      </c>
    </row>
    <row r="32" spans="1:18">
      <c r="G32" s="8">
        <v>2</v>
      </c>
      <c r="H32" s="8" t="s">
        <v>1585</v>
      </c>
      <c r="I32" s="140">
        <v>1</v>
      </c>
      <c r="J32" s="8" t="s">
        <v>972</v>
      </c>
      <c r="K32" s="8">
        <v>1</v>
      </c>
      <c r="L32" s="8" t="s">
        <v>145</v>
      </c>
      <c r="O32" s="8">
        <v>1</v>
      </c>
      <c r="P32" s="8" t="s">
        <v>145</v>
      </c>
    </row>
    <row r="33" spans="7:12">
      <c r="G33" s="8">
        <v>4</v>
      </c>
      <c r="H33" s="8" t="s">
        <v>128</v>
      </c>
      <c r="I33" s="140">
        <v>1</v>
      </c>
      <c r="J33" s="8" t="s">
        <v>1002</v>
      </c>
      <c r="K33" s="8">
        <v>1</v>
      </c>
      <c r="L33" s="8" t="s">
        <v>209</v>
      </c>
    </row>
    <row r="34" spans="7:12">
      <c r="I34" s="140">
        <v>1</v>
      </c>
      <c r="J34" s="8" t="s">
        <v>1918</v>
      </c>
      <c r="K34" s="8">
        <v>1</v>
      </c>
      <c r="L34" s="8" t="s">
        <v>203</v>
      </c>
    </row>
    <row r="35" spans="7:12">
      <c r="I35" s="140">
        <v>3</v>
      </c>
      <c r="J35" s="8" t="s">
        <v>678</v>
      </c>
      <c r="K35" s="8">
        <v>1</v>
      </c>
      <c r="L35" s="8" t="s">
        <v>2620</v>
      </c>
    </row>
    <row r="36" spans="7:12">
      <c r="I36" s="140">
        <v>1</v>
      </c>
      <c r="J36" s="8" t="s">
        <v>694</v>
      </c>
      <c r="K36" s="8">
        <v>1</v>
      </c>
      <c r="L36" s="8" t="s">
        <v>2616</v>
      </c>
    </row>
    <row r="37" spans="7:12">
      <c r="I37" s="140">
        <v>1</v>
      </c>
      <c r="J37" s="8" t="s">
        <v>707</v>
      </c>
      <c r="K37" s="8">
        <v>1</v>
      </c>
      <c r="L37" s="8" t="s">
        <v>2617</v>
      </c>
    </row>
    <row r="38" spans="7:12">
      <c r="K38" s="8">
        <v>1</v>
      </c>
      <c r="L38" s="8" t="s">
        <v>735</v>
      </c>
    </row>
    <row r="39" spans="7:12">
      <c r="K39" s="8">
        <v>1</v>
      </c>
      <c r="L39" s="8" t="s">
        <v>2618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A50021"/>
  </sheetPr>
  <dimension ref="A1:T98"/>
  <sheetViews>
    <sheetView topLeftCell="F1" zoomScaleNormal="100" workbookViewId="0">
      <selection activeCell="P17" sqref="P17"/>
    </sheetView>
  </sheetViews>
  <sheetFormatPr baseColWidth="10" defaultColWidth="9.140625" defaultRowHeight="15"/>
  <cols>
    <col min="1" max="1" width="3" style="26" customWidth="1"/>
    <col min="2" max="2" width="21" style="26" customWidth="1"/>
    <col min="3" max="3" width="3" style="26" bestFit="1" customWidth="1"/>
    <col min="4" max="4" width="21" style="26" bestFit="1" customWidth="1"/>
    <col min="5" max="5" width="3" style="26" customWidth="1"/>
    <col min="6" max="6" width="30.140625" style="26" customWidth="1"/>
    <col min="7" max="7" width="3" style="26" customWidth="1"/>
    <col min="8" max="8" width="30.140625" style="26" bestFit="1" customWidth="1"/>
    <col min="9" max="9" width="3" style="26" customWidth="1"/>
    <col min="10" max="10" width="19.5703125" style="26" customWidth="1"/>
    <col min="11" max="11" width="3" bestFit="1" customWidth="1"/>
    <col min="12" max="12" width="30.140625" bestFit="1" customWidth="1"/>
    <col min="13" max="13" width="3" bestFit="1" customWidth="1"/>
    <col min="14" max="14" width="22.42578125" bestFit="1" customWidth="1"/>
    <col min="15" max="15" width="3" bestFit="1" customWidth="1"/>
    <col min="16" max="16" width="20" bestFit="1" customWidth="1"/>
    <col min="17" max="17" width="3" bestFit="1" customWidth="1"/>
    <col min="18" max="18" width="24.140625" bestFit="1" customWidth="1"/>
    <col min="19" max="19" width="3" bestFit="1" customWidth="1"/>
    <col min="20" max="20" width="23.42578125" bestFit="1" customWidth="1"/>
    <col min="21" max="1022" width="10.7109375" customWidth="1"/>
  </cols>
  <sheetData>
    <row r="1" spans="1:20" s="98" customFormat="1">
      <c r="A1" s="4">
        <f>SUM(A2:A19)</f>
        <v>60</v>
      </c>
      <c r="B1" s="10" t="s">
        <v>1925</v>
      </c>
      <c r="C1" s="10">
        <f>SUM(C2:C21)</f>
        <v>60</v>
      </c>
      <c r="D1" s="142" t="s">
        <v>1940</v>
      </c>
      <c r="E1" s="142">
        <f>SUM(E2:E19)</f>
        <v>60</v>
      </c>
      <c r="F1" s="143" t="s">
        <v>9</v>
      </c>
      <c r="G1" s="142">
        <f>SUM(G2:G26)</f>
        <v>60</v>
      </c>
      <c r="H1" s="143" t="s">
        <v>1941</v>
      </c>
      <c r="I1" s="142">
        <f>SUM(I2:I30)</f>
        <v>60</v>
      </c>
      <c r="J1" s="142" t="s">
        <v>1942</v>
      </c>
      <c r="K1" s="142">
        <f>SUM(K2:K17)</f>
        <v>60</v>
      </c>
      <c r="L1" s="142" t="s">
        <v>1943</v>
      </c>
      <c r="M1" s="17">
        <f>SUM(M2:M37)</f>
        <v>60</v>
      </c>
      <c r="N1" s="131" t="s">
        <v>2810</v>
      </c>
      <c r="O1" s="17">
        <f>SUM(O2:O21)</f>
        <v>60</v>
      </c>
      <c r="P1" s="139" t="s">
        <v>2083</v>
      </c>
      <c r="Q1" s="17">
        <f>SUM(Q2:Q20)</f>
        <v>60</v>
      </c>
      <c r="R1" s="139" t="s">
        <v>2663</v>
      </c>
      <c r="S1" s="17">
        <f>SUM(S2:S20)</f>
        <v>60</v>
      </c>
      <c r="T1" s="141" t="s">
        <v>2687</v>
      </c>
    </row>
    <row r="2" spans="1:20">
      <c r="A2" s="8">
        <v>4</v>
      </c>
      <c r="B2" s="8" t="s">
        <v>33</v>
      </c>
      <c r="C2" s="8">
        <v>4</v>
      </c>
      <c r="D2" s="8" t="s">
        <v>33</v>
      </c>
      <c r="E2" s="8">
        <v>13</v>
      </c>
      <c r="F2" s="14" t="s">
        <v>9</v>
      </c>
      <c r="G2" s="8">
        <v>4</v>
      </c>
      <c r="H2" s="14" t="s">
        <v>33</v>
      </c>
      <c r="I2" s="8">
        <v>4</v>
      </c>
      <c r="J2" s="8" t="s">
        <v>33</v>
      </c>
      <c r="K2" s="8">
        <v>4</v>
      </c>
      <c r="L2" s="8" t="s">
        <v>1302</v>
      </c>
      <c r="M2" s="18">
        <v>4</v>
      </c>
      <c r="N2" s="8" t="s">
        <v>22</v>
      </c>
      <c r="O2" s="18">
        <v>4</v>
      </c>
      <c r="P2" s="8" t="s">
        <v>2786</v>
      </c>
      <c r="Q2" s="18">
        <v>4</v>
      </c>
      <c r="R2" s="8" t="s">
        <v>2799</v>
      </c>
      <c r="S2" s="18">
        <v>4</v>
      </c>
      <c r="T2" s="8" t="s">
        <v>2689</v>
      </c>
    </row>
    <row r="3" spans="1:20">
      <c r="A3" s="8">
        <v>3</v>
      </c>
      <c r="B3" s="8" t="s">
        <v>1928</v>
      </c>
      <c r="C3" s="8">
        <v>4</v>
      </c>
      <c r="D3" s="8" t="s">
        <v>61</v>
      </c>
      <c r="E3" s="8">
        <v>4</v>
      </c>
      <c r="F3" s="14" t="s">
        <v>66</v>
      </c>
      <c r="G3" s="8">
        <v>4</v>
      </c>
      <c r="H3" s="14" t="s">
        <v>32</v>
      </c>
      <c r="I3" s="8">
        <v>4</v>
      </c>
      <c r="J3" s="8" t="s">
        <v>32</v>
      </c>
      <c r="K3" s="8">
        <v>3</v>
      </c>
      <c r="L3" s="8" t="s">
        <v>1953</v>
      </c>
      <c r="M3" s="18">
        <v>4</v>
      </c>
      <c r="N3" s="8" t="s">
        <v>33</v>
      </c>
      <c r="O3" s="18">
        <v>3</v>
      </c>
      <c r="P3" s="8" t="s">
        <v>2787</v>
      </c>
      <c r="Q3" s="18">
        <v>4</v>
      </c>
      <c r="R3" s="8" t="s">
        <v>1326</v>
      </c>
      <c r="S3" s="18">
        <v>4</v>
      </c>
      <c r="T3" s="8" t="s">
        <v>2781</v>
      </c>
    </row>
    <row r="4" spans="1:20">
      <c r="A4" s="8">
        <v>4</v>
      </c>
      <c r="B4" s="8" t="s">
        <v>1278</v>
      </c>
      <c r="C4" s="8">
        <v>1</v>
      </c>
      <c r="D4" s="8" t="s">
        <v>1944</v>
      </c>
      <c r="E4" s="8">
        <v>2</v>
      </c>
      <c r="F4" s="14" t="s">
        <v>1945</v>
      </c>
      <c r="G4" s="8">
        <v>2</v>
      </c>
      <c r="H4" s="14" t="s">
        <v>837</v>
      </c>
      <c r="I4" s="8">
        <v>3</v>
      </c>
      <c r="J4" s="8" t="s">
        <v>1946</v>
      </c>
      <c r="K4" s="8">
        <v>4</v>
      </c>
      <c r="L4" s="8" t="s">
        <v>2661</v>
      </c>
      <c r="M4" s="18">
        <v>1</v>
      </c>
      <c r="N4" s="138" t="s">
        <v>2664</v>
      </c>
      <c r="O4" s="18">
        <v>3</v>
      </c>
      <c r="P4" s="138" t="s">
        <v>2788</v>
      </c>
      <c r="Q4" s="18">
        <v>2</v>
      </c>
      <c r="R4" s="138" t="s">
        <v>1301</v>
      </c>
      <c r="S4" s="137">
        <v>4</v>
      </c>
      <c r="T4" s="138" t="s">
        <v>2636</v>
      </c>
    </row>
    <row r="5" spans="1:20">
      <c r="A5" s="8">
        <v>4</v>
      </c>
      <c r="B5" s="8" t="s">
        <v>1929</v>
      </c>
      <c r="C5" s="8">
        <v>1</v>
      </c>
      <c r="D5" s="8" t="s">
        <v>1947</v>
      </c>
      <c r="E5" s="8">
        <v>4</v>
      </c>
      <c r="F5" s="14" t="s">
        <v>43</v>
      </c>
      <c r="G5" s="8">
        <v>3</v>
      </c>
      <c r="H5" s="14" t="s">
        <v>859</v>
      </c>
      <c r="I5" s="8">
        <v>4</v>
      </c>
      <c r="J5" s="8" t="s">
        <v>354</v>
      </c>
      <c r="K5" s="8">
        <v>4</v>
      </c>
      <c r="L5" s="8" t="s">
        <v>354</v>
      </c>
      <c r="M5" s="137">
        <v>3</v>
      </c>
      <c r="N5" s="138" t="s">
        <v>32</v>
      </c>
      <c r="O5" s="18">
        <v>3</v>
      </c>
      <c r="P5" s="138" t="s">
        <v>2789</v>
      </c>
      <c r="Q5" s="137">
        <v>2</v>
      </c>
      <c r="R5" s="138" t="s">
        <v>1390</v>
      </c>
      <c r="S5" s="137">
        <v>4</v>
      </c>
      <c r="T5" s="136" t="s">
        <v>2782</v>
      </c>
    </row>
    <row r="6" spans="1:20">
      <c r="A6" s="8">
        <v>2</v>
      </c>
      <c r="B6" s="8" t="s">
        <v>43</v>
      </c>
      <c r="C6" s="8">
        <v>1</v>
      </c>
      <c r="D6" s="8" t="s">
        <v>1452</v>
      </c>
      <c r="E6" s="8">
        <v>3</v>
      </c>
      <c r="F6" s="14" t="s">
        <v>1948</v>
      </c>
      <c r="G6" s="8">
        <v>4</v>
      </c>
      <c r="H6" s="14" t="s">
        <v>826</v>
      </c>
      <c r="I6" s="8">
        <v>1</v>
      </c>
      <c r="J6" s="8" t="s">
        <v>132</v>
      </c>
      <c r="K6" s="8">
        <v>4</v>
      </c>
      <c r="L6" s="8" t="s">
        <v>2632</v>
      </c>
      <c r="M6" s="18">
        <v>1</v>
      </c>
      <c r="N6" s="138" t="s">
        <v>132</v>
      </c>
      <c r="O6" s="18">
        <v>4</v>
      </c>
      <c r="P6" s="138" t="s">
        <v>33</v>
      </c>
      <c r="Q6" s="18">
        <v>3</v>
      </c>
      <c r="R6" s="138" t="s">
        <v>2800</v>
      </c>
      <c r="S6" s="18">
        <v>4</v>
      </c>
      <c r="T6" s="138" t="s">
        <v>2690</v>
      </c>
    </row>
    <row r="7" spans="1:20">
      <c r="A7" s="8">
        <v>1</v>
      </c>
      <c r="B7" s="8" t="s">
        <v>1365</v>
      </c>
      <c r="C7" s="8">
        <v>1</v>
      </c>
      <c r="D7" s="8" t="s">
        <v>1949</v>
      </c>
      <c r="E7" s="8">
        <v>1</v>
      </c>
      <c r="F7" s="14" t="s">
        <v>1950</v>
      </c>
      <c r="G7" s="8">
        <v>4</v>
      </c>
      <c r="H7" s="14" t="s">
        <v>1951</v>
      </c>
      <c r="I7" s="8">
        <v>1</v>
      </c>
      <c r="J7" s="8" t="s">
        <v>1952</v>
      </c>
      <c r="K7" s="8">
        <v>4</v>
      </c>
      <c r="L7" s="8" t="s">
        <v>378</v>
      </c>
      <c r="M7" s="18">
        <v>3</v>
      </c>
      <c r="N7" s="138" t="s">
        <v>2665</v>
      </c>
      <c r="O7" s="18">
        <v>4</v>
      </c>
      <c r="P7" s="138" t="s">
        <v>61</v>
      </c>
      <c r="Q7" s="18">
        <v>3</v>
      </c>
      <c r="R7" s="138" t="s">
        <v>1370</v>
      </c>
      <c r="S7" s="18">
        <v>4</v>
      </c>
      <c r="T7" s="138" t="s">
        <v>2691</v>
      </c>
    </row>
    <row r="8" spans="1:20">
      <c r="A8" s="8">
        <v>4</v>
      </c>
      <c r="B8" s="8" t="s">
        <v>1931</v>
      </c>
      <c r="C8" s="8">
        <v>4</v>
      </c>
      <c r="D8" s="8" t="s">
        <v>1954</v>
      </c>
      <c r="E8" s="8">
        <v>2</v>
      </c>
      <c r="F8" s="14" t="s">
        <v>1955</v>
      </c>
      <c r="G8" s="8">
        <v>2</v>
      </c>
      <c r="H8" s="14" t="s">
        <v>902</v>
      </c>
      <c r="I8" s="8">
        <v>4</v>
      </c>
      <c r="J8" s="8" t="s">
        <v>1956</v>
      </c>
      <c r="K8" s="8">
        <v>1</v>
      </c>
      <c r="L8" s="8" t="s">
        <v>1960</v>
      </c>
      <c r="M8" s="18">
        <v>1</v>
      </c>
      <c r="N8" s="138" t="s">
        <v>1895</v>
      </c>
      <c r="O8" s="137">
        <v>1</v>
      </c>
      <c r="P8" s="138" t="s">
        <v>2790</v>
      </c>
      <c r="Q8" s="18">
        <v>2</v>
      </c>
      <c r="R8" s="138" t="s">
        <v>2801</v>
      </c>
      <c r="S8" s="137">
        <v>2</v>
      </c>
      <c r="T8" s="138" t="s">
        <v>2692</v>
      </c>
    </row>
    <row r="9" spans="1:20">
      <c r="A9" s="8">
        <v>4</v>
      </c>
      <c r="B9" s="8" t="s">
        <v>1430</v>
      </c>
      <c r="C9" s="8">
        <v>4</v>
      </c>
      <c r="D9" s="8" t="s">
        <v>1681</v>
      </c>
      <c r="E9" s="8">
        <v>1</v>
      </c>
      <c r="F9" s="14" t="s">
        <v>1898</v>
      </c>
      <c r="G9" s="8">
        <v>1</v>
      </c>
      <c r="H9" s="14" t="s">
        <v>922</v>
      </c>
      <c r="I9" s="8">
        <v>1</v>
      </c>
      <c r="J9" s="8" t="s">
        <v>599</v>
      </c>
      <c r="K9" s="8">
        <v>8</v>
      </c>
      <c r="L9" s="8" t="s">
        <v>2683</v>
      </c>
      <c r="M9" s="137">
        <v>1</v>
      </c>
      <c r="N9" s="138" t="s">
        <v>2666</v>
      </c>
      <c r="O9" s="18">
        <v>1</v>
      </c>
      <c r="P9" s="138" t="s">
        <v>2791</v>
      </c>
      <c r="Q9" s="137">
        <v>4</v>
      </c>
      <c r="R9" s="138" t="s">
        <v>1347</v>
      </c>
      <c r="S9" s="137">
        <v>1</v>
      </c>
      <c r="T9" s="138" t="s">
        <v>482</v>
      </c>
    </row>
    <row r="10" spans="1:20">
      <c r="A10" s="8">
        <v>1</v>
      </c>
      <c r="B10" s="8" t="s">
        <v>1428</v>
      </c>
      <c r="C10" s="8">
        <v>4</v>
      </c>
      <c r="D10" s="8" t="s">
        <v>206</v>
      </c>
      <c r="E10" s="8">
        <v>4</v>
      </c>
      <c r="F10" s="14" t="s">
        <v>1957</v>
      </c>
      <c r="G10" s="8">
        <v>1</v>
      </c>
      <c r="H10" s="14" t="s">
        <v>1473</v>
      </c>
      <c r="I10" s="8">
        <v>1</v>
      </c>
      <c r="J10" s="8" t="s">
        <v>1408</v>
      </c>
      <c r="K10" s="8">
        <v>4</v>
      </c>
      <c r="L10" s="8" t="s">
        <v>1968</v>
      </c>
      <c r="M10" s="18">
        <v>1</v>
      </c>
      <c r="N10" s="138" t="s">
        <v>1452</v>
      </c>
      <c r="O10" s="137">
        <v>1</v>
      </c>
      <c r="P10" s="138" t="s">
        <v>2792</v>
      </c>
      <c r="Q10" s="18">
        <v>4</v>
      </c>
      <c r="R10" s="138" t="s">
        <v>2802</v>
      </c>
      <c r="S10" s="137">
        <v>4</v>
      </c>
      <c r="T10" s="138" t="s">
        <v>2780</v>
      </c>
    </row>
    <row r="11" spans="1:20">
      <c r="A11" s="8">
        <v>1</v>
      </c>
      <c r="B11" s="8" t="s">
        <v>1529</v>
      </c>
      <c r="C11" s="8">
        <v>4</v>
      </c>
      <c r="D11" s="8" t="s">
        <v>236</v>
      </c>
      <c r="E11" s="8">
        <v>4</v>
      </c>
      <c r="F11" s="14" t="s">
        <v>1958</v>
      </c>
      <c r="G11" s="8">
        <v>1</v>
      </c>
      <c r="H11" s="14" t="s">
        <v>932</v>
      </c>
      <c r="I11" s="8">
        <v>1</v>
      </c>
      <c r="J11" s="8" t="s">
        <v>402</v>
      </c>
      <c r="K11" s="8">
        <v>4</v>
      </c>
      <c r="L11" s="8" t="s">
        <v>1971</v>
      </c>
      <c r="M11" s="137">
        <v>1</v>
      </c>
      <c r="N11" s="138" t="s">
        <v>2667</v>
      </c>
      <c r="O11" s="137">
        <v>1</v>
      </c>
      <c r="P11" s="8" t="s">
        <v>2793</v>
      </c>
      <c r="Q11" s="137">
        <v>2</v>
      </c>
      <c r="R11" s="138" t="s">
        <v>1433</v>
      </c>
      <c r="S11" s="137">
        <v>4</v>
      </c>
      <c r="T11" s="138" t="s">
        <v>131</v>
      </c>
    </row>
    <row r="12" spans="1:20">
      <c r="A12" s="8">
        <v>4</v>
      </c>
      <c r="B12" s="8" t="s">
        <v>1321</v>
      </c>
      <c r="C12" s="8">
        <v>4</v>
      </c>
      <c r="D12" s="8" t="s">
        <v>131</v>
      </c>
      <c r="E12" s="8">
        <v>4</v>
      </c>
      <c r="F12" s="14" t="s">
        <v>1959</v>
      </c>
      <c r="G12" s="8">
        <v>1</v>
      </c>
      <c r="H12" s="14" t="s">
        <v>232</v>
      </c>
      <c r="I12" s="8">
        <v>1</v>
      </c>
      <c r="J12" s="8" t="s">
        <v>1949</v>
      </c>
      <c r="K12" s="8">
        <v>4</v>
      </c>
      <c r="L12" s="8" t="s">
        <v>2659</v>
      </c>
      <c r="M12" s="137">
        <v>1</v>
      </c>
      <c r="N12" s="8" t="s">
        <v>2668</v>
      </c>
      <c r="O12" s="137">
        <v>1</v>
      </c>
      <c r="P12" s="8" t="s">
        <v>2794</v>
      </c>
      <c r="Q12" s="137">
        <v>2</v>
      </c>
      <c r="R12" s="8" t="s">
        <v>2803</v>
      </c>
      <c r="S12" s="137">
        <v>1</v>
      </c>
      <c r="T12" s="138" t="s">
        <v>2778</v>
      </c>
    </row>
    <row r="13" spans="1:20">
      <c r="A13" s="8">
        <v>4</v>
      </c>
      <c r="B13" s="8" t="s">
        <v>1494</v>
      </c>
      <c r="C13" s="8">
        <v>4</v>
      </c>
      <c r="D13" s="8" t="s">
        <v>1565</v>
      </c>
      <c r="E13" s="8">
        <v>2</v>
      </c>
      <c r="F13" s="14" t="s">
        <v>1961</v>
      </c>
      <c r="G13" s="8">
        <v>1</v>
      </c>
      <c r="H13" s="14" t="s">
        <v>1962</v>
      </c>
      <c r="I13" s="8">
        <v>1</v>
      </c>
      <c r="J13" s="8" t="s">
        <v>546</v>
      </c>
      <c r="K13" s="8">
        <v>4</v>
      </c>
      <c r="L13" s="8" t="s">
        <v>2812</v>
      </c>
      <c r="M13" s="137">
        <v>1</v>
      </c>
      <c r="N13" s="8" t="s">
        <v>2669</v>
      </c>
      <c r="O13" s="8">
        <v>4</v>
      </c>
      <c r="P13" s="8" t="s">
        <v>128</v>
      </c>
      <c r="Q13" s="137">
        <v>4</v>
      </c>
      <c r="R13" s="8" t="s">
        <v>2804</v>
      </c>
      <c r="S13" s="137">
        <v>4</v>
      </c>
      <c r="T13" s="138" t="s">
        <v>2777</v>
      </c>
    </row>
    <row r="14" spans="1:20">
      <c r="A14" s="8">
        <v>4</v>
      </c>
      <c r="B14" s="8" t="s">
        <v>1566</v>
      </c>
      <c r="C14" s="8">
        <v>3</v>
      </c>
      <c r="D14" s="8" t="s">
        <v>649</v>
      </c>
      <c r="E14" s="8">
        <v>4</v>
      </c>
      <c r="F14" s="14" t="s">
        <v>1963</v>
      </c>
      <c r="G14" s="8">
        <v>1</v>
      </c>
      <c r="H14" s="14" t="s">
        <v>1510</v>
      </c>
      <c r="I14" s="8">
        <v>1</v>
      </c>
      <c r="J14" s="8" t="s">
        <v>1964</v>
      </c>
      <c r="K14" s="8">
        <v>4</v>
      </c>
      <c r="L14" s="8" t="s">
        <v>2662</v>
      </c>
      <c r="M14" s="8">
        <v>1</v>
      </c>
      <c r="N14" s="8" t="s">
        <v>2670</v>
      </c>
      <c r="O14" s="137">
        <v>4</v>
      </c>
      <c r="P14" s="138" t="s">
        <v>2795</v>
      </c>
      <c r="Q14" s="8">
        <v>4</v>
      </c>
      <c r="R14" s="8" t="s">
        <v>2805</v>
      </c>
      <c r="S14" s="137">
        <v>4</v>
      </c>
      <c r="T14" s="138" t="s">
        <v>1569</v>
      </c>
    </row>
    <row r="15" spans="1:20">
      <c r="A15" s="8">
        <v>4</v>
      </c>
      <c r="B15" s="8" t="s">
        <v>131</v>
      </c>
      <c r="C15" s="8">
        <v>4</v>
      </c>
      <c r="D15" s="8" t="s">
        <v>1965</v>
      </c>
      <c r="E15" s="8">
        <v>4</v>
      </c>
      <c r="F15" s="14" t="s">
        <v>206</v>
      </c>
      <c r="G15" s="8">
        <v>1</v>
      </c>
      <c r="H15" s="14" t="s">
        <v>971</v>
      </c>
      <c r="I15" s="8">
        <v>1</v>
      </c>
      <c r="J15" s="8" t="s">
        <v>567</v>
      </c>
      <c r="K15" s="8">
        <v>3</v>
      </c>
      <c r="L15" s="8" t="s">
        <v>1959</v>
      </c>
      <c r="M15" s="137">
        <v>1</v>
      </c>
      <c r="N15" s="138" t="s">
        <v>2682</v>
      </c>
      <c r="O15" s="18">
        <v>4</v>
      </c>
      <c r="P15" s="8" t="s">
        <v>2796</v>
      </c>
      <c r="Q15" s="137">
        <v>4</v>
      </c>
      <c r="R15" s="138" t="s">
        <v>2806</v>
      </c>
      <c r="S15" s="137">
        <v>4</v>
      </c>
      <c r="T15" s="138" t="s">
        <v>2776</v>
      </c>
    </row>
    <row r="16" spans="1:20">
      <c r="A16" s="8">
        <v>4</v>
      </c>
      <c r="B16" s="8" t="s">
        <v>1936</v>
      </c>
      <c r="C16" s="8">
        <v>4</v>
      </c>
      <c r="D16" s="8" t="s">
        <v>128</v>
      </c>
      <c r="E16" s="8">
        <v>2</v>
      </c>
      <c r="F16" s="14" t="s">
        <v>1966</v>
      </c>
      <c r="G16" s="8">
        <v>4</v>
      </c>
      <c r="H16" s="14" t="s">
        <v>22</v>
      </c>
      <c r="I16" s="8">
        <v>1</v>
      </c>
      <c r="J16" s="8" t="s">
        <v>1967</v>
      </c>
      <c r="K16" s="8">
        <v>3</v>
      </c>
      <c r="L16" s="8" t="s">
        <v>1976</v>
      </c>
      <c r="M16" s="18">
        <v>1</v>
      </c>
      <c r="N16" s="8" t="s">
        <v>2671</v>
      </c>
      <c r="O16" s="18">
        <v>4</v>
      </c>
      <c r="P16" s="8" t="s">
        <v>206</v>
      </c>
      <c r="Q16" s="18">
        <v>4</v>
      </c>
      <c r="R16" s="8" t="s">
        <v>2807</v>
      </c>
      <c r="S16" s="137">
        <v>1</v>
      </c>
      <c r="T16" s="138" t="s">
        <v>2775</v>
      </c>
    </row>
    <row r="17" spans="1:20">
      <c r="A17" s="8">
        <v>4</v>
      </c>
      <c r="B17" s="8" t="s">
        <v>1511</v>
      </c>
      <c r="C17" s="8">
        <v>2</v>
      </c>
      <c r="D17" s="8" t="s">
        <v>769</v>
      </c>
      <c r="E17" s="26">
        <v>1</v>
      </c>
      <c r="F17" s="26" t="s">
        <v>2785</v>
      </c>
      <c r="G17" s="8">
        <v>2</v>
      </c>
      <c r="H17" s="14" t="s">
        <v>1321</v>
      </c>
      <c r="I17" s="8">
        <v>3</v>
      </c>
      <c r="J17" s="8" t="s">
        <v>1968</v>
      </c>
      <c r="K17" s="8">
        <v>2</v>
      </c>
      <c r="L17" s="8" t="s">
        <v>2660</v>
      </c>
      <c r="M17" s="18">
        <v>4</v>
      </c>
      <c r="N17" s="8" t="s">
        <v>131</v>
      </c>
      <c r="O17" s="8">
        <v>4</v>
      </c>
      <c r="P17" s="8" t="s">
        <v>1681</v>
      </c>
      <c r="Q17" s="18">
        <v>4</v>
      </c>
      <c r="R17" s="8" t="s">
        <v>2808</v>
      </c>
      <c r="S17" s="137">
        <v>1</v>
      </c>
      <c r="T17" s="8" t="s">
        <v>2774</v>
      </c>
    </row>
    <row r="18" spans="1:20">
      <c r="A18" s="8">
        <v>4</v>
      </c>
      <c r="B18" s="8" t="s">
        <v>206</v>
      </c>
      <c r="C18" s="8">
        <v>2</v>
      </c>
      <c r="D18" s="8" t="s">
        <v>155</v>
      </c>
      <c r="E18" s="8">
        <v>1</v>
      </c>
      <c r="F18" s="14" t="s">
        <v>202</v>
      </c>
      <c r="G18" s="8">
        <v>2</v>
      </c>
      <c r="H18" s="14" t="s">
        <v>995</v>
      </c>
      <c r="I18" s="8">
        <v>1</v>
      </c>
      <c r="J18" s="8" t="s">
        <v>1969</v>
      </c>
      <c r="K18" s="26"/>
      <c r="L18" s="26"/>
      <c r="M18" s="8">
        <v>4</v>
      </c>
      <c r="N18" s="8" t="s">
        <v>249</v>
      </c>
      <c r="O18" s="137">
        <v>4</v>
      </c>
      <c r="P18" s="138" t="s">
        <v>236</v>
      </c>
      <c r="Q18" s="8">
        <v>4</v>
      </c>
      <c r="R18" s="8" t="s">
        <v>2809</v>
      </c>
      <c r="S18" s="129">
        <v>2</v>
      </c>
      <c r="T18" s="144" t="s">
        <v>2784</v>
      </c>
    </row>
    <row r="19" spans="1:20">
      <c r="A19" s="8">
        <v>4</v>
      </c>
      <c r="B19" s="8" t="s">
        <v>2647</v>
      </c>
      <c r="C19" s="8">
        <v>4</v>
      </c>
      <c r="D19" s="8" t="s">
        <v>1970</v>
      </c>
      <c r="E19" s="8">
        <v>4</v>
      </c>
      <c r="F19" s="14" t="s">
        <v>131</v>
      </c>
      <c r="G19" s="8">
        <v>4</v>
      </c>
      <c r="H19" s="14" t="s">
        <v>996</v>
      </c>
      <c r="I19" s="8">
        <v>1</v>
      </c>
      <c r="J19" s="8" t="s">
        <v>206</v>
      </c>
      <c r="K19" s="26"/>
      <c r="L19" s="26"/>
      <c r="M19" s="137">
        <v>1</v>
      </c>
      <c r="N19" s="138" t="s">
        <v>2672</v>
      </c>
      <c r="O19" s="137">
        <v>2</v>
      </c>
      <c r="P19" s="138" t="s">
        <v>155</v>
      </c>
      <c r="Q19" s="137">
        <v>2</v>
      </c>
      <c r="R19" s="138" t="s">
        <v>1631</v>
      </c>
      <c r="S19" s="137">
        <v>4</v>
      </c>
      <c r="T19" s="138" t="s">
        <v>2783</v>
      </c>
    </row>
    <row r="20" spans="1:20">
      <c r="C20" s="8">
        <v>1</v>
      </c>
      <c r="D20" s="8" t="s">
        <v>1972</v>
      </c>
      <c r="G20" s="8">
        <v>3</v>
      </c>
      <c r="H20" s="14" t="s">
        <v>1494</v>
      </c>
      <c r="I20" s="8">
        <v>1</v>
      </c>
      <c r="J20" s="8" t="s">
        <v>1973</v>
      </c>
      <c r="M20" s="137">
        <v>1</v>
      </c>
      <c r="N20" s="138" t="s">
        <v>2673</v>
      </c>
      <c r="O20" s="137">
        <v>4</v>
      </c>
      <c r="P20" s="138" t="s">
        <v>2797</v>
      </c>
      <c r="Q20" s="137">
        <v>2</v>
      </c>
      <c r="R20" s="138" t="s">
        <v>1642</v>
      </c>
      <c r="S20" s="18">
        <v>4</v>
      </c>
      <c r="T20" s="8" t="s">
        <v>1588</v>
      </c>
    </row>
    <row r="21" spans="1:20">
      <c r="C21" s="8">
        <v>4</v>
      </c>
      <c r="D21" s="8" t="s">
        <v>703</v>
      </c>
      <c r="G21" s="8">
        <v>4</v>
      </c>
      <c r="H21" s="14" t="s">
        <v>249</v>
      </c>
      <c r="I21" s="8">
        <v>1</v>
      </c>
      <c r="J21" s="8" t="s">
        <v>1974</v>
      </c>
      <c r="K21" s="26"/>
      <c r="L21" s="26"/>
      <c r="M21" s="137">
        <v>1</v>
      </c>
      <c r="N21" s="138" t="s">
        <v>2674</v>
      </c>
      <c r="O21" s="137">
        <v>4</v>
      </c>
      <c r="P21" s="138" t="s">
        <v>2798</v>
      </c>
      <c r="Q21" s="64"/>
      <c r="R21" s="64"/>
      <c r="S21" s="64"/>
      <c r="T21" s="64"/>
    </row>
    <row r="22" spans="1:20">
      <c r="G22" s="8">
        <v>4</v>
      </c>
      <c r="H22" s="14" t="s">
        <v>998</v>
      </c>
      <c r="I22" s="8">
        <v>2</v>
      </c>
      <c r="J22" s="8" t="s">
        <v>131</v>
      </c>
      <c r="M22" s="137">
        <v>1</v>
      </c>
      <c r="N22" s="138" t="s">
        <v>2675</v>
      </c>
      <c r="O22" s="64"/>
      <c r="P22" s="64"/>
      <c r="Q22" s="64"/>
      <c r="R22" s="64"/>
      <c r="S22" s="64"/>
      <c r="T22" s="64"/>
    </row>
    <row r="23" spans="1:20">
      <c r="G23" s="8">
        <v>4</v>
      </c>
      <c r="H23" s="14" t="s">
        <v>1000</v>
      </c>
      <c r="I23" s="8">
        <v>4</v>
      </c>
      <c r="J23" s="8" t="s">
        <v>1971</v>
      </c>
      <c r="M23" s="137">
        <v>1</v>
      </c>
      <c r="N23" s="138" t="s">
        <v>649</v>
      </c>
      <c r="O23" s="64"/>
      <c r="P23" s="64"/>
      <c r="Q23" s="64"/>
      <c r="R23" s="64"/>
      <c r="S23" s="64"/>
      <c r="T23" s="64"/>
    </row>
    <row r="24" spans="1:20">
      <c r="G24" s="8">
        <v>1</v>
      </c>
      <c r="H24" s="14" t="s">
        <v>1630</v>
      </c>
      <c r="I24" s="8">
        <v>4</v>
      </c>
      <c r="J24" s="8" t="s">
        <v>1975</v>
      </c>
      <c r="M24" s="137">
        <v>1</v>
      </c>
      <c r="N24" s="138" t="s">
        <v>1511</v>
      </c>
      <c r="O24" s="64"/>
      <c r="P24" s="64"/>
      <c r="Q24" s="64"/>
      <c r="R24" s="64"/>
      <c r="S24" s="64"/>
      <c r="T24" s="64"/>
    </row>
    <row r="25" spans="1:20">
      <c r="G25" s="8">
        <v>1</v>
      </c>
      <c r="H25" s="14" t="s">
        <v>272</v>
      </c>
      <c r="I25" s="8">
        <v>3</v>
      </c>
      <c r="J25" s="8" t="s">
        <v>1532</v>
      </c>
      <c r="M25" s="137">
        <v>4</v>
      </c>
      <c r="N25" s="138" t="s">
        <v>128</v>
      </c>
      <c r="O25" s="64"/>
      <c r="P25" s="64"/>
      <c r="Q25" s="64"/>
      <c r="R25" s="64"/>
      <c r="S25" s="64"/>
      <c r="T25" s="64"/>
    </row>
    <row r="26" spans="1:20">
      <c r="G26" s="8">
        <v>1</v>
      </c>
      <c r="H26" s="14" t="s">
        <v>155</v>
      </c>
      <c r="I26" s="8">
        <v>4</v>
      </c>
      <c r="J26" s="8" t="s">
        <v>128</v>
      </c>
      <c r="M26" s="137">
        <v>3</v>
      </c>
      <c r="N26" s="138" t="s">
        <v>272</v>
      </c>
      <c r="O26" s="64"/>
      <c r="P26" s="64"/>
      <c r="Q26" s="64"/>
      <c r="R26" s="64"/>
      <c r="S26" s="64"/>
      <c r="T26" s="64"/>
    </row>
    <row r="27" spans="1:20">
      <c r="I27" s="8">
        <v>2</v>
      </c>
      <c r="J27" s="8" t="s">
        <v>272</v>
      </c>
      <c r="M27" s="137">
        <v>1</v>
      </c>
      <c r="N27" s="138" t="s">
        <v>2676</v>
      </c>
      <c r="O27" s="64"/>
      <c r="P27" s="64"/>
      <c r="Q27" s="64"/>
      <c r="R27" s="64"/>
      <c r="S27" s="64"/>
      <c r="T27" s="64"/>
    </row>
    <row r="28" spans="1:20">
      <c r="I28" s="8">
        <v>1</v>
      </c>
      <c r="J28" s="8" t="s">
        <v>1697</v>
      </c>
      <c r="M28" s="137">
        <v>1</v>
      </c>
      <c r="N28" s="8" t="s">
        <v>2677</v>
      </c>
      <c r="O28" s="64"/>
      <c r="P28" s="64"/>
      <c r="Q28" s="64"/>
      <c r="R28" s="64"/>
      <c r="S28" s="64"/>
      <c r="T28" s="64"/>
    </row>
    <row r="29" spans="1:20">
      <c r="I29" s="8">
        <v>3</v>
      </c>
      <c r="J29" s="8" t="s">
        <v>609</v>
      </c>
      <c r="M29" s="137">
        <v>1</v>
      </c>
      <c r="N29" s="138" t="s">
        <v>998</v>
      </c>
      <c r="O29" s="64"/>
      <c r="P29" s="64"/>
      <c r="Q29" s="64"/>
      <c r="R29" s="64"/>
      <c r="S29" s="64"/>
      <c r="T29" s="64"/>
    </row>
    <row r="30" spans="1:20">
      <c r="I30" s="8">
        <v>1</v>
      </c>
      <c r="J30" s="8" t="s">
        <v>1938</v>
      </c>
      <c r="M30" s="18">
        <v>1</v>
      </c>
      <c r="N30" s="8" t="s">
        <v>769</v>
      </c>
      <c r="O30" s="64"/>
      <c r="P30" s="64"/>
      <c r="Q30" s="64"/>
      <c r="R30" s="64"/>
      <c r="S30" s="64"/>
      <c r="T30" s="64"/>
    </row>
    <row r="31" spans="1:20">
      <c r="M31" s="137">
        <v>1</v>
      </c>
      <c r="N31" s="8" t="s">
        <v>2678</v>
      </c>
      <c r="O31" s="64"/>
      <c r="P31" s="64"/>
      <c r="Q31" s="64"/>
      <c r="R31" s="64"/>
      <c r="S31" s="64"/>
      <c r="T31" s="64"/>
    </row>
    <row r="32" spans="1:20">
      <c r="M32" s="137">
        <v>1</v>
      </c>
      <c r="N32" s="138" t="s">
        <v>2679</v>
      </c>
      <c r="O32" s="64"/>
      <c r="P32" s="64"/>
      <c r="Q32" s="64"/>
      <c r="R32" s="64"/>
      <c r="S32" s="64"/>
      <c r="T32" s="64"/>
    </row>
    <row r="33" spans="13:20">
      <c r="M33" s="18">
        <v>1</v>
      </c>
      <c r="N33" s="8" t="s">
        <v>2680</v>
      </c>
      <c r="O33" s="64"/>
      <c r="P33" s="64"/>
      <c r="Q33" s="64"/>
      <c r="R33" s="64"/>
      <c r="S33" s="64"/>
      <c r="T33" s="64"/>
    </row>
    <row r="34" spans="13:20">
      <c r="M34" s="137">
        <v>4</v>
      </c>
      <c r="N34" s="8" t="s">
        <v>703</v>
      </c>
      <c r="O34" s="64"/>
      <c r="P34" s="64"/>
      <c r="Q34" s="64"/>
      <c r="R34" s="64"/>
      <c r="S34" s="64"/>
      <c r="T34" s="64"/>
    </row>
    <row r="35" spans="13:20">
      <c r="M35" s="137">
        <v>1</v>
      </c>
      <c r="N35" s="138" t="s">
        <v>270</v>
      </c>
      <c r="O35" s="64"/>
      <c r="P35" s="64"/>
      <c r="Q35" s="64"/>
      <c r="R35" s="64"/>
      <c r="S35" s="64"/>
      <c r="T35" s="64"/>
    </row>
    <row r="36" spans="13:20">
      <c r="M36" s="18">
        <v>1</v>
      </c>
      <c r="N36" s="8" t="s">
        <v>663</v>
      </c>
      <c r="O36" s="64"/>
      <c r="P36" s="64"/>
      <c r="Q36" s="64"/>
      <c r="R36" s="64"/>
      <c r="S36" s="64"/>
      <c r="T36" s="64"/>
    </row>
    <row r="37" spans="13:20">
      <c r="M37" s="18">
        <v>1</v>
      </c>
      <c r="N37" s="8" t="s">
        <v>2681</v>
      </c>
      <c r="O37" s="64"/>
      <c r="P37" s="64"/>
      <c r="Q37" s="64"/>
      <c r="R37" s="64"/>
      <c r="S37" s="64"/>
      <c r="T37" s="64"/>
    </row>
    <row r="38" spans="13:20">
      <c r="O38" s="64"/>
      <c r="P38" s="64"/>
      <c r="Q38" s="64"/>
      <c r="R38" s="64"/>
      <c r="S38" s="64"/>
      <c r="T38" s="64"/>
    </row>
    <row r="39" spans="13:20">
      <c r="O39" s="64"/>
      <c r="P39" s="64"/>
      <c r="Q39" s="64"/>
      <c r="R39" s="64"/>
      <c r="S39" s="64"/>
      <c r="T39" s="64"/>
    </row>
    <row r="40" spans="13:20">
      <c r="O40" s="64"/>
      <c r="P40" s="64"/>
      <c r="Q40" s="64"/>
      <c r="R40" s="64"/>
      <c r="S40" s="64"/>
      <c r="T40" s="64"/>
    </row>
    <row r="41" spans="13:20">
      <c r="O41" s="64"/>
      <c r="P41" s="64"/>
      <c r="Q41" s="64"/>
      <c r="R41" s="64"/>
      <c r="S41" s="64"/>
      <c r="T41" s="64"/>
    </row>
    <row r="42" spans="13:20">
      <c r="O42" s="64"/>
      <c r="P42" s="64"/>
      <c r="Q42" s="64"/>
      <c r="R42" s="64"/>
      <c r="S42" s="64"/>
      <c r="T42" s="64"/>
    </row>
    <row r="43" spans="13:20">
      <c r="O43" s="64"/>
      <c r="P43" s="64"/>
      <c r="Q43" s="64"/>
      <c r="R43" s="64"/>
      <c r="S43" s="64"/>
      <c r="T43" s="64"/>
    </row>
    <row r="44" spans="13:20">
      <c r="O44" s="64"/>
      <c r="P44" s="64"/>
      <c r="Q44" s="64"/>
      <c r="R44" s="64"/>
      <c r="S44" s="64"/>
      <c r="T44" s="64"/>
    </row>
    <row r="45" spans="13:20">
      <c r="O45" s="64"/>
      <c r="P45" s="64"/>
      <c r="Q45" s="64"/>
      <c r="R45" s="64"/>
      <c r="S45" s="64"/>
      <c r="T45" s="64"/>
    </row>
    <row r="46" spans="13:20">
      <c r="O46" s="64"/>
      <c r="P46" s="64"/>
      <c r="Q46" s="64"/>
      <c r="R46" s="64"/>
      <c r="S46" s="64"/>
      <c r="T46" s="64"/>
    </row>
    <row r="47" spans="13:20">
      <c r="O47" s="64"/>
      <c r="P47" s="64"/>
      <c r="Q47" s="64"/>
      <c r="R47" s="64"/>
      <c r="S47" s="64"/>
      <c r="T47" s="64"/>
    </row>
    <row r="48" spans="13:20">
      <c r="O48" s="64"/>
      <c r="P48" s="64"/>
      <c r="Q48" s="64"/>
      <c r="R48" s="64"/>
      <c r="S48" s="64"/>
      <c r="T48" s="64"/>
    </row>
    <row r="49" spans="15:20">
      <c r="O49" s="64"/>
      <c r="P49" s="64"/>
      <c r="Q49" s="64"/>
      <c r="R49" s="64"/>
      <c r="S49" s="64"/>
      <c r="T49" s="64"/>
    </row>
    <row r="50" spans="15:20">
      <c r="O50" s="64"/>
      <c r="P50" s="64"/>
      <c r="Q50" s="64"/>
      <c r="R50" s="64"/>
      <c r="S50" s="64"/>
      <c r="T50" s="64"/>
    </row>
    <row r="51" spans="15:20">
      <c r="O51" s="64"/>
      <c r="P51" s="64"/>
      <c r="Q51" s="64"/>
      <c r="R51" s="64"/>
      <c r="S51" s="64"/>
      <c r="T51" s="64"/>
    </row>
    <row r="52" spans="15:20">
      <c r="O52" s="64"/>
      <c r="P52" s="64"/>
      <c r="Q52" s="64"/>
      <c r="R52" s="64"/>
      <c r="S52" s="64"/>
      <c r="T52" s="64"/>
    </row>
    <row r="53" spans="15:20">
      <c r="O53" s="64"/>
      <c r="P53" s="64"/>
      <c r="Q53" s="64"/>
      <c r="R53" s="64"/>
      <c r="S53" s="64"/>
      <c r="T53" s="64"/>
    </row>
    <row r="54" spans="15:20">
      <c r="O54" s="64"/>
      <c r="P54" s="64"/>
      <c r="Q54" s="64"/>
      <c r="R54" s="64"/>
      <c r="S54" s="64"/>
      <c r="T54" s="64"/>
    </row>
    <row r="55" spans="15:20">
      <c r="O55" s="64"/>
      <c r="P55" s="64"/>
      <c r="Q55" s="64"/>
      <c r="R55" s="64"/>
      <c r="S55" s="64"/>
      <c r="T55" s="64"/>
    </row>
    <row r="56" spans="15:20">
      <c r="O56" s="64"/>
      <c r="P56" s="64"/>
      <c r="Q56" s="64"/>
      <c r="R56" s="64"/>
      <c r="S56" s="64"/>
      <c r="T56" s="64"/>
    </row>
    <row r="57" spans="15:20">
      <c r="O57" s="64"/>
      <c r="P57" s="64"/>
      <c r="Q57" s="64"/>
      <c r="R57" s="64"/>
      <c r="S57" s="64"/>
      <c r="T57" s="64"/>
    </row>
    <row r="58" spans="15:20">
      <c r="O58" s="64"/>
      <c r="P58" s="64"/>
      <c r="Q58" s="64"/>
      <c r="R58" s="64"/>
      <c r="S58" s="64"/>
      <c r="T58" s="64"/>
    </row>
    <row r="59" spans="15:20">
      <c r="O59" s="64"/>
      <c r="P59" s="64"/>
      <c r="Q59" s="64"/>
      <c r="R59" s="64"/>
      <c r="S59" s="64"/>
      <c r="T59" s="64"/>
    </row>
    <row r="60" spans="15:20">
      <c r="O60" s="64"/>
      <c r="P60" s="64"/>
      <c r="Q60" s="64"/>
      <c r="R60" s="64"/>
      <c r="S60" s="64"/>
      <c r="T60" s="64"/>
    </row>
    <row r="61" spans="15:20">
      <c r="O61" s="64"/>
      <c r="P61" s="64"/>
      <c r="Q61" s="64"/>
      <c r="R61" s="64"/>
      <c r="S61" s="64"/>
      <c r="T61" s="64"/>
    </row>
    <row r="62" spans="15:20">
      <c r="O62" s="64"/>
      <c r="P62" s="64"/>
      <c r="Q62" s="64"/>
      <c r="R62" s="64"/>
      <c r="S62" s="64"/>
      <c r="T62" s="64"/>
    </row>
    <row r="63" spans="15:20">
      <c r="O63" s="64"/>
      <c r="P63" s="64"/>
      <c r="Q63" s="64"/>
      <c r="R63" s="64"/>
      <c r="S63" s="64"/>
      <c r="T63" s="64"/>
    </row>
    <row r="64" spans="15:20">
      <c r="O64" s="64"/>
      <c r="P64" s="64"/>
      <c r="Q64" s="64"/>
      <c r="R64" s="64"/>
      <c r="S64" s="64"/>
      <c r="T64" s="64"/>
    </row>
    <row r="65" spans="15:20">
      <c r="O65" s="64"/>
      <c r="P65" s="64"/>
      <c r="Q65" s="64"/>
      <c r="R65" s="64"/>
      <c r="S65" s="64"/>
      <c r="T65" s="64"/>
    </row>
    <row r="66" spans="15:20">
      <c r="O66" s="64"/>
      <c r="P66" s="64"/>
      <c r="Q66" s="64"/>
      <c r="R66" s="64"/>
      <c r="S66" s="64"/>
      <c r="T66" s="64"/>
    </row>
    <row r="67" spans="15:20">
      <c r="O67" s="64"/>
      <c r="P67" s="64"/>
      <c r="Q67" s="64"/>
      <c r="R67" s="64"/>
      <c r="S67" s="64"/>
      <c r="T67" s="64"/>
    </row>
    <row r="68" spans="15:20">
      <c r="O68" s="64"/>
      <c r="P68" s="64"/>
      <c r="Q68" s="64"/>
      <c r="R68" s="64"/>
      <c r="S68" s="64"/>
      <c r="T68" s="64"/>
    </row>
    <row r="69" spans="15:20">
      <c r="O69" s="64"/>
      <c r="P69" s="64"/>
      <c r="Q69" s="64"/>
      <c r="R69" s="64"/>
      <c r="S69" s="64"/>
      <c r="T69" s="64"/>
    </row>
    <row r="70" spans="15:20">
      <c r="O70" s="64"/>
      <c r="P70" s="64"/>
      <c r="Q70" s="64"/>
      <c r="R70" s="64"/>
      <c r="S70" s="64"/>
      <c r="T70" s="64"/>
    </row>
    <row r="71" spans="15:20">
      <c r="O71" s="64"/>
      <c r="P71" s="64"/>
      <c r="Q71" s="64"/>
      <c r="R71" s="64"/>
      <c r="S71" s="64"/>
      <c r="T71" s="64"/>
    </row>
    <row r="72" spans="15:20">
      <c r="O72" s="64"/>
      <c r="P72" s="64"/>
      <c r="Q72" s="64"/>
      <c r="R72" s="64"/>
      <c r="S72" s="64"/>
      <c r="T72" s="64"/>
    </row>
    <row r="73" spans="15:20">
      <c r="O73" s="64"/>
      <c r="P73" s="64"/>
      <c r="Q73" s="64"/>
      <c r="R73" s="64"/>
      <c r="S73" s="64"/>
      <c r="T73" s="64"/>
    </row>
    <row r="74" spans="15:20">
      <c r="O74" s="64"/>
      <c r="P74" s="64"/>
      <c r="Q74" s="64"/>
      <c r="R74" s="64"/>
      <c r="S74" s="64"/>
      <c r="T74" s="64"/>
    </row>
    <row r="75" spans="15:20">
      <c r="O75" s="64"/>
      <c r="P75" s="64"/>
      <c r="Q75" s="64"/>
      <c r="R75" s="64"/>
      <c r="S75" s="64"/>
      <c r="T75" s="64"/>
    </row>
    <row r="76" spans="15:20">
      <c r="O76" s="64"/>
      <c r="P76" s="64"/>
      <c r="Q76" s="64"/>
      <c r="R76" s="64"/>
      <c r="S76" s="64"/>
      <c r="T76" s="64"/>
    </row>
    <row r="77" spans="15:20">
      <c r="O77" s="64"/>
      <c r="P77" s="64"/>
      <c r="Q77" s="64"/>
      <c r="R77" s="64"/>
      <c r="S77" s="64"/>
      <c r="T77" s="64"/>
    </row>
    <row r="78" spans="15:20">
      <c r="O78" s="64"/>
      <c r="P78" s="64"/>
      <c r="Q78" s="64"/>
      <c r="R78" s="64"/>
      <c r="S78" s="64"/>
      <c r="T78" s="64"/>
    </row>
    <row r="79" spans="15:20">
      <c r="O79" s="64"/>
      <c r="P79" s="64"/>
      <c r="Q79" s="64"/>
      <c r="R79" s="64"/>
      <c r="S79" s="64"/>
      <c r="T79" s="64"/>
    </row>
    <row r="80" spans="15:20">
      <c r="O80" s="64"/>
      <c r="P80" s="64"/>
      <c r="Q80" s="64"/>
      <c r="R80" s="64"/>
      <c r="S80" s="64"/>
      <c r="T80" s="64"/>
    </row>
    <row r="81" spans="15:20">
      <c r="O81" s="64"/>
      <c r="P81" s="64"/>
      <c r="Q81" s="64"/>
      <c r="R81" s="64"/>
      <c r="S81" s="64"/>
      <c r="T81" s="64"/>
    </row>
    <row r="82" spans="15:20">
      <c r="O82" s="64"/>
      <c r="P82" s="64"/>
      <c r="Q82" s="64"/>
      <c r="R82" s="64"/>
      <c r="S82" s="64"/>
      <c r="T82" s="64"/>
    </row>
    <row r="83" spans="15:20">
      <c r="O83" s="64"/>
      <c r="P83" s="64"/>
      <c r="Q83" s="64"/>
      <c r="R83" s="64"/>
      <c r="S83" s="64"/>
      <c r="T83" s="64"/>
    </row>
    <row r="84" spans="15:20">
      <c r="O84" s="64"/>
      <c r="P84" s="64"/>
      <c r="Q84" s="64"/>
      <c r="R84" s="64"/>
      <c r="S84" s="64"/>
      <c r="T84" s="64"/>
    </row>
    <row r="85" spans="15:20">
      <c r="O85" s="64"/>
      <c r="P85" s="64"/>
      <c r="Q85" s="64"/>
      <c r="R85" s="64"/>
      <c r="S85" s="64"/>
      <c r="T85" s="64"/>
    </row>
    <row r="86" spans="15:20">
      <c r="O86" s="64"/>
      <c r="P86" s="64"/>
      <c r="Q86" s="64"/>
      <c r="R86" s="64"/>
      <c r="S86" s="64"/>
      <c r="T86" s="64"/>
    </row>
    <row r="87" spans="15:20">
      <c r="O87" s="64"/>
      <c r="P87" s="64"/>
      <c r="Q87" s="64"/>
      <c r="R87" s="64"/>
      <c r="S87" s="64"/>
      <c r="T87" s="64"/>
    </row>
    <row r="88" spans="15:20">
      <c r="O88" s="64"/>
      <c r="P88" s="64"/>
      <c r="Q88" s="64"/>
      <c r="R88" s="64"/>
      <c r="S88" s="64"/>
      <c r="T88" s="64"/>
    </row>
    <row r="89" spans="15:20">
      <c r="O89" s="64"/>
      <c r="P89" s="64"/>
      <c r="Q89" s="64"/>
      <c r="R89" s="64"/>
      <c r="S89" s="64"/>
      <c r="T89" s="64"/>
    </row>
    <row r="90" spans="15:20">
      <c r="O90" s="64"/>
      <c r="P90" s="64"/>
      <c r="Q90" s="64"/>
      <c r="R90" s="64"/>
      <c r="S90" s="64"/>
      <c r="T90" s="64"/>
    </row>
    <row r="91" spans="15:20">
      <c r="O91" s="64"/>
      <c r="P91" s="64"/>
      <c r="Q91" s="64"/>
      <c r="R91" s="64"/>
      <c r="S91" s="64"/>
      <c r="T91" s="64"/>
    </row>
    <row r="92" spans="15:20">
      <c r="O92" s="64"/>
      <c r="P92" s="64"/>
      <c r="Q92" s="64"/>
      <c r="R92" s="64"/>
      <c r="S92" s="64"/>
      <c r="T92" s="64"/>
    </row>
    <row r="93" spans="15:20">
      <c r="O93" s="64"/>
      <c r="P93" s="64"/>
      <c r="Q93" s="64"/>
      <c r="R93" s="64"/>
      <c r="S93" s="64"/>
      <c r="T93" s="64"/>
    </row>
    <row r="94" spans="15:20">
      <c r="O94" s="64"/>
      <c r="P94" s="64"/>
      <c r="Q94" s="64"/>
      <c r="R94" s="64"/>
      <c r="S94" s="64"/>
      <c r="T94" s="64"/>
    </row>
    <row r="95" spans="15:20">
      <c r="O95" s="64"/>
      <c r="P95" s="64"/>
      <c r="Q95" s="64"/>
      <c r="R95" s="64"/>
      <c r="S95" s="64"/>
      <c r="T95" s="64"/>
    </row>
    <row r="96" spans="15:20">
      <c r="O96" s="64"/>
      <c r="P96" s="64"/>
      <c r="Q96" s="64"/>
      <c r="R96" s="64"/>
      <c r="S96" s="64"/>
      <c r="T96" s="64"/>
    </row>
    <row r="97" spans="15:20">
      <c r="O97" s="64"/>
      <c r="P97" s="64"/>
      <c r="Q97" s="64"/>
      <c r="R97" s="64"/>
      <c r="S97" s="64"/>
      <c r="T97" s="64"/>
    </row>
    <row r="98" spans="15:20">
      <c r="O98" s="64"/>
      <c r="P98" s="64"/>
      <c r="Q98" s="64"/>
      <c r="R98" s="64"/>
      <c r="S98" s="64"/>
      <c r="T98" s="6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AMK29"/>
  <sheetViews>
    <sheetView topLeftCell="H1" zoomScaleNormal="100" workbookViewId="0">
      <selection activeCell="S1" sqref="S1:T24"/>
    </sheetView>
  </sheetViews>
  <sheetFormatPr baseColWidth="10" defaultColWidth="9.140625" defaultRowHeight="15"/>
  <cols>
    <col min="1" max="1" width="3" style="86" customWidth="1"/>
    <col min="2" max="2" width="20.85546875" style="86" customWidth="1"/>
    <col min="3" max="3" width="3" style="93" customWidth="1"/>
    <col min="4" max="4" width="22" style="93" customWidth="1"/>
    <col min="5" max="5" width="3" style="1" customWidth="1"/>
    <col min="6" max="6" width="25" style="1" customWidth="1"/>
    <col min="7" max="7" width="3" style="93" customWidth="1"/>
    <col min="8" max="8" width="28" style="93" customWidth="1"/>
    <col min="9" max="9" width="3" style="93" customWidth="1"/>
    <col min="10" max="10" width="41.42578125" style="93" customWidth="1"/>
    <col min="11" max="11" width="3" style="93" customWidth="1"/>
    <col min="12" max="12" width="32.5703125" style="93" customWidth="1"/>
    <col min="13" max="13" width="3" style="93" customWidth="1"/>
    <col min="14" max="14" width="41" style="93" customWidth="1"/>
    <col min="15" max="15" width="3" style="93" customWidth="1"/>
    <col min="16" max="16" width="32.5703125" style="93" customWidth="1"/>
    <col min="17" max="17" width="3" style="93" bestFit="1" customWidth="1"/>
    <col min="18" max="18" width="25.5703125" style="93" bestFit="1" customWidth="1"/>
    <col min="19" max="19" width="3" style="93" bestFit="1" customWidth="1"/>
    <col min="20" max="20" width="22.140625" style="93" bestFit="1" customWidth="1"/>
    <col min="21" max="1025" width="11.42578125" style="93"/>
  </cols>
  <sheetData>
    <row r="1" spans="1:20" s="88" customFormat="1">
      <c r="A1" s="4">
        <f>SUM(A2:A22)</f>
        <v>60</v>
      </c>
      <c r="B1" s="10" t="s">
        <v>1977</v>
      </c>
      <c r="C1" s="4">
        <f>SUM(C2:C22)</f>
        <v>60</v>
      </c>
      <c r="D1" s="4" t="s">
        <v>1978</v>
      </c>
      <c r="E1" s="4">
        <f>SUM(E2:E22)</f>
        <v>60</v>
      </c>
      <c r="F1" s="6" t="s">
        <v>1979</v>
      </c>
      <c r="G1" s="4">
        <f>SUM(G2:G25)</f>
        <v>60</v>
      </c>
      <c r="H1" s="4" t="s">
        <v>1980</v>
      </c>
      <c r="I1" s="4">
        <f>SUM(I2:I22)</f>
        <v>60</v>
      </c>
      <c r="J1" s="9" t="s">
        <v>1748</v>
      </c>
      <c r="K1" s="4">
        <f>SUM(K2:K29)</f>
        <v>60</v>
      </c>
      <c r="L1" s="9" t="s">
        <v>1981</v>
      </c>
      <c r="M1" s="4">
        <f>SUM(M2:M24)</f>
        <v>60</v>
      </c>
      <c r="N1" s="10" t="s">
        <v>1982</v>
      </c>
      <c r="O1" s="4">
        <f>SUM(O2:O24)</f>
        <v>60</v>
      </c>
      <c r="P1" s="4" t="s">
        <v>1983</v>
      </c>
      <c r="Q1" s="10">
        <f>SUM(Q2:Q18)</f>
        <v>60</v>
      </c>
      <c r="R1" s="10" t="s">
        <v>2032</v>
      </c>
      <c r="S1" s="17">
        <f>SUM(S2:S24)</f>
        <v>60</v>
      </c>
      <c r="T1" s="57" t="s">
        <v>2614</v>
      </c>
    </row>
    <row r="2" spans="1:20">
      <c r="A2" s="70">
        <v>12</v>
      </c>
      <c r="B2" s="8" t="s">
        <v>388</v>
      </c>
      <c r="C2" s="3">
        <v>12</v>
      </c>
      <c r="D2" s="3" t="s">
        <v>388</v>
      </c>
      <c r="E2" s="5">
        <v>4</v>
      </c>
      <c r="F2" s="5" t="s">
        <v>325</v>
      </c>
      <c r="G2" s="3">
        <v>1</v>
      </c>
      <c r="H2" s="3" t="s">
        <v>1984</v>
      </c>
      <c r="I2" s="70">
        <v>4</v>
      </c>
      <c r="J2" s="14" t="s">
        <v>312</v>
      </c>
      <c r="K2" s="70">
        <v>3</v>
      </c>
      <c r="L2" s="14" t="s">
        <v>310</v>
      </c>
      <c r="M2" s="70">
        <v>4</v>
      </c>
      <c r="N2" s="14" t="s">
        <v>112</v>
      </c>
      <c r="O2" s="3">
        <v>4</v>
      </c>
      <c r="P2" s="3" t="s">
        <v>97</v>
      </c>
      <c r="Q2" s="8">
        <v>4</v>
      </c>
      <c r="R2" s="8" t="s">
        <v>1285</v>
      </c>
      <c r="S2" s="8">
        <v>4</v>
      </c>
      <c r="T2" s="8" t="s">
        <v>19</v>
      </c>
    </row>
    <row r="3" spans="1:20">
      <c r="A3" s="70">
        <v>1</v>
      </c>
      <c r="B3" s="8" t="s">
        <v>1985</v>
      </c>
      <c r="C3" s="3">
        <v>4</v>
      </c>
      <c r="D3" s="3" t="s">
        <v>1985</v>
      </c>
      <c r="E3" s="5">
        <v>4</v>
      </c>
      <c r="F3" s="5" t="s">
        <v>346</v>
      </c>
      <c r="G3" s="3">
        <v>4</v>
      </c>
      <c r="H3" s="3" t="s">
        <v>1305</v>
      </c>
      <c r="I3" s="70">
        <v>4</v>
      </c>
      <c r="J3" s="14" t="s">
        <v>331</v>
      </c>
      <c r="K3" s="70">
        <v>1</v>
      </c>
      <c r="L3" s="14" t="s">
        <v>111</v>
      </c>
      <c r="M3" s="70">
        <v>1</v>
      </c>
      <c r="N3" s="14" t="s">
        <v>1986</v>
      </c>
      <c r="O3" s="3">
        <v>3</v>
      </c>
      <c r="P3" s="3" t="s">
        <v>1987</v>
      </c>
      <c r="Q3" s="8">
        <v>3</v>
      </c>
      <c r="R3" s="8" t="s">
        <v>2038</v>
      </c>
      <c r="S3" s="17">
        <v>3</v>
      </c>
      <c r="T3" s="17" t="s">
        <v>2642</v>
      </c>
    </row>
    <row r="4" spans="1:20">
      <c r="A4" s="70">
        <v>4</v>
      </c>
      <c r="B4" s="8" t="s">
        <v>1988</v>
      </c>
      <c r="C4" s="3">
        <v>4</v>
      </c>
      <c r="D4" s="3" t="s">
        <v>414</v>
      </c>
      <c r="E4" s="5">
        <v>2</v>
      </c>
      <c r="F4" s="5" t="s">
        <v>1989</v>
      </c>
      <c r="G4" s="3">
        <v>4</v>
      </c>
      <c r="H4" s="3" t="s">
        <v>1990</v>
      </c>
      <c r="I4" s="70">
        <v>4</v>
      </c>
      <c r="J4" s="14" t="s">
        <v>352</v>
      </c>
      <c r="K4" s="70">
        <v>4</v>
      </c>
      <c r="L4" s="14" t="s">
        <v>1994</v>
      </c>
      <c r="M4" s="70">
        <v>4</v>
      </c>
      <c r="N4" s="14" t="s">
        <v>1992</v>
      </c>
      <c r="O4" s="3">
        <v>4</v>
      </c>
      <c r="P4" s="3" t="s">
        <v>454</v>
      </c>
      <c r="Q4" s="8">
        <v>4</v>
      </c>
      <c r="R4" s="8" t="s">
        <v>2041</v>
      </c>
      <c r="S4" s="133">
        <v>3</v>
      </c>
      <c r="T4" s="8" t="s">
        <v>2643</v>
      </c>
    </row>
    <row r="5" spans="1:20">
      <c r="A5" s="70">
        <v>1</v>
      </c>
      <c r="B5" s="8" t="s">
        <v>414</v>
      </c>
      <c r="C5" s="3">
        <v>4</v>
      </c>
      <c r="D5" s="13" t="s">
        <v>1307</v>
      </c>
      <c r="E5" s="5">
        <v>4</v>
      </c>
      <c r="F5" s="5" t="s">
        <v>393</v>
      </c>
      <c r="G5" s="3">
        <v>4</v>
      </c>
      <c r="H5" s="3" t="s">
        <v>1993</v>
      </c>
      <c r="I5" s="70">
        <v>3</v>
      </c>
      <c r="J5" s="14" t="s">
        <v>100</v>
      </c>
      <c r="K5" s="70">
        <v>1</v>
      </c>
      <c r="L5" s="14" t="s">
        <v>415</v>
      </c>
      <c r="M5" s="70">
        <v>4</v>
      </c>
      <c r="N5" s="14" t="s">
        <v>1995</v>
      </c>
      <c r="O5" s="3">
        <v>3</v>
      </c>
      <c r="P5" s="3" t="s">
        <v>1995</v>
      </c>
      <c r="Q5" s="8">
        <v>3</v>
      </c>
      <c r="R5" s="8" t="s">
        <v>1352</v>
      </c>
      <c r="S5" s="133">
        <v>4</v>
      </c>
      <c r="T5" s="136" t="s">
        <v>407</v>
      </c>
    </row>
    <row r="6" spans="1:20">
      <c r="A6" s="70">
        <v>1</v>
      </c>
      <c r="B6" s="8" t="s">
        <v>1996</v>
      </c>
      <c r="C6" s="3">
        <v>1</v>
      </c>
      <c r="D6" s="13" t="s">
        <v>1997</v>
      </c>
      <c r="E6" s="5">
        <v>4</v>
      </c>
      <c r="F6" s="5" t="s">
        <v>420</v>
      </c>
      <c r="G6" s="3">
        <v>4</v>
      </c>
      <c r="H6" s="3" t="s">
        <v>57</v>
      </c>
      <c r="I6" s="70">
        <v>3</v>
      </c>
      <c r="J6" s="14" t="s">
        <v>1354</v>
      </c>
      <c r="K6" s="99">
        <v>1</v>
      </c>
      <c r="L6" s="38" t="s">
        <v>463</v>
      </c>
      <c r="M6" s="70">
        <v>1</v>
      </c>
      <c r="N6" s="14" t="s">
        <v>1998</v>
      </c>
      <c r="O6" s="3">
        <v>4</v>
      </c>
      <c r="P6" s="3" t="s">
        <v>1999</v>
      </c>
      <c r="Q6" s="8">
        <v>3</v>
      </c>
      <c r="R6" s="8" t="s">
        <v>1375</v>
      </c>
      <c r="S6" s="133">
        <v>4</v>
      </c>
      <c r="T6" s="133" t="s">
        <v>2066</v>
      </c>
    </row>
    <row r="7" spans="1:20">
      <c r="A7" s="70">
        <v>1</v>
      </c>
      <c r="B7" s="8" t="s">
        <v>1307</v>
      </c>
      <c r="C7" s="3">
        <v>4</v>
      </c>
      <c r="D7" s="13" t="s">
        <v>1438</v>
      </c>
      <c r="E7" s="5">
        <v>4</v>
      </c>
      <c r="F7" s="5" t="s">
        <v>444</v>
      </c>
      <c r="G7" s="3">
        <v>1</v>
      </c>
      <c r="H7" s="3" t="s">
        <v>542</v>
      </c>
      <c r="I7" s="70">
        <v>3</v>
      </c>
      <c r="J7" s="14" t="s">
        <v>866</v>
      </c>
      <c r="K7" s="70">
        <v>4</v>
      </c>
      <c r="L7" s="14" t="s">
        <v>510</v>
      </c>
      <c r="M7" s="70">
        <v>4</v>
      </c>
      <c r="N7" s="14" t="s">
        <v>57</v>
      </c>
      <c r="O7" s="3">
        <v>4</v>
      </c>
      <c r="P7" s="3" t="s">
        <v>829</v>
      </c>
      <c r="Q7" s="8">
        <v>4</v>
      </c>
      <c r="R7" s="8" t="s">
        <v>1414</v>
      </c>
      <c r="S7" s="133">
        <v>1</v>
      </c>
      <c r="T7" s="133" t="s">
        <v>104</v>
      </c>
    </row>
    <row r="8" spans="1:20">
      <c r="A8" s="70">
        <v>8</v>
      </c>
      <c r="B8" s="8" t="s">
        <v>2000</v>
      </c>
      <c r="C8" s="3">
        <v>3</v>
      </c>
      <c r="D8" s="13" t="s">
        <v>145</v>
      </c>
      <c r="E8" s="5">
        <v>3</v>
      </c>
      <c r="F8" s="5" t="s">
        <v>466</v>
      </c>
      <c r="G8" s="3">
        <v>1</v>
      </c>
      <c r="H8" s="3" t="s">
        <v>2001</v>
      </c>
      <c r="I8" s="70">
        <v>3</v>
      </c>
      <c r="J8" s="14" t="s">
        <v>1397</v>
      </c>
      <c r="K8" s="70">
        <v>1</v>
      </c>
      <c r="L8" s="14" t="s">
        <v>2005</v>
      </c>
      <c r="M8" s="70">
        <v>4</v>
      </c>
      <c r="N8" s="14" t="s">
        <v>2002</v>
      </c>
      <c r="O8" s="3">
        <v>4</v>
      </c>
      <c r="P8" s="3" t="s">
        <v>436</v>
      </c>
      <c r="Q8" s="8">
        <v>1</v>
      </c>
      <c r="R8" s="8" t="s">
        <v>2046</v>
      </c>
      <c r="S8" s="133">
        <v>1</v>
      </c>
      <c r="T8" s="133" t="s">
        <v>2271</v>
      </c>
    </row>
    <row r="9" spans="1:20">
      <c r="A9" s="70">
        <v>4</v>
      </c>
      <c r="B9" s="8" t="s">
        <v>188</v>
      </c>
      <c r="C9" s="3">
        <v>1</v>
      </c>
      <c r="D9" s="13" t="s">
        <v>2003</v>
      </c>
      <c r="E9" s="5">
        <v>3</v>
      </c>
      <c r="F9" s="5" t="s">
        <v>491</v>
      </c>
      <c r="G9" s="3">
        <v>1</v>
      </c>
      <c r="H9" s="3" t="s">
        <v>2004</v>
      </c>
      <c r="I9" s="70">
        <v>4</v>
      </c>
      <c r="J9" s="14" t="s">
        <v>425</v>
      </c>
      <c r="K9" s="70">
        <v>1</v>
      </c>
      <c r="L9" s="14" t="s">
        <v>2008</v>
      </c>
      <c r="M9" s="70">
        <v>1</v>
      </c>
      <c r="N9" s="14" t="s">
        <v>2006</v>
      </c>
      <c r="O9" s="3">
        <v>1</v>
      </c>
      <c r="P9" s="3" t="s">
        <v>1820</v>
      </c>
      <c r="Q9" s="8">
        <v>2</v>
      </c>
      <c r="R9" s="8" t="s">
        <v>2047</v>
      </c>
      <c r="S9" s="17">
        <v>1</v>
      </c>
      <c r="T9" s="17" t="s">
        <v>503</v>
      </c>
    </row>
    <row r="10" spans="1:20">
      <c r="A10" s="70">
        <v>4</v>
      </c>
      <c r="B10" s="8" t="s">
        <v>204</v>
      </c>
      <c r="C10" s="3">
        <v>4</v>
      </c>
      <c r="D10" s="13" t="s">
        <v>131</v>
      </c>
      <c r="E10" s="5">
        <v>4</v>
      </c>
      <c r="F10" s="5" t="s">
        <v>514</v>
      </c>
      <c r="G10" s="3">
        <v>1</v>
      </c>
      <c r="H10" s="3" t="s">
        <v>2007</v>
      </c>
      <c r="I10" s="70">
        <v>1</v>
      </c>
      <c r="J10" s="14" t="s">
        <v>1484</v>
      </c>
      <c r="K10" s="162">
        <v>1</v>
      </c>
      <c r="L10" s="134" t="s">
        <v>89</v>
      </c>
      <c r="M10" s="70">
        <v>1</v>
      </c>
      <c r="N10" s="14" t="s">
        <v>2009</v>
      </c>
      <c r="O10" s="3">
        <v>1</v>
      </c>
      <c r="P10" s="3" t="s">
        <v>1985</v>
      </c>
      <c r="Q10" s="8">
        <v>4</v>
      </c>
      <c r="R10" s="8" t="s">
        <v>131</v>
      </c>
      <c r="S10" s="133">
        <v>1</v>
      </c>
      <c r="T10" s="133" t="s">
        <v>607</v>
      </c>
    </row>
    <row r="11" spans="1:20">
      <c r="A11" s="70">
        <v>4</v>
      </c>
      <c r="B11" s="8" t="s">
        <v>1554</v>
      </c>
      <c r="C11" s="3">
        <v>4</v>
      </c>
      <c r="D11" s="13" t="s">
        <v>1607</v>
      </c>
      <c r="E11" s="5">
        <v>4</v>
      </c>
      <c r="F11" s="5" t="s">
        <v>2010</v>
      </c>
      <c r="G11" s="3">
        <v>1</v>
      </c>
      <c r="H11" s="3" t="s">
        <v>558</v>
      </c>
      <c r="I11" s="70">
        <v>1</v>
      </c>
      <c r="J11" s="14" t="s">
        <v>2820</v>
      </c>
      <c r="K11" s="70">
        <v>1</v>
      </c>
      <c r="L11" s="14" t="s">
        <v>2001</v>
      </c>
      <c r="M11" s="70">
        <v>1</v>
      </c>
      <c r="N11" s="14" t="s">
        <v>2011</v>
      </c>
      <c r="O11" s="3">
        <v>3</v>
      </c>
      <c r="P11" s="3" t="s">
        <v>189</v>
      </c>
      <c r="Q11" s="8">
        <v>4</v>
      </c>
      <c r="R11" s="8" t="s">
        <v>744</v>
      </c>
      <c r="S11" s="17">
        <v>1</v>
      </c>
      <c r="T11" s="17" t="s">
        <v>572</v>
      </c>
    </row>
    <row r="12" spans="1:20">
      <c r="A12" s="70">
        <v>4</v>
      </c>
      <c r="B12" s="8" t="s">
        <v>1517</v>
      </c>
      <c r="C12" s="3">
        <v>4</v>
      </c>
      <c r="D12" s="13" t="s">
        <v>1517</v>
      </c>
      <c r="E12" s="5">
        <v>4</v>
      </c>
      <c r="F12" s="5" t="s">
        <v>2012</v>
      </c>
      <c r="G12" s="3">
        <v>1</v>
      </c>
      <c r="H12" s="3" t="s">
        <v>588</v>
      </c>
      <c r="I12" s="70">
        <v>1</v>
      </c>
      <c r="J12" s="14" t="s">
        <v>157</v>
      </c>
      <c r="K12" s="162">
        <v>1</v>
      </c>
      <c r="L12" s="134" t="s">
        <v>2819</v>
      </c>
      <c r="M12" s="70">
        <v>1</v>
      </c>
      <c r="N12" s="14" t="s">
        <v>2013</v>
      </c>
      <c r="O12" s="3">
        <v>3</v>
      </c>
      <c r="P12" s="3" t="s">
        <v>2014</v>
      </c>
      <c r="Q12" s="8">
        <v>4</v>
      </c>
      <c r="R12" s="8" t="s">
        <v>1536</v>
      </c>
      <c r="S12" s="133">
        <v>1</v>
      </c>
      <c r="T12" s="133" t="s">
        <v>522</v>
      </c>
    </row>
    <row r="13" spans="1:20">
      <c r="A13" s="70">
        <v>4</v>
      </c>
      <c r="B13" s="8" t="s">
        <v>131</v>
      </c>
      <c r="C13" s="3">
        <v>4</v>
      </c>
      <c r="D13" s="13" t="s">
        <v>582</v>
      </c>
      <c r="E13" s="5">
        <v>4</v>
      </c>
      <c r="F13" s="5" t="s">
        <v>582</v>
      </c>
      <c r="G13" s="95">
        <v>1</v>
      </c>
      <c r="H13" s="95" t="s">
        <v>2015</v>
      </c>
      <c r="I13" s="70">
        <v>1</v>
      </c>
      <c r="J13" s="14" t="s">
        <v>397</v>
      </c>
      <c r="K13" s="70">
        <v>1</v>
      </c>
      <c r="L13" s="8" t="s">
        <v>2016</v>
      </c>
      <c r="M13" s="70">
        <v>1</v>
      </c>
      <c r="N13" s="14" t="s">
        <v>2017</v>
      </c>
      <c r="O13" s="3">
        <v>4</v>
      </c>
      <c r="P13" s="3" t="s">
        <v>2018</v>
      </c>
      <c r="Q13" s="8">
        <v>4</v>
      </c>
      <c r="R13" s="8" t="s">
        <v>2822</v>
      </c>
      <c r="S13" s="133">
        <v>1</v>
      </c>
      <c r="T13" s="133" t="s">
        <v>633</v>
      </c>
    </row>
    <row r="14" spans="1:20">
      <c r="A14" s="70">
        <v>4</v>
      </c>
      <c r="B14" s="8" t="s">
        <v>180</v>
      </c>
      <c r="C14" s="3">
        <v>4</v>
      </c>
      <c r="D14" s="13" t="s">
        <v>180</v>
      </c>
      <c r="E14" s="5">
        <v>4</v>
      </c>
      <c r="F14" s="5" t="s">
        <v>601</v>
      </c>
      <c r="G14" s="3">
        <v>3</v>
      </c>
      <c r="H14" s="3" t="s">
        <v>1439</v>
      </c>
      <c r="I14" s="70">
        <v>1</v>
      </c>
      <c r="J14" s="14" t="s">
        <v>2019</v>
      </c>
      <c r="K14" s="162">
        <v>1</v>
      </c>
      <c r="L14" s="162" t="s">
        <v>88</v>
      </c>
      <c r="M14" s="70">
        <v>1</v>
      </c>
      <c r="N14" s="14" t="s">
        <v>1415</v>
      </c>
      <c r="O14" s="3">
        <v>2</v>
      </c>
      <c r="P14" s="3" t="s">
        <v>235</v>
      </c>
      <c r="Q14" s="8">
        <v>4</v>
      </c>
      <c r="R14" s="8" t="s">
        <v>180</v>
      </c>
      <c r="S14" s="133">
        <v>1</v>
      </c>
      <c r="T14" s="133" t="s">
        <v>648</v>
      </c>
    </row>
    <row r="15" spans="1:20">
      <c r="A15" s="70">
        <v>4</v>
      </c>
      <c r="B15" s="8" t="s">
        <v>1438</v>
      </c>
      <c r="C15" s="95">
        <v>3</v>
      </c>
      <c r="D15" s="97" t="s">
        <v>253</v>
      </c>
      <c r="E15" s="5">
        <v>4</v>
      </c>
      <c r="F15" s="5" t="s">
        <v>621</v>
      </c>
      <c r="G15" s="3">
        <v>4</v>
      </c>
      <c r="H15" s="3" t="s">
        <v>131</v>
      </c>
      <c r="I15" s="135">
        <v>1</v>
      </c>
      <c r="J15" s="135" t="s">
        <v>2821</v>
      </c>
      <c r="K15" s="70">
        <v>1</v>
      </c>
      <c r="L15" s="8" t="s">
        <v>2020</v>
      </c>
      <c r="M15" s="70">
        <v>3</v>
      </c>
      <c r="N15" s="14" t="s">
        <v>243</v>
      </c>
      <c r="O15" s="3">
        <v>3</v>
      </c>
      <c r="P15" s="3" t="s">
        <v>577</v>
      </c>
      <c r="Q15" s="8">
        <v>4</v>
      </c>
      <c r="R15" s="8" t="s">
        <v>726</v>
      </c>
      <c r="S15" s="133">
        <v>3</v>
      </c>
      <c r="T15" s="133" t="s">
        <v>189</v>
      </c>
    </row>
    <row r="16" spans="1:20">
      <c r="A16" s="70">
        <v>4</v>
      </c>
      <c r="B16" s="8" t="s">
        <v>145</v>
      </c>
      <c r="C16" s="3">
        <v>4</v>
      </c>
      <c r="D16" s="13" t="s">
        <v>137</v>
      </c>
      <c r="E16" s="5">
        <v>4</v>
      </c>
      <c r="F16" s="5" t="s">
        <v>641</v>
      </c>
      <c r="G16" s="3">
        <v>4</v>
      </c>
      <c r="H16" s="3" t="s">
        <v>675</v>
      </c>
      <c r="I16" s="70">
        <v>4</v>
      </c>
      <c r="J16" s="14" t="s">
        <v>627</v>
      </c>
      <c r="K16" s="22">
        <v>1</v>
      </c>
      <c r="L16" s="22" t="s">
        <v>185</v>
      </c>
      <c r="M16" s="70">
        <v>4</v>
      </c>
      <c r="N16" s="14" t="s">
        <v>2021</v>
      </c>
      <c r="O16" s="3">
        <v>4</v>
      </c>
      <c r="P16" s="3" t="s">
        <v>614</v>
      </c>
      <c r="Q16" s="8">
        <v>4</v>
      </c>
      <c r="R16" s="8" t="s">
        <v>2647</v>
      </c>
      <c r="S16" s="133">
        <v>3</v>
      </c>
      <c r="T16" s="133" t="s">
        <v>137</v>
      </c>
    </row>
    <row r="17" spans="5:20">
      <c r="E17" s="5">
        <v>4</v>
      </c>
      <c r="F17" s="5" t="s">
        <v>131</v>
      </c>
      <c r="G17" s="3">
        <v>2</v>
      </c>
      <c r="H17" s="3" t="s">
        <v>2022</v>
      </c>
      <c r="I17" s="70">
        <v>2</v>
      </c>
      <c r="J17" s="14" t="s">
        <v>668</v>
      </c>
      <c r="K17" s="22">
        <v>1</v>
      </c>
      <c r="L17" s="22" t="s">
        <v>2013</v>
      </c>
      <c r="M17" s="70">
        <v>4</v>
      </c>
      <c r="N17" s="14" t="s">
        <v>2025</v>
      </c>
      <c r="O17" s="3">
        <v>3</v>
      </c>
      <c r="P17" s="3" t="s">
        <v>1486</v>
      </c>
      <c r="Q17" s="8">
        <v>4</v>
      </c>
      <c r="R17" s="8" t="s">
        <v>1517</v>
      </c>
      <c r="S17" s="133">
        <v>3</v>
      </c>
      <c r="T17" s="133" t="s">
        <v>235</v>
      </c>
    </row>
    <row r="18" spans="5:20">
      <c r="G18" s="3">
        <v>4</v>
      </c>
      <c r="H18" s="3" t="s">
        <v>101</v>
      </c>
      <c r="I18" s="70">
        <v>4</v>
      </c>
      <c r="J18" s="14" t="s">
        <v>2023</v>
      </c>
      <c r="K18" s="22">
        <v>1</v>
      </c>
      <c r="L18" s="22" t="s">
        <v>2024</v>
      </c>
      <c r="M18" s="70">
        <v>4</v>
      </c>
      <c r="N18" s="14" t="s">
        <v>131</v>
      </c>
      <c r="O18" s="3">
        <v>1</v>
      </c>
      <c r="P18" s="3" t="s">
        <v>2026</v>
      </c>
      <c r="Q18" s="8">
        <v>4</v>
      </c>
      <c r="R18" s="8" t="s">
        <v>2032</v>
      </c>
      <c r="S18" s="17">
        <v>3</v>
      </c>
      <c r="T18" s="17" t="s">
        <v>726</v>
      </c>
    </row>
    <row r="19" spans="5:20">
      <c r="G19" s="3">
        <v>4</v>
      </c>
      <c r="H19" s="3" t="s">
        <v>1980</v>
      </c>
      <c r="I19" s="70">
        <v>4</v>
      </c>
      <c r="J19" s="14" t="s">
        <v>180</v>
      </c>
      <c r="K19" s="22">
        <v>1</v>
      </c>
      <c r="L19" s="22" t="s">
        <v>2017</v>
      </c>
      <c r="M19" s="70">
        <v>4</v>
      </c>
      <c r="N19" s="14" t="s">
        <v>137</v>
      </c>
      <c r="O19" s="3">
        <v>1</v>
      </c>
      <c r="P19" s="3" t="s">
        <v>238</v>
      </c>
      <c r="S19" s="17">
        <v>3</v>
      </c>
      <c r="T19" s="17" t="s">
        <v>732</v>
      </c>
    </row>
    <row r="20" spans="5:20">
      <c r="G20" s="3">
        <v>3</v>
      </c>
      <c r="H20" s="3" t="s">
        <v>189</v>
      </c>
      <c r="I20" s="70">
        <v>4</v>
      </c>
      <c r="J20" s="14" t="s">
        <v>1959</v>
      </c>
      <c r="K20" s="70">
        <v>4</v>
      </c>
      <c r="L20" s="70" t="s">
        <v>573</v>
      </c>
      <c r="M20" s="70">
        <v>4</v>
      </c>
      <c r="N20" s="14" t="s">
        <v>176</v>
      </c>
      <c r="O20" s="3">
        <v>4</v>
      </c>
      <c r="P20" s="3" t="s">
        <v>2027</v>
      </c>
      <c r="S20" s="17">
        <v>4</v>
      </c>
      <c r="T20" s="17" t="s">
        <v>243</v>
      </c>
    </row>
    <row r="21" spans="5:20">
      <c r="G21" s="3">
        <v>3</v>
      </c>
      <c r="H21" s="3" t="s">
        <v>137</v>
      </c>
      <c r="I21" s="70">
        <v>4</v>
      </c>
      <c r="J21" s="14" t="s">
        <v>954</v>
      </c>
      <c r="K21" s="70">
        <v>3</v>
      </c>
      <c r="L21" s="70" t="s">
        <v>189</v>
      </c>
      <c r="M21" s="70">
        <v>3</v>
      </c>
      <c r="N21" s="14" t="s">
        <v>180</v>
      </c>
      <c r="O21" s="3">
        <v>1</v>
      </c>
      <c r="P21" s="3" t="s">
        <v>2028</v>
      </c>
      <c r="S21" s="17">
        <v>4</v>
      </c>
      <c r="T21" s="17" t="s">
        <v>744</v>
      </c>
    </row>
    <row r="22" spans="5:20">
      <c r="G22" s="3">
        <v>3</v>
      </c>
      <c r="H22" s="3" t="s">
        <v>238</v>
      </c>
      <c r="I22" s="70">
        <v>4</v>
      </c>
      <c r="J22" s="14" t="s">
        <v>938</v>
      </c>
      <c r="K22" s="70">
        <v>3</v>
      </c>
      <c r="L22" s="70" t="s">
        <v>131</v>
      </c>
      <c r="M22" s="70">
        <v>1</v>
      </c>
      <c r="N22" s="14" t="s">
        <v>1439</v>
      </c>
      <c r="O22" s="3">
        <v>1</v>
      </c>
      <c r="P22" s="3" t="s">
        <v>2029</v>
      </c>
      <c r="S22" s="133">
        <v>4</v>
      </c>
      <c r="T22" s="133" t="s">
        <v>752</v>
      </c>
    </row>
    <row r="23" spans="5:20">
      <c r="G23" s="3">
        <v>1</v>
      </c>
      <c r="H23" s="3" t="s">
        <v>691</v>
      </c>
      <c r="K23" s="70">
        <v>4</v>
      </c>
      <c r="L23" s="70" t="s">
        <v>113</v>
      </c>
      <c r="M23" s="70">
        <v>1</v>
      </c>
      <c r="N23" s="14" t="s">
        <v>233</v>
      </c>
      <c r="O23" s="3">
        <v>1</v>
      </c>
      <c r="P23" s="3" t="s">
        <v>2030</v>
      </c>
      <c r="S23" s="17">
        <v>3</v>
      </c>
      <c r="T23" s="17" t="s">
        <v>2644</v>
      </c>
    </row>
    <row r="24" spans="5:20">
      <c r="G24" s="3">
        <v>1</v>
      </c>
      <c r="H24" s="3" t="s">
        <v>2031</v>
      </c>
      <c r="K24" s="70">
        <v>3</v>
      </c>
      <c r="L24" s="70" t="s">
        <v>728</v>
      </c>
      <c r="M24" s="70">
        <v>4</v>
      </c>
      <c r="N24" s="14" t="s">
        <v>2027</v>
      </c>
      <c r="O24" s="3">
        <v>1</v>
      </c>
      <c r="P24" s="3" t="s">
        <v>719</v>
      </c>
      <c r="S24" s="17">
        <v>4</v>
      </c>
      <c r="T24" s="17" t="s">
        <v>759</v>
      </c>
    </row>
    <row r="25" spans="5:20">
      <c r="G25" s="3">
        <v>4</v>
      </c>
      <c r="H25" s="3" t="s">
        <v>751</v>
      </c>
      <c r="K25" s="70">
        <v>4</v>
      </c>
      <c r="L25" s="70" t="s">
        <v>242</v>
      </c>
    </row>
    <row r="26" spans="5:20">
      <c r="K26" s="70">
        <v>3</v>
      </c>
      <c r="L26" s="70" t="s">
        <v>668</v>
      </c>
    </row>
    <row r="27" spans="5:20">
      <c r="K27" s="135">
        <v>4</v>
      </c>
      <c r="L27" s="135" t="s">
        <v>204</v>
      </c>
    </row>
    <row r="28" spans="5:20">
      <c r="K28" s="135">
        <v>4</v>
      </c>
      <c r="L28" s="135" t="s">
        <v>1608</v>
      </c>
    </row>
    <row r="29" spans="5:20">
      <c r="K29" s="70">
        <v>2</v>
      </c>
      <c r="L29" s="70" t="s">
        <v>2824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FFCC"/>
  </sheetPr>
  <dimension ref="A1:R35"/>
  <sheetViews>
    <sheetView zoomScaleNormal="100" workbookViewId="0">
      <selection activeCell="N26" sqref="N26"/>
    </sheetView>
  </sheetViews>
  <sheetFormatPr baseColWidth="10" defaultColWidth="9.140625" defaultRowHeight="15"/>
  <cols>
    <col min="1" max="1" width="3" style="26" customWidth="1"/>
    <col min="2" max="2" width="22.85546875" style="26" customWidth="1"/>
    <col min="3" max="3" width="3" style="26" customWidth="1"/>
    <col min="4" max="4" width="30.42578125" style="26" customWidth="1"/>
    <col min="5" max="5" width="3" style="26" customWidth="1"/>
    <col min="6" max="6" width="19.7109375" style="26" bestFit="1" customWidth="1"/>
    <col min="7" max="7" width="3" style="26" customWidth="1"/>
    <col min="8" max="8" width="23.42578125" style="26" bestFit="1" customWidth="1"/>
    <col min="9" max="9" width="3" style="26" customWidth="1"/>
    <col min="10" max="10" width="20.42578125" style="65" bestFit="1" customWidth="1"/>
    <col min="11" max="11" width="3" style="26" customWidth="1"/>
    <col min="12" max="12" width="19.85546875" style="26" bestFit="1" customWidth="1"/>
    <col min="13" max="13" width="3" bestFit="1" customWidth="1"/>
    <col min="14" max="14" width="22.140625" bestFit="1" customWidth="1"/>
    <col min="15" max="15" width="3" bestFit="1" customWidth="1"/>
    <col min="16" max="16" width="22.42578125" bestFit="1" customWidth="1"/>
    <col min="17" max="1023" width="10.7109375" customWidth="1"/>
  </cols>
  <sheetData>
    <row r="1" spans="1:18" s="98" customFormat="1">
      <c r="A1" s="10">
        <f>SUM(A2:A40)</f>
        <v>60</v>
      </c>
      <c r="B1" s="9" t="s">
        <v>2033</v>
      </c>
      <c r="C1" s="10">
        <f>SUM(C2:C35)</f>
        <v>60</v>
      </c>
      <c r="D1" s="10" t="s">
        <v>2828</v>
      </c>
      <c r="E1" s="10">
        <f>SUM(E2:E30)</f>
        <v>60</v>
      </c>
      <c r="F1" s="9" t="s">
        <v>2034</v>
      </c>
      <c r="G1" s="10">
        <f>SUM(G2:G40)</f>
        <v>60</v>
      </c>
      <c r="H1" s="10" t="s">
        <v>2035</v>
      </c>
      <c r="I1" s="10">
        <f>SUM(I2:I40)</f>
        <v>60</v>
      </c>
      <c r="J1" s="10" t="s">
        <v>2036</v>
      </c>
      <c r="K1" s="10">
        <f>SUM(K2:K24)</f>
        <v>60</v>
      </c>
      <c r="L1" s="10" t="s">
        <v>2815</v>
      </c>
      <c r="M1" s="17">
        <f>SUM(M2:M20)</f>
        <v>60</v>
      </c>
      <c r="N1" s="57" t="s">
        <v>2621</v>
      </c>
      <c r="O1" s="17">
        <f>SUM(O2:O34)</f>
        <v>60</v>
      </c>
      <c r="P1" s="175" t="s">
        <v>2602</v>
      </c>
    </row>
    <row r="2" spans="1:18">
      <c r="A2" s="8">
        <v>13</v>
      </c>
      <c r="B2" s="14" t="s">
        <v>2037</v>
      </c>
      <c r="C2" s="8">
        <v>3</v>
      </c>
      <c r="D2" s="8" t="s">
        <v>1844</v>
      </c>
      <c r="E2" s="8">
        <v>4</v>
      </c>
      <c r="F2" s="140" t="s">
        <v>1302</v>
      </c>
      <c r="G2" s="8">
        <v>4</v>
      </c>
      <c r="H2" s="70" t="s">
        <v>33</v>
      </c>
      <c r="I2" s="8">
        <v>3</v>
      </c>
      <c r="J2" s="70" t="s">
        <v>24</v>
      </c>
      <c r="K2" s="8">
        <v>3</v>
      </c>
      <c r="L2" s="8" t="s">
        <v>56</v>
      </c>
      <c r="M2" s="8">
        <v>4</v>
      </c>
      <c r="N2" s="8" t="s">
        <v>2062</v>
      </c>
      <c r="O2" s="18">
        <v>1</v>
      </c>
      <c r="P2" s="8" t="s">
        <v>2165</v>
      </c>
    </row>
    <row r="3" spans="1:18">
      <c r="A3" s="8">
        <v>4</v>
      </c>
      <c r="B3" s="14" t="s">
        <v>2039</v>
      </c>
      <c r="C3" s="8">
        <v>1</v>
      </c>
      <c r="D3" s="8" t="s">
        <v>2613</v>
      </c>
      <c r="E3" s="8">
        <v>4</v>
      </c>
      <c r="F3" s="140" t="s">
        <v>1953</v>
      </c>
      <c r="G3" s="8">
        <v>4</v>
      </c>
      <c r="H3" s="70" t="s">
        <v>1929</v>
      </c>
      <c r="I3" s="8">
        <v>3</v>
      </c>
      <c r="J3" s="70" t="s">
        <v>2040</v>
      </c>
      <c r="K3" s="8">
        <v>3</v>
      </c>
      <c r="L3" s="8" t="s">
        <v>2062</v>
      </c>
      <c r="M3" s="17">
        <v>4</v>
      </c>
      <c r="N3" s="17" t="s">
        <v>2636</v>
      </c>
      <c r="O3" s="8">
        <v>1</v>
      </c>
      <c r="P3" s="8" t="s">
        <v>38</v>
      </c>
    </row>
    <row r="4" spans="1:18">
      <c r="A4" s="8">
        <v>4</v>
      </c>
      <c r="B4" s="14" t="s">
        <v>2042</v>
      </c>
      <c r="C4" s="8">
        <v>1</v>
      </c>
      <c r="D4" s="8" t="s">
        <v>1319</v>
      </c>
      <c r="E4" s="8">
        <v>4</v>
      </c>
      <c r="F4" s="140" t="s">
        <v>2661</v>
      </c>
      <c r="G4" s="8">
        <v>4</v>
      </c>
      <c r="H4" s="70" t="s">
        <v>1321</v>
      </c>
      <c r="I4" s="8">
        <v>1</v>
      </c>
      <c r="J4" s="70" t="s">
        <v>19</v>
      </c>
      <c r="K4" s="8">
        <v>3</v>
      </c>
      <c r="L4" s="8" t="s">
        <v>2043</v>
      </c>
      <c r="M4" s="133">
        <v>4</v>
      </c>
      <c r="N4" s="8" t="s">
        <v>2637</v>
      </c>
      <c r="O4" s="18">
        <v>1</v>
      </c>
      <c r="P4" s="8" t="s">
        <v>111</v>
      </c>
    </row>
    <row r="5" spans="1:18">
      <c r="A5" s="8">
        <v>4</v>
      </c>
      <c r="B5" s="14" t="s">
        <v>377</v>
      </c>
      <c r="C5" s="8">
        <v>4</v>
      </c>
      <c r="D5" s="8" t="s">
        <v>1296</v>
      </c>
      <c r="E5" s="8">
        <v>4</v>
      </c>
      <c r="F5" s="140" t="s">
        <v>354</v>
      </c>
      <c r="G5" s="8">
        <v>4</v>
      </c>
      <c r="H5" s="70" t="s">
        <v>1931</v>
      </c>
      <c r="I5" s="8">
        <v>3</v>
      </c>
      <c r="J5" s="70" t="s">
        <v>52</v>
      </c>
      <c r="K5" s="8">
        <v>3</v>
      </c>
      <c r="L5" s="8" t="s">
        <v>74</v>
      </c>
      <c r="M5" s="133">
        <v>4</v>
      </c>
      <c r="N5" s="8" t="s">
        <v>1346</v>
      </c>
      <c r="O5" s="8">
        <v>4</v>
      </c>
      <c r="P5" s="138" t="s">
        <v>2603</v>
      </c>
    </row>
    <row r="6" spans="1:18">
      <c r="A6" s="8">
        <v>4</v>
      </c>
      <c r="B6" s="14" t="s">
        <v>2044</v>
      </c>
      <c r="C6" s="8">
        <v>1</v>
      </c>
      <c r="D6" s="8" t="s">
        <v>1953</v>
      </c>
      <c r="E6" s="8">
        <v>4</v>
      </c>
      <c r="F6" s="140" t="s">
        <v>2632</v>
      </c>
      <c r="G6" s="8">
        <v>3</v>
      </c>
      <c r="H6" s="70" t="s">
        <v>1365</v>
      </c>
      <c r="I6" s="8">
        <v>4</v>
      </c>
      <c r="J6" s="70" t="s">
        <v>148</v>
      </c>
      <c r="K6" s="8">
        <v>1</v>
      </c>
      <c r="L6" s="8" t="s">
        <v>2818</v>
      </c>
      <c r="M6" s="133">
        <v>3</v>
      </c>
      <c r="N6" s="133" t="s">
        <v>1329</v>
      </c>
      <c r="O6" s="18">
        <v>1</v>
      </c>
      <c r="P6" s="138" t="s">
        <v>415</v>
      </c>
    </row>
    <row r="7" spans="1:18">
      <c r="A7" s="8">
        <v>1</v>
      </c>
      <c r="B7" s="14" t="s">
        <v>2045</v>
      </c>
      <c r="C7" s="8">
        <v>1</v>
      </c>
      <c r="D7" s="8" t="s">
        <v>52</v>
      </c>
      <c r="E7" s="8">
        <v>4</v>
      </c>
      <c r="F7" s="140" t="s">
        <v>378</v>
      </c>
      <c r="G7" s="8">
        <v>1</v>
      </c>
      <c r="H7" s="70" t="s">
        <v>132</v>
      </c>
      <c r="I7" s="8">
        <v>4</v>
      </c>
      <c r="J7" s="70" t="s">
        <v>1864</v>
      </c>
      <c r="K7" s="8">
        <v>1</v>
      </c>
      <c r="L7" s="8" t="s">
        <v>2817</v>
      </c>
      <c r="M7" s="133">
        <v>1</v>
      </c>
      <c r="N7" s="133" t="s">
        <v>1374</v>
      </c>
      <c r="O7" s="18">
        <v>1</v>
      </c>
      <c r="P7" s="138" t="s">
        <v>2598</v>
      </c>
      <c r="R7" s="100"/>
    </row>
    <row r="8" spans="1:18">
      <c r="A8" s="8">
        <v>4</v>
      </c>
      <c r="B8" s="14" t="s">
        <v>188</v>
      </c>
      <c r="C8" s="8">
        <v>4</v>
      </c>
      <c r="D8" s="8" t="s">
        <v>148</v>
      </c>
      <c r="E8" s="8">
        <v>1</v>
      </c>
      <c r="F8" s="140" t="s">
        <v>1960</v>
      </c>
      <c r="G8" s="8">
        <v>2</v>
      </c>
      <c r="H8" s="70" t="s">
        <v>232</v>
      </c>
      <c r="I8" s="8">
        <v>1</v>
      </c>
      <c r="J8" s="70" t="s">
        <v>916</v>
      </c>
      <c r="K8" s="8">
        <v>4</v>
      </c>
      <c r="L8" s="8" t="s">
        <v>61</v>
      </c>
      <c r="M8" s="133">
        <v>4</v>
      </c>
      <c r="N8" s="133" t="s">
        <v>2638</v>
      </c>
      <c r="O8" s="18">
        <v>1</v>
      </c>
      <c r="P8" s="138" t="s">
        <v>2599</v>
      </c>
    </row>
    <row r="9" spans="1:18">
      <c r="A9" s="8">
        <v>4</v>
      </c>
      <c r="B9" s="14" t="s">
        <v>164</v>
      </c>
      <c r="C9" s="8">
        <v>1</v>
      </c>
      <c r="D9" s="8" t="s">
        <v>132</v>
      </c>
      <c r="E9" s="8">
        <v>8</v>
      </c>
      <c r="F9" s="140" t="s">
        <v>2683</v>
      </c>
      <c r="G9" s="8">
        <v>2</v>
      </c>
      <c r="H9" s="70" t="s">
        <v>1895</v>
      </c>
      <c r="I9" s="8">
        <v>1</v>
      </c>
      <c r="J9" s="135" t="s">
        <v>904</v>
      </c>
      <c r="K9" s="8">
        <v>1</v>
      </c>
      <c r="L9" s="8" t="s">
        <v>49</v>
      </c>
      <c r="M9" s="17">
        <v>4</v>
      </c>
      <c r="N9" s="17" t="s">
        <v>2639</v>
      </c>
      <c r="O9" s="137">
        <v>4</v>
      </c>
      <c r="P9" s="138" t="s">
        <v>510</v>
      </c>
    </row>
    <row r="10" spans="1:18">
      <c r="A10" s="8">
        <v>3</v>
      </c>
      <c r="B10" s="14" t="s">
        <v>2048</v>
      </c>
      <c r="C10" s="8">
        <v>1</v>
      </c>
      <c r="D10" s="8" t="s">
        <v>109</v>
      </c>
      <c r="E10" s="8">
        <v>4</v>
      </c>
      <c r="F10" s="140" t="s">
        <v>1968</v>
      </c>
      <c r="G10" s="8">
        <v>2</v>
      </c>
      <c r="H10" s="70" t="s">
        <v>1428</v>
      </c>
      <c r="I10" s="8">
        <v>1</v>
      </c>
      <c r="J10" s="70" t="s">
        <v>479</v>
      </c>
      <c r="K10" s="8">
        <v>4</v>
      </c>
      <c r="L10" s="8" t="s">
        <v>2816</v>
      </c>
      <c r="M10" s="133">
        <v>1</v>
      </c>
      <c r="N10" s="133" t="s">
        <v>143</v>
      </c>
      <c r="O10" s="18">
        <v>3</v>
      </c>
      <c r="P10" s="138" t="s">
        <v>2814</v>
      </c>
    </row>
    <row r="11" spans="1:18">
      <c r="A11" s="8">
        <v>4</v>
      </c>
      <c r="B11" s="14" t="s">
        <v>224</v>
      </c>
      <c r="C11" s="8">
        <v>1</v>
      </c>
      <c r="D11" s="8" t="s">
        <v>2065</v>
      </c>
      <c r="E11" s="8">
        <v>4</v>
      </c>
      <c r="F11" s="140" t="s">
        <v>1971</v>
      </c>
      <c r="G11" s="8">
        <v>1</v>
      </c>
      <c r="H11" s="70" t="s">
        <v>2047</v>
      </c>
      <c r="I11" s="8">
        <v>1</v>
      </c>
      <c r="J11" s="70" t="s">
        <v>2049</v>
      </c>
      <c r="K11" s="8">
        <v>1</v>
      </c>
      <c r="L11" s="8" t="s">
        <v>105</v>
      </c>
      <c r="M11" s="17">
        <v>1</v>
      </c>
      <c r="N11" s="17" t="s">
        <v>270</v>
      </c>
      <c r="O11" s="137">
        <v>1</v>
      </c>
      <c r="P11" s="138" t="s">
        <v>89</v>
      </c>
    </row>
    <row r="12" spans="1:18">
      <c r="A12" s="8">
        <v>4</v>
      </c>
      <c r="B12" s="14" t="s">
        <v>131</v>
      </c>
      <c r="C12" s="8">
        <v>1</v>
      </c>
      <c r="D12" s="70" t="s">
        <v>143</v>
      </c>
      <c r="E12" s="8">
        <v>4</v>
      </c>
      <c r="F12" s="140" t="s">
        <v>2659</v>
      </c>
      <c r="G12" s="8">
        <v>1</v>
      </c>
      <c r="H12" s="70" t="s">
        <v>2050</v>
      </c>
      <c r="I12" s="8">
        <v>1</v>
      </c>
      <c r="J12" s="70" t="s">
        <v>729</v>
      </c>
      <c r="K12" s="8">
        <v>4</v>
      </c>
      <c r="L12" s="8" t="s">
        <v>1681</v>
      </c>
      <c r="M12" s="133">
        <v>1</v>
      </c>
      <c r="N12" s="133" t="s">
        <v>753</v>
      </c>
      <c r="O12" s="137">
        <v>1</v>
      </c>
      <c r="P12" s="8" t="s">
        <v>2001</v>
      </c>
    </row>
    <row r="13" spans="1:18">
      <c r="A13" s="8">
        <v>3</v>
      </c>
      <c r="B13" s="14" t="s">
        <v>145</v>
      </c>
      <c r="C13" s="8">
        <v>1</v>
      </c>
      <c r="D13" s="8" t="s">
        <v>89</v>
      </c>
      <c r="E13" s="8">
        <v>4</v>
      </c>
      <c r="F13" s="140" t="s">
        <v>2812</v>
      </c>
      <c r="G13" s="8">
        <v>4</v>
      </c>
      <c r="H13" s="70" t="s">
        <v>142</v>
      </c>
      <c r="I13" s="8">
        <v>1</v>
      </c>
      <c r="J13" s="70" t="s">
        <v>2830</v>
      </c>
      <c r="K13" s="8">
        <v>4</v>
      </c>
      <c r="L13" s="8" t="s">
        <v>206</v>
      </c>
      <c r="M13" s="133">
        <v>1</v>
      </c>
      <c r="N13" s="133" t="s">
        <v>2640</v>
      </c>
      <c r="O13" s="137">
        <v>1</v>
      </c>
      <c r="P13" s="138" t="s">
        <v>2819</v>
      </c>
    </row>
    <row r="14" spans="1:18">
      <c r="A14" s="8">
        <v>4</v>
      </c>
      <c r="B14" s="14" t="s">
        <v>1214</v>
      </c>
      <c r="C14" s="8">
        <v>1</v>
      </c>
      <c r="D14" s="70" t="s">
        <v>2826</v>
      </c>
      <c r="E14" s="8">
        <v>4</v>
      </c>
      <c r="F14" s="140" t="s">
        <v>2662</v>
      </c>
      <c r="G14" s="8">
        <v>4</v>
      </c>
      <c r="H14" s="70" t="s">
        <v>137</v>
      </c>
      <c r="I14" s="8">
        <v>4</v>
      </c>
      <c r="J14" s="70" t="s">
        <v>142</v>
      </c>
      <c r="K14" s="8">
        <v>4</v>
      </c>
      <c r="L14" s="8" t="s">
        <v>1523</v>
      </c>
      <c r="M14" s="17">
        <v>4</v>
      </c>
      <c r="N14" s="17" t="s">
        <v>206</v>
      </c>
      <c r="O14" s="137">
        <v>1</v>
      </c>
      <c r="P14" s="8" t="s">
        <v>457</v>
      </c>
    </row>
    <row r="15" spans="1:18">
      <c r="A15" s="8">
        <v>3</v>
      </c>
      <c r="B15" s="14" t="s">
        <v>276</v>
      </c>
      <c r="C15" s="8">
        <v>1</v>
      </c>
      <c r="D15" s="8" t="s">
        <v>2825</v>
      </c>
      <c r="E15" s="8">
        <v>2</v>
      </c>
      <c r="F15" s="140" t="s">
        <v>189</v>
      </c>
      <c r="G15" s="8">
        <v>4</v>
      </c>
      <c r="H15" s="70" t="s">
        <v>1494</v>
      </c>
      <c r="I15" s="8">
        <v>4</v>
      </c>
      <c r="J15" s="70" t="s">
        <v>1572</v>
      </c>
      <c r="K15" s="8">
        <v>4</v>
      </c>
      <c r="L15" s="8" t="s">
        <v>224</v>
      </c>
      <c r="M15" s="17">
        <v>4</v>
      </c>
      <c r="N15" s="17" t="s">
        <v>1681</v>
      </c>
      <c r="O15" s="8">
        <v>1</v>
      </c>
      <c r="P15" s="8" t="s">
        <v>2596</v>
      </c>
    </row>
    <row r="16" spans="1:18">
      <c r="A16" s="8">
        <v>1</v>
      </c>
      <c r="B16" s="14" t="s">
        <v>719</v>
      </c>
      <c r="C16" s="8">
        <v>1</v>
      </c>
      <c r="D16" s="8" t="s">
        <v>1964</v>
      </c>
      <c r="E16" s="8">
        <v>3</v>
      </c>
      <c r="F16" s="140" t="s">
        <v>1976</v>
      </c>
      <c r="G16" s="8">
        <v>4</v>
      </c>
      <c r="H16" s="70" t="s">
        <v>180</v>
      </c>
      <c r="I16" s="8">
        <v>2</v>
      </c>
      <c r="J16" s="70" t="s">
        <v>1573</v>
      </c>
      <c r="K16" s="8">
        <v>4</v>
      </c>
      <c r="L16" s="8" t="s">
        <v>649</v>
      </c>
      <c r="M16" s="17">
        <v>4</v>
      </c>
      <c r="N16" s="17" t="s">
        <v>2641</v>
      </c>
      <c r="O16" s="137">
        <v>1</v>
      </c>
      <c r="P16" s="138" t="s">
        <v>225</v>
      </c>
    </row>
    <row r="17" spans="3:16">
      <c r="C17" s="8">
        <v>1</v>
      </c>
      <c r="D17" s="8" t="s">
        <v>1493</v>
      </c>
      <c r="E17" s="8">
        <v>2</v>
      </c>
      <c r="F17" s="140" t="s">
        <v>2660</v>
      </c>
      <c r="G17" s="8">
        <v>4</v>
      </c>
      <c r="H17" s="70" t="s">
        <v>206</v>
      </c>
      <c r="I17" s="8">
        <v>2</v>
      </c>
      <c r="J17" s="70" t="s">
        <v>249</v>
      </c>
      <c r="K17" s="8">
        <v>3</v>
      </c>
      <c r="L17" s="8" t="s">
        <v>713</v>
      </c>
      <c r="M17" s="17">
        <v>4</v>
      </c>
      <c r="N17" s="17" t="s">
        <v>1553</v>
      </c>
      <c r="O17" s="137">
        <v>1</v>
      </c>
      <c r="P17" s="138" t="s">
        <v>2823</v>
      </c>
    </row>
    <row r="18" spans="3:16">
      <c r="C18" s="8">
        <v>1</v>
      </c>
      <c r="D18" s="8" t="s">
        <v>225</v>
      </c>
      <c r="G18" s="8">
        <v>3</v>
      </c>
      <c r="H18" s="70" t="s">
        <v>1511</v>
      </c>
      <c r="I18" s="8">
        <v>1</v>
      </c>
      <c r="J18" s="70" t="s">
        <v>605</v>
      </c>
      <c r="K18" s="8">
        <v>4</v>
      </c>
      <c r="L18" s="8" t="s">
        <v>1823</v>
      </c>
      <c r="M18" s="133">
        <v>4</v>
      </c>
      <c r="N18" s="133" t="s">
        <v>1588</v>
      </c>
      <c r="O18" s="18">
        <v>1</v>
      </c>
      <c r="P18" s="8" t="s">
        <v>2594</v>
      </c>
    </row>
    <row r="19" spans="3:16">
      <c r="C19" s="8">
        <v>1</v>
      </c>
      <c r="D19" s="8" t="s">
        <v>185</v>
      </c>
      <c r="E19" s="65"/>
      <c r="F19" s="101"/>
      <c r="G19" s="8">
        <v>3</v>
      </c>
      <c r="H19" s="70" t="s">
        <v>2052</v>
      </c>
      <c r="I19" s="8">
        <v>1</v>
      </c>
      <c r="J19" s="70" t="s">
        <v>238</v>
      </c>
      <c r="K19" s="8">
        <v>4</v>
      </c>
      <c r="L19" s="8" t="s">
        <v>128</v>
      </c>
      <c r="M19" s="17">
        <v>4</v>
      </c>
      <c r="N19" s="17" t="s">
        <v>675</v>
      </c>
      <c r="O19" s="137">
        <v>1</v>
      </c>
      <c r="P19" s="138" t="s">
        <v>2013</v>
      </c>
    </row>
    <row r="20" spans="3:16">
      <c r="C20" s="8">
        <v>3</v>
      </c>
      <c r="D20" s="8" t="s">
        <v>178</v>
      </c>
      <c r="E20" s="65"/>
      <c r="G20" s="8">
        <v>3</v>
      </c>
      <c r="H20" s="70" t="s">
        <v>2053</v>
      </c>
      <c r="I20" s="8">
        <v>1</v>
      </c>
      <c r="J20" s="70" t="s">
        <v>194</v>
      </c>
      <c r="K20" s="8">
        <v>1</v>
      </c>
      <c r="L20" s="8" t="s">
        <v>703</v>
      </c>
      <c r="M20" s="17">
        <v>4</v>
      </c>
      <c r="N20" s="17" t="s">
        <v>180</v>
      </c>
      <c r="O20" s="137">
        <v>1</v>
      </c>
      <c r="P20" s="138" t="s">
        <v>192</v>
      </c>
    </row>
    <row r="21" spans="3:16">
      <c r="C21" s="8">
        <v>2</v>
      </c>
      <c r="D21" s="8" t="s">
        <v>1583</v>
      </c>
      <c r="E21" s="65"/>
      <c r="G21" s="8">
        <v>3</v>
      </c>
      <c r="H21" s="70" t="s">
        <v>128</v>
      </c>
      <c r="I21" s="8">
        <v>1</v>
      </c>
      <c r="J21" s="70" t="s">
        <v>677</v>
      </c>
      <c r="K21" s="8">
        <v>1</v>
      </c>
      <c r="L21" s="8" t="s">
        <v>2798</v>
      </c>
      <c r="M21" s="64"/>
      <c r="N21" s="65"/>
      <c r="O21" s="137">
        <v>4</v>
      </c>
      <c r="P21" s="138" t="s">
        <v>142</v>
      </c>
    </row>
    <row r="22" spans="3:16">
      <c r="C22" s="8">
        <v>1</v>
      </c>
      <c r="D22" s="8" t="s">
        <v>155</v>
      </c>
      <c r="E22" s="65"/>
      <c r="I22" s="8">
        <v>3</v>
      </c>
      <c r="J22" s="70" t="s">
        <v>137</v>
      </c>
      <c r="K22" s="8">
        <v>1</v>
      </c>
      <c r="L22" s="8" t="s">
        <v>678</v>
      </c>
      <c r="M22" s="64"/>
      <c r="N22" s="65"/>
      <c r="O22" s="137">
        <v>3</v>
      </c>
      <c r="P22" s="138" t="s">
        <v>614</v>
      </c>
    </row>
    <row r="23" spans="3:16">
      <c r="C23" s="8">
        <v>1</v>
      </c>
      <c r="D23" s="8" t="s">
        <v>272</v>
      </c>
      <c r="E23" s="65"/>
      <c r="I23" s="8">
        <v>1</v>
      </c>
      <c r="J23" s="70" t="s">
        <v>506</v>
      </c>
      <c r="K23" s="8">
        <v>1</v>
      </c>
      <c r="L23" s="8" t="s">
        <v>707</v>
      </c>
      <c r="M23" s="64"/>
      <c r="N23" s="65"/>
      <c r="O23" s="137">
        <v>4</v>
      </c>
      <c r="P23" s="138" t="s">
        <v>113</v>
      </c>
    </row>
    <row r="24" spans="3:16">
      <c r="C24" s="8">
        <v>1</v>
      </c>
      <c r="D24" s="8" t="s">
        <v>2054</v>
      </c>
      <c r="E24" s="65"/>
      <c r="I24" s="8">
        <v>1</v>
      </c>
      <c r="J24" s="70" t="s">
        <v>1914</v>
      </c>
      <c r="K24" s="8">
        <v>1</v>
      </c>
      <c r="L24" s="8" t="s">
        <v>694</v>
      </c>
      <c r="O24" s="137">
        <v>4</v>
      </c>
      <c r="P24" s="138" t="s">
        <v>1608</v>
      </c>
    </row>
    <row r="25" spans="3:16">
      <c r="C25" s="8">
        <v>3</v>
      </c>
      <c r="D25" s="8" t="s">
        <v>128</v>
      </c>
      <c r="E25" s="65"/>
      <c r="I25" s="8">
        <v>4</v>
      </c>
      <c r="J25" s="70" t="s">
        <v>178</v>
      </c>
      <c r="M25" s="64"/>
      <c r="N25" s="65"/>
      <c r="O25" s="137">
        <v>3</v>
      </c>
      <c r="P25" s="138" t="s">
        <v>189</v>
      </c>
    </row>
    <row r="26" spans="3:16">
      <c r="C26" s="8">
        <v>1</v>
      </c>
      <c r="D26" s="8" t="s">
        <v>145</v>
      </c>
      <c r="E26" s="65"/>
      <c r="I26" s="8">
        <v>2</v>
      </c>
      <c r="J26" s="70" t="s">
        <v>2055</v>
      </c>
      <c r="M26" s="64"/>
      <c r="N26" s="65"/>
      <c r="O26" s="137">
        <v>2</v>
      </c>
      <c r="P26" s="138" t="s">
        <v>728</v>
      </c>
    </row>
    <row r="27" spans="3:16">
      <c r="C27" s="70">
        <v>3</v>
      </c>
      <c r="D27" s="70" t="s">
        <v>1625</v>
      </c>
      <c r="I27" s="8">
        <v>1</v>
      </c>
      <c r="J27" s="70" t="s">
        <v>1918</v>
      </c>
      <c r="M27" s="64"/>
      <c r="N27" s="65"/>
      <c r="O27" s="137">
        <v>4</v>
      </c>
      <c r="P27" s="138" t="s">
        <v>573</v>
      </c>
    </row>
    <row r="28" spans="3:16">
      <c r="C28" s="8">
        <v>3</v>
      </c>
      <c r="D28" s="8" t="s">
        <v>2649</v>
      </c>
      <c r="I28" s="8">
        <v>1</v>
      </c>
      <c r="J28" s="70" t="s">
        <v>713</v>
      </c>
      <c r="M28" s="64"/>
      <c r="N28" s="65"/>
      <c r="O28" s="137">
        <v>1</v>
      </c>
      <c r="P28" s="138" t="s">
        <v>2608</v>
      </c>
    </row>
    <row r="29" spans="3:16">
      <c r="C29" s="70">
        <v>4</v>
      </c>
      <c r="D29" s="70" t="s">
        <v>142</v>
      </c>
      <c r="H29" s="101"/>
      <c r="I29" s="8">
        <v>1</v>
      </c>
      <c r="J29" s="70" t="s">
        <v>2056</v>
      </c>
      <c r="M29" s="64"/>
      <c r="N29" s="65"/>
      <c r="O29" s="137">
        <v>1</v>
      </c>
      <c r="P29" s="138" t="s">
        <v>775</v>
      </c>
    </row>
    <row r="30" spans="3:16">
      <c r="C30" s="8">
        <v>3</v>
      </c>
      <c r="D30" s="8" t="s">
        <v>137</v>
      </c>
      <c r="I30" s="8">
        <v>1</v>
      </c>
      <c r="J30" s="70" t="s">
        <v>2057</v>
      </c>
      <c r="M30" s="64"/>
      <c r="N30" s="65"/>
      <c r="O30" s="137">
        <v>1</v>
      </c>
      <c r="P30" s="138" t="s">
        <v>155</v>
      </c>
    </row>
    <row r="31" spans="3:16">
      <c r="C31" s="8">
        <v>3</v>
      </c>
      <c r="D31" s="8" t="s">
        <v>1532</v>
      </c>
      <c r="I31" s="8">
        <v>1</v>
      </c>
      <c r="J31" s="70" t="s">
        <v>719</v>
      </c>
      <c r="M31" s="64"/>
      <c r="N31" s="65"/>
      <c r="O31" s="137">
        <v>1</v>
      </c>
      <c r="P31" s="8" t="s">
        <v>219</v>
      </c>
    </row>
    <row r="32" spans="3:16">
      <c r="C32" s="8">
        <v>3</v>
      </c>
      <c r="D32" s="70" t="s">
        <v>1511</v>
      </c>
      <c r="I32" s="8">
        <v>1</v>
      </c>
      <c r="J32" s="70" t="s">
        <v>1525</v>
      </c>
      <c r="L32" s="101"/>
      <c r="M32" s="64"/>
      <c r="N32" s="65"/>
      <c r="O32" s="137">
        <v>1</v>
      </c>
      <c r="P32" s="138" t="s">
        <v>231</v>
      </c>
    </row>
    <row r="33" spans="3:16">
      <c r="C33" s="8">
        <v>1</v>
      </c>
      <c r="D33" s="8" t="s">
        <v>2827</v>
      </c>
      <c r="I33" s="8">
        <v>1</v>
      </c>
      <c r="J33" s="135" t="s">
        <v>2831</v>
      </c>
      <c r="M33" s="64"/>
      <c r="N33" s="65"/>
      <c r="O33" s="137">
        <v>1</v>
      </c>
      <c r="P33" s="138" t="s">
        <v>145</v>
      </c>
    </row>
    <row r="34" spans="3:16">
      <c r="C34" s="8">
        <v>1</v>
      </c>
      <c r="D34" s="8" t="s">
        <v>270</v>
      </c>
      <c r="I34" s="8">
        <v>1</v>
      </c>
      <c r="J34" s="70" t="s">
        <v>707</v>
      </c>
      <c r="M34" s="64"/>
      <c r="N34" s="65"/>
      <c r="O34" s="18">
        <v>3</v>
      </c>
      <c r="P34" s="8" t="s">
        <v>719</v>
      </c>
    </row>
    <row r="35" spans="3:16">
      <c r="C35" s="8">
        <v>1</v>
      </c>
      <c r="D35" s="8" t="s">
        <v>262</v>
      </c>
      <c r="I35" s="8">
        <v>1</v>
      </c>
      <c r="J35" s="70" t="s">
        <v>2058</v>
      </c>
      <c r="M35" s="64"/>
      <c r="N35" s="65"/>
      <c r="O35" s="65"/>
      <c r="P35" s="6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DDDDD"/>
  </sheetPr>
  <dimension ref="A1:P37"/>
  <sheetViews>
    <sheetView topLeftCell="K1" zoomScale="90" zoomScaleNormal="90" workbookViewId="0">
      <selection activeCell="P17" sqref="P17"/>
    </sheetView>
  </sheetViews>
  <sheetFormatPr baseColWidth="10" defaultColWidth="9.140625" defaultRowHeight="15"/>
  <cols>
    <col min="1" max="1" width="3" customWidth="1"/>
    <col min="2" max="2" width="24.42578125" customWidth="1"/>
    <col min="3" max="3" width="3" customWidth="1"/>
    <col min="4" max="4" width="23.5703125" style="65" bestFit="1" customWidth="1"/>
    <col min="5" max="5" width="3.5703125" customWidth="1"/>
    <col min="6" max="6" width="20.85546875" bestFit="1" customWidth="1"/>
    <col min="7" max="7" width="3.28515625" style="64" bestFit="1" customWidth="1"/>
    <col min="8" max="8" width="24.85546875" style="64" bestFit="1" customWidth="1"/>
    <col min="9" max="9" width="3" customWidth="1"/>
    <col min="10" max="10" width="34.7109375" bestFit="1" customWidth="1"/>
    <col min="11" max="11" width="3" customWidth="1"/>
    <col min="12" max="12" width="21.42578125" bestFit="1" customWidth="1"/>
    <col min="13" max="13" width="3" customWidth="1"/>
    <col min="14" max="14" width="21.85546875" bestFit="1" customWidth="1"/>
    <col min="15" max="15" width="3" customWidth="1"/>
    <col min="16" max="16" width="21.42578125" customWidth="1"/>
    <col min="17" max="1027" width="10.7109375" customWidth="1"/>
  </cols>
  <sheetData>
    <row r="1" spans="1:16">
      <c r="A1" s="204" t="s">
        <v>2059</v>
      </c>
      <c r="B1" s="204"/>
      <c r="C1" s="204"/>
      <c r="D1" s="204"/>
      <c r="E1" s="204"/>
      <c r="F1" s="204"/>
      <c r="G1" s="174"/>
      <c r="H1" s="174"/>
      <c r="I1" s="205" t="s">
        <v>2060</v>
      </c>
      <c r="J1" s="205"/>
      <c r="K1" s="205"/>
      <c r="L1" s="205"/>
      <c r="M1" s="205"/>
      <c r="N1" s="205"/>
      <c r="O1" s="205"/>
      <c r="P1" s="205"/>
    </row>
    <row r="2" spans="1:16" s="149" customFormat="1">
      <c r="A2" s="170">
        <f>SUM(A3:A26)</f>
        <v>60</v>
      </c>
      <c r="B2" s="178" t="s">
        <v>1787</v>
      </c>
      <c r="C2" s="176">
        <f>SUM(C3:C37)</f>
        <v>60</v>
      </c>
      <c r="D2" s="177" t="s">
        <v>2061</v>
      </c>
      <c r="E2" s="177">
        <f>SUM(E3:E24)</f>
        <v>60</v>
      </c>
      <c r="F2" s="181" t="s">
        <v>1788</v>
      </c>
      <c r="G2" s="17">
        <f>SUM(G3:G37)</f>
        <v>60</v>
      </c>
      <c r="H2" s="130" t="s">
        <v>2607</v>
      </c>
      <c r="I2" s="176">
        <f>SUM(I3:I31)</f>
        <v>60</v>
      </c>
      <c r="J2" s="177" t="s">
        <v>1163</v>
      </c>
      <c r="K2" s="170">
        <f>SUM(K3:K26)</f>
        <v>60</v>
      </c>
      <c r="L2" s="178" t="s">
        <v>1878</v>
      </c>
      <c r="M2" s="179">
        <f>SUM(M3:M30)</f>
        <v>60</v>
      </c>
      <c r="N2" s="177" t="s">
        <v>1879</v>
      </c>
      <c r="O2" s="17">
        <f>SUM(O3:O32)</f>
        <v>60</v>
      </c>
      <c r="P2" s="130" t="s">
        <v>2593</v>
      </c>
    </row>
    <row r="3" spans="1:16">
      <c r="A3" s="5">
        <v>4</v>
      </c>
      <c r="B3" s="5" t="s">
        <v>1273</v>
      </c>
      <c r="C3" s="18">
        <v>10</v>
      </c>
      <c r="D3" s="18" t="s">
        <v>40</v>
      </c>
      <c r="E3" s="89">
        <v>14</v>
      </c>
      <c r="F3" s="34" t="s">
        <v>1790</v>
      </c>
      <c r="G3" s="18">
        <v>1</v>
      </c>
      <c r="H3" s="8" t="s">
        <v>2165</v>
      </c>
      <c r="I3" s="17">
        <v>1</v>
      </c>
      <c r="J3" s="8" t="s">
        <v>772</v>
      </c>
      <c r="K3" s="18">
        <v>2</v>
      </c>
      <c r="L3" s="18" t="s">
        <v>20</v>
      </c>
      <c r="M3" s="17">
        <v>4</v>
      </c>
      <c r="N3" s="17" t="s">
        <v>25</v>
      </c>
      <c r="O3" s="18">
        <v>3</v>
      </c>
      <c r="P3" s="8" t="s">
        <v>2586</v>
      </c>
    </row>
    <row r="4" spans="1:16">
      <c r="A4" s="5">
        <v>4</v>
      </c>
      <c r="B4" s="5" t="s">
        <v>1292</v>
      </c>
      <c r="C4" s="18">
        <v>4</v>
      </c>
      <c r="D4" s="18" t="s">
        <v>1844</v>
      </c>
      <c r="E4" s="89">
        <v>4</v>
      </c>
      <c r="F4" s="34" t="s">
        <v>1791</v>
      </c>
      <c r="G4" s="8">
        <v>1</v>
      </c>
      <c r="H4" s="8" t="s">
        <v>38</v>
      </c>
      <c r="I4" s="8">
        <v>4</v>
      </c>
      <c r="J4" s="8" t="s">
        <v>769</v>
      </c>
      <c r="K4" s="18">
        <v>4</v>
      </c>
      <c r="L4" s="18" t="s">
        <v>33</v>
      </c>
      <c r="M4" s="17">
        <v>4</v>
      </c>
      <c r="N4" s="17" t="s">
        <v>39</v>
      </c>
      <c r="O4" s="18">
        <v>1</v>
      </c>
      <c r="P4" s="8" t="s">
        <v>2587</v>
      </c>
    </row>
    <row r="5" spans="1:16">
      <c r="A5" s="5">
        <v>3</v>
      </c>
      <c r="B5" s="5" t="s">
        <v>38</v>
      </c>
      <c r="C5" s="18">
        <v>1</v>
      </c>
      <c r="D5" s="18" t="s">
        <v>2610</v>
      </c>
      <c r="E5" s="8">
        <v>4</v>
      </c>
      <c r="F5" s="140" t="s">
        <v>1794</v>
      </c>
      <c r="G5" s="18">
        <v>1</v>
      </c>
      <c r="H5" s="8" t="s">
        <v>111</v>
      </c>
      <c r="I5" s="8">
        <v>1</v>
      </c>
      <c r="J5" s="8" t="s">
        <v>2952</v>
      </c>
      <c r="K5" s="18">
        <v>1</v>
      </c>
      <c r="L5" s="18" t="s">
        <v>49</v>
      </c>
      <c r="M5" s="17">
        <v>4</v>
      </c>
      <c r="N5" s="17" t="s">
        <v>1274</v>
      </c>
      <c r="O5" s="18">
        <v>4</v>
      </c>
      <c r="P5" s="138" t="s">
        <v>364</v>
      </c>
    </row>
    <row r="6" spans="1:16">
      <c r="A6" s="5">
        <v>1</v>
      </c>
      <c r="B6" s="5" t="s">
        <v>1314</v>
      </c>
      <c r="C6" s="18">
        <v>1</v>
      </c>
      <c r="D6" s="18" t="s">
        <v>54</v>
      </c>
      <c r="E6" s="89">
        <v>2</v>
      </c>
      <c r="F6" s="34" t="s">
        <v>1798</v>
      </c>
      <c r="G6" s="8">
        <v>4</v>
      </c>
      <c r="H6" s="138" t="s">
        <v>2603</v>
      </c>
      <c r="I6" s="17">
        <v>4</v>
      </c>
      <c r="J6" s="8" t="s">
        <v>2953</v>
      </c>
      <c r="K6" s="18">
        <v>1</v>
      </c>
      <c r="L6" s="18" t="s">
        <v>2062</v>
      </c>
      <c r="M6" s="17">
        <v>4</v>
      </c>
      <c r="N6" s="17" t="s">
        <v>1315</v>
      </c>
      <c r="O6" s="18">
        <v>1</v>
      </c>
      <c r="P6" s="138" t="s">
        <v>840</v>
      </c>
    </row>
    <row r="7" spans="1:16">
      <c r="A7" s="5">
        <v>1</v>
      </c>
      <c r="B7" s="5" t="s">
        <v>1802</v>
      </c>
      <c r="C7" s="136">
        <v>1</v>
      </c>
      <c r="D7" s="8" t="s">
        <v>2951</v>
      </c>
      <c r="E7" s="89">
        <v>3</v>
      </c>
      <c r="F7" s="34" t="s">
        <v>1800</v>
      </c>
      <c r="G7" s="18">
        <v>1</v>
      </c>
      <c r="H7" s="138" t="s">
        <v>415</v>
      </c>
      <c r="I7" s="17">
        <v>1</v>
      </c>
      <c r="J7" s="8" t="s">
        <v>1328</v>
      </c>
      <c r="K7" s="8">
        <v>1</v>
      </c>
      <c r="L7" s="8" t="s">
        <v>311</v>
      </c>
      <c r="M7" s="17">
        <v>4</v>
      </c>
      <c r="N7" s="17" t="s">
        <v>1337</v>
      </c>
      <c r="O7" s="18">
        <v>1</v>
      </c>
      <c r="P7" s="138" t="s">
        <v>2588</v>
      </c>
    </row>
    <row r="8" spans="1:16">
      <c r="A8" s="5">
        <v>4</v>
      </c>
      <c r="B8" s="5" t="s">
        <v>1382</v>
      </c>
      <c r="C8" s="136">
        <v>1</v>
      </c>
      <c r="D8" s="8" t="s">
        <v>2063</v>
      </c>
      <c r="E8" s="89">
        <v>1</v>
      </c>
      <c r="F8" s="34" t="s">
        <v>1048</v>
      </c>
      <c r="G8" s="18">
        <v>1</v>
      </c>
      <c r="H8" s="138" t="s">
        <v>2598</v>
      </c>
      <c r="I8" s="133">
        <v>1</v>
      </c>
      <c r="J8" s="8" t="s">
        <v>499</v>
      </c>
      <c r="K8" s="18">
        <v>4</v>
      </c>
      <c r="L8" s="18" t="s">
        <v>61</v>
      </c>
      <c r="M8" s="17">
        <v>4</v>
      </c>
      <c r="N8" s="17" t="s">
        <v>899</v>
      </c>
      <c r="O8" s="18">
        <v>4</v>
      </c>
      <c r="P8" s="138" t="s">
        <v>2065</v>
      </c>
    </row>
    <row r="9" spans="1:16">
      <c r="A9" s="5">
        <v>1</v>
      </c>
      <c r="B9" s="5" t="s">
        <v>89</v>
      </c>
      <c r="C9" s="18">
        <v>1</v>
      </c>
      <c r="D9" s="18" t="s">
        <v>94</v>
      </c>
      <c r="E9" s="8">
        <v>1</v>
      </c>
      <c r="F9" s="140" t="s">
        <v>2064</v>
      </c>
      <c r="G9" s="18">
        <v>1</v>
      </c>
      <c r="H9" s="138" t="s">
        <v>2599</v>
      </c>
      <c r="I9" s="133">
        <v>1</v>
      </c>
      <c r="J9" s="8" t="s">
        <v>2954</v>
      </c>
      <c r="K9" s="18">
        <v>4</v>
      </c>
      <c r="L9" s="18" t="s">
        <v>74</v>
      </c>
      <c r="M9" s="17">
        <v>4</v>
      </c>
      <c r="N9" s="17" t="s">
        <v>133</v>
      </c>
      <c r="O9" s="18">
        <v>1</v>
      </c>
      <c r="P9" s="138" t="s">
        <v>2066</v>
      </c>
    </row>
    <row r="10" spans="1:16">
      <c r="A10" s="5">
        <v>1</v>
      </c>
      <c r="B10" s="5" t="s">
        <v>1400</v>
      </c>
      <c r="C10" s="18">
        <v>4</v>
      </c>
      <c r="D10" s="18" t="s">
        <v>148</v>
      </c>
      <c r="E10" s="89">
        <v>4</v>
      </c>
      <c r="F10" s="34" t="s">
        <v>1052</v>
      </c>
      <c r="G10" s="137">
        <v>4</v>
      </c>
      <c r="H10" s="138" t="s">
        <v>510</v>
      </c>
      <c r="I10" s="133">
        <v>4</v>
      </c>
      <c r="J10" s="8" t="s">
        <v>2955</v>
      </c>
      <c r="K10" s="18">
        <v>4</v>
      </c>
      <c r="L10" s="18" t="s">
        <v>32</v>
      </c>
      <c r="M10" s="8">
        <v>4</v>
      </c>
      <c r="N10" s="8" t="s">
        <v>2067</v>
      </c>
      <c r="O10" s="137">
        <v>3</v>
      </c>
      <c r="P10" s="138" t="s">
        <v>2589</v>
      </c>
    </row>
    <row r="11" spans="1:16">
      <c r="A11" s="5">
        <v>1</v>
      </c>
      <c r="B11" s="5" t="s">
        <v>1865</v>
      </c>
      <c r="C11" s="18">
        <v>1</v>
      </c>
      <c r="D11" s="18" t="s">
        <v>109</v>
      </c>
      <c r="E11" s="89">
        <v>4</v>
      </c>
      <c r="F11" s="34" t="s">
        <v>1805</v>
      </c>
      <c r="G11" s="18">
        <v>3</v>
      </c>
      <c r="H11" s="138" t="s">
        <v>2814</v>
      </c>
      <c r="I11" s="133">
        <v>4</v>
      </c>
      <c r="J11" s="8" t="s">
        <v>2956</v>
      </c>
      <c r="K11" s="18">
        <v>1</v>
      </c>
      <c r="L11" s="18" t="s">
        <v>105</v>
      </c>
      <c r="M11" s="8">
        <v>4</v>
      </c>
      <c r="N11" s="8" t="s">
        <v>120</v>
      </c>
      <c r="O11" s="18">
        <v>1</v>
      </c>
      <c r="P11" s="138" t="s">
        <v>2071</v>
      </c>
    </row>
    <row r="12" spans="1:16">
      <c r="A12" s="5">
        <v>1</v>
      </c>
      <c r="B12" s="5" t="s">
        <v>1422</v>
      </c>
      <c r="C12" s="18">
        <v>1</v>
      </c>
      <c r="D12" s="18" t="s">
        <v>2068</v>
      </c>
      <c r="E12" s="89">
        <v>4</v>
      </c>
      <c r="F12" s="34" t="s">
        <v>186</v>
      </c>
      <c r="G12" s="137">
        <v>1</v>
      </c>
      <c r="H12" s="138" t="s">
        <v>2600</v>
      </c>
      <c r="I12" s="133">
        <v>2</v>
      </c>
      <c r="J12" s="8" t="s">
        <v>2611</v>
      </c>
      <c r="K12" s="18">
        <v>1</v>
      </c>
      <c r="L12" s="18" t="s">
        <v>143</v>
      </c>
      <c r="M12" s="17">
        <v>1</v>
      </c>
      <c r="N12" s="17" t="s">
        <v>144</v>
      </c>
      <c r="O12" s="18">
        <v>1</v>
      </c>
      <c r="P12" s="138" t="s">
        <v>1754</v>
      </c>
    </row>
    <row r="13" spans="1:16">
      <c r="A13" s="5">
        <v>1</v>
      </c>
      <c r="B13" s="5" t="s">
        <v>457</v>
      </c>
      <c r="C13" s="18">
        <v>1</v>
      </c>
      <c r="D13" s="18" t="s">
        <v>89</v>
      </c>
      <c r="E13" s="89">
        <v>4</v>
      </c>
      <c r="F13" s="34" t="s">
        <v>1681</v>
      </c>
      <c r="G13" s="137">
        <v>1</v>
      </c>
      <c r="H13" s="8" t="s">
        <v>2001</v>
      </c>
      <c r="I13" s="133">
        <v>2</v>
      </c>
      <c r="J13" s="8" t="s">
        <v>2957</v>
      </c>
      <c r="K13" s="18">
        <v>4</v>
      </c>
      <c r="L13" s="18" t="s">
        <v>128</v>
      </c>
      <c r="M13" s="17">
        <v>1</v>
      </c>
      <c r="N13" s="17" t="s">
        <v>2069</v>
      </c>
      <c r="O13" s="137">
        <v>1</v>
      </c>
      <c r="P13" s="138" t="s">
        <v>2591</v>
      </c>
    </row>
    <row r="14" spans="1:16">
      <c r="A14" s="5">
        <v>1</v>
      </c>
      <c r="B14" s="5" t="s">
        <v>225</v>
      </c>
      <c r="C14" s="18">
        <v>1</v>
      </c>
      <c r="D14" s="18" t="s">
        <v>2070</v>
      </c>
      <c r="E14" s="8">
        <v>4</v>
      </c>
      <c r="F14" s="140" t="s">
        <v>1812</v>
      </c>
      <c r="G14" s="137">
        <v>1</v>
      </c>
      <c r="H14" s="8" t="s">
        <v>457</v>
      </c>
      <c r="I14" s="133">
        <v>2</v>
      </c>
      <c r="J14" s="8" t="s">
        <v>428</v>
      </c>
      <c r="K14" s="18">
        <v>1</v>
      </c>
      <c r="L14" s="18" t="s">
        <v>155</v>
      </c>
      <c r="M14" s="17">
        <v>4</v>
      </c>
      <c r="N14" s="17" t="s">
        <v>1822</v>
      </c>
      <c r="O14" s="137">
        <v>1</v>
      </c>
      <c r="P14" s="138" t="s">
        <v>2592</v>
      </c>
    </row>
    <row r="15" spans="1:16">
      <c r="A15" s="5">
        <v>3</v>
      </c>
      <c r="B15" s="5" t="s">
        <v>1468</v>
      </c>
      <c r="C15" s="18">
        <v>1</v>
      </c>
      <c r="D15" s="18" t="s">
        <v>1493</v>
      </c>
      <c r="E15" s="89">
        <v>4</v>
      </c>
      <c r="F15" s="34" t="s">
        <v>1057</v>
      </c>
      <c r="G15" s="8">
        <v>1</v>
      </c>
      <c r="H15" s="8" t="s">
        <v>2596</v>
      </c>
      <c r="I15" s="133">
        <v>1</v>
      </c>
      <c r="J15" s="8" t="s">
        <v>2958</v>
      </c>
      <c r="K15" s="18">
        <v>1</v>
      </c>
      <c r="L15" s="18" t="s">
        <v>2072</v>
      </c>
      <c r="M15" s="17">
        <v>4</v>
      </c>
      <c r="N15" s="17" t="s">
        <v>2073</v>
      </c>
      <c r="O15" s="137">
        <v>1</v>
      </c>
      <c r="P15" s="138" t="s">
        <v>171</v>
      </c>
    </row>
    <row r="16" spans="1:16">
      <c r="A16" s="5">
        <v>4</v>
      </c>
      <c r="B16" s="5" t="s">
        <v>987</v>
      </c>
      <c r="C16" s="18">
        <v>1</v>
      </c>
      <c r="D16" s="18" t="s">
        <v>225</v>
      </c>
      <c r="E16" s="89">
        <v>4</v>
      </c>
      <c r="F16" s="140" t="s">
        <v>1816</v>
      </c>
      <c r="G16" s="137">
        <v>1</v>
      </c>
      <c r="H16" s="138" t="s">
        <v>225</v>
      </c>
      <c r="I16" s="17">
        <v>4</v>
      </c>
      <c r="J16" s="8" t="s">
        <v>211</v>
      </c>
      <c r="K16" s="18">
        <v>4</v>
      </c>
      <c r="L16" s="18" t="s">
        <v>675</v>
      </c>
      <c r="M16" s="17">
        <v>4</v>
      </c>
      <c r="N16" s="17" t="s">
        <v>200</v>
      </c>
      <c r="O16" s="137">
        <v>1</v>
      </c>
      <c r="P16" s="138" t="s">
        <v>1937</v>
      </c>
    </row>
    <row r="17" spans="1:16">
      <c r="A17" s="5">
        <v>3</v>
      </c>
      <c r="B17" s="5" t="s">
        <v>614</v>
      </c>
      <c r="C17" s="18">
        <v>1</v>
      </c>
      <c r="D17" s="18" t="s">
        <v>228</v>
      </c>
      <c r="E17" s="89">
        <v>3</v>
      </c>
      <c r="F17" s="34" t="s">
        <v>1814</v>
      </c>
      <c r="G17" s="18">
        <v>1</v>
      </c>
      <c r="H17" s="8" t="s">
        <v>2595</v>
      </c>
      <c r="I17" s="133">
        <v>4</v>
      </c>
      <c r="J17" s="8" t="s">
        <v>761</v>
      </c>
      <c r="K17" s="18">
        <v>4</v>
      </c>
      <c r="L17" s="18" t="s">
        <v>169</v>
      </c>
      <c r="M17" s="17">
        <v>4</v>
      </c>
      <c r="N17" s="17" t="s">
        <v>2074</v>
      </c>
      <c r="O17" s="137">
        <v>1</v>
      </c>
      <c r="P17" s="138" t="s">
        <v>1497</v>
      </c>
    </row>
    <row r="18" spans="1:16">
      <c r="A18" s="5">
        <v>4</v>
      </c>
      <c r="B18" s="5" t="s">
        <v>113</v>
      </c>
      <c r="C18" s="18">
        <v>1</v>
      </c>
      <c r="D18" s="18" t="s">
        <v>185</v>
      </c>
      <c r="G18" s="18">
        <v>1</v>
      </c>
      <c r="H18" s="8" t="s">
        <v>2594</v>
      </c>
      <c r="I18" s="133">
        <v>1</v>
      </c>
      <c r="J18" s="8" t="s">
        <v>596</v>
      </c>
      <c r="K18" s="18">
        <v>4</v>
      </c>
      <c r="L18" s="18" t="s">
        <v>196</v>
      </c>
      <c r="M18" s="17">
        <v>4</v>
      </c>
      <c r="N18" s="17" t="s">
        <v>229</v>
      </c>
      <c r="O18" s="137">
        <v>1</v>
      </c>
      <c r="P18" s="138" t="s">
        <v>588</v>
      </c>
    </row>
    <row r="19" spans="1:16">
      <c r="A19" s="5">
        <v>4</v>
      </c>
      <c r="B19" s="5" t="s">
        <v>555</v>
      </c>
      <c r="C19" s="18">
        <v>1</v>
      </c>
      <c r="D19" s="18" t="s">
        <v>670</v>
      </c>
      <c r="G19" s="8">
        <v>1</v>
      </c>
      <c r="H19" s="8" t="s">
        <v>2604</v>
      </c>
      <c r="I19" s="17">
        <v>4</v>
      </c>
      <c r="J19" s="8" t="s">
        <v>131</v>
      </c>
      <c r="K19" s="18">
        <v>4</v>
      </c>
      <c r="L19" s="18" t="s">
        <v>206</v>
      </c>
      <c r="M19" s="17">
        <v>2</v>
      </c>
      <c r="N19" s="17" t="s">
        <v>193</v>
      </c>
      <c r="O19" s="137">
        <v>1</v>
      </c>
      <c r="P19" s="138" t="s">
        <v>192</v>
      </c>
    </row>
    <row r="20" spans="1:16">
      <c r="A20" s="5">
        <v>4</v>
      </c>
      <c r="B20" s="5" t="s">
        <v>2075</v>
      </c>
      <c r="C20" s="18">
        <v>3</v>
      </c>
      <c r="D20" s="18" t="s">
        <v>178</v>
      </c>
      <c r="G20" s="137">
        <v>1</v>
      </c>
      <c r="H20" s="138" t="s">
        <v>2013</v>
      </c>
      <c r="I20" s="17">
        <v>4</v>
      </c>
      <c r="J20" s="8" t="s">
        <v>981</v>
      </c>
      <c r="K20" s="18">
        <v>4</v>
      </c>
      <c r="L20" s="18" t="s">
        <v>236</v>
      </c>
      <c r="O20" s="137">
        <v>4</v>
      </c>
      <c r="P20" s="138" t="s">
        <v>169</v>
      </c>
    </row>
    <row r="21" spans="1:16">
      <c r="A21" s="5">
        <v>4</v>
      </c>
      <c r="B21" s="5" t="s">
        <v>590</v>
      </c>
      <c r="C21" s="18">
        <v>1</v>
      </c>
      <c r="D21" s="18" t="s">
        <v>1938</v>
      </c>
      <c r="G21" s="137">
        <v>3</v>
      </c>
      <c r="H21" s="138" t="s">
        <v>555</v>
      </c>
      <c r="I21" s="17">
        <v>2</v>
      </c>
      <c r="J21" s="8" t="s">
        <v>2959</v>
      </c>
      <c r="K21" s="18">
        <v>4</v>
      </c>
      <c r="L21" s="18" t="s">
        <v>215</v>
      </c>
      <c r="O21" s="137">
        <v>4</v>
      </c>
      <c r="P21" s="138" t="s">
        <v>226</v>
      </c>
    </row>
    <row r="22" spans="1:16">
      <c r="A22" s="5">
        <v>4</v>
      </c>
      <c r="B22" s="5" t="s">
        <v>1597</v>
      </c>
      <c r="C22" s="18">
        <v>1</v>
      </c>
      <c r="D22" s="18" t="s">
        <v>219</v>
      </c>
      <c r="G22" s="137">
        <v>3</v>
      </c>
      <c r="H22" s="138" t="s">
        <v>614</v>
      </c>
      <c r="I22" s="133">
        <v>1</v>
      </c>
      <c r="J22" s="8" t="s">
        <v>2960</v>
      </c>
      <c r="K22" s="18">
        <v>4</v>
      </c>
      <c r="L22" s="18" t="s">
        <v>1523</v>
      </c>
      <c r="O22" s="137">
        <v>4</v>
      </c>
      <c r="P22" s="138" t="s">
        <v>249</v>
      </c>
    </row>
    <row r="23" spans="1:16">
      <c r="A23" s="5">
        <v>2</v>
      </c>
      <c r="B23" s="5" t="s">
        <v>669</v>
      </c>
      <c r="C23" s="18">
        <v>1</v>
      </c>
      <c r="D23" s="18" t="s">
        <v>1646</v>
      </c>
      <c r="G23" s="137">
        <v>4</v>
      </c>
      <c r="H23" s="138" t="s">
        <v>113</v>
      </c>
      <c r="I23" s="133">
        <v>1</v>
      </c>
      <c r="J23" s="8" t="s">
        <v>2609</v>
      </c>
      <c r="K23" s="18">
        <v>1</v>
      </c>
      <c r="L23" s="18" t="s">
        <v>610</v>
      </c>
      <c r="O23" s="137">
        <v>4</v>
      </c>
      <c r="P23" s="138" t="s">
        <v>2590</v>
      </c>
    </row>
    <row r="24" spans="1:16">
      <c r="A24" s="5">
        <v>1</v>
      </c>
      <c r="B24" s="5" t="s">
        <v>231</v>
      </c>
      <c r="C24" s="18">
        <v>1</v>
      </c>
      <c r="D24" s="18" t="s">
        <v>209</v>
      </c>
      <c r="G24" s="137">
        <v>4</v>
      </c>
      <c r="H24" s="138" t="s">
        <v>573</v>
      </c>
      <c r="I24" s="133">
        <v>4</v>
      </c>
      <c r="J24" s="8" t="s">
        <v>2961</v>
      </c>
      <c r="K24" s="18">
        <v>1</v>
      </c>
      <c r="L24" s="18" t="s">
        <v>592</v>
      </c>
      <c r="N24" s="28"/>
      <c r="O24" s="137">
        <v>4</v>
      </c>
      <c r="P24" s="138" t="s">
        <v>686</v>
      </c>
    </row>
    <row r="25" spans="1:16">
      <c r="A25" s="5">
        <v>3</v>
      </c>
      <c r="B25" s="5" t="s">
        <v>209</v>
      </c>
      <c r="C25" s="18">
        <v>1</v>
      </c>
      <c r="D25" s="18" t="s">
        <v>978</v>
      </c>
      <c r="G25" s="137">
        <v>2</v>
      </c>
      <c r="H25" s="138" t="s">
        <v>1873</v>
      </c>
      <c r="I25" s="133">
        <v>2</v>
      </c>
      <c r="J25" s="8" t="s">
        <v>2962</v>
      </c>
      <c r="K25" s="18">
        <v>1</v>
      </c>
      <c r="L25" s="18" t="s">
        <v>270</v>
      </c>
      <c r="O25" s="137">
        <v>4</v>
      </c>
      <c r="P25" s="8" t="s">
        <v>237</v>
      </c>
    </row>
    <row r="26" spans="1:16">
      <c r="A26" s="5">
        <v>1</v>
      </c>
      <c r="B26" s="5" t="s">
        <v>1646</v>
      </c>
      <c r="C26" s="18">
        <v>1</v>
      </c>
      <c r="D26" s="18" t="s">
        <v>2076</v>
      </c>
      <c r="G26" s="137">
        <v>3</v>
      </c>
      <c r="H26" s="138" t="s">
        <v>678</v>
      </c>
      <c r="I26" s="133">
        <v>1</v>
      </c>
      <c r="J26" s="8" t="s">
        <v>767</v>
      </c>
      <c r="O26" s="8">
        <v>1</v>
      </c>
      <c r="P26" s="8" t="s">
        <v>2593</v>
      </c>
    </row>
    <row r="27" spans="1:16">
      <c r="C27" s="18">
        <v>1</v>
      </c>
      <c r="D27" s="18" t="s">
        <v>145</v>
      </c>
      <c r="G27" s="137">
        <v>1</v>
      </c>
      <c r="H27" s="138" t="s">
        <v>694</v>
      </c>
      <c r="I27" s="133">
        <v>1</v>
      </c>
      <c r="J27" s="8" t="s">
        <v>716</v>
      </c>
      <c r="O27" s="137">
        <v>1</v>
      </c>
      <c r="P27" s="138" t="s">
        <v>233</v>
      </c>
    </row>
    <row r="28" spans="1:16">
      <c r="C28" s="18">
        <v>1</v>
      </c>
      <c r="D28" s="18" t="s">
        <v>973</v>
      </c>
      <c r="G28" s="137">
        <v>1</v>
      </c>
      <c r="H28" s="138" t="s">
        <v>707</v>
      </c>
      <c r="I28" s="17">
        <v>1</v>
      </c>
      <c r="J28" s="8" t="s">
        <v>2963</v>
      </c>
      <c r="L28" s="29"/>
      <c r="O28" s="18">
        <v>1</v>
      </c>
      <c r="P28" s="8" t="s">
        <v>202</v>
      </c>
    </row>
    <row r="29" spans="1:16">
      <c r="C29" s="18">
        <v>3</v>
      </c>
      <c r="D29" s="18" t="s">
        <v>113</v>
      </c>
      <c r="G29" s="137">
        <v>1</v>
      </c>
      <c r="H29" s="138" t="s">
        <v>209</v>
      </c>
      <c r="I29" s="17">
        <v>1</v>
      </c>
      <c r="J29" s="8" t="s">
        <v>270</v>
      </c>
      <c r="O29" s="137">
        <v>1</v>
      </c>
      <c r="P29" s="138" t="s">
        <v>193</v>
      </c>
    </row>
    <row r="30" spans="1:16">
      <c r="C30" s="18">
        <v>3</v>
      </c>
      <c r="D30" s="18" t="s">
        <v>131</v>
      </c>
      <c r="G30" s="137">
        <v>1</v>
      </c>
      <c r="H30" s="138" t="s">
        <v>2608</v>
      </c>
      <c r="I30" s="17">
        <v>1</v>
      </c>
      <c r="J30" s="8" t="s">
        <v>703</v>
      </c>
      <c r="O30" s="137">
        <v>3</v>
      </c>
      <c r="P30" s="138" t="s">
        <v>254</v>
      </c>
    </row>
    <row r="31" spans="1:16">
      <c r="C31" s="18">
        <v>4</v>
      </c>
      <c r="D31" s="18" t="s">
        <v>201</v>
      </c>
      <c r="G31" s="137">
        <v>1</v>
      </c>
      <c r="H31" s="138" t="s">
        <v>775</v>
      </c>
      <c r="O31" s="18">
        <v>1</v>
      </c>
      <c r="P31" s="8" t="s">
        <v>716</v>
      </c>
    </row>
    <row r="32" spans="1:16">
      <c r="C32" s="18">
        <v>3</v>
      </c>
      <c r="D32" s="18" t="s">
        <v>207</v>
      </c>
      <c r="G32" s="137">
        <v>1</v>
      </c>
      <c r="H32" s="138" t="s">
        <v>774</v>
      </c>
      <c r="O32" s="18">
        <v>1</v>
      </c>
      <c r="P32" s="8" t="s">
        <v>270</v>
      </c>
    </row>
    <row r="33" spans="3:8">
      <c r="C33" s="18">
        <v>3</v>
      </c>
      <c r="D33" s="18" t="s">
        <v>548</v>
      </c>
      <c r="G33" s="137">
        <v>3</v>
      </c>
      <c r="H33" s="8" t="s">
        <v>713</v>
      </c>
    </row>
    <row r="34" spans="3:8">
      <c r="C34" s="18">
        <v>1</v>
      </c>
      <c r="D34" s="18" t="s">
        <v>983</v>
      </c>
      <c r="G34" s="137">
        <v>1</v>
      </c>
      <c r="H34" s="8" t="s">
        <v>219</v>
      </c>
    </row>
    <row r="35" spans="3:8">
      <c r="G35" s="137">
        <v>1</v>
      </c>
      <c r="H35" s="138" t="s">
        <v>231</v>
      </c>
    </row>
    <row r="36" spans="3:8">
      <c r="G36" s="137">
        <v>1</v>
      </c>
      <c r="H36" s="138" t="s">
        <v>145</v>
      </c>
    </row>
    <row r="37" spans="3:8">
      <c r="G37" s="18">
        <v>3</v>
      </c>
      <c r="H37" s="8" t="s">
        <v>719</v>
      </c>
    </row>
  </sheetData>
  <mergeCells count="2">
    <mergeCell ref="A1:F1"/>
    <mergeCell ref="I1:P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57"/>
  <sheetViews>
    <sheetView zoomScaleNormal="100" workbookViewId="0">
      <selection activeCell="GS13" sqref="GS13"/>
    </sheetView>
  </sheetViews>
  <sheetFormatPr baseColWidth="10" defaultColWidth="9.140625" defaultRowHeight="15"/>
  <cols>
    <col min="1" max="1025" width="10.7109375" customWidth="1"/>
  </cols>
  <sheetData>
    <row r="1" spans="1:256">
      <c r="A1" t="str">
        <f>IF('Golden 20'!1:1,"AAAAAH/P/AA=",0)</f>
        <v>AAAAAH/P/AA=</v>
      </c>
      <c r="B1" t="b">
        <f>AND('Golden 20'!A1,"AAAAAH/P/AE=")</f>
        <v>1</v>
      </c>
      <c r="C1" t="e">
        <f>AND('Golden 20'!B1,"AAAAAH/P/AI=")</f>
        <v>#VALUE!</v>
      </c>
      <c r="D1" t="e">
        <f>AND('Golden 20'!#REF!,"AAAAAH/P/AM=")</f>
        <v>#REF!</v>
      </c>
      <c r="E1" t="e">
        <f>AND('Golden 20'!#REF!,"AAAAAH/P/AQ=")</f>
        <v>#REF!</v>
      </c>
      <c r="F1" t="e">
        <f>AND('Golden 20'!#REF!,"AAAAAH/P/AU=")</f>
        <v>#REF!</v>
      </c>
      <c r="G1" t="e">
        <f>AND('Golden 20'!#REF!,"AAAAAH/P/AY=")</f>
        <v>#REF!</v>
      </c>
      <c r="H1" t="b">
        <f>AND('Golden 20'!O1,"AAAAAH/P/Ac=")</f>
        <v>1</v>
      </c>
      <c r="I1" t="e">
        <f>AND('Golden 20'!P1,"AAAAAH/P/Ag=")</f>
        <v>#VALUE!</v>
      </c>
      <c r="J1" t="b">
        <f>AND('Golden 20'!M1,"AAAAAH/P/Ak=")</f>
        <v>1</v>
      </c>
      <c r="K1" t="e">
        <f>AND('Golden 20'!N1,"AAAAAH/P/Ao=")</f>
        <v>#VALUE!</v>
      </c>
      <c r="L1" t="e">
        <f>AND('Golden 20'!#REF!,"AAAAAH/P/As=")</f>
        <v>#REF!</v>
      </c>
      <c r="M1" t="e">
        <f>AND('Golden 20'!#REF!,"AAAAAH/P/Aw=")</f>
        <v>#REF!</v>
      </c>
      <c r="N1" t="e">
        <f>AND('Golden 20'!#REF!,"AAAAAH/P/A0=")</f>
        <v>#REF!</v>
      </c>
      <c r="O1" t="e">
        <f>AND('Golden 20'!#REF!,"AAAAAH/P/A4=")</f>
        <v>#REF!</v>
      </c>
      <c r="P1" t="e">
        <f>AND('Golden 20'!#REF!,"AAAAAH/P/A8=")</f>
        <v>#REF!</v>
      </c>
      <c r="Q1" t="e">
        <f>AND('Golden 20'!#REF!,"AAAAAH/P/BA=")</f>
        <v>#REF!</v>
      </c>
      <c r="R1" t="b">
        <f>AND('Golden 20'!Q1,"AAAAAH/P/BE=")</f>
        <v>1</v>
      </c>
      <c r="S1" t="e">
        <f>AND('Golden 20'!R1,"AAAAAH/P/BI=")</f>
        <v>#VALUE!</v>
      </c>
      <c r="T1" t="b">
        <f>AND('Golden 20'!K1,"AAAAAH/P/BM=")</f>
        <v>1</v>
      </c>
      <c r="U1" t="e">
        <f>AND('Golden 20'!L1,"AAAAAH/P/BQ=")</f>
        <v>#VALUE!</v>
      </c>
      <c r="V1" t="e">
        <f>AND('Golden 20'!#REF!,"AAAAAH/P/BU=")</f>
        <v>#REF!</v>
      </c>
      <c r="W1" t="e">
        <f>AND('Golden 20'!#REF!,"AAAAAH/P/BY=")</f>
        <v>#REF!</v>
      </c>
      <c r="X1" t="b">
        <f>AND('Golden 20'!S1,"AAAAAH/P/Bc=")</f>
        <v>1</v>
      </c>
      <c r="Y1" t="e">
        <f>AND('Golden 20'!T1,"AAAAAH/P/Bg=")</f>
        <v>#VALUE!</v>
      </c>
      <c r="Z1" t="e">
        <f>AND('Golden 20'!#REF!,"AAAAAH/P/Bk=")</f>
        <v>#REF!</v>
      </c>
      <c r="AA1" t="e">
        <f>AND('Golden 20'!#REF!,"AAAAAH/P/Bo=")</f>
        <v>#REF!</v>
      </c>
      <c r="AB1" t="e">
        <f>IF('Golden 20'!2:2,"AAAAAH/P/Bs=",0)</f>
        <v>#VALUE!</v>
      </c>
      <c r="AC1" t="b">
        <f>AND('Golden 20'!A2,"AAAAAH/P/Bw=")</f>
        <v>1</v>
      </c>
      <c r="AD1" t="e">
        <f>AND('Golden 20'!B2,"AAAAAH/P/B0=")</f>
        <v>#VALUE!</v>
      </c>
      <c r="AE1" t="e">
        <f>AND('Golden 20'!#REF!,"AAAAAH/P/B4=")</f>
        <v>#REF!</v>
      </c>
      <c r="AF1" t="e">
        <f>AND('Golden 20'!#REF!,"AAAAAH/P/B8=")</f>
        <v>#REF!</v>
      </c>
      <c r="AG1" t="b">
        <f>AND('Golden 20'!E2,"AAAAAH/P/CA=")</f>
        <v>1</v>
      </c>
      <c r="AH1" t="e">
        <f>AND('Golden 20'!F2,"AAAAAH/P/CE=")</f>
        <v>#VALUE!</v>
      </c>
      <c r="AI1" t="b">
        <f>AND('Golden 20'!O2,"AAAAAH/P/CI=")</f>
        <v>1</v>
      </c>
      <c r="AJ1" t="e">
        <f>AND('Golden 20'!P2,"AAAAAH/P/CM=")</f>
        <v>#VALUE!</v>
      </c>
      <c r="AK1" t="b">
        <f>AND('Golden 20'!M2,"AAAAAH/P/CQ=")</f>
        <v>1</v>
      </c>
      <c r="AL1" t="e">
        <f>AND('Golden 20'!N2,"AAAAAH/P/CU=")</f>
        <v>#VALUE!</v>
      </c>
      <c r="AM1" t="e">
        <f>AND('Golden 20'!#REF!,"AAAAAH/P/CY=")</f>
        <v>#REF!</v>
      </c>
      <c r="AN1" t="e">
        <f>AND('Golden 20'!#REF!,"AAAAAH/P/Cc=")</f>
        <v>#REF!</v>
      </c>
      <c r="AO1" t="e">
        <f>AND('Golden 20'!#REF!,"AAAAAH/P/Cg=")</f>
        <v>#REF!</v>
      </c>
      <c r="AP1" t="e">
        <f>AND('Golden 20'!#REF!,"AAAAAH/P/Ck=")</f>
        <v>#REF!</v>
      </c>
      <c r="AQ1" t="e">
        <f>AND('Golden 20'!#REF!,"AAAAAH/P/Co=")</f>
        <v>#REF!</v>
      </c>
      <c r="AR1" t="e">
        <f>AND('Golden 20'!#REF!,"AAAAAH/P/Cs=")</f>
        <v>#REF!</v>
      </c>
      <c r="AS1" t="b">
        <f>AND('Golden 20'!Q2,"AAAAAH/P/Cw=")</f>
        <v>1</v>
      </c>
      <c r="AT1" t="e">
        <f>AND('Golden 20'!R2,"AAAAAH/P/C0=")</f>
        <v>#VALUE!</v>
      </c>
      <c r="AU1" t="b">
        <f>AND('Golden 20'!K2,"AAAAAH/P/C4=")</f>
        <v>1</v>
      </c>
      <c r="AV1" t="e">
        <f>AND('Golden 20'!L2,"AAAAAH/P/C8=")</f>
        <v>#VALUE!</v>
      </c>
      <c r="AW1" t="e">
        <f>AND('Golden 20'!#REF!,"AAAAAH/P/DA=")</f>
        <v>#REF!</v>
      </c>
      <c r="AX1" t="e">
        <f>AND('Golden 20'!#REF!,"AAAAAH/P/DE=")</f>
        <v>#REF!</v>
      </c>
      <c r="AY1" t="b">
        <f>AND('Golden 20'!S2,"AAAAAH/P/DI=")</f>
        <v>1</v>
      </c>
      <c r="AZ1" t="e">
        <f>AND('Golden 20'!T2,"AAAAAH/P/DM=")</f>
        <v>#VALUE!</v>
      </c>
      <c r="BA1" t="e">
        <f>AND('Golden 20'!#REF!,"AAAAAH/P/DQ=")</f>
        <v>#REF!</v>
      </c>
      <c r="BB1" t="e">
        <f>AND('Golden 20'!#REF!,"AAAAAH/P/DU=")</f>
        <v>#REF!</v>
      </c>
      <c r="BC1">
        <f>IF('Golden 20'!3:3,"AAAAAH/P/DY=",0)</f>
        <v>0</v>
      </c>
      <c r="BD1" t="e">
        <f>AND('Golden 20'!#REF!,"AAAAAH/P/Dc=")</f>
        <v>#REF!</v>
      </c>
      <c r="BE1" t="e">
        <f>AND('Golden 20'!#REF!,"AAAAAH/P/Dg=")</f>
        <v>#REF!</v>
      </c>
      <c r="BF1" t="e">
        <f>AND('Golden 20'!#REF!,"AAAAAH/P/Dk=")</f>
        <v>#REF!</v>
      </c>
      <c r="BG1" t="e">
        <f>AND('Golden 20'!#REF!,"AAAAAH/P/Do=")</f>
        <v>#REF!</v>
      </c>
      <c r="BH1" t="b">
        <f>AND('Golden 20'!E3,"AAAAAH/P/Ds=")</f>
        <v>1</v>
      </c>
      <c r="BI1" t="e">
        <f>AND('Golden 20'!F3,"AAAAAH/P/Dw=")</f>
        <v>#VALUE!</v>
      </c>
      <c r="BJ1" t="b">
        <f>AND('Golden 20'!O3,"AAAAAH/P/D0=")</f>
        <v>1</v>
      </c>
      <c r="BK1" t="e">
        <f>AND('Golden 20'!P3,"AAAAAH/P/D4=")</f>
        <v>#VALUE!</v>
      </c>
      <c r="BL1" t="b">
        <f>AND('Golden 20'!M3,"AAAAAH/P/D8=")</f>
        <v>1</v>
      </c>
      <c r="BM1" t="e">
        <f>AND('Golden 20'!N3,"AAAAAH/P/EA=")</f>
        <v>#VALUE!</v>
      </c>
      <c r="BN1" t="e">
        <f>AND('Golden 20'!#REF!,"AAAAAH/P/EE=")</f>
        <v>#REF!</v>
      </c>
      <c r="BO1" t="e">
        <f>AND('Golden 20'!#REF!,"AAAAAH/P/EI=")</f>
        <v>#REF!</v>
      </c>
      <c r="BP1" t="e">
        <f>AND('Golden 20'!#REF!,"AAAAAH/P/EM=")</f>
        <v>#REF!</v>
      </c>
      <c r="BQ1" t="e">
        <f>AND('Golden 20'!#REF!,"AAAAAH/P/EQ=")</f>
        <v>#REF!</v>
      </c>
      <c r="BR1" t="e">
        <f>AND('Golden 20'!#REF!,"AAAAAH/P/EU=")</f>
        <v>#REF!</v>
      </c>
      <c r="BS1" t="e">
        <f>AND('Golden 20'!#REF!,"AAAAAH/P/EY=")</f>
        <v>#REF!</v>
      </c>
      <c r="BT1" t="b">
        <f>AND('Golden 20'!Q3,"AAAAAH/P/Ec=")</f>
        <v>1</v>
      </c>
      <c r="BU1" t="e">
        <f>AND('Golden 20'!R3,"AAAAAH/P/Eg=")</f>
        <v>#VALUE!</v>
      </c>
      <c r="BV1" t="e">
        <f>AND('Golden 20'!#REF!,"AAAAAH/P/Ek=")</f>
        <v>#REF!</v>
      </c>
      <c r="BW1" t="e">
        <f>AND('Golden 20'!#REF!,"AAAAAH/P/Eo=")</f>
        <v>#REF!</v>
      </c>
      <c r="BX1" t="e">
        <f>AND('Golden 20'!#REF!,"AAAAAH/P/Es=")</f>
        <v>#REF!</v>
      </c>
      <c r="BY1" t="e">
        <f>AND('Golden 20'!#REF!,"AAAAAH/P/Ew=")</f>
        <v>#REF!</v>
      </c>
      <c r="BZ1" t="b">
        <f>AND('Golden 20'!S3,"AAAAAH/P/E0=")</f>
        <v>1</v>
      </c>
      <c r="CA1" t="e">
        <f>AND('Golden 20'!T3,"AAAAAH/P/E4=")</f>
        <v>#VALUE!</v>
      </c>
      <c r="CB1" t="e">
        <f>AND('Golden 20'!#REF!,"AAAAAH/P/E8=")</f>
        <v>#REF!</v>
      </c>
      <c r="CC1" t="e">
        <f>AND('Golden 20'!#REF!,"AAAAAH/P/FA=")</f>
        <v>#REF!</v>
      </c>
      <c r="CD1">
        <f>IF('Golden 20'!4:4,"AAAAAH/P/FE=",0)</f>
        <v>0</v>
      </c>
      <c r="CE1" t="b">
        <f>AND('Golden 20'!A3,"AAAAAH/P/FI=")</f>
        <v>1</v>
      </c>
      <c r="CF1" t="e">
        <f>AND('Golden 20'!B3,"AAAAAH/P/FM=")</f>
        <v>#VALUE!</v>
      </c>
      <c r="CG1" t="e">
        <f>AND('Golden 20'!#REF!,"AAAAAH/P/FQ=")</f>
        <v>#REF!</v>
      </c>
      <c r="CH1" t="e">
        <f>AND('Golden 20'!#REF!,"AAAAAH/P/FU=")</f>
        <v>#REF!</v>
      </c>
      <c r="CI1" t="b">
        <f>AND('Golden 20'!E4,"AAAAAH/P/FY=")</f>
        <v>1</v>
      </c>
      <c r="CJ1" t="e">
        <f>AND('Golden 20'!F4,"AAAAAH/P/Fc=")</f>
        <v>#VALUE!</v>
      </c>
      <c r="CK1" t="b">
        <f>AND('Golden 20'!O4,"AAAAAH/P/Fg=")</f>
        <v>1</v>
      </c>
      <c r="CL1" t="e">
        <f>AND('Golden 20'!P4,"AAAAAH/P/Fk=")</f>
        <v>#VALUE!</v>
      </c>
      <c r="CM1" t="b">
        <f>AND('Golden 20'!M5,"AAAAAH/P/Fo=")</f>
        <v>1</v>
      </c>
      <c r="CN1" t="e">
        <f>AND('Golden 20'!N5,"AAAAAH/P/Fs=")</f>
        <v>#VALUE!</v>
      </c>
      <c r="CO1" t="e">
        <f>AND('Golden 20'!#REF!,"AAAAAH/P/Fw=")</f>
        <v>#REF!</v>
      </c>
      <c r="CP1" t="e">
        <f>AND('Golden 20'!#REF!,"AAAAAH/P/F0=")</f>
        <v>#REF!</v>
      </c>
      <c r="CQ1" t="e">
        <f>AND('Golden 20'!#REF!,"AAAAAH/P/F4=")</f>
        <v>#REF!</v>
      </c>
      <c r="CR1" t="e">
        <f>AND('Golden 20'!#REF!,"AAAAAH/P/F8=")</f>
        <v>#REF!</v>
      </c>
      <c r="CS1" t="e">
        <f>AND('Golden 20'!#REF!,"AAAAAH/P/GA=")</f>
        <v>#REF!</v>
      </c>
      <c r="CT1" t="e">
        <f>AND('Golden 20'!#REF!,"AAAAAH/P/GE=")</f>
        <v>#REF!</v>
      </c>
      <c r="CU1" t="b">
        <f>AND('Golden 20'!Q4,"AAAAAH/P/GI=")</f>
        <v>1</v>
      </c>
      <c r="CV1" t="e">
        <f>AND('Golden 20'!R4,"AAAAAH/P/GM=")</f>
        <v>#VALUE!</v>
      </c>
      <c r="CW1" t="b">
        <f>AND('Golden 20'!K3,"AAAAAH/P/GQ=")</f>
        <v>1</v>
      </c>
      <c r="CX1" t="e">
        <f>AND('Golden 20'!L3,"AAAAAH/P/GU=")</f>
        <v>#VALUE!</v>
      </c>
      <c r="CY1" t="e">
        <f>AND('Golden 20'!#REF!,"AAAAAH/P/GY=")</f>
        <v>#REF!</v>
      </c>
      <c r="CZ1" t="e">
        <f>AND('Golden 20'!#REF!,"AAAAAH/P/Gc=")</f>
        <v>#REF!</v>
      </c>
      <c r="DA1" t="b">
        <f>AND('Golden 20'!S5,"AAAAAH/P/Gg=")</f>
        <v>1</v>
      </c>
      <c r="DB1" t="e">
        <f>AND('Golden 20'!T5,"AAAAAH/P/Gk=")</f>
        <v>#VALUE!</v>
      </c>
      <c r="DC1" t="e">
        <f>AND('Golden 20'!#REF!,"AAAAAH/P/Go=")</f>
        <v>#REF!</v>
      </c>
      <c r="DD1" t="e">
        <f>AND('Golden 20'!#REF!,"AAAAAH/P/Gs=")</f>
        <v>#REF!</v>
      </c>
      <c r="DE1">
        <f>IF('Golden 20'!5:5,"AAAAAH/P/Gw=",0)</f>
        <v>0</v>
      </c>
      <c r="DF1" t="b">
        <f>AND('Golden 20'!A5,"AAAAAH/P/G0=")</f>
        <v>1</v>
      </c>
      <c r="DG1" t="e">
        <f>AND('Golden 20'!B5,"AAAAAH/P/G4=")</f>
        <v>#VALUE!</v>
      </c>
      <c r="DH1" t="e">
        <f>AND('Golden 20'!#REF!,"AAAAAH/P/G8=")</f>
        <v>#REF!</v>
      </c>
      <c r="DI1" t="e">
        <f>AND('Golden 20'!#REF!,"AAAAAH/P/HA=")</f>
        <v>#REF!</v>
      </c>
      <c r="DJ1" t="b">
        <f>AND('Golden 20'!E5,"AAAAAH/P/HE=")</f>
        <v>1</v>
      </c>
      <c r="DK1" t="e">
        <f>AND('Golden 20'!F5,"AAAAAH/P/HI=")</f>
        <v>#VALUE!</v>
      </c>
      <c r="DL1" t="b">
        <f>AND('Golden 20'!O5,"AAAAAH/P/HM=")</f>
        <v>1</v>
      </c>
      <c r="DM1" t="e">
        <f>AND('Golden 20'!P5,"AAAAAH/P/HQ=")</f>
        <v>#VALUE!</v>
      </c>
      <c r="DN1" t="e">
        <f>AND('Golden 20'!#REF!,"AAAAAH/P/HU=")</f>
        <v>#REF!</v>
      </c>
      <c r="DO1" t="e">
        <f>AND('Golden 20'!#REF!,"AAAAAH/P/HY=")</f>
        <v>#REF!</v>
      </c>
      <c r="DP1" t="e">
        <f>AND('Golden 20'!#REF!,"AAAAAH/P/Hc=")</f>
        <v>#REF!</v>
      </c>
      <c r="DQ1" t="e">
        <f>AND('Golden 20'!#REF!,"AAAAAH/P/Hg=")</f>
        <v>#REF!</v>
      </c>
      <c r="DR1" t="e">
        <f>AND('Golden 20'!#REF!,"AAAAAH/P/Hk=")</f>
        <v>#REF!</v>
      </c>
      <c r="DS1" t="e">
        <f>AND('Golden 20'!#REF!,"AAAAAH/P/Ho=")</f>
        <v>#REF!</v>
      </c>
      <c r="DT1" t="e">
        <f>AND('Golden 20'!#REF!,"AAAAAH/P/Hs=")</f>
        <v>#REF!</v>
      </c>
      <c r="DU1" t="e">
        <f>AND('Golden 20'!#REF!,"AAAAAH/P/Hw=")</f>
        <v>#REF!</v>
      </c>
      <c r="DV1" t="b">
        <f>AND('Golden 20'!Q7,"AAAAAH/P/H0=")</f>
        <v>1</v>
      </c>
      <c r="DW1" t="e">
        <f>AND('Golden 20'!R7,"AAAAAH/P/H4=")</f>
        <v>#VALUE!</v>
      </c>
      <c r="DX1" t="b">
        <f>AND('Golden 20'!K4,"AAAAAH/P/H8=")</f>
        <v>1</v>
      </c>
      <c r="DY1" t="e">
        <f>AND('Golden 20'!L4,"AAAAAH/P/IA=")</f>
        <v>#VALUE!</v>
      </c>
      <c r="DZ1" t="e">
        <f>AND('Golden 20'!#REF!,"AAAAAH/P/IE=")</f>
        <v>#REF!</v>
      </c>
      <c r="EA1" t="e">
        <f>AND('Golden 20'!#REF!,"AAAAAH/P/II=")</f>
        <v>#REF!</v>
      </c>
      <c r="EB1" t="b">
        <f>AND('Golden 20'!S6,"AAAAAH/P/IM=")</f>
        <v>1</v>
      </c>
      <c r="EC1" t="e">
        <f>AND('Golden 20'!T6,"AAAAAH/P/IQ=")</f>
        <v>#VALUE!</v>
      </c>
      <c r="ED1" t="e">
        <f>AND('Golden 20'!#REF!,"AAAAAH/P/IU=")</f>
        <v>#REF!</v>
      </c>
      <c r="EE1" t="e">
        <f>AND('Golden 20'!#REF!,"AAAAAH/P/IY=")</f>
        <v>#REF!</v>
      </c>
      <c r="EF1">
        <f>IF('Golden 20'!6:6,"AAAAAH/P/Ic=",0)</f>
        <v>0</v>
      </c>
      <c r="EG1" t="b">
        <f>AND('Golden 20'!A6,"AAAAAH/P/Ig=")</f>
        <v>1</v>
      </c>
      <c r="EH1" t="e">
        <f>AND('Golden 20'!B6,"AAAAAH/P/Ik=")</f>
        <v>#VALUE!</v>
      </c>
      <c r="EI1" t="e">
        <f>AND('Golden 20'!#REF!,"AAAAAH/P/Io=")</f>
        <v>#REF!</v>
      </c>
      <c r="EJ1" t="e">
        <f>AND('Golden 20'!#REF!,"AAAAAH/P/Is=")</f>
        <v>#REF!</v>
      </c>
      <c r="EK1" t="b">
        <f>AND('Golden 20'!E6,"AAAAAH/P/Iw=")</f>
        <v>1</v>
      </c>
      <c r="EL1" t="e">
        <f>AND('Golden 20'!F6,"AAAAAH/P/I0=")</f>
        <v>#VALUE!</v>
      </c>
      <c r="EM1" t="b">
        <f>AND('Golden 20'!O6,"AAAAAH/P/I4=")</f>
        <v>1</v>
      </c>
      <c r="EN1" t="e">
        <f>AND('Golden 20'!P6,"AAAAAH/P/I8=")</f>
        <v>#VALUE!</v>
      </c>
      <c r="EO1" t="b">
        <f>AND('Golden 20'!M12,"AAAAAH/P/JA=")</f>
        <v>1</v>
      </c>
      <c r="EP1" t="e">
        <f>AND('Golden 20'!N12,"AAAAAH/P/JE=")</f>
        <v>#VALUE!</v>
      </c>
      <c r="EQ1" t="e">
        <f>AND('Golden 20'!#REF!,"AAAAAH/P/JI=")</f>
        <v>#REF!</v>
      </c>
      <c r="ER1" t="e">
        <f>AND('Golden 20'!#REF!,"AAAAAH/P/JM=")</f>
        <v>#REF!</v>
      </c>
      <c r="ES1" t="e">
        <f>AND('Golden 20'!#REF!,"AAAAAH/P/JQ=")</f>
        <v>#REF!</v>
      </c>
      <c r="ET1" t="e">
        <f>AND('Golden 20'!#REF!,"AAAAAH/P/JU=")</f>
        <v>#REF!</v>
      </c>
      <c r="EU1" t="e">
        <f>AND('Golden 20'!#REF!,"AAAAAH/P/JY=")</f>
        <v>#REF!</v>
      </c>
      <c r="EV1" t="e">
        <f>AND('Golden 20'!#REF!,"AAAAAH/P/Jc=")</f>
        <v>#REF!</v>
      </c>
      <c r="EW1" t="b">
        <f>AND('Golden 20'!Q8,"AAAAAH/P/Jg=")</f>
        <v>1</v>
      </c>
      <c r="EX1" t="e">
        <f>AND('Golden 20'!R8,"AAAAAH/P/Jk=")</f>
        <v>#VALUE!</v>
      </c>
      <c r="EY1" t="b">
        <f>AND('Golden 20'!K5,"AAAAAH/P/Jo=")</f>
        <v>1</v>
      </c>
      <c r="EZ1" t="e">
        <f>AND('Golden 20'!L5,"AAAAAH/P/Js=")</f>
        <v>#VALUE!</v>
      </c>
      <c r="FA1" t="e">
        <f>AND('Golden 20'!#REF!,"AAAAAH/P/Jw=")</f>
        <v>#REF!</v>
      </c>
      <c r="FB1" t="e">
        <f>AND('Golden 20'!#REF!,"AAAAAH/P/J0=")</f>
        <v>#REF!</v>
      </c>
      <c r="FC1" t="b">
        <f>AND('Golden 20'!S7,"AAAAAH/P/J4=")</f>
        <v>1</v>
      </c>
      <c r="FD1" t="e">
        <f>AND('Golden 20'!T7,"AAAAAH/P/J8=")</f>
        <v>#VALUE!</v>
      </c>
      <c r="FE1" t="e">
        <f>AND('Golden 20'!#REF!,"AAAAAH/P/KA=")</f>
        <v>#REF!</v>
      </c>
      <c r="FF1" t="e">
        <f>AND('Golden 20'!#REF!,"AAAAAH/P/KE=")</f>
        <v>#REF!</v>
      </c>
      <c r="FG1">
        <f>IF('Golden 20'!7:7,"AAAAAH/P/KI=",0)</f>
        <v>0</v>
      </c>
      <c r="FH1" t="e">
        <f>AND('Golden 20'!#REF!,"AAAAAH/P/KM=")</f>
        <v>#REF!</v>
      </c>
      <c r="FI1" t="e">
        <f>AND('Golden 20'!#REF!,"AAAAAH/P/KQ=")</f>
        <v>#REF!</v>
      </c>
      <c r="FJ1" t="e">
        <f>AND('Golden 20'!#REF!,"AAAAAH/P/KU=")</f>
        <v>#REF!</v>
      </c>
      <c r="FK1" t="e">
        <f>AND('Golden 20'!#REF!,"AAAAAH/P/KY=")</f>
        <v>#REF!</v>
      </c>
      <c r="FL1" t="b">
        <f>AND('Golden 20'!E7,"AAAAAH/P/Kc=")</f>
        <v>1</v>
      </c>
      <c r="FM1" t="e">
        <f>AND('Golden 20'!F7,"AAAAAH/P/Kg=")</f>
        <v>#VALUE!</v>
      </c>
      <c r="FN1" t="b">
        <f>AND('Golden 20'!O7,"AAAAAH/P/Kk=")</f>
        <v>1</v>
      </c>
      <c r="FO1" t="e">
        <f>AND('Golden 20'!P7,"AAAAAH/P/Ko=")</f>
        <v>#VALUE!</v>
      </c>
      <c r="FP1" t="b">
        <f>AND('Golden 20'!M13,"AAAAAH/P/Ks=")</f>
        <v>1</v>
      </c>
      <c r="FQ1" t="e">
        <f>AND('Golden 20'!N13,"AAAAAH/P/Kw=")</f>
        <v>#VALUE!</v>
      </c>
      <c r="FR1" t="e">
        <f>AND('Golden 20'!#REF!,"AAAAAH/P/K0=")</f>
        <v>#REF!</v>
      </c>
      <c r="FS1" t="e">
        <f>AND('Golden 20'!#REF!,"AAAAAH/P/K4=")</f>
        <v>#REF!</v>
      </c>
      <c r="FT1" t="e">
        <f>AND('Golden 20'!#REF!,"AAAAAH/P/K8=")</f>
        <v>#REF!</v>
      </c>
      <c r="FU1" t="e">
        <f>AND('Golden 20'!#REF!,"AAAAAH/P/LA=")</f>
        <v>#REF!</v>
      </c>
      <c r="FV1" t="e">
        <f>AND('Golden 20'!#REF!,"AAAAAH/P/LE=")</f>
        <v>#REF!</v>
      </c>
      <c r="FW1" t="e">
        <f>AND('Golden 20'!#REF!,"AAAAAH/P/LI=")</f>
        <v>#REF!</v>
      </c>
      <c r="FX1" t="b">
        <f>AND('Golden 20'!Q5,"AAAAAH/P/LM=")</f>
        <v>1</v>
      </c>
      <c r="FY1" t="e">
        <f>AND('Golden 20'!R5,"AAAAAH/P/LQ=")</f>
        <v>#VALUE!</v>
      </c>
      <c r="FZ1" t="b">
        <f>AND('Golden 20'!K7,"AAAAAH/P/LU=")</f>
        <v>1</v>
      </c>
      <c r="GA1" t="e">
        <f>AND('Golden 20'!L7,"AAAAAH/P/LY=")</f>
        <v>#VALUE!</v>
      </c>
      <c r="GB1" t="e">
        <f>AND('Golden 20'!#REF!,"AAAAAH/P/Lc=")</f>
        <v>#REF!</v>
      </c>
      <c r="GC1" t="e">
        <f>AND('Golden 20'!#REF!,"AAAAAH/P/Lg=")</f>
        <v>#REF!</v>
      </c>
      <c r="GD1" t="b">
        <f>AND('Golden 20'!S8,"AAAAAH/P/Lk=")</f>
        <v>1</v>
      </c>
      <c r="GE1" t="e">
        <f>AND('Golden 20'!T8,"AAAAAH/P/Lo=")</f>
        <v>#VALUE!</v>
      </c>
      <c r="GF1" t="e">
        <f>AND('Golden 20'!#REF!,"AAAAAH/P/Ls=")</f>
        <v>#REF!</v>
      </c>
      <c r="GG1" t="e">
        <f>AND('Golden 20'!#REF!,"AAAAAH/P/Lw=")</f>
        <v>#REF!</v>
      </c>
      <c r="GH1">
        <f>IF('Golden 20'!8:8,"AAAAAH/P/L0=",0)</f>
        <v>0</v>
      </c>
      <c r="GI1" t="e">
        <f>AND('Golden 20'!#REF!,"AAAAAH/P/L4=")</f>
        <v>#REF!</v>
      </c>
      <c r="GJ1" t="e">
        <f>AND('Golden 20'!#REF!,"AAAAAH/P/L8=")</f>
        <v>#REF!</v>
      </c>
      <c r="GK1" t="e">
        <f>AND('Golden 20'!#REF!,"AAAAAH/P/MA=")</f>
        <v>#REF!</v>
      </c>
      <c r="GL1" t="e">
        <f>AND('Golden 20'!#REF!,"AAAAAH/P/ME=")</f>
        <v>#REF!</v>
      </c>
      <c r="GM1" t="b">
        <f>AND('Golden 20'!E8,"AAAAAH/P/MI=")</f>
        <v>1</v>
      </c>
      <c r="GN1" t="e">
        <f>AND('Golden 20'!F8,"AAAAAH/P/MM=")</f>
        <v>#VALUE!</v>
      </c>
      <c r="GO1" t="b">
        <f>AND('Golden 20'!O8,"AAAAAH/P/MQ=")</f>
        <v>1</v>
      </c>
      <c r="GP1" t="e">
        <f>AND('Golden 20'!P8,"AAAAAH/P/MU=")</f>
        <v>#VALUE!</v>
      </c>
      <c r="GQ1" t="b">
        <f>AND('Golden 20'!M8,"AAAAAH/P/MY=")</f>
        <v>1</v>
      </c>
      <c r="GR1" t="e">
        <f>AND('Golden 20'!N8,"AAAAAH/P/Mc=")</f>
        <v>#VALUE!</v>
      </c>
      <c r="GS1" t="e">
        <f>AND('Golden 20'!#REF!,"AAAAAH/P/Mg=")</f>
        <v>#REF!</v>
      </c>
      <c r="GT1" t="e">
        <f>AND('Golden 20'!#REF!,"AAAAAH/P/Mk=")</f>
        <v>#REF!</v>
      </c>
      <c r="GU1" t="e">
        <f>AND('Golden 20'!#REF!,"AAAAAH/P/Mo=")</f>
        <v>#REF!</v>
      </c>
      <c r="GV1" t="e">
        <f>AND('Golden 20'!#REF!,"AAAAAH/P/Ms=")</f>
        <v>#REF!</v>
      </c>
      <c r="GW1" t="e">
        <f>AND('Golden 20'!#REF!,"AAAAAH/P/Mw=")</f>
        <v>#REF!</v>
      </c>
      <c r="GX1" t="e">
        <f>AND('Golden 20'!#REF!,"AAAAAH/P/M0=")</f>
        <v>#REF!</v>
      </c>
      <c r="GY1" t="b">
        <f>AND('Golden 20'!Q9,"AAAAAH/P/M4=")</f>
        <v>1</v>
      </c>
      <c r="GZ1" t="e">
        <f>AND('Golden 20'!R9,"AAAAAH/P/M8=")</f>
        <v>#VALUE!</v>
      </c>
      <c r="HA1" t="b">
        <f>AND('Golden 20'!K8,"AAAAAH/P/NA=")</f>
        <v>1</v>
      </c>
      <c r="HB1" t="e">
        <f>AND('Golden 20'!L8,"AAAAAH/P/NE=")</f>
        <v>#VALUE!</v>
      </c>
      <c r="HC1" t="e">
        <f>AND('Golden 20'!#REF!,"AAAAAH/P/NI=")</f>
        <v>#REF!</v>
      </c>
      <c r="HD1" t="e">
        <f>AND('Golden 20'!#REF!,"AAAAAH/P/NM=")</f>
        <v>#REF!</v>
      </c>
      <c r="HE1" t="b">
        <f>AND('Golden 20'!S9,"AAAAAH/P/NQ=")</f>
        <v>1</v>
      </c>
      <c r="HF1" t="e">
        <f>AND('Golden 20'!T9,"AAAAAH/P/NU=")</f>
        <v>#VALUE!</v>
      </c>
      <c r="HG1" t="e">
        <f>AND('Golden 20'!#REF!,"AAAAAH/P/NY=")</f>
        <v>#REF!</v>
      </c>
      <c r="HH1" t="e">
        <f>AND('Golden 20'!#REF!,"AAAAAH/P/Nc=")</f>
        <v>#REF!</v>
      </c>
      <c r="HI1">
        <f>IF('Golden 20'!9:9,"AAAAAH/P/Ng=",0)</f>
        <v>0</v>
      </c>
      <c r="HJ1" t="b">
        <f>AND('Golden 20'!A8,"AAAAAH/P/Nk=")</f>
        <v>1</v>
      </c>
      <c r="HK1" t="e">
        <f>AND('Golden 20'!B8,"AAAAAH/P/No=")</f>
        <v>#VALUE!</v>
      </c>
      <c r="HL1" t="e">
        <f>AND('Golden 20'!#REF!,"AAAAAH/P/Ns=")</f>
        <v>#REF!</v>
      </c>
      <c r="HM1" t="e">
        <f>AND('Golden 20'!#REF!,"AAAAAH/P/Nw=")</f>
        <v>#REF!</v>
      </c>
      <c r="HN1" t="b">
        <f>AND('Golden 20'!E9,"AAAAAH/P/N0=")</f>
        <v>1</v>
      </c>
      <c r="HO1" t="e">
        <f>AND('Golden 20'!F9,"AAAAAH/P/N4=")</f>
        <v>#VALUE!</v>
      </c>
      <c r="HP1" t="b">
        <f>AND('Golden 20'!O9,"AAAAAH/P/N8=")</f>
        <v>1</v>
      </c>
      <c r="HQ1" t="e">
        <f>AND('Golden 20'!P9,"AAAAAH/P/OA=")</f>
        <v>#VALUE!</v>
      </c>
      <c r="HR1" t="e">
        <f>AND('Golden 20'!#REF!,"AAAAAH/P/OE=")</f>
        <v>#REF!</v>
      </c>
      <c r="HS1" t="e">
        <f>AND('Golden 20'!#REF!,"AAAAAH/P/OI=")</f>
        <v>#REF!</v>
      </c>
      <c r="HT1" t="e">
        <f>AND('Golden 20'!#REF!,"AAAAAH/P/OM=")</f>
        <v>#REF!</v>
      </c>
      <c r="HU1" t="e">
        <f>AND('Golden 20'!#REF!,"AAAAAH/P/OQ=")</f>
        <v>#REF!</v>
      </c>
      <c r="HV1" t="e">
        <f>AND('Golden 20'!#REF!,"AAAAAH/P/OU=")</f>
        <v>#REF!</v>
      </c>
      <c r="HW1" t="e">
        <f>AND('Golden 20'!#REF!,"AAAAAH/P/OY=")</f>
        <v>#REF!</v>
      </c>
      <c r="HX1" t="e">
        <f>AND('Golden 20'!#REF!,"AAAAAH/P/Oc=")</f>
        <v>#REF!</v>
      </c>
      <c r="HY1" t="e">
        <f>AND('Golden 20'!#REF!,"AAAAAH/P/Og=")</f>
        <v>#REF!</v>
      </c>
      <c r="HZ1" t="b">
        <f>AND('Golden 20'!Q6,"AAAAAH/P/Ok=")</f>
        <v>1</v>
      </c>
      <c r="IA1" t="e">
        <f>AND('Golden 20'!R6,"AAAAAH/P/Oo=")</f>
        <v>#VALUE!</v>
      </c>
      <c r="IB1" t="b">
        <f>AND('Golden 20'!K9,"AAAAAH/P/Os=")</f>
        <v>1</v>
      </c>
      <c r="IC1" t="e">
        <f>AND('Golden 20'!#REF!,"AAAAAH/P/Ow=")</f>
        <v>#REF!</v>
      </c>
      <c r="ID1" t="e">
        <f>AND('Golden 20'!#REF!,"AAAAAH/P/O0=")</f>
        <v>#REF!</v>
      </c>
      <c r="IE1" t="e">
        <f>AND('Golden 20'!#REF!,"AAAAAH/P/O4=")</f>
        <v>#REF!</v>
      </c>
      <c r="IF1" t="b">
        <f>AND('Golden 20'!S10,"AAAAAH/P/O8=")</f>
        <v>1</v>
      </c>
      <c r="IG1" t="e">
        <f>AND('Golden 20'!T10,"AAAAAH/P/PA=")</f>
        <v>#VALUE!</v>
      </c>
      <c r="IH1" t="e">
        <f>AND('Golden 20'!#REF!,"AAAAAH/P/PE=")</f>
        <v>#REF!</v>
      </c>
      <c r="II1" t="e">
        <f>AND('Golden 20'!#REF!,"AAAAAH/P/PI=")</f>
        <v>#REF!</v>
      </c>
      <c r="IJ1">
        <f>IF('Golden 20'!10:10,"AAAAAH/P/PM=",0)</f>
        <v>0</v>
      </c>
      <c r="IK1" t="b">
        <f>AND('Golden 20'!A9,"AAAAAH/P/PQ=")</f>
        <v>1</v>
      </c>
      <c r="IL1" t="e">
        <f>AND('Golden 20'!B9,"AAAAAH/P/PU=")</f>
        <v>#VALUE!</v>
      </c>
      <c r="IM1" t="e">
        <f>AND('Golden 20'!#REF!,"AAAAAH/P/PY=")</f>
        <v>#REF!</v>
      </c>
      <c r="IN1" t="e">
        <f>AND('Golden 20'!#REF!,"AAAAAH/P/Pc=")</f>
        <v>#REF!</v>
      </c>
      <c r="IO1" t="b">
        <f>AND('Golden 20'!E10,"AAAAAH/P/Pg=")</f>
        <v>1</v>
      </c>
      <c r="IP1" t="e">
        <f>AND('Golden 20'!F10,"AAAAAH/P/Pk=")</f>
        <v>#VALUE!</v>
      </c>
      <c r="IQ1" t="b">
        <f>AND('Golden 20'!O10,"AAAAAH/P/Po=")</f>
        <v>1</v>
      </c>
      <c r="IR1" t="e">
        <f>AND('Golden 20'!P10,"AAAAAH/P/Ps=")</f>
        <v>#VALUE!</v>
      </c>
      <c r="IS1" t="e">
        <f>AND('Golden 20'!#REF!,"AAAAAH/P/Pw=")</f>
        <v>#REF!</v>
      </c>
      <c r="IT1" t="e">
        <f>AND('Golden 20'!#REF!,"AAAAAH/P/P0=")</f>
        <v>#REF!</v>
      </c>
      <c r="IU1" t="e">
        <f>AND('Golden 20'!#REF!,"AAAAAH/P/P4=")</f>
        <v>#REF!</v>
      </c>
      <c r="IV1" t="e">
        <f>AND('Golden 20'!#REF!,"AAAAAH/P/P8=")</f>
        <v>#REF!</v>
      </c>
    </row>
    <row r="2" spans="1:256">
      <c r="A2" t="e">
        <f>AND('Golden 20'!#REF!,"AAAAAC3bZQA=")</f>
        <v>#REF!</v>
      </c>
      <c r="B2" t="e">
        <f>AND('Golden 20'!#REF!,"AAAAAC3bZQE=")</f>
        <v>#REF!</v>
      </c>
      <c r="C2" t="e">
        <f>AND('Golden 20'!#REF!,"AAAAAC3bZQI=")</f>
        <v>#REF!</v>
      </c>
      <c r="D2" t="e">
        <f>AND('Golden 20'!#REF!,"AAAAAC3bZQM=")</f>
        <v>#REF!</v>
      </c>
      <c r="E2" t="b">
        <f>AND('Golden 20'!Q10,"AAAAAC3bZQQ=")</f>
        <v>1</v>
      </c>
      <c r="F2" t="e">
        <f>AND('Golden 20'!R10,"AAAAAC3bZQU=")</f>
        <v>#VALUE!</v>
      </c>
      <c r="G2" t="b">
        <f>AND('Golden 20'!K10,"AAAAAC3bZQY=")</f>
        <v>1</v>
      </c>
      <c r="H2" t="e">
        <f>AND('Golden 20'!L9,"AAAAAC3bZQc=")</f>
        <v>#VALUE!</v>
      </c>
      <c r="I2" t="e">
        <f>AND('Golden 20'!#REF!,"AAAAAC3bZQg=")</f>
        <v>#REF!</v>
      </c>
      <c r="J2" t="e">
        <f>AND('Golden 20'!#REF!,"AAAAAC3bZQk=")</f>
        <v>#REF!</v>
      </c>
      <c r="K2" t="b">
        <f>AND('Golden 20'!S11,"AAAAAC3bZQo=")</f>
        <v>1</v>
      </c>
      <c r="L2" t="e">
        <f>AND('Golden 20'!T11,"AAAAAC3bZQs=")</f>
        <v>#VALUE!</v>
      </c>
      <c r="M2" t="e">
        <f>AND('Golden 20'!#REF!,"AAAAAC3bZQw=")</f>
        <v>#REF!</v>
      </c>
      <c r="N2" t="e">
        <f>AND('Golden 20'!#REF!,"AAAAAC3bZQ0=")</f>
        <v>#REF!</v>
      </c>
      <c r="O2" t="str">
        <f>IF('Golden 20'!11:11,"AAAAAC3bZQ4=",0)</f>
        <v>AAAAAC3bZQ4=</v>
      </c>
      <c r="P2" t="b">
        <f>AND('Golden 20'!A12,"AAAAAC3bZQ8=")</f>
        <v>1</v>
      </c>
      <c r="Q2" t="e">
        <f>AND('Golden 20'!B12,"AAAAAC3bZRA=")</f>
        <v>#VALUE!</v>
      </c>
      <c r="R2" t="e">
        <f>AND('Golden 20'!#REF!,"AAAAAC3bZRE=")</f>
        <v>#REF!</v>
      </c>
      <c r="S2" t="e">
        <f>AND('Golden 20'!#REF!,"AAAAAC3bZRI=")</f>
        <v>#REF!</v>
      </c>
      <c r="T2" t="b">
        <f>AND('Golden 20'!E11,"AAAAAC3bZRM=")</f>
        <v>1</v>
      </c>
      <c r="U2" t="e">
        <f>AND('Golden 20'!F11,"AAAAAC3bZRQ=")</f>
        <v>#VALUE!</v>
      </c>
      <c r="V2" t="b">
        <f>AND('Golden 20'!O11,"AAAAAC3bZRU=")</f>
        <v>1</v>
      </c>
      <c r="W2" t="e">
        <f>AND('Golden 20'!P11,"AAAAAC3bZRY=")</f>
        <v>#VALUE!</v>
      </c>
      <c r="X2" t="e">
        <f>AND('Golden 20'!#REF!,"AAAAAC3bZRc=")</f>
        <v>#REF!</v>
      </c>
      <c r="Y2" t="e">
        <f>AND('Golden 20'!#REF!,"AAAAAC3bZRg=")</f>
        <v>#REF!</v>
      </c>
      <c r="Z2" t="e">
        <f>AND('Golden 20'!#REF!,"AAAAAC3bZRk=")</f>
        <v>#REF!</v>
      </c>
      <c r="AA2" t="e">
        <f>AND('Golden 20'!#REF!,"AAAAAC3bZRo=")</f>
        <v>#REF!</v>
      </c>
      <c r="AB2" t="e">
        <f>AND('Golden 20'!#REF!,"AAAAAC3bZRs=")</f>
        <v>#REF!</v>
      </c>
      <c r="AC2" t="e">
        <f>AND('Golden 20'!#REF!,"AAAAAC3bZRw=")</f>
        <v>#REF!</v>
      </c>
      <c r="AD2" t="e">
        <f>AND('Golden 20'!#REF!,"AAAAAC3bZR0=")</f>
        <v>#REF!</v>
      </c>
      <c r="AE2" t="e">
        <f>AND('Golden 20'!#REF!,"AAAAAC3bZR4=")</f>
        <v>#REF!</v>
      </c>
      <c r="AF2" t="b">
        <f>AND('Golden 20'!Q11,"AAAAAC3bZR8=")</f>
        <v>1</v>
      </c>
      <c r="AG2" t="e">
        <f>AND('Golden 20'!R11,"AAAAAC3bZSA=")</f>
        <v>#VALUE!</v>
      </c>
      <c r="AH2" t="b">
        <f>AND('Golden 20'!K13,"AAAAAC3bZSE=")</f>
        <v>1</v>
      </c>
      <c r="AI2" t="e">
        <f>AND('Golden 20'!L15,"AAAAAC3bZSI=")</f>
        <v>#VALUE!</v>
      </c>
      <c r="AJ2" t="e">
        <f>AND('Golden 20'!#REF!,"AAAAAC3bZSM=")</f>
        <v>#REF!</v>
      </c>
      <c r="AK2" t="e">
        <f>AND('Golden 20'!#REF!,"AAAAAC3bZSQ=")</f>
        <v>#REF!</v>
      </c>
      <c r="AL2" t="b">
        <f>AND('Golden 20'!S12,"AAAAAC3bZSU=")</f>
        <v>1</v>
      </c>
      <c r="AM2" t="e">
        <f>AND('Golden 20'!T12,"AAAAAC3bZSY=")</f>
        <v>#VALUE!</v>
      </c>
      <c r="AN2" t="e">
        <f>AND('Golden 20'!#REF!,"AAAAAC3bZSc=")</f>
        <v>#REF!</v>
      </c>
      <c r="AO2" t="e">
        <f>AND('Golden 20'!#REF!,"AAAAAC3bZSg=")</f>
        <v>#REF!</v>
      </c>
      <c r="AP2">
        <f>IF('Golden 20'!12:12,"AAAAAC3bZSk=",0)</f>
        <v>0</v>
      </c>
      <c r="AQ2" t="b">
        <f>AND('Golden 20'!A13,"AAAAAC3bZSo=")</f>
        <v>1</v>
      </c>
      <c r="AR2" t="e">
        <f>AND('Golden 20'!B13,"AAAAAC3bZSs=")</f>
        <v>#VALUE!</v>
      </c>
      <c r="AS2" t="e">
        <f>AND('Golden 20'!#REF!,"AAAAAC3bZSw=")</f>
        <v>#REF!</v>
      </c>
      <c r="AT2" t="e">
        <f>AND('Golden 20'!#REF!,"AAAAAC3bZS0=")</f>
        <v>#REF!</v>
      </c>
      <c r="AU2" t="b">
        <f>AND('Golden 20'!E13,"AAAAAC3bZS4=")</f>
        <v>1</v>
      </c>
      <c r="AV2" t="e">
        <f>AND('Golden 20'!#REF!,"AAAAAC3bZS8=")</f>
        <v>#REF!</v>
      </c>
      <c r="AW2" t="b">
        <f>AND('Golden 20'!O12,"AAAAAC3bZTA=")</f>
        <v>1</v>
      </c>
      <c r="AX2" t="e">
        <f>AND('Golden 20'!P12,"AAAAAC3bZTE=")</f>
        <v>#VALUE!</v>
      </c>
      <c r="AY2" t="e">
        <f>AND('Golden 20'!#REF!,"AAAAAC3bZTI=")</f>
        <v>#REF!</v>
      </c>
      <c r="AZ2" t="e">
        <f>AND('Golden 20'!#REF!,"AAAAAC3bZTM=")</f>
        <v>#REF!</v>
      </c>
      <c r="BA2" t="e">
        <f>AND('Golden 20'!#REF!,"AAAAAC3bZTQ=")</f>
        <v>#REF!</v>
      </c>
      <c r="BB2" t="e">
        <f>AND('Golden 20'!#REF!,"AAAAAC3bZTU=")</f>
        <v>#REF!</v>
      </c>
      <c r="BC2" t="e">
        <f>AND('Golden 20'!#REF!,"AAAAAC3bZTY=")</f>
        <v>#REF!</v>
      </c>
      <c r="BD2" t="e">
        <f>AND('Golden 20'!#REF!,"AAAAAC3bZTc=")</f>
        <v>#REF!</v>
      </c>
      <c r="BE2" t="e">
        <f>AND('Golden 20'!#REF!,"AAAAAC3bZTg=")</f>
        <v>#REF!</v>
      </c>
      <c r="BF2" t="e">
        <f>AND('Golden 20'!#REF!,"AAAAAC3bZTk=")</f>
        <v>#REF!</v>
      </c>
      <c r="BG2" t="b">
        <f>AND('Golden 20'!Q12,"AAAAAC3bZTo=")</f>
        <v>1</v>
      </c>
      <c r="BH2" t="e">
        <f>AND('Golden 20'!R12,"AAAAAC3bZTs=")</f>
        <v>#VALUE!</v>
      </c>
      <c r="BI2" t="b">
        <f>AND('Golden 20'!K14,"AAAAAC3bZTw=")</f>
        <v>1</v>
      </c>
      <c r="BJ2" t="e">
        <f>AND('Golden 20'!L10,"AAAAAC3bZT0=")</f>
        <v>#VALUE!</v>
      </c>
      <c r="BK2" t="e">
        <f>AND('Golden 20'!#REF!,"AAAAAC3bZT4=")</f>
        <v>#REF!</v>
      </c>
      <c r="BL2" t="e">
        <f>AND('Golden 20'!#REF!,"AAAAAC3bZT8=")</f>
        <v>#REF!</v>
      </c>
      <c r="BM2" t="b">
        <f>AND('Golden 20'!S13,"AAAAAC3bZUA=")</f>
        <v>1</v>
      </c>
      <c r="BN2" t="e">
        <f>AND('Golden 20'!T13,"AAAAAC3bZUE=")</f>
        <v>#VALUE!</v>
      </c>
      <c r="BO2" t="e">
        <f>AND('Golden 20'!#REF!,"AAAAAC3bZUI=")</f>
        <v>#REF!</v>
      </c>
      <c r="BP2" t="e">
        <f>AND('Golden 20'!#REF!,"AAAAAC3bZUM=")</f>
        <v>#REF!</v>
      </c>
      <c r="BQ2">
        <f>IF('Golden 20'!13:13,"AAAAAC3bZUQ=",0)</f>
        <v>0</v>
      </c>
      <c r="BR2" t="b">
        <f>AND('Golden 20'!A14,"AAAAAC3bZUU=")</f>
        <v>1</v>
      </c>
      <c r="BS2" t="e">
        <f>AND('Golden 20'!B14,"AAAAAC3bZUY=")</f>
        <v>#VALUE!</v>
      </c>
      <c r="BT2" t="e">
        <f>AND('Golden 20'!#REF!,"AAAAAC3bZUc=")</f>
        <v>#REF!</v>
      </c>
      <c r="BU2" t="e">
        <f>AND('Golden 20'!#REF!,"AAAAAC3bZUg=")</f>
        <v>#REF!</v>
      </c>
      <c r="BV2" t="b">
        <f>AND('Golden 20'!E14,"AAAAAC3bZUk=")</f>
        <v>1</v>
      </c>
      <c r="BW2" t="e">
        <f>AND('Golden 20'!F13,"AAAAAC3bZUo=")</f>
        <v>#VALUE!</v>
      </c>
      <c r="BX2" t="b">
        <f>AND('Golden 20'!O13,"AAAAAC3bZUs=")</f>
        <v>1</v>
      </c>
      <c r="BY2" t="e">
        <f>AND('Golden 20'!P13,"AAAAAC3bZUw=")</f>
        <v>#VALUE!</v>
      </c>
      <c r="BZ2" t="e">
        <f>AND('Golden 20'!#REF!,"AAAAAC3bZU0=")</f>
        <v>#REF!</v>
      </c>
      <c r="CA2" t="e">
        <f>AND('Golden 20'!#REF!,"AAAAAC3bZU4=")</f>
        <v>#REF!</v>
      </c>
      <c r="CB2" t="e">
        <f>AND('Golden 20'!#REF!,"AAAAAC3bZU8=")</f>
        <v>#REF!</v>
      </c>
      <c r="CC2" t="e">
        <f>AND('Golden 20'!#REF!,"AAAAAC3bZVA=")</f>
        <v>#REF!</v>
      </c>
      <c r="CD2" t="e">
        <f>AND('Golden 20'!#REF!,"AAAAAC3bZVE=")</f>
        <v>#REF!</v>
      </c>
      <c r="CE2" t="e">
        <f>AND('Golden 20'!#REF!,"AAAAAC3bZVI=")</f>
        <v>#REF!</v>
      </c>
      <c r="CF2" t="e">
        <f>AND('Golden 20'!#REF!,"AAAAAC3bZVM=")</f>
        <v>#REF!</v>
      </c>
      <c r="CG2" t="e">
        <f>AND('Golden 20'!#REF!,"AAAAAC3bZVQ=")</f>
        <v>#REF!</v>
      </c>
      <c r="CH2" t="b">
        <f>AND('Golden 20'!Q14,"AAAAAC3bZVU=")</f>
        <v>1</v>
      </c>
      <c r="CI2" t="e">
        <f>AND('Golden 20'!R14,"AAAAAC3bZVY=")</f>
        <v>#VALUE!</v>
      </c>
      <c r="CJ2" t="e">
        <f>AND('Golden 20'!#REF!,"AAAAAC3bZVc=")</f>
        <v>#REF!</v>
      </c>
      <c r="CK2" t="e">
        <f>AND('Golden 20'!L14,"AAAAAC3bZVg=")</f>
        <v>#VALUE!</v>
      </c>
      <c r="CL2" t="e">
        <f>AND('Golden 20'!#REF!,"AAAAAC3bZVk=")</f>
        <v>#REF!</v>
      </c>
      <c r="CM2" t="e">
        <f>AND('Golden 20'!#REF!,"AAAAAC3bZVo=")</f>
        <v>#REF!</v>
      </c>
      <c r="CN2" t="b">
        <f>AND('Golden 20'!S18,"AAAAAC3bZVs=")</f>
        <v>1</v>
      </c>
      <c r="CO2" t="e">
        <f>AND('Golden 20'!T18,"AAAAAC3bZVw=")</f>
        <v>#VALUE!</v>
      </c>
      <c r="CP2" t="e">
        <f>AND('Golden 20'!#REF!,"AAAAAC3bZV0=")</f>
        <v>#REF!</v>
      </c>
      <c r="CQ2" t="e">
        <f>AND('Golden 20'!#REF!,"AAAAAC3bZV4=")</f>
        <v>#REF!</v>
      </c>
      <c r="CR2">
        <f>IF('Golden 20'!14:14,"AAAAAC3bZV8=",0)</f>
        <v>0</v>
      </c>
      <c r="CS2" t="b">
        <f>AND('Golden 20'!A15,"AAAAAC3bZWA=")</f>
        <v>1</v>
      </c>
      <c r="CT2" t="e">
        <f>AND('Golden 20'!B15,"AAAAAC3bZWE=")</f>
        <v>#VALUE!</v>
      </c>
      <c r="CU2" t="e">
        <f>AND('Golden 20'!#REF!,"AAAAAC3bZWI=")</f>
        <v>#REF!</v>
      </c>
      <c r="CV2" t="e">
        <f>AND('Golden 20'!#REF!,"AAAAAC3bZWM=")</f>
        <v>#REF!</v>
      </c>
      <c r="CW2" t="b">
        <f>AND('Golden 20'!E15,"AAAAAC3bZWQ=")</f>
        <v>1</v>
      </c>
      <c r="CX2" t="e">
        <f>AND('Golden 20'!F14,"AAAAAC3bZWU=")</f>
        <v>#VALUE!</v>
      </c>
      <c r="CY2" t="b">
        <f>AND('Golden 20'!O14,"AAAAAC3bZWY=")</f>
        <v>1</v>
      </c>
      <c r="CZ2" t="e">
        <f>AND('Golden 20'!P14,"AAAAAC3bZWc=")</f>
        <v>#VALUE!</v>
      </c>
      <c r="DA2" t="b">
        <f>AND('Golden 20'!M17,"AAAAAC3bZWg=")</f>
        <v>1</v>
      </c>
      <c r="DB2" t="e">
        <f>AND('Golden 20'!N17,"AAAAAC3bZWk=")</f>
        <v>#VALUE!</v>
      </c>
      <c r="DC2" t="e">
        <f>AND('Golden 20'!#REF!,"AAAAAC3bZWo=")</f>
        <v>#REF!</v>
      </c>
      <c r="DD2" t="e">
        <f>AND('Golden 20'!#REF!,"AAAAAC3bZWs=")</f>
        <v>#REF!</v>
      </c>
      <c r="DE2" t="e">
        <f>AND('Golden 20'!#REF!,"AAAAAC3bZWw=")</f>
        <v>#REF!</v>
      </c>
      <c r="DF2" t="e">
        <f>AND('Golden 20'!#REF!,"AAAAAC3bZW0=")</f>
        <v>#REF!</v>
      </c>
      <c r="DG2" t="e">
        <f>AND('Golden 20'!#REF!,"AAAAAC3bZW4=")</f>
        <v>#REF!</v>
      </c>
      <c r="DH2" t="e">
        <f>AND('Golden 20'!#REF!,"AAAAAC3bZW8=")</f>
        <v>#REF!</v>
      </c>
      <c r="DI2" t="b">
        <f>AND('Golden 20'!Q15,"AAAAAC3bZXA=")</f>
        <v>1</v>
      </c>
      <c r="DJ2" t="e">
        <f>AND('Golden 20'!R15,"AAAAAC3bZXE=")</f>
        <v>#VALUE!</v>
      </c>
      <c r="DK2" t="b">
        <f>AND('Golden 20'!K15,"AAAAAC3bZXI=")</f>
        <v>1</v>
      </c>
      <c r="DL2" t="e">
        <f>AND('Golden 20'!L13,"AAAAAC3bZXM=")</f>
        <v>#VALUE!</v>
      </c>
      <c r="DM2" t="e">
        <f>AND('Golden 20'!#REF!,"AAAAAC3bZXQ=")</f>
        <v>#REF!</v>
      </c>
      <c r="DN2" t="e">
        <f>AND('Golden 20'!#REF!,"AAAAAC3bZXU=")</f>
        <v>#REF!</v>
      </c>
      <c r="DO2" t="b">
        <f>AND('Golden 20'!S19,"AAAAAC3bZXY=")</f>
        <v>1</v>
      </c>
      <c r="DP2" t="e">
        <f>AND('Golden 20'!T19,"AAAAAC3bZXc=")</f>
        <v>#VALUE!</v>
      </c>
      <c r="DQ2" t="e">
        <f>AND('Golden 20'!#REF!,"AAAAAC3bZXg=")</f>
        <v>#REF!</v>
      </c>
      <c r="DR2" t="e">
        <f>AND('Golden 20'!#REF!,"AAAAAC3bZXk=")</f>
        <v>#REF!</v>
      </c>
      <c r="DS2">
        <f>IF('Golden 20'!15:15,"AAAAAC3bZXo=",0)</f>
        <v>0</v>
      </c>
      <c r="DT2" t="b">
        <f>AND('Golden 20'!A16,"AAAAAC3bZXs=")</f>
        <v>1</v>
      </c>
      <c r="DU2" t="e">
        <f>AND('Golden 20'!B16,"AAAAAC3bZXw=")</f>
        <v>#VALUE!</v>
      </c>
      <c r="DV2" t="e">
        <f>AND('Golden 20'!#REF!,"AAAAAC3bZX0=")</f>
        <v>#REF!</v>
      </c>
      <c r="DW2" t="e">
        <f>AND('Golden 20'!#REF!,"AAAAAC3bZX4=")</f>
        <v>#REF!</v>
      </c>
      <c r="DX2" t="b">
        <f>AND('Golden 20'!E16,"AAAAAC3bZX8=")</f>
        <v>1</v>
      </c>
      <c r="DY2" t="e">
        <f>AND('Golden 20'!F15,"AAAAAC3bZYA=")</f>
        <v>#VALUE!</v>
      </c>
      <c r="DZ2" t="b">
        <f>AND('Golden 20'!O15,"AAAAAC3bZYE=")</f>
        <v>1</v>
      </c>
      <c r="EA2" t="e">
        <f>AND('Golden 20'!P15,"AAAAAC3bZYI=")</f>
        <v>#VALUE!</v>
      </c>
      <c r="EB2" t="b">
        <f>AND('Golden 20'!M18,"AAAAAC3bZYM=")</f>
        <v>1</v>
      </c>
      <c r="EC2" t="e">
        <f>AND('Golden 20'!N18,"AAAAAC3bZYQ=")</f>
        <v>#VALUE!</v>
      </c>
      <c r="ED2" t="e">
        <f>AND('Golden 20'!#REF!,"AAAAAC3bZYU=")</f>
        <v>#REF!</v>
      </c>
      <c r="EE2" t="e">
        <f>AND('Golden 20'!#REF!,"AAAAAC3bZYY=")</f>
        <v>#REF!</v>
      </c>
      <c r="EF2" t="e">
        <f>AND('Golden 20'!#REF!,"AAAAAC3bZYc=")</f>
        <v>#REF!</v>
      </c>
      <c r="EG2" t="e">
        <f>AND('Golden 20'!#REF!,"AAAAAC3bZYg=")</f>
        <v>#REF!</v>
      </c>
      <c r="EH2" t="e">
        <f>AND('Golden 20'!#REF!,"AAAAAC3bZYk=")</f>
        <v>#REF!</v>
      </c>
      <c r="EI2" t="e">
        <f>AND('Golden 20'!#REF!,"AAAAAC3bZYo=")</f>
        <v>#REF!</v>
      </c>
      <c r="EJ2" t="b">
        <f>AND('Golden 20'!Q16,"AAAAAC3bZYs=")</f>
        <v>1</v>
      </c>
      <c r="EK2" t="e">
        <f>AND('Golden 20'!R16,"AAAAAC3bZYw=")</f>
        <v>#VALUE!</v>
      </c>
      <c r="EL2" t="b">
        <f>AND('Golden 20'!K16,"AAAAAC3bZY0=")</f>
        <v>1</v>
      </c>
      <c r="EM2" t="e">
        <f>AND('Golden 20'!L16,"AAAAAC3bZY4=")</f>
        <v>#VALUE!</v>
      </c>
      <c r="EN2" t="e">
        <f>AND('Golden 20'!#REF!,"AAAAAC3bZY8=")</f>
        <v>#REF!</v>
      </c>
      <c r="EO2" t="e">
        <f>AND('Golden 20'!#REF!,"AAAAAC3bZZA=")</f>
        <v>#REF!</v>
      </c>
      <c r="EP2" t="e">
        <f>AND('Golden 20'!#REF!,"AAAAAC3bZZE=")</f>
        <v>#REF!</v>
      </c>
      <c r="EQ2" t="e">
        <f>AND('Golden 20'!#REF!,"AAAAAC3bZZI=")</f>
        <v>#REF!</v>
      </c>
      <c r="ER2" t="e">
        <f>AND('Golden 20'!#REF!,"AAAAAC3bZZM=")</f>
        <v>#REF!</v>
      </c>
      <c r="ES2" t="e">
        <f>AND('Golden 20'!#REF!,"AAAAAC3bZZQ=")</f>
        <v>#REF!</v>
      </c>
      <c r="ET2">
        <f>IF('Golden 20'!16:16,"AAAAAC3bZZU=",0)</f>
        <v>0</v>
      </c>
      <c r="EU2" t="b">
        <f>AND('Golden 20'!A17,"AAAAAC3bZZY=")</f>
        <v>1</v>
      </c>
      <c r="EV2" t="e">
        <f>AND('Golden 20'!B17,"AAAAAC3bZZc=")</f>
        <v>#VALUE!</v>
      </c>
      <c r="EW2" t="e">
        <f>AND('Golden 20'!#REF!,"AAAAAC3bZZg=")</f>
        <v>#REF!</v>
      </c>
      <c r="EX2" t="e">
        <f>AND('Golden 20'!#REF!,"AAAAAC3bZZk=")</f>
        <v>#REF!</v>
      </c>
      <c r="EY2" t="e">
        <f>AND('Golden 20'!#REF!,"AAAAAC3bZZo=")</f>
        <v>#REF!</v>
      </c>
      <c r="EZ2" t="e">
        <f>AND('Golden 20'!F16,"AAAAAC3bZZs=")</f>
        <v>#VALUE!</v>
      </c>
      <c r="FA2" t="b">
        <f>AND('Golden 20'!O16,"AAAAAC3bZZw=")</f>
        <v>1</v>
      </c>
      <c r="FB2" t="e">
        <f>AND('Golden 20'!P16,"AAAAAC3bZZ0=")</f>
        <v>#VALUE!</v>
      </c>
      <c r="FC2" t="b">
        <f>AND('Golden 20'!M19,"AAAAAC3bZZ4=")</f>
        <v>1</v>
      </c>
      <c r="FD2" t="e">
        <f>AND('Golden 20'!N19,"AAAAAC3bZZ8=")</f>
        <v>#VALUE!</v>
      </c>
      <c r="FE2" t="e">
        <f>AND('Golden 20'!#REF!,"AAAAAC3bZaA=")</f>
        <v>#REF!</v>
      </c>
      <c r="FF2" t="e">
        <f>AND('Golden 20'!#REF!,"AAAAAC3bZaE=")</f>
        <v>#REF!</v>
      </c>
      <c r="FG2" t="e">
        <f>AND('Golden 20'!#REF!,"AAAAAC3bZaI=")</f>
        <v>#REF!</v>
      </c>
      <c r="FH2" t="e">
        <f>AND('Golden 20'!#REF!,"AAAAAC3bZaM=")</f>
        <v>#REF!</v>
      </c>
      <c r="FI2" t="e">
        <f>AND('Golden 20'!#REF!,"AAAAAC3bZaQ=")</f>
        <v>#REF!</v>
      </c>
      <c r="FJ2" t="e">
        <f>AND('Golden 20'!#REF!,"AAAAAC3bZaU=")</f>
        <v>#REF!</v>
      </c>
      <c r="FK2" t="b">
        <f>AND('Golden 20'!Q17,"AAAAAC3bZaY=")</f>
        <v>1</v>
      </c>
      <c r="FL2" t="e">
        <f>AND('Golden 20'!R17,"AAAAAC3bZac=")</f>
        <v>#VALUE!</v>
      </c>
      <c r="FM2" t="b">
        <f>AND('Golden 20'!K17,"AAAAAC3bZag=")</f>
        <v>1</v>
      </c>
      <c r="FN2" t="e">
        <f>AND('Golden 20'!L17,"AAAAAC3bZak=")</f>
        <v>#VALUE!</v>
      </c>
      <c r="FO2" t="e">
        <f>AND('Golden 20'!#REF!,"AAAAAC3bZao=")</f>
        <v>#REF!</v>
      </c>
      <c r="FP2" t="e">
        <f>AND('Golden 20'!#REF!,"AAAAAC3bZas=")</f>
        <v>#REF!</v>
      </c>
      <c r="FQ2" t="e">
        <f>AND('Golden 20'!#REF!,"AAAAAC3bZaw=")</f>
        <v>#REF!</v>
      </c>
      <c r="FR2" t="e">
        <f>AND('Golden 20'!#REF!,"AAAAAC3bZa0=")</f>
        <v>#REF!</v>
      </c>
      <c r="FS2" t="e">
        <f>AND('Golden 20'!#REF!,"AAAAAC3bZa4=")</f>
        <v>#REF!</v>
      </c>
      <c r="FT2" t="e">
        <f>AND('Golden 20'!#REF!,"AAAAAC3bZa8=")</f>
        <v>#REF!</v>
      </c>
      <c r="FU2">
        <f>IF('Golden 20'!17:17,"AAAAAC3bZbA=",0)</f>
        <v>0</v>
      </c>
      <c r="FV2" t="e">
        <f>AND('Golden 20'!#REF!,"AAAAAC3bZbE=")</f>
        <v>#REF!</v>
      </c>
      <c r="FW2" t="e">
        <f>AND('Golden 20'!#REF!,"AAAAAC3bZbI=")</f>
        <v>#REF!</v>
      </c>
      <c r="FX2" t="e">
        <f>AND('Golden 20'!#REF!,"AAAAAC3bZbM=")</f>
        <v>#REF!</v>
      </c>
      <c r="FY2" t="e">
        <f>AND('Golden 20'!#REF!,"AAAAAC3bZbQ=")</f>
        <v>#REF!</v>
      </c>
      <c r="FZ2" t="b">
        <f>AND('Golden 20'!E17,"AAAAAC3bZbU=")</f>
        <v>1</v>
      </c>
      <c r="GA2" t="e">
        <f>AND('Golden 20'!F17,"AAAAAC3bZbY=")</f>
        <v>#VALUE!</v>
      </c>
      <c r="GB2" t="b">
        <f>AND('Golden 20'!O17,"AAAAAC3bZbc=")</f>
        <v>1</v>
      </c>
      <c r="GC2" t="e">
        <f>AND('Golden 20'!P17,"AAAAAC3bZbg=")</f>
        <v>#VALUE!</v>
      </c>
      <c r="GD2" t="e">
        <f>AND('Golden 20'!#REF!,"AAAAAC3bZbk=")</f>
        <v>#REF!</v>
      </c>
      <c r="GE2" t="e">
        <f>AND('Golden 20'!#REF!,"AAAAAC3bZbo=")</f>
        <v>#REF!</v>
      </c>
      <c r="GF2" t="e">
        <f>AND('Golden 20'!#REF!,"AAAAAC3bZbs=")</f>
        <v>#REF!</v>
      </c>
      <c r="GG2" t="e">
        <f>AND('Golden 20'!#REF!,"AAAAAC3bZbw=")</f>
        <v>#REF!</v>
      </c>
      <c r="GH2" t="e">
        <f>AND('Golden 20'!#REF!,"AAAAAC3bZb0=")</f>
        <v>#REF!</v>
      </c>
      <c r="GI2" t="e">
        <f>AND('Golden 20'!#REF!,"AAAAAC3bZb4=")</f>
        <v>#REF!</v>
      </c>
      <c r="GJ2" t="e">
        <f>AND('Golden 20'!#REF!,"AAAAAC3bZb8=")</f>
        <v>#REF!</v>
      </c>
      <c r="GK2" t="e">
        <f>AND('Golden 20'!#REF!,"AAAAAC3bZcA=")</f>
        <v>#REF!</v>
      </c>
      <c r="GL2" t="b">
        <f>AND('Golden 20'!Q18,"AAAAAC3bZcE=")</f>
        <v>1</v>
      </c>
      <c r="GM2" t="e">
        <f>AND('Golden 20'!R18,"AAAAAC3bZcI=")</f>
        <v>#VALUE!</v>
      </c>
      <c r="GN2" t="b">
        <f>AND('Golden 20'!K18,"AAAAAC3bZcM=")</f>
        <v>1</v>
      </c>
      <c r="GO2" t="e">
        <f>AND('Golden 20'!L18,"AAAAAC3bZcQ=")</f>
        <v>#VALUE!</v>
      </c>
      <c r="GP2" t="e">
        <f>AND('Golden 20'!#REF!,"AAAAAC3bZcU=")</f>
        <v>#REF!</v>
      </c>
      <c r="GQ2" t="e">
        <f>AND('Golden 20'!#REF!,"AAAAAC3bZcY=")</f>
        <v>#REF!</v>
      </c>
      <c r="GR2" t="e">
        <f>AND('Golden 20'!#REF!,"AAAAAC3bZcc=")</f>
        <v>#REF!</v>
      </c>
      <c r="GS2" t="e">
        <f>AND('Golden 20'!#REF!,"AAAAAC3bZcg=")</f>
        <v>#REF!</v>
      </c>
      <c r="GT2" t="e">
        <f>AND('Golden 20'!#REF!,"AAAAAC3bZck=")</f>
        <v>#REF!</v>
      </c>
      <c r="GU2" t="e">
        <f>AND('Golden 20'!#REF!,"AAAAAC3bZco=")</f>
        <v>#REF!</v>
      </c>
      <c r="GV2">
        <f>IF('Golden 20'!18:18,"AAAAAC3bZcs=",0)</f>
        <v>0</v>
      </c>
      <c r="GW2" t="b">
        <f>AND('Golden 20'!A19,"AAAAAC3bZcw=")</f>
        <v>1</v>
      </c>
      <c r="GX2" t="e">
        <f>AND('Golden 20'!B19,"AAAAAC3bZc0=")</f>
        <v>#VALUE!</v>
      </c>
      <c r="GY2" t="e">
        <f>AND('Golden 20'!#REF!,"AAAAAC3bZc4=")</f>
        <v>#REF!</v>
      </c>
      <c r="GZ2" t="e">
        <f>AND('Golden 20'!#REF!,"AAAAAC3bZc8=")</f>
        <v>#REF!</v>
      </c>
      <c r="HA2" t="b">
        <f>AND('Golden 20'!E18,"AAAAAC3bZdA=")</f>
        <v>1</v>
      </c>
      <c r="HB2" t="e">
        <f>AND('Golden 20'!F18,"AAAAAC3bZdE=")</f>
        <v>#VALUE!</v>
      </c>
      <c r="HC2" t="b">
        <f>AND('Golden 20'!O18,"AAAAAC3bZdI=")</f>
        <v>1</v>
      </c>
      <c r="HD2" t="e">
        <f>AND('Golden 20'!P18,"AAAAAC3bZdM=")</f>
        <v>#VALUE!</v>
      </c>
      <c r="HE2" t="b">
        <f>AND('Golden 20'!M20,"AAAAAC3bZdQ=")</f>
        <v>1</v>
      </c>
      <c r="HF2" t="e">
        <f>AND('Golden 20'!N20,"AAAAAC3bZdU=")</f>
        <v>#VALUE!</v>
      </c>
      <c r="HG2" t="e">
        <f>AND('Golden 20'!#REF!,"AAAAAC3bZdY=")</f>
        <v>#REF!</v>
      </c>
      <c r="HH2" t="e">
        <f>AND('Golden 20'!#REF!,"AAAAAC3bZdc=")</f>
        <v>#REF!</v>
      </c>
      <c r="HI2" t="e">
        <f>AND('Golden 20'!#REF!,"AAAAAC3bZdg=")</f>
        <v>#REF!</v>
      </c>
      <c r="HJ2" t="e">
        <f>AND('Golden 20'!#REF!,"AAAAAC3bZdk=")</f>
        <v>#REF!</v>
      </c>
      <c r="HK2" t="e">
        <f>AND('Golden 20'!#REF!,"AAAAAC3bZdo=")</f>
        <v>#REF!</v>
      </c>
      <c r="HL2" t="e">
        <f>AND('Golden 20'!#REF!,"AAAAAC3bZds=")</f>
        <v>#REF!</v>
      </c>
      <c r="HM2" t="b">
        <f>AND('Golden 20'!Q19,"AAAAAC3bZdw=")</f>
        <v>1</v>
      </c>
      <c r="HN2" t="e">
        <f>AND('Golden 20'!R19,"AAAAAC3bZd0=")</f>
        <v>#VALUE!</v>
      </c>
      <c r="HO2" t="e">
        <f>AND('Golden 20'!#REF!,"AAAAAC3bZd4=")</f>
        <v>#REF!</v>
      </c>
      <c r="HP2" t="e">
        <f>AND('Golden 20'!L11,"AAAAAC3bZd8=")</f>
        <v>#VALUE!</v>
      </c>
      <c r="HQ2" t="e">
        <f>AND('Golden 20'!#REF!,"AAAAAC3bZeA=")</f>
        <v>#REF!</v>
      </c>
      <c r="HR2" t="e">
        <f>AND('Golden 20'!#REF!,"AAAAAC3bZeE=")</f>
        <v>#REF!</v>
      </c>
      <c r="HS2" t="e">
        <f>AND('Golden 20'!#REF!,"AAAAAC3bZeI=")</f>
        <v>#REF!</v>
      </c>
      <c r="HT2" t="e">
        <f>AND('Golden 20'!#REF!,"AAAAAC3bZeM=")</f>
        <v>#REF!</v>
      </c>
      <c r="HU2" t="e">
        <f>AND('Golden 20'!#REF!,"AAAAAC3bZeQ=")</f>
        <v>#REF!</v>
      </c>
      <c r="HV2" t="e">
        <f>AND('Golden 20'!#REF!,"AAAAAC3bZeU=")</f>
        <v>#REF!</v>
      </c>
      <c r="HW2">
        <f>IF('Golden 20'!19:19,"AAAAAC3bZeY=",0)</f>
        <v>0</v>
      </c>
      <c r="HX2" t="b">
        <f>AND('Golden 20'!A20,"AAAAAC3bZec=")</f>
        <v>1</v>
      </c>
      <c r="HY2" t="e">
        <f>AND('Golden 20'!B20,"AAAAAC3bZeg=")</f>
        <v>#VALUE!</v>
      </c>
      <c r="HZ2" t="e">
        <f>AND('Golden 20'!#REF!,"AAAAAC3bZek=")</f>
        <v>#REF!</v>
      </c>
      <c r="IA2" t="e">
        <f>AND('Golden 20'!#REF!,"AAAAAC3bZeo=")</f>
        <v>#REF!</v>
      </c>
      <c r="IB2" t="b">
        <f>AND('Golden 20'!E20,"AAAAAC3bZes=")</f>
        <v>1</v>
      </c>
      <c r="IC2" t="e">
        <f>AND('Golden 20'!F20,"AAAAAC3bZew=")</f>
        <v>#VALUE!</v>
      </c>
      <c r="ID2" t="e">
        <f>AND('Golden 20'!O19,"AAAAAC3bZe0=")</f>
        <v>#VALUE!</v>
      </c>
      <c r="IE2" t="e">
        <f>AND('Golden 20'!P19,"AAAAAC3bZe4=")</f>
        <v>#VALUE!</v>
      </c>
      <c r="IF2" t="b">
        <f>AND('Golden 20'!M21,"AAAAAC3bZe8=")</f>
        <v>1</v>
      </c>
      <c r="IG2" t="e">
        <f>AND('Golden 20'!N21,"AAAAAC3bZfA=")</f>
        <v>#VALUE!</v>
      </c>
      <c r="IH2" t="e">
        <f>AND('Golden 20'!#REF!,"AAAAAC3bZfE=")</f>
        <v>#REF!</v>
      </c>
      <c r="II2" t="e">
        <f>AND('Golden 20'!#REF!,"AAAAAC3bZfI=")</f>
        <v>#REF!</v>
      </c>
      <c r="IJ2" t="e">
        <f>AND('Golden 20'!#REF!,"AAAAAC3bZfM=")</f>
        <v>#REF!</v>
      </c>
      <c r="IK2" t="e">
        <f>AND('Golden 20'!#REF!,"AAAAAC3bZfQ=")</f>
        <v>#REF!</v>
      </c>
      <c r="IL2" t="e">
        <f>AND('Golden 20'!#REF!,"AAAAAC3bZfU=")</f>
        <v>#REF!</v>
      </c>
      <c r="IM2" t="e">
        <f>AND('Golden 20'!#REF!,"AAAAAC3bZfY=")</f>
        <v>#REF!</v>
      </c>
      <c r="IN2" t="b">
        <f>AND('Golden 20'!Q20,"AAAAAC3bZfc=")</f>
        <v>1</v>
      </c>
      <c r="IO2" t="e">
        <f>AND('Golden 20'!R20,"AAAAAC3bZfg=")</f>
        <v>#VALUE!</v>
      </c>
      <c r="IP2" t="b">
        <f>AND('Golden 20'!K19,"AAAAAC3bZfk=")</f>
        <v>1</v>
      </c>
      <c r="IQ2" t="e">
        <f>AND('Golden 20'!L19,"AAAAAC3bZfo=")</f>
        <v>#VALUE!</v>
      </c>
      <c r="IR2" t="e">
        <f>AND('Golden 20'!#REF!,"AAAAAC3bZfs=")</f>
        <v>#REF!</v>
      </c>
      <c r="IS2" t="e">
        <f>AND('Golden 20'!#REF!,"AAAAAC3bZfw=")</f>
        <v>#REF!</v>
      </c>
      <c r="IT2" t="e">
        <f>AND('Golden 20'!#REF!,"AAAAAC3bZf0=")</f>
        <v>#REF!</v>
      </c>
      <c r="IU2" t="e">
        <f>AND('Golden 20'!#REF!,"AAAAAC3bZf4=")</f>
        <v>#REF!</v>
      </c>
      <c r="IV2" t="e">
        <f>AND('Golden 20'!#REF!,"AAAAAC3bZf8=")</f>
        <v>#REF!</v>
      </c>
    </row>
    <row r="3" spans="1:256">
      <c r="A3" t="e">
        <f>AND('Golden 20'!#REF!,"AAAAAF/fxwA=")</f>
        <v>#REF!</v>
      </c>
      <c r="B3" t="e">
        <f>IF('Golden 20'!20:20,"AAAAAF/fxwE=",0)</f>
        <v>#VALUE!</v>
      </c>
      <c r="C3" t="b">
        <f>AND('Golden 20'!A21,"AAAAAF/fxwI=")</f>
        <v>1</v>
      </c>
      <c r="D3" t="e">
        <f>AND('Golden 20'!B21,"AAAAAF/fxwM=")</f>
        <v>#VALUE!</v>
      </c>
      <c r="E3" t="e">
        <f>AND('Golden 20'!#REF!,"AAAAAF/fxwQ=")</f>
        <v>#REF!</v>
      </c>
      <c r="F3" t="e">
        <f>AND('Golden 20'!#REF!,"AAAAAF/fxwU=")</f>
        <v>#REF!</v>
      </c>
      <c r="G3" t="e">
        <f>AND('Golden 20'!#REF!,"AAAAAF/fxwY=")</f>
        <v>#REF!</v>
      </c>
      <c r="H3" t="e">
        <f>AND('Golden 20'!#REF!,"AAAAAF/fxwc=")</f>
        <v>#REF!</v>
      </c>
      <c r="I3" t="e">
        <f>AND('Golden 20'!O20,"AAAAAF/fxwg=")</f>
        <v>#VALUE!</v>
      </c>
      <c r="J3" t="e">
        <f>AND('Golden 20'!P20,"AAAAAF/fxwk=")</f>
        <v>#VALUE!</v>
      </c>
      <c r="K3" t="b">
        <f>AND('Golden 20'!M22,"AAAAAF/fxwo=")</f>
        <v>1</v>
      </c>
      <c r="L3" t="e">
        <f>AND('Golden 20'!N22,"AAAAAF/fxws=")</f>
        <v>#VALUE!</v>
      </c>
      <c r="M3" t="e">
        <f>AND('Golden 20'!#REF!,"AAAAAF/fxww=")</f>
        <v>#REF!</v>
      </c>
      <c r="N3" t="e">
        <f>AND('Golden 20'!#REF!,"AAAAAF/fxw0=")</f>
        <v>#REF!</v>
      </c>
      <c r="O3" t="e">
        <f>AND('Golden 20'!#REF!,"AAAAAF/fxw4=")</f>
        <v>#REF!</v>
      </c>
      <c r="P3" t="e">
        <f>AND('Golden 20'!#REF!,"AAAAAF/fxw8=")</f>
        <v>#REF!</v>
      </c>
      <c r="Q3" t="e">
        <f>AND('Golden 20'!#REF!,"AAAAAF/fxxA=")</f>
        <v>#REF!</v>
      </c>
      <c r="R3" t="e">
        <f>AND('Golden 20'!#REF!,"AAAAAF/fxxE=")</f>
        <v>#REF!</v>
      </c>
      <c r="S3" t="b">
        <f>AND('Golden 20'!Q21,"AAAAAF/fxxI=")</f>
        <v>1</v>
      </c>
      <c r="T3" t="e">
        <f>AND('Golden 20'!R21,"AAAAAF/fxxM=")</f>
        <v>#VALUE!</v>
      </c>
      <c r="U3" t="b">
        <f>AND('Golden 20'!K20,"AAAAAF/fxxQ=")</f>
        <v>1</v>
      </c>
      <c r="V3" t="e">
        <f>AND('Golden 20'!L20,"AAAAAF/fxxU=")</f>
        <v>#VALUE!</v>
      </c>
      <c r="W3" t="e">
        <f>AND('Golden 20'!#REF!,"AAAAAF/fxxY=")</f>
        <v>#REF!</v>
      </c>
      <c r="X3" t="e">
        <f>AND('Golden 20'!#REF!,"AAAAAF/fxxc=")</f>
        <v>#REF!</v>
      </c>
      <c r="Y3" t="e">
        <f>AND('Golden 20'!#REF!,"AAAAAF/fxxg=")</f>
        <v>#REF!</v>
      </c>
      <c r="Z3" t="e">
        <f>AND('Golden 20'!#REF!,"AAAAAF/fxxk=")</f>
        <v>#REF!</v>
      </c>
      <c r="AA3" t="e">
        <f>AND('Golden 20'!#REF!,"AAAAAF/fxxo=")</f>
        <v>#REF!</v>
      </c>
      <c r="AB3" t="e">
        <f>AND('Golden 20'!#REF!,"AAAAAF/fxxs=")</f>
        <v>#REF!</v>
      </c>
      <c r="AC3" t="str">
        <f>IF('Golden 20'!21:21,"AAAAAF/fxxw=",0)</f>
        <v>AAAAAF/fxxw=</v>
      </c>
      <c r="AD3" t="b">
        <f>AND('Golden 20'!A22,"AAAAAF/fxx0=")</f>
        <v>1</v>
      </c>
      <c r="AE3" t="e">
        <f>AND('Golden 20'!B22,"AAAAAF/fxx4=")</f>
        <v>#VALUE!</v>
      </c>
      <c r="AF3" t="e">
        <f>AND('Golden 20'!#REF!,"AAAAAF/fxx8=")</f>
        <v>#REF!</v>
      </c>
      <c r="AG3" t="e">
        <f>AND('Golden 20'!#REF!,"AAAAAF/fxyA=")</f>
        <v>#REF!</v>
      </c>
      <c r="AH3" t="b">
        <f>AND('Golden 20'!E19,"AAAAAF/fxyE=")</f>
        <v>1</v>
      </c>
      <c r="AI3" t="e">
        <f>AND('Golden 20'!F19,"AAAAAF/fxyI=")</f>
        <v>#VALUE!</v>
      </c>
      <c r="AJ3" t="e">
        <f>AND('Golden 20'!O21,"AAAAAF/fxyM=")</f>
        <v>#VALUE!</v>
      </c>
      <c r="AK3" t="e">
        <f>AND('Golden 20'!P21,"AAAAAF/fxyQ=")</f>
        <v>#VALUE!</v>
      </c>
      <c r="AL3" t="b">
        <f>AND('Golden 20'!M23,"AAAAAF/fxyU=")</f>
        <v>1</v>
      </c>
      <c r="AM3" t="e">
        <f>AND('Golden 20'!N23,"AAAAAF/fxyY=")</f>
        <v>#VALUE!</v>
      </c>
      <c r="AN3" t="e">
        <f>AND('Golden 20'!#REF!,"AAAAAF/fxyc=")</f>
        <v>#REF!</v>
      </c>
      <c r="AO3" t="e">
        <f>AND('Golden 20'!#REF!,"AAAAAF/fxyg=")</f>
        <v>#REF!</v>
      </c>
      <c r="AP3" t="e">
        <f>AND('Golden 20'!#REF!,"AAAAAF/fxyk=")</f>
        <v>#REF!</v>
      </c>
      <c r="AQ3" t="e">
        <f>AND('Golden 20'!#REF!,"AAAAAF/fxyo=")</f>
        <v>#REF!</v>
      </c>
      <c r="AR3" t="e">
        <f>AND('Golden 20'!#REF!,"AAAAAF/fxys=")</f>
        <v>#REF!</v>
      </c>
      <c r="AS3" t="e">
        <f>AND('Golden 20'!#REF!,"AAAAAF/fxyw=")</f>
        <v>#REF!</v>
      </c>
      <c r="AT3" t="e">
        <f>AND('Golden 20'!#REF!,"AAAAAF/fxy0=")</f>
        <v>#REF!</v>
      </c>
      <c r="AU3" t="e">
        <f>AND('Golden 20'!#REF!,"AAAAAF/fxy4=")</f>
        <v>#REF!</v>
      </c>
      <c r="AV3" t="b">
        <f>AND('Golden 20'!K6,"AAAAAF/fxy8=")</f>
        <v>1</v>
      </c>
      <c r="AW3" t="e">
        <f>AND('Golden 20'!#REF!,"AAAAAF/fxzA=")</f>
        <v>#REF!</v>
      </c>
      <c r="AX3" t="e">
        <f>AND('Golden 20'!#REF!,"AAAAAF/fxzE=")</f>
        <v>#REF!</v>
      </c>
      <c r="AY3" t="e">
        <f>AND('Golden 20'!#REF!,"AAAAAF/fxzI=")</f>
        <v>#REF!</v>
      </c>
      <c r="AZ3" t="e">
        <f>AND('Golden 20'!S21,"AAAAAF/fxzM=")</f>
        <v>#VALUE!</v>
      </c>
      <c r="BA3" t="e">
        <f>AND('Golden 20'!T21,"AAAAAF/fxzQ=")</f>
        <v>#VALUE!</v>
      </c>
      <c r="BB3" t="e">
        <f>AND('Golden 20'!#REF!,"AAAAAF/fxzU=")</f>
        <v>#REF!</v>
      </c>
      <c r="BC3" t="e">
        <f>AND('Golden 20'!#REF!,"AAAAAF/fxzY=")</f>
        <v>#REF!</v>
      </c>
      <c r="BD3">
        <f>IF('Golden 20'!22:22,"AAAAAF/fxzc=",0)</f>
        <v>0</v>
      </c>
      <c r="BE3" t="b">
        <f>AND('Golden 20'!A23,"AAAAAF/fxzg=")</f>
        <v>1</v>
      </c>
      <c r="BF3" t="e">
        <f>AND('Golden 20'!B23,"AAAAAF/fxzk=")</f>
        <v>#VALUE!</v>
      </c>
      <c r="BG3" t="e">
        <f>AND('Golden 20'!#REF!,"AAAAAF/fxzo=")</f>
        <v>#REF!</v>
      </c>
      <c r="BH3" t="e">
        <f>AND('Golden 20'!#REF!,"AAAAAF/fxzs=")</f>
        <v>#REF!</v>
      </c>
      <c r="BI3" t="b">
        <f>AND('Golden 20'!E24,"AAAAAF/fxzw=")</f>
        <v>1</v>
      </c>
      <c r="BJ3" t="e">
        <f>AND('Golden 20'!F24,"AAAAAF/fxz0=")</f>
        <v>#VALUE!</v>
      </c>
      <c r="BK3" t="e">
        <f>AND('Golden 20'!O22,"AAAAAF/fxz4=")</f>
        <v>#VALUE!</v>
      </c>
      <c r="BL3" t="e">
        <f>AND('Golden 20'!P22,"AAAAAF/fxz8=")</f>
        <v>#VALUE!</v>
      </c>
      <c r="BM3" t="b">
        <f>AND('Golden 20'!M24,"AAAAAF/fx0A=")</f>
        <v>1</v>
      </c>
      <c r="BN3" t="e">
        <f>AND('Golden 20'!N24,"AAAAAF/fx0E=")</f>
        <v>#VALUE!</v>
      </c>
      <c r="BO3" t="e">
        <f>AND('Golden 20'!#REF!,"AAAAAF/fx0I=")</f>
        <v>#REF!</v>
      </c>
      <c r="BP3" t="e">
        <f>AND('Golden 20'!#REF!,"AAAAAF/fx0M=")</f>
        <v>#REF!</v>
      </c>
      <c r="BQ3" t="e">
        <f>AND('Golden 20'!#REF!,"AAAAAF/fx0Q=")</f>
        <v>#REF!</v>
      </c>
      <c r="BR3" t="e">
        <f>AND('Golden 20'!#REF!,"AAAAAF/fx0U=")</f>
        <v>#REF!</v>
      </c>
      <c r="BS3" t="e">
        <f>AND('Golden 20'!#REF!,"AAAAAF/fx0Y=")</f>
        <v>#REF!</v>
      </c>
      <c r="BT3" t="e">
        <f>AND('Golden 20'!#REF!,"AAAAAF/fx0c=")</f>
        <v>#REF!</v>
      </c>
      <c r="BU3" t="e">
        <f>AND('Golden 20'!#REF!,"AAAAAF/fx0g=")</f>
        <v>#REF!</v>
      </c>
      <c r="BV3" t="e">
        <f>AND('Golden 20'!#REF!,"AAAAAF/fx0k=")</f>
        <v>#REF!</v>
      </c>
      <c r="BW3" t="b">
        <f>AND('Golden 20'!K21,"AAAAAF/fx0o=")</f>
        <v>1</v>
      </c>
      <c r="BX3" t="e">
        <f>AND('Golden 20'!L21,"AAAAAF/fx0s=")</f>
        <v>#VALUE!</v>
      </c>
      <c r="BY3" t="e">
        <f>AND('Golden 20'!#REF!,"AAAAAF/fx0w=")</f>
        <v>#REF!</v>
      </c>
      <c r="BZ3" t="e">
        <f>AND('Golden 20'!#REF!,"AAAAAF/fx00=")</f>
        <v>#REF!</v>
      </c>
      <c r="CA3" t="e">
        <f>AND('Golden 20'!S22,"AAAAAF/fx04=")</f>
        <v>#VALUE!</v>
      </c>
      <c r="CB3" t="e">
        <f>AND('Golden 20'!T22,"AAAAAF/fx08=")</f>
        <v>#VALUE!</v>
      </c>
      <c r="CC3" t="e">
        <f>AND('Golden 20'!#REF!,"AAAAAF/fx1A=")</f>
        <v>#REF!</v>
      </c>
      <c r="CD3" t="e">
        <f>AND('Golden 20'!#REF!,"AAAAAF/fx1E=")</f>
        <v>#REF!</v>
      </c>
      <c r="CE3">
        <f>IF('Golden 20'!23:23,"AAAAAF/fx1I=",0)</f>
        <v>0</v>
      </c>
      <c r="CF3" t="e">
        <f>AND('Golden 20'!#REF!,"AAAAAF/fx1M=")</f>
        <v>#REF!</v>
      </c>
      <c r="CG3" t="e">
        <f>AND('Golden 20'!#REF!,"AAAAAF/fx1Q=")</f>
        <v>#REF!</v>
      </c>
      <c r="CH3" t="e">
        <f>AND('Golden 20'!#REF!,"AAAAAF/fx1U=")</f>
        <v>#REF!</v>
      </c>
      <c r="CI3" t="e">
        <f>AND('Golden 20'!#REF!,"AAAAAF/fx1Y=")</f>
        <v>#REF!</v>
      </c>
      <c r="CJ3" t="b">
        <f>AND('Golden 20'!E25,"AAAAAF/fx1c=")</f>
        <v>1</v>
      </c>
      <c r="CK3" t="e">
        <f>AND('Golden 20'!F25,"AAAAAF/fx1g=")</f>
        <v>#VALUE!</v>
      </c>
      <c r="CL3" t="e">
        <f>AND('Golden 20'!O23,"AAAAAF/fx1k=")</f>
        <v>#VALUE!</v>
      </c>
      <c r="CM3" t="e">
        <f>AND('Golden 20'!P23,"AAAAAF/fx1o=")</f>
        <v>#VALUE!</v>
      </c>
      <c r="CN3" t="b">
        <f>AND('Golden 20'!M15,"AAAAAF/fx1s=")</f>
        <v>1</v>
      </c>
      <c r="CO3" t="e">
        <f>AND('Golden 20'!N15,"AAAAAF/fx1w=")</f>
        <v>#VALUE!</v>
      </c>
      <c r="CP3" t="e">
        <f>AND('Golden 20'!#REF!,"AAAAAF/fx10=")</f>
        <v>#REF!</v>
      </c>
      <c r="CQ3" t="e">
        <f>AND('Golden 20'!#REF!,"AAAAAF/fx14=")</f>
        <v>#REF!</v>
      </c>
      <c r="CR3" t="e">
        <f>AND('Golden 20'!#REF!,"AAAAAF/fx18=")</f>
        <v>#REF!</v>
      </c>
      <c r="CS3" t="e">
        <f>AND('Golden 20'!#REF!,"AAAAAF/fx2A=")</f>
        <v>#REF!</v>
      </c>
      <c r="CT3" t="e">
        <f>AND('Golden 20'!#REF!,"AAAAAF/fx2E=")</f>
        <v>#REF!</v>
      </c>
      <c r="CU3" t="e">
        <f>AND('Golden 20'!#REF!,"AAAAAF/fx2I=")</f>
        <v>#REF!</v>
      </c>
      <c r="CV3" t="e">
        <f>AND('Golden 20'!#REF!,"AAAAAF/fx2M=")</f>
        <v>#REF!</v>
      </c>
      <c r="CW3" t="e">
        <f>AND('Golden 20'!#REF!,"AAAAAF/fx2Q=")</f>
        <v>#REF!</v>
      </c>
      <c r="CX3" t="e">
        <f>AND('Golden 20'!#REF!,"AAAAAF/fx2U=")</f>
        <v>#REF!</v>
      </c>
      <c r="CY3" t="e">
        <f>AND('Golden 20'!#REF!,"AAAAAF/fx2Y=")</f>
        <v>#REF!</v>
      </c>
      <c r="CZ3" t="e">
        <f>AND('Golden 20'!#REF!,"AAAAAF/fx2c=")</f>
        <v>#REF!</v>
      </c>
      <c r="DA3" t="e">
        <f>AND('Golden 20'!#REF!,"AAAAAF/fx2g=")</f>
        <v>#REF!</v>
      </c>
      <c r="DB3" t="e">
        <f>AND('Golden 20'!S23,"AAAAAF/fx2k=")</f>
        <v>#VALUE!</v>
      </c>
      <c r="DC3" t="e">
        <f>AND('Golden 20'!T23,"AAAAAF/fx2o=")</f>
        <v>#VALUE!</v>
      </c>
      <c r="DD3" t="e">
        <f>AND('Golden 20'!#REF!,"AAAAAF/fx2s=")</f>
        <v>#REF!</v>
      </c>
      <c r="DE3" t="e">
        <f>AND('Golden 20'!#REF!,"AAAAAF/fx2w=")</f>
        <v>#REF!</v>
      </c>
      <c r="DF3">
        <f>IF('Golden 20'!24:24,"AAAAAF/fx20=",0)</f>
        <v>0</v>
      </c>
      <c r="DG3" t="e">
        <f>AND('Golden 20'!#REF!,"AAAAAF/fx24=")</f>
        <v>#REF!</v>
      </c>
      <c r="DH3" t="e">
        <f>AND('Golden 20'!#REF!,"AAAAAF/fx28=")</f>
        <v>#REF!</v>
      </c>
      <c r="DI3" t="e">
        <f>AND('Golden 20'!#REF!,"AAAAAF/fx3A=")</f>
        <v>#REF!</v>
      </c>
      <c r="DJ3" t="e">
        <f>AND('Golden 20'!#REF!,"AAAAAF/fx3E=")</f>
        <v>#REF!</v>
      </c>
      <c r="DK3" t="b">
        <f>AND('Golden 20'!E26,"AAAAAF/fx3I=")</f>
        <v>1</v>
      </c>
      <c r="DL3" t="e">
        <f>AND('Golden 20'!F26,"AAAAAF/fx3M=")</f>
        <v>#VALUE!</v>
      </c>
      <c r="DM3" t="e">
        <f>AND('Golden 20'!O24,"AAAAAF/fx3Q=")</f>
        <v>#VALUE!</v>
      </c>
      <c r="DN3" t="e">
        <f>AND('Golden 20'!P24,"AAAAAF/fx3U=")</f>
        <v>#VALUE!</v>
      </c>
      <c r="DO3" t="b">
        <f>AND('Golden 20'!M14,"AAAAAF/fx3Y=")</f>
        <v>1</v>
      </c>
      <c r="DP3" t="e">
        <f>AND('Golden 20'!N14,"AAAAAF/fx3c=")</f>
        <v>#VALUE!</v>
      </c>
      <c r="DQ3" t="e">
        <f>AND('Golden 20'!#REF!,"AAAAAF/fx3g=")</f>
        <v>#REF!</v>
      </c>
      <c r="DR3" t="e">
        <f>AND('Golden 20'!#REF!,"AAAAAF/fx3k=")</f>
        <v>#REF!</v>
      </c>
      <c r="DS3" t="e">
        <f>AND('Golden 20'!#REF!,"AAAAAF/fx3o=")</f>
        <v>#REF!</v>
      </c>
      <c r="DT3" t="e">
        <f>AND('Golden 20'!#REF!,"AAAAAF/fx3s=")</f>
        <v>#REF!</v>
      </c>
      <c r="DU3" t="e">
        <f>AND('Golden 20'!#REF!,"AAAAAF/fx3w=")</f>
        <v>#REF!</v>
      </c>
      <c r="DV3" t="e">
        <f>AND('Golden 20'!#REF!,"AAAAAF/fx30=")</f>
        <v>#REF!</v>
      </c>
      <c r="DW3" t="e">
        <f>AND('Golden 20'!Q24,"AAAAAF/fx34=")</f>
        <v>#VALUE!</v>
      </c>
      <c r="DX3" t="e">
        <f>AND('Golden 20'!R24,"AAAAAF/fx38=")</f>
        <v>#VALUE!</v>
      </c>
      <c r="DY3" t="b">
        <f>AND('Golden 20'!K23,"AAAAAF/fx4A=")</f>
        <v>1</v>
      </c>
      <c r="DZ3" t="e">
        <f>AND('Golden 20'!L23,"AAAAAF/fx4E=")</f>
        <v>#VALUE!</v>
      </c>
      <c r="EA3" t="e">
        <f>AND('Golden 20'!#REF!,"AAAAAF/fx4I=")</f>
        <v>#REF!</v>
      </c>
      <c r="EB3" t="e">
        <f>AND('Golden 20'!#REF!,"AAAAAF/fx4M=")</f>
        <v>#REF!</v>
      </c>
      <c r="EC3" t="e">
        <f>AND('Golden 20'!S24,"AAAAAF/fx4Q=")</f>
        <v>#VALUE!</v>
      </c>
      <c r="ED3" t="e">
        <f>AND('Golden 20'!T24,"AAAAAF/fx4U=")</f>
        <v>#VALUE!</v>
      </c>
      <c r="EE3" t="e">
        <f>AND('Golden 20'!#REF!,"AAAAAF/fx4Y=")</f>
        <v>#REF!</v>
      </c>
      <c r="EF3" t="e">
        <f>AND('Golden 20'!#REF!,"AAAAAF/fx4c=")</f>
        <v>#REF!</v>
      </c>
      <c r="EG3">
        <f>IF('Golden 20'!25:25,"AAAAAF/fx4g=",0)</f>
        <v>0</v>
      </c>
      <c r="EH3" t="e">
        <f>AND('Golden 20'!#REF!,"AAAAAF/fx4k=")</f>
        <v>#REF!</v>
      </c>
      <c r="EI3" t="e">
        <f>AND('Golden 20'!#REF!,"AAAAAF/fx4o=")</f>
        <v>#REF!</v>
      </c>
      <c r="EJ3" t="e">
        <f>AND('Golden 20'!#REF!,"AAAAAF/fx4s=")</f>
        <v>#REF!</v>
      </c>
      <c r="EK3" t="e">
        <f>AND('Golden 20'!#REF!,"AAAAAF/fx4w=")</f>
        <v>#REF!</v>
      </c>
      <c r="EL3" t="b">
        <f>AND('Golden 20'!E27,"AAAAAF/fx40=")</f>
        <v>1</v>
      </c>
      <c r="EM3" t="e">
        <f>AND('Golden 20'!F27,"AAAAAF/fx44=")</f>
        <v>#VALUE!</v>
      </c>
      <c r="EN3" t="e">
        <f>AND('Golden 20'!O25,"AAAAAF/fx48=")</f>
        <v>#VALUE!</v>
      </c>
      <c r="EO3" t="e">
        <f>AND('Golden 20'!P25,"AAAAAF/fx5A=")</f>
        <v>#VALUE!</v>
      </c>
      <c r="EP3" t="b">
        <f>AND('Golden 20'!M25,"AAAAAF/fx5E=")</f>
        <v>1</v>
      </c>
      <c r="EQ3" t="e">
        <f>AND('Golden 20'!N25,"AAAAAF/fx5I=")</f>
        <v>#VALUE!</v>
      </c>
      <c r="ER3" t="e">
        <f>AND('Golden 20'!#REF!,"AAAAAF/fx5M=")</f>
        <v>#REF!</v>
      </c>
      <c r="ES3" t="e">
        <f>AND('Golden 20'!#REF!,"AAAAAF/fx5Q=")</f>
        <v>#REF!</v>
      </c>
      <c r="ET3" t="e">
        <f>AND('Golden 20'!#REF!,"AAAAAF/fx5U=")</f>
        <v>#REF!</v>
      </c>
      <c r="EU3" t="e">
        <f>AND('Golden 20'!#REF!,"AAAAAF/fx5Y=")</f>
        <v>#REF!</v>
      </c>
      <c r="EV3" t="e">
        <f>AND('Golden 20'!#REF!,"AAAAAF/fx5c=")</f>
        <v>#REF!</v>
      </c>
      <c r="EW3" t="e">
        <f>AND('Golden 20'!#REF!,"AAAAAF/fx5g=")</f>
        <v>#REF!</v>
      </c>
      <c r="EX3" t="e">
        <f>AND('Golden 20'!Q25,"AAAAAF/fx5k=")</f>
        <v>#VALUE!</v>
      </c>
      <c r="EY3" t="e">
        <f>AND('Golden 20'!R25,"AAAAAF/fx5o=")</f>
        <v>#VALUE!</v>
      </c>
      <c r="EZ3" t="e">
        <f>AND('Golden 20'!#REF!,"AAAAAF/fx5s=")</f>
        <v>#REF!</v>
      </c>
      <c r="FA3" t="e">
        <f>AND('Golden 20'!#REF!,"AAAAAF/fx5w=")</f>
        <v>#REF!</v>
      </c>
      <c r="FB3" t="e">
        <f>AND('Golden 20'!#REF!,"AAAAAF/fx50=")</f>
        <v>#REF!</v>
      </c>
      <c r="FC3" t="e">
        <f>AND('Golden 20'!#REF!,"AAAAAF/fx54=")</f>
        <v>#REF!</v>
      </c>
      <c r="FD3" t="e">
        <f>AND('Golden 20'!S25,"AAAAAF/fx58=")</f>
        <v>#VALUE!</v>
      </c>
      <c r="FE3" t="e">
        <f>AND('Golden 20'!T25,"AAAAAF/fx6A=")</f>
        <v>#VALUE!</v>
      </c>
      <c r="FF3" t="e">
        <f>AND('Golden 20'!#REF!,"AAAAAF/fx6E=")</f>
        <v>#REF!</v>
      </c>
      <c r="FG3" t="e">
        <f>AND('Golden 20'!#REF!,"AAAAAF/fx6I=")</f>
        <v>#REF!</v>
      </c>
      <c r="FH3">
        <f>IF('Golden 20'!26:26,"AAAAAF/fx6M=",0)</f>
        <v>0</v>
      </c>
      <c r="FI3" t="b">
        <f>AND('Golden 20'!A24,"AAAAAF/fx6Q=")</f>
        <v>1</v>
      </c>
      <c r="FJ3" t="e">
        <f>AND('Golden 20'!B24,"AAAAAF/fx6U=")</f>
        <v>#VALUE!</v>
      </c>
      <c r="FK3" t="e">
        <f>AND('Golden 20'!#REF!,"AAAAAF/fx6Y=")</f>
        <v>#REF!</v>
      </c>
      <c r="FL3" t="e">
        <f>AND('Golden 20'!#REF!,"AAAAAF/fx6c=")</f>
        <v>#REF!</v>
      </c>
      <c r="FM3" t="b">
        <f>AND('Golden 20'!E23,"AAAAAF/fx6g=")</f>
        <v>1</v>
      </c>
      <c r="FN3" t="e">
        <f>AND('Golden 20'!F23,"AAAAAF/fx6k=")</f>
        <v>#VALUE!</v>
      </c>
      <c r="FO3" t="e">
        <f>AND('Golden 20'!O26,"AAAAAF/fx6o=")</f>
        <v>#VALUE!</v>
      </c>
      <c r="FP3" t="e">
        <f>AND('Golden 20'!#REF!,"AAAAAF/fx6s=")</f>
        <v>#REF!</v>
      </c>
      <c r="FQ3" t="b">
        <f>AND('Golden 20'!M27,"AAAAAF/fx6w=")</f>
        <v>1</v>
      </c>
      <c r="FR3" t="e">
        <f>AND('Golden 20'!N27,"AAAAAF/fx60=")</f>
        <v>#VALUE!</v>
      </c>
      <c r="FS3" t="e">
        <f>AND('Golden 20'!#REF!,"AAAAAF/fx64=")</f>
        <v>#REF!</v>
      </c>
      <c r="FT3" t="e">
        <f>AND('Golden 20'!#REF!,"AAAAAF/fx68=")</f>
        <v>#REF!</v>
      </c>
      <c r="FU3" t="e">
        <f>AND('Golden 20'!#REF!,"AAAAAF/fx7A=")</f>
        <v>#REF!</v>
      </c>
      <c r="FV3" t="e">
        <f>AND('Golden 20'!#REF!,"AAAAAF/fx7E=")</f>
        <v>#REF!</v>
      </c>
      <c r="FW3" t="e">
        <f>AND('Golden 20'!#REF!,"AAAAAF/fx7I=")</f>
        <v>#REF!</v>
      </c>
      <c r="FX3" t="e">
        <f>AND('Golden 20'!#REF!,"AAAAAF/fx7M=")</f>
        <v>#REF!</v>
      </c>
      <c r="FY3" t="e">
        <f>AND('Golden 20'!Q26,"AAAAAF/fx7Q=")</f>
        <v>#VALUE!</v>
      </c>
      <c r="FZ3" t="e">
        <f>AND('Golden 20'!R26,"AAAAAF/fx7U=")</f>
        <v>#VALUE!</v>
      </c>
      <c r="GA3" t="e">
        <f>AND('Golden 20'!K26,"AAAAAF/fx7Y=")</f>
        <v>#VALUE!</v>
      </c>
      <c r="GB3" t="e">
        <f>AND('Golden 20'!L26,"AAAAAF/fx7c=")</f>
        <v>#VALUE!</v>
      </c>
      <c r="GC3" t="e">
        <f>AND('Golden 20'!#REF!,"AAAAAF/fx7g=")</f>
        <v>#REF!</v>
      </c>
      <c r="GD3" t="e">
        <f>AND('Golden 20'!#REF!,"AAAAAF/fx7k=")</f>
        <v>#REF!</v>
      </c>
      <c r="GE3" t="e">
        <f>AND('Golden 20'!S26,"AAAAAF/fx7o=")</f>
        <v>#VALUE!</v>
      </c>
      <c r="GF3" t="e">
        <f>AND('Golden 20'!T26,"AAAAAF/fx7s=")</f>
        <v>#VALUE!</v>
      </c>
      <c r="GG3" t="e">
        <f>AND('Golden 20'!#REF!,"AAAAAF/fx7w=")</f>
        <v>#REF!</v>
      </c>
      <c r="GH3" t="e">
        <f>AND('Golden 20'!#REF!,"AAAAAF/fx70=")</f>
        <v>#REF!</v>
      </c>
      <c r="GI3">
        <f>IF('Golden 20'!27:27,"AAAAAF/fx74=",0)</f>
        <v>0</v>
      </c>
      <c r="GJ3" t="b">
        <f>AND('Golden 20'!A25,"AAAAAF/fx78=")</f>
        <v>1</v>
      </c>
      <c r="GK3" t="e">
        <f>AND('Golden 20'!B25,"AAAAAF/fx8A=")</f>
        <v>#VALUE!</v>
      </c>
      <c r="GL3" t="e">
        <f>AND('Golden 20'!#REF!,"AAAAAF/fx8E=")</f>
        <v>#REF!</v>
      </c>
      <c r="GM3" t="e">
        <f>AND('Golden 20'!#REF!,"AAAAAF/fx8I=")</f>
        <v>#REF!</v>
      </c>
      <c r="GN3" t="e">
        <f>AND('Golden 20'!#REF!,"AAAAAF/fx8M=")</f>
        <v>#REF!</v>
      </c>
      <c r="GO3" t="e">
        <f>AND('Golden 20'!#REF!,"AAAAAF/fx8Q=")</f>
        <v>#REF!</v>
      </c>
      <c r="GP3" t="e">
        <f>AND('Golden 20'!O27,"AAAAAF/fx8U=")</f>
        <v>#VALUE!</v>
      </c>
      <c r="GQ3" t="e">
        <f>AND('Golden 20'!P27,"AAAAAF/fx8Y=")</f>
        <v>#VALUE!</v>
      </c>
      <c r="GR3" t="e">
        <f>AND('Golden 20'!#REF!,"AAAAAF/fx8c=")</f>
        <v>#REF!</v>
      </c>
      <c r="GS3" t="e">
        <f>AND('Golden 20'!#REF!,"AAAAAF/fx8g=")</f>
        <v>#REF!</v>
      </c>
      <c r="GT3" t="e">
        <f>AND('Golden 20'!#REF!,"AAAAAF/fx8k=")</f>
        <v>#REF!</v>
      </c>
      <c r="GU3" t="e">
        <f>AND('Golden 20'!#REF!,"AAAAAF/fx8o=")</f>
        <v>#REF!</v>
      </c>
      <c r="GV3" t="e">
        <f>AND('Golden 20'!#REF!,"AAAAAF/fx8s=")</f>
        <v>#REF!</v>
      </c>
      <c r="GW3" t="e">
        <f>AND('Golden 20'!#REF!,"AAAAAF/fx8w=")</f>
        <v>#REF!</v>
      </c>
      <c r="GX3" t="e">
        <f>AND('Golden 20'!#REF!,"AAAAAF/fx80=")</f>
        <v>#REF!</v>
      </c>
      <c r="GY3" t="e">
        <f>AND('Golden 20'!#REF!,"AAAAAF/fx84=")</f>
        <v>#REF!</v>
      </c>
      <c r="GZ3" t="e">
        <f>AND('Golden 20'!Q27,"AAAAAF/fx88=")</f>
        <v>#VALUE!</v>
      </c>
      <c r="HA3" t="e">
        <f>AND('Golden 20'!R27,"AAAAAF/fx9A=")</f>
        <v>#VALUE!</v>
      </c>
      <c r="HB3" t="e">
        <f>AND('Golden 20'!K27,"AAAAAF/fx9E=")</f>
        <v>#VALUE!</v>
      </c>
      <c r="HC3" t="e">
        <f>AND('Golden 20'!L27,"AAAAAF/fx9I=")</f>
        <v>#VALUE!</v>
      </c>
      <c r="HD3" t="e">
        <f>AND('Golden 20'!#REF!,"AAAAAF/fx9M=")</f>
        <v>#REF!</v>
      </c>
      <c r="HE3" t="e">
        <f>AND('Golden 20'!#REF!,"AAAAAF/fx9Q=")</f>
        <v>#REF!</v>
      </c>
      <c r="HF3" t="e">
        <f>AND('Golden 20'!S27,"AAAAAF/fx9U=")</f>
        <v>#VALUE!</v>
      </c>
      <c r="HG3" t="e">
        <f>AND('Golden 20'!T27,"AAAAAF/fx9Y=")</f>
        <v>#VALUE!</v>
      </c>
      <c r="HH3" t="e">
        <f>AND('Golden 20'!#REF!,"AAAAAF/fx9c=")</f>
        <v>#REF!</v>
      </c>
      <c r="HI3" t="e">
        <f>AND('Golden 20'!#REF!,"AAAAAF/fx9g=")</f>
        <v>#REF!</v>
      </c>
      <c r="HJ3">
        <f>IF('Golden 20'!28:28,"AAAAAF/fx9k=",0)</f>
        <v>0</v>
      </c>
      <c r="HK3" t="b">
        <f>AND('Golden 20'!A26,"AAAAAF/fx9o=")</f>
        <v>1</v>
      </c>
      <c r="HL3" t="e">
        <f>AND('Golden 20'!B26,"AAAAAF/fx9s=")</f>
        <v>#VALUE!</v>
      </c>
      <c r="HM3" t="e">
        <f>AND('Golden 20'!#REF!,"AAAAAF/fx9w=")</f>
        <v>#REF!</v>
      </c>
      <c r="HN3" t="e">
        <f>AND('Golden 20'!#REF!,"AAAAAF/fx90=")</f>
        <v>#REF!</v>
      </c>
      <c r="HO3" t="b">
        <f>AND('Golden 20'!E21,"AAAAAF/fx94=")</f>
        <v>1</v>
      </c>
      <c r="HP3" t="e">
        <f>AND('Golden 20'!F21,"AAAAAF/fx98=")</f>
        <v>#VALUE!</v>
      </c>
      <c r="HQ3" t="e">
        <f>AND('Golden 20'!O28,"AAAAAF/fx+A=")</f>
        <v>#VALUE!</v>
      </c>
      <c r="HR3" t="e">
        <f>AND('Golden 20'!P28,"AAAAAF/fx+E=")</f>
        <v>#VALUE!</v>
      </c>
      <c r="HS3" t="e">
        <f>AND('Golden 20'!#REF!,"AAAAAF/fx+I=")</f>
        <v>#REF!</v>
      </c>
      <c r="HT3" t="e">
        <f>AND('Golden 20'!#REF!,"AAAAAF/fx+M=")</f>
        <v>#REF!</v>
      </c>
      <c r="HU3" t="e">
        <f>AND('Golden 20'!#REF!,"AAAAAF/fx+Q=")</f>
        <v>#REF!</v>
      </c>
      <c r="HV3" t="e">
        <f>AND('Golden 20'!#REF!,"AAAAAF/fx+U=")</f>
        <v>#REF!</v>
      </c>
      <c r="HW3" t="e">
        <f>AND('Golden 20'!#REF!,"AAAAAF/fx+Y=")</f>
        <v>#REF!</v>
      </c>
      <c r="HX3" t="e">
        <f>AND('Golden 20'!#REF!,"AAAAAF/fx+c=")</f>
        <v>#REF!</v>
      </c>
      <c r="HY3" t="e">
        <f>AND('Golden 20'!#REF!,"AAAAAF/fx+g=")</f>
        <v>#REF!</v>
      </c>
      <c r="HZ3" t="e">
        <f>AND('Golden 20'!#REF!,"AAAAAF/fx+k=")</f>
        <v>#REF!</v>
      </c>
      <c r="IA3" t="e">
        <f>AND('Golden 20'!Q28,"AAAAAF/fx+o=")</f>
        <v>#VALUE!</v>
      </c>
      <c r="IB3" t="e">
        <f>AND('Golden 20'!R28,"AAAAAF/fx+s=")</f>
        <v>#VALUE!</v>
      </c>
      <c r="IC3" t="e">
        <f>AND('Golden 20'!#REF!,"AAAAAF/fx+w=")</f>
        <v>#REF!</v>
      </c>
      <c r="ID3" t="e">
        <f>AND('Golden 20'!#REF!,"AAAAAF/fx+0=")</f>
        <v>#REF!</v>
      </c>
      <c r="IE3" t="e">
        <f>AND('Golden 20'!#REF!,"AAAAAF/fx+4=")</f>
        <v>#REF!</v>
      </c>
      <c r="IF3" t="e">
        <f>AND('Golden 20'!#REF!,"AAAAAF/fx+8=")</f>
        <v>#REF!</v>
      </c>
      <c r="IG3" t="e">
        <f>AND('Golden 20'!S28,"AAAAAF/fx/A=")</f>
        <v>#VALUE!</v>
      </c>
      <c r="IH3" t="e">
        <f>AND('Golden 20'!T28,"AAAAAF/fx/E=")</f>
        <v>#VALUE!</v>
      </c>
      <c r="II3" t="e">
        <f>AND('Golden 20'!#REF!,"AAAAAF/fx/I=")</f>
        <v>#REF!</v>
      </c>
      <c r="IJ3" t="e">
        <f>AND('Golden 20'!#REF!,"AAAAAF/fx/M=")</f>
        <v>#REF!</v>
      </c>
      <c r="IK3">
        <f>IF('Golden 20'!29:29,"AAAAAF/fx/Q=",0)</f>
        <v>0</v>
      </c>
      <c r="IL3" t="b">
        <f>AND('Golden 20'!A10,"AAAAAF/fx/U=")</f>
        <v>1</v>
      </c>
      <c r="IM3" t="e">
        <f>AND('Golden 20'!B10,"AAAAAF/fx/Y=")</f>
        <v>#VALUE!</v>
      </c>
      <c r="IN3" t="e">
        <f>AND('Golden 20'!#REF!,"AAAAAF/fx/c=")</f>
        <v>#REF!</v>
      </c>
      <c r="IO3" t="e">
        <f>AND('Golden 20'!#REF!,"AAAAAF/fx/g=")</f>
        <v>#REF!</v>
      </c>
      <c r="IP3" t="b">
        <f>AND('Golden 20'!E22,"AAAAAF/fx/k=")</f>
        <v>1</v>
      </c>
      <c r="IQ3" t="e">
        <f>AND('Golden 20'!F22,"AAAAAF/fx/o=")</f>
        <v>#VALUE!</v>
      </c>
      <c r="IR3" t="e">
        <f>AND('Golden 20'!#REF!,"AAAAAF/fx/s=")</f>
        <v>#REF!</v>
      </c>
      <c r="IS3" t="e">
        <f>AND('Golden 20'!#REF!,"AAAAAF/fx/w=")</f>
        <v>#REF!</v>
      </c>
      <c r="IT3" t="b">
        <f>AND('Golden 20'!M29,"AAAAAF/fx/0=")</f>
        <v>1</v>
      </c>
      <c r="IU3" t="e">
        <f>AND('Golden 20'!N29,"AAAAAF/fx/4=")</f>
        <v>#VALUE!</v>
      </c>
      <c r="IV3" t="e">
        <f>AND('Golden 20'!#REF!,"AAAAAF/fx/8=")</f>
        <v>#REF!</v>
      </c>
    </row>
    <row r="4" spans="1:256">
      <c r="A4" t="e">
        <f>AND('Golden 20'!#REF!,"AAAAAHlvfwA=")</f>
        <v>#REF!</v>
      </c>
      <c r="B4" t="e">
        <f>AND('Golden 20'!#REF!,"AAAAAHlvfwE=")</f>
        <v>#REF!</v>
      </c>
      <c r="C4" t="e">
        <f>AND('Golden 20'!#REF!,"AAAAAHlvfwI=")</f>
        <v>#REF!</v>
      </c>
      <c r="D4" t="e">
        <f>AND('Golden 20'!#REF!,"AAAAAHlvfwM=")</f>
        <v>#REF!</v>
      </c>
      <c r="E4" t="e">
        <f>AND('Golden 20'!#REF!,"AAAAAHlvfwQ=")</f>
        <v>#REF!</v>
      </c>
      <c r="F4" t="e">
        <f>AND('Golden 20'!Q29,"AAAAAHlvfwU=")</f>
        <v>#VALUE!</v>
      </c>
      <c r="G4" t="e">
        <f>AND('Golden 20'!R29,"AAAAAHlvfwY=")</f>
        <v>#VALUE!</v>
      </c>
      <c r="H4" t="e">
        <f>AND('Golden 20'!K29,"AAAAAHlvfwc=")</f>
        <v>#VALUE!</v>
      </c>
      <c r="I4" t="e">
        <f>AND('Golden 20'!L29,"AAAAAHlvfwg=")</f>
        <v>#VALUE!</v>
      </c>
      <c r="J4" t="e">
        <f>AND('Golden 20'!#REF!,"AAAAAHlvfwk=")</f>
        <v>#REF!</v>
      </c>
      <c r="K4" t="e">
        <f>AND('Golden 20'!#REF!,"AAAAAHlvfwo=")</f>
        <v>#REF!</v>
      </c>
      <c r="L4" t="e">
        <f>AND('Golden 20'!S29,"AAAAAHlvfws=")</f>
        <v>#VALUE!</v>
      </c>
      <c r="M4" t="e">
        <f>AND('Golden 20'!T29,"AAAAAHlvfww=")</f>
        <v>#VALUE!</v>
      </c>
      <c r="N4" t="e">
        <f>AND('Golden 20'!#REF!,"AAAAAHlvfw0=")</f>
        <v>#REF!</v>
      </c>
      <c r="O4" t="e">
        <f>AND('Golden 20'!#REF!,"AAAAAHlvfw4=")</f>
        <v>#REF!</v>
      </c>
      <c r="P4">
        <f>IF('Golden 20'!30:30,"AAAAAHlvfw8=",0)</f>
        <v>0</v>
      </c>
      <c r="Q4" t="e">
        <f>AND('Golden 20'!#REF!,"AAAAAHlvfxA=")</f>
        <v>#REF!</v>
      </c>
      <c r="R4" t="e">
        <f>AND('Golden 20'!#REF!,"AAAAAHlvfxE=")</f>
        <v>#REF!</v>
      </c>
      <c r="S4" t="e">
        <f>AND('Golden 20'!#REF!,"AAAAAHlvfxI=")</f>
        <v>#REF!</v>
      </c>
      <c r="T4" t="e">
        <f>AND('Golden 20'!#REF!,"AAAAAHlvfxM=")</f>
        <v>#REF!</v>
      </c>
      <c r="U4" t="e">
        <f>AND('Golden 20'!#REF!,"AAAAAHlvfxQ=")</f>
        <v>#REF!</v>
      </c>
      <c r="V4" t="e">
        <f>AND('Golden 20'!#REF!,"AAAAAHlvfxU=")</f>
        <v>#REF!</v>
      </c>
      <c r="W4" t="e">
        <f>AND('Golden 20'!#REF!,"AAAAAHlvfxY=")</f>
        <v>#REF!</v>
      </c>
      <c r="X4" t="e">
        <f>AND('Golden 20'!#REF!,"AAAAAHlvfxc=")</f>
        <v>#REF!</v>
      </c>
      <c r="Y4" t="b">
        <f>AND('Golden 20'!M30,"AAAAAHlvfxg=")</f>
        <v>1</v>
      </c>
      <c r="Z4" t="e">
        <f>AND('Golden 20'!N30,"AAAAAHlvfxk=")</f>
        <v>#VALUE!</v>
      </c>
      <c r="AA4">
        <f>IF('Golden 20'!31:31,"AAAAAHlvfxo=",0)</f>
        <v>0</v>
      </c>
      <c r="AB4" t="e">
        <f>AND('Golden 20'!#REF!,"AAAAAHlvfxs=")</f>
        <v>#REF!</v>
      </c>
      <c r="AC4" t="e">
        <f>AND('Golden 20'!#REF!,"AAAAAHlvfxw=")</f>
        <v>#REF!</v>
      </c>
      <c r="AD4" t="e">
        <f>AND('Golden 20'!#REF!,"AAAAAHlvfx0=")</f>
        <v>#REF!</v>
      </c>
      <c r="AE4" t="e">
        <f>AND('Golden 20'!#REF!,"AAAAAHlvfx4=")</f>
        <v>#REF!</v>
      </c>
      <c r="AF4" t="e">
        <f>AND('Golden 20'!F1,"AAAAAHlvfx8=")</f>
        <v>#VALUE!</v>
      </c>
      <c r="AG4" t="e">
        <f>AND('Golden 20'!#REF!,"AAAAAHlvfyA=")</f>
        <v>#REF!</v>
      </c>
      <c r="AH4" t="e">
        <f>AND('Golden 20'!#REF!,"AAAAAHlvfyE=")</f>
        <v>#REF!</v>
      </c>
      <c r="AI4" t="e">
        <f>AND('Golden 20'!#REF!,"AAAAAHlvfyI=")</f>
        <v>#REF!</v>
      </c>
      <c r="AJ4" t="b">
        <f>AND('Golden 20'!M32,"AAAAAHlvfyM=")</f>
        <v>1</v>
      </c>
      <c r="AK4" t="e">
        <f>AND('Golden 20'!N32,"AAAAAHlvfyQ=")</f>
        <v>#VALUE!</v>
      </c>
      <c r="AL4">
        <f>IF('Golden 20'!32:32,"AAAAAHlvfyU=",0)</f>
        <v>0</v>
      </c>
      <c r="AM4" t="e">
        <f>AND('Golden 20'!#REF!,"AAAAAHlvfyY=")</f>
        <v>#REF!</v>
      </c>
      <c r="AN4" t="e">
        <f>AND('Golden 20'!#REF!,"AAAAAHlvfyc=")</f>
        <v>#REF!</v>
      </c>
      <c r="AO4" t="e">
        <f>AND('Golden 20'!#REF!,"AAAAAHlvfyg=")</f>
        <v>#REF!</v>
      </c>
      <c r="AP4" t="e">
        <f>AND('Golden 20'!#REF!,"AAAAAHlvfyk=")</f>
        <v>#REF!</v>
      </c>
      <c r="AQ4" t="e">
        <f>AND('Golden 20'!#REF!,"AAAAAHlvfyo=")</f>
        <v>#REF!</v>
      </c>
      <c r="AR4" t="e">
        <f>AND('Golden 20'!#REF!,"AAAAAHlvfys=")</f>
        <v>#REF!</v>
      </c>
      <c r="AS4" t="e">
        <f>AND('Golden 20'!I28,"AAAAAHlvfyw=")</f>
        <v>#VALUE!</v>
      </c>
      <c r="AT4" t="e">
        <f>AND('Golden 20'!J28,"AAAAAHlvfy0=")</f>
        <v>#VALUE!</v>
      </c>
      <c r="AU4" t="b">
        <f>AND('Golden 20'!M33,"AAAAAHlvfy4=")</f>
        <v>1</v>
      </c>
      <c r="AV4" t="e">
        <f>AND('Golden 20'!N33,"AAAAAHlvfy8=")</f>
        <v>#VALUE!</v>
      </c>
      <c r="AW4">
        <f>IF('Golden 20'!33:33,"AAAAAHlvfzA=",0)</f>
        <v>0</v>
      </c>
      <c r="AX4" t="e">
        <f>AND('Golden 20'!A33,"AAAAAHlvfzE=")</f>
        <v>#VALUE!</v>
      </c>
      <c r="AY4" t="e">
        <f>AND('Golden 20'!B33,"AAAAAHlvfzI=")</f>
        <v>#VALUE!</v>
      </c>
      <c r="AZ4" t="e">
        <f>AND('Golden 20'!E33,"AAAAAHlvfzM=")</f>
        <v>#VALUE!</v>
      </c>
      <c r="BA4" t="e">
        <f>AND('Golden 20'!F33,"AAAAAHlvfzQ=")</f>
        <v>#VALUE!</v>
      </c>
      <c r="BB4" t="e">
        <f>AND('Golden 20'!#REF!,"AAAAAHlvfzU=")</f>
        <v>#REF!</v>
      </c>
      <c r="BC4" t="e">
        <f>AND('Golden 20'!#REF!,"AAAAAHlvfzY=")</f>
        <v>#REF!</v>
      </c>
      <c r="BD4" t="e">
        <f>AND('Golden 20'!#REF!,"AAAAAHlvfzc=")</f>
        <v>#REF!</v>
      </c>
      <c r="BE4" t="e">
        <f>AND('Golden 20'!#REF!,"AAAAAHlvfzg=")</f>
        <v>#REF!</v>
      </c>
      <c r="BF4" t="e">
        <f>AND('Golden 20'!#REF!,"AAAAAHlvfzk=")</f>
        <v>#REF!</v>
      </c>
      <c r="BG4" t="e">
        <f>AND('Golden 20'!#REF!,"AAAAAHlvfzo=")</f>
        <v>#REF!</v>
      </c>
      <c r="BH4" t="str">
        <f>IF('Golden 20'!A:A,"AAAAAHlvfzs=",0)</f>
        <v>AAAAAHlvfzs=</v>
      </c>
      <c r="BI4" t="e">
        <f>IF('Golden 20'!B:B,"AAAAAHlvfzw=",0)</f>
        <v>#VALUE!</v>
      </c>
      <c r="BJ4" t="e">
        <f>IF('Golden 20'!#REF!,"AAAAAHlvfz0=",0)</f>
        <v>#REF!</v>
      </c>
      <c r="BK4" t="e">
        <f>IF('Golden 20'!#REF!,"AAAAAHlvfz4=",0)</f>
        <v>#REF!</v>
      </c>
      <c r="BL4" t="str">
        <f>IF('Golden 20'!E:E,"AAAAAHlvfz8=",0)</f>
        <v>AAAAAHlvfz8=</v>
      </c>
      <c r="BM4" t="e">
        <f>IF('Golden 20'!F:F,"AAAAAHlvf0A=",0)</f>
        <v>#VALUE!</v>
      </c>
      <c r="BN4" t="str">
        <f>IF('Golden 20'!O:O,"AAAAAHlvf0E=",0)</f>
        <v>AAAAAHlvf0E=</v>
      </c>
      <c r="BO4" t="e">
        <f>IF('Golden 20'!P:P,"AAAAAHlvf0I=",0)</f>
        <v>#VALUE!</v>
      </c>
      <c r="BP4" t="str">
        <f>IF('Golden 20'!M:M,"AAAAAHlvf0M=",0)</f>
        <v>AAAAAHlvf0M=</v>
      </c>
      <c r="BQ4" t="e">
        <f>IF('Golden 20'!N:N,"AAAAAHlvf0Q=",0)</f>
        <v>#VALUE!</v>
      </c>
      <c r="BR4" t="e">
        <f>IF('Golden 20'!#REF!,"AAAAAHlvf0U=",0)</f>
        <v>#REF!</v>
      </c>
      <c r="BS4" t="e">
        <f>IF('Golden 20'!#REF!,"AAAAAHlvf0Y=",0)</f>
        <v>#REF!</v>
      </c>
      <c r="BT4" t="e">
        <f>IF('Golden 20'!#REF!,"AAAAAHlvf0c=",0)</f>
        <v>#REF!</v>
      </c>
      <c r="BU4" t="e">
        <f>IF('Golden 20'!#REF!,"AAAAAHlvf0g=",0)</f>
        <v>#REF!</v>
      </c>
      <c r="BV4" t="e">
        <f>IF('Golden 20'!#REF!,"AAAAAHlvf0k=",0)</f>
        <v>#REF!</v>
      </c>
      <c r="BW4" t="e">
        <f>IF('Golden 20'!#REF!,"AAAAAHlvf0o=",0)</f>
        <v>#REF!</v>
      </c>
      <c r="BX4" t="str">
        <f>IF('Golden 20'!Q:Q,"AAAAAHlvf0s=",0)</f>
        <v>AAAAAHlvf0s=</v>
      </c>
      <c r="BY4" t="e">
        <f>IF('Golden 20'!R:R,"AAAAAHlvf0w=",0)</f>
        <v>#VALUE!</v>
      </c>
      <c r="BZ4" t="str">
        <f>IF('Golden 20'!K:K,"AAAAAHlvf00=",0)</f>
        <v>AAAAAHlvf00=</v>
      </c>
      <c r="CA4" t="e">
        <f>IF('Golden 20'!L:L,"AAAAAHlvf04=",0)</f>
        <v>#VALUE!</v>
      </c>
      <c r="CB4" t="e">
        <f>IF('Golden 20'!#REF!,"AAAAAHlvf08=",0)</f>
        <v>#REF!</v>
      </c>
      <c r="CC4" t="e">
        <f>IF('Golden 20'!#REF!,"AAAAAHlvf1A=",0)</f>
        <v>#REF!</v>
      </c>
      <c r="CD4" t="str">
        <f>IF('Golden 20'!S:S,"AAAAAHlvf1E=",0)</f>
        <v>AAAAAHlvf1E=</v>
      </c>
      <c r="CE4" t="e">
        <f>IF('Golden 20'!T:T,"AAAAAHlvf1I=",0)</f>
        <v>#VALUE!</v>
      </c>
      <c r="CF4" t="e">
        <f>IF('Golden 20'!#REF!,"AAAAAHlvf1M=",0)</f>
        <v>#REF!</v>
      </c>
      <c r="CG4" t="e">
        <f>IF('Golden 20'!#REF!,"AAAAAHlvf1Q=",0)</f>
        <v>#REF!</v>
      </c>
      <c r="CH4">
        <f>IF('WORLD CHAMP DWF-MUN 10'!1:1,"AAAAAHlvf1U=",0)</f>
        <v>0</v>
      </c>
      <c r="CI4" t="e">
        <f>AND(#REF!,"AAAAAHlvf1Y=")</f>
        <v>#REF!</v>
      </c>
      <c r="CJ4" t="e">
        <f>AND(#REF!,"AAAAAHlvf1c=")</f>
        <v>#REF!</v>
      </c>
      <c r="CK4" t="e">
        <f>AND(#REF!,"AAAAAHlvf1g=")</f>
        <v>#REF!</v>
      </c>
      <c r="CL4" t="e">
        <f>AND(#REF!,"AAAAAHlvf1k=")</f>
        <v>#REF!</v>
      </c>
      <c r="CM4" t="b">
        <f>AND('WORLD CHAMP DWF-MUN 10'!C1,"AAAAAHlvf1o=")</f>
        <v>1</v>
      </c>
      <c r="CN4" t="e">
        <f>AND('WORLD CHAMP DWF-MUN 10'!D1,"AAAAAHlvf1s=")</f>
        <v>#VALUE!</v>
      </c>
      <c r="CO4" t="e">
        <f>AND('WORLD CHAMP DWF-MUN 10'!#REF!,"AAAAAHlvf1w=")</f>
        <v>#REF!</v>
      </c>
      <c r="CP4" t="e">
        <f>AND('WORLD CHAMP DWF-MUN 10'!#REF!,"AAAAAHlvf10=")</f>
        <v>#REF!</v>
      </c>
      <c r="CQ4" t="b">
        <f>AND('WORLD CHAMP DWF-MUN 10'!E1,"AAAAAHlvf14=")</f>
        <v>1</v>
      </c>
      <c r="CR4" t="e">
        <f>AND('WORLD CHAMP DWF-MUN 10'!F1,"AAAAAHlvf18=")</f>
        <v>#VALUE!</v>
      </c>
      <c r="CS4" t="e">
        <f>AND(#REF!,"AAAAAHlvf2A=")</f>
        <v>#REF!</v>
      </c>
      <c r="CT4" t="e">
        <f>AND(#REF!,"AAAAAHlvf2E=")</f>
        <v>#REF!</v>
      </c>
      <c r="CU4" t="e">
        <f>AND('WORLD CHAMP DWF-MUN 10'!#REF!,"AAAAAHlvf2I=")</f>
        <v>#REF!</v>
      </c>
      <c r="CV4" t="e">
        <f>AND('WORLD CHAMP DWF-MUN 10'!#REF!,"AAAAAHlvf2M=")</f>
        <v>#REF!</v>
      </c>
      <c r="CW4" t="b">
        <f>AND('WORLD CHAMP DWF-MUN 10'!G1,"AAAAAHlvf2Q=")</f>
        <v>1</v>
      </c>
      <c r="CX4" t="e">
        <f>AND('WORLD CHAMP DWF-MUN 10'!H1,"AAAAAHlvf2U=")</f>
        <v>#VALUE!</v>
      </c>
      <c r="CY4">
        <f>IF('WORLD CHAMP DWF-MUN 10'!2:2,"AAAAAHlvf2Y=",0)</f>
        <v>0</v>
      </c>
      <c r="CZ4" t="e">
        <f>AND(#REF!,"AAAAAHlvf2c=")</f>
        <v>#REF!</v>
      </c>
      <c r="DA4" t="e">
        <f>AND(#REF!,"AAAAAHlvf2g=")</f>
        <v>#REF!</v>
      </c>
      <c r="DB4" t="e">
        <f>AND(#REF!,"AAAAAHlvf2k=")</f>
        <v>#REF!</v>
      </c>
      <c r="DC4" t="e">
        <f>AND(#REF!,"AAAAAHlvf2o=")</f>
        <v>#REF!</v>
      </c>
      <c r="DD4" t="b">
        <f>AND('WORLD CHAMP DWF-MUN 10'!C2,"AAAAAHlvf2s=")</f>
        <v>1</v>
      </c>
      <c r="DE4" t="e">
        <f>AND('WORLD CHAMP DWF-MUN 10'!D2,"AAAAAHlvf2w=")</f>
        <v>#VALUE!</v>
      </c>
      <c r="DF4" t="e">
        <f>AND('WORLD CHAMP DWF-MUN 10'!#REF!,"AAAAAHlvf20=")</f>
        <v>#REF!</v>
      </c>
      <c r="DG4" t="e">
        <f>AND('WORLD CHAMP DWF-MUN 10'!#REF!,"AAAAAHlvf24=")</f>
        <v>#REF!</v>
      </c>
      <c r="DH4" t="b">
        <f>AND('WORLD CHAMP DWF-MUN 10'!E2,"AAAAAHlvf28=")</f>
        <v>1</v>
      </c>
      <c r="DI4" t="e">
        <f>AND('WORLD CHAMP DWF-MUN 10'!F2,"AAAAAHlvf3A=")</f>
        <v>#VALUE!</v>
      </c>
      <c r="DJ4" t="e">
        <f>AND(#REF!,"AAAAAHlvf3E=")</f>
        <v>#REF!</v>
      </c>
      <c r="DK4" t="e">
        <f>AND(#REF!,"AAAAAHlvf3I=")</f>
        <v>#REF!</v>
      </c>
      <c r="DL4" t="e">
        <f>AND('WORLD CHAMP DWF-MUN 10'!#REF!,"AAAAAHlvf3M=")</f>
        <v>#REF!</v>
      </c>
      <c r="DM4" t="e">
        <f>AND('WORLD CHAMP DWF-MUN 10'!#REF!,"AAAAAHlvf3Q=")</f>
        <v>#REF!</v>
      </c>
      <c r="DN4" t="b">
        <f>AND('WORLD CHAMP DWF-MUN 10'!G2,"AAAAAHlvf3U=")</f>
        <v>1</v>
      </c>
      <c r="DO4" t="e">
        <f>AND('WORLD CHAMP DWF-MUN 10'!H2,"AAAAAHlvf3Y=")</f>
        <v>#VALUE!</v>
      </c>
      <c r="DP4">
        <f>IF('WORLD CHAMP DWF-MUN 10'!3:3,"AAAAAHlvf3c=",0)</f>
        <v>0</v>
      </c>
      <c r="DQ4" t="e">
        <f>AND(#REF!,"AAAAAHlvf3g=")</f>
        <v>#REF!</v>
      </c>
      <c r="DR4" t="e">
        <f>AND(#REF!,"AAAAAHlvf3k=")</f>
        <v>#REF!</v>
      </c>
      <c r="DS4" t="e">
        <f>AND(#REF!,"AAAAAHlvf3o=")</f>
        <v>#REF!</v>
      </c>
      <c r="DT4" t="e">
        <f>AND(#REF!,"AAAAAHlvf3s=")</f>
        <v>#REF!</v>
      </c>
      <c r="DU4" t="e">
        <f>AND('WORLD CHAMP DWF-MUN 10'!#REF!,"AAAAAHlvf3w=")</f>
        <v>#REF!</v>
      </c>
      <c r="DV4" t="e">
        <f>AND('WORLD CHAMP DWF-MUN 10'!#REF!,"AAAAAHlvf30=")</f>
        <v>#REF!</v>
      </c>
      <c r="DW4" t="e">
        <f>AND('WORLD CHAMP DWF-MUN 10'!#REF!,"AAAAAHlvf34=")</f>
        <v>#REF!</v>
      </c>
      <c r="DX4" t="e">
        <f>AND('WORLD CHAMP DWF-MUN 10'!#REF!,"AAAAAHlvf38=")</f>
        <v>#REF!</v>
      </c>
      <c r="DY4" t="b">
        <f>AND('WORLD CHAMP DWF-MUN 10'!E3,"AAAAAHlvf4A=")</f>
        <v>1</v>
      </c>
      <c r="DZ4" t="e">
        <f>AND('WORLD CHAMP DWF-MUN 10'!F3,"AAAAAHlvf4E=")</f>
        <v>#VALUE!</v>
      </c>
      <c r="EA4" t="e">
        <f>AND(#REF!,"AAAAAHlvf4I=")</f>
        <v>#REF!</v>
      </c>
      <c r="EB4" t="e">
        <f>AND(#REF!,"AAAAAHlvf4M=")</f>
        <v>#REF!</v>
      </c>
      <c r="EC4" t="e">
        <f>AND('WORLD CHAMP DWF-MUN 10'!#REF!,"AAAAAHlvf4Q=")</f>
        <v>#REF!</v>
      </c>
      <c r="ED4" t="e">
        <f>AND('WORLD CHAMP DWF-MUN 10'!#REF!,"AAAAAHlvf4U=")</f>
        <v>#REF!</v>
      </c>
      <c r="EE4" t="b">
        <f>AND('WORLD CHAMP DWF-MUN 10'!G3,"AAAAAHlvf4Y=")</f>
        <v>1</v>
      </c>
      <c r="EF4" t="e">
        <f>AND('WORLD CHAMP DWF-MUN 10'!H3,"AAAAAHlvf4c=")</f>
        <v>#VALUE!</v>
      </c>
      <c r="EG4">
        <f>IF('WORLD CHAMP DWF-MUN 10'!4:4,"AAAAAHlvf4g=",0)</f>
        <v>0</v>
      </c>
      <c r="EH4" t="e">
        <f>AND(#REF!,"AAAAAHlvf4k=")</f>
        <v>#REF!</v>
      </c>
      <c r="EI4" t="e">
        <f>AND(#REF!,"AAAAAHlvf4o=")</f>
        <v>#REF!</v>
      </c>
      <c r="EJ4" t="e">
        <f>AND(#REF!,"AAAAAHlvf4s=")</f>
        <v>#REF!</v>
      </c>
      <c r="EK4" t="e">
        <f>AND(#REF!,"AAAAAHlvf4w=")</f>
        <v>#REF!</v>
      </c>
      <c r="EL4" t="b">
        <f>AND('WORLD CHAMP DWF-MUN 10'!C3,"AAAAAHlvf40=")</f>
        <v>1</v>
      </c>
      <c r="EM4" t="e">
        <f>AND('WORLD CHAMP DWF-MUN 10'!D3,"AAAAAHlvf44=")</f>
        <v>#VALUE!</v>
      </c>
      <c r="EN4" t="e">
        <f>AND('WORLD CHAMP DWF-MUN 10'!#REF!,"AAAAAHlvf48=")</f>
        <v>#REF!</v>
      </c>
      <c r="EO4" t="e">
        <f>AND('WORLD CHAMP DWF-MUN 10'!#REF!,"AAAAAHlvf5A=")</f>
        <v>#REF!</v>
      </c>
      <c r="EP4" t="b">
        <f>AND('WORLD CHAMP DWF-MUN 10'!E4,"AAAAAHlvf5E=")</f>
        <v>1</v>
      </c>
      <c r="EQ4" t="e">
        <f>AND('WORLD CHAMP DWF-MUN 10'!F4,"AAAAAHlvf5I=")</f>
        <v>#VALUE!</v>
      </c>
      <c r="ER4" t="e">
        <f>AND(#REF!,"AAAAAHlvf5M=")</f>
        <v>#REF!</v>
      </c>
      <c r="ES4" t="e">
        <f>AND(#REF!,"AAAAAHlvf5Q=")</f>
        <v>#REF!</v>
      </c>
      <c r="ET4" t="e">
        <f>AND('WORLD CHAMP DWF-MUN 10'!#REF!,"AAAAAHlvf5U=")</f>
        <v>#REF!</v>
      </c>
      <c r="EU4" t="e">
        <f>AND('WORLD CHAMP DWF-MUN 10'!#REF!,"AAAAAHlvf5Y=")</f>
        <v>#REF!</v>
      </c>
      <c r="EV4" t="b">
        <f>AND('WORLD CHAMP DWF-MUN 10'!G4,"AAAAAHlvf5c=")</f>
        <v>1</v>
      </c>
      <c r="EW4" t="e">
        <f>AND('WORLD CHAMP DWF-MUN 10'!H4,"AAAAAHlvf5g=")</f>
        <v>#VALUE!</v>
      </c>
      <c r="EX4">
        <f>IF('WORLD CHAMP DWF-MUN 10'!5:5,"AAAAAHlvf5k=",0)</f>
        <v>0</v>
      </c>
      <c r="EY4" t="e">
        <f>AND(#REF!,"AAAAAHlvf5o=")</f>
        <v>#REF!</v>
      </c>
      <c r="EZ4" t="e">
        <f>AND(#REF!,"AAAAAHlvf5s=")</f>
        <v>#REF!</v>
      </c>
      <c r="FA4" t="e">
        <f>AND(#REF!,"AAAAAHlvf5w=")</f>
        <v>#REF!</v>
      </c>
      <c r="FB4" t="e">
        <f>AND(#REF!,"AAAAAHlvf50=")</f>
        <v>#REF!</v>
      </c>
      <c r="FC4" t="b">
        <f>AND('WORLD CHAMP DWF-MUN 10'!C4,"AAAAAHlvf54=")</f>
        <v>1</v>
      </c>
      <c r="FD4" t="e">
        <f>AND('WORLD CHAMP DWF-MUN 10'!D4,"AAAAAHlvf58=")</f>
        <v>#VALUE!</v>
      </c>
      <c r="FE4" t="e">
        <f>AND('WORLD CHAMP DWF-MUN 10'!#REF!,"AAAAAHlvf6A=")</f>
        <v>#REF!</v>
      </c>
      <c r="FF4" t="e">
        <f>AND('WORLD CHAMP DWF-MUN 10'!#REF!,"AAAAAHlvf6E=")</f>
        <v>#REF!</v>
      </c>
      <c r="FG4" t="b">
        <f>AND('WORLD CHAMP DWF-MUN 10'!E5,"AAAAAHlvf6I=")</f>
        <v>1</v>
      </c>
      <c r="FH4" t="e">
        <f>AND('WORLD CHAMP DWF-MUN 10'!F5,"AAAAAHlvf6M=")</f>
        <v>#VALUE!</v>
      </c>
      <c r="FI4" t="e">
        <f>AND(#REF!,"AAAAAHlvf6Q=")</f>
        <v>#REF!</v>
      </c>
      <c r="FJ4" t="e">
        <f>AND(#REF!,"AAAAAHlvf6U=")</f>
        <v>#REF!</v>
      </c>
      <c r="FK4" t="e">
        <f>AND('WORLD CHAMP DWF-MUN 10'!#REF!,"AAAAAHlvf6Y=")</f>
        <v>#REF!</v>
      </c>
      <c r="FL4" t="e">
        <f>AND('WORLD CHAMP DWF-MUN 10'!#REF!,"AAAAAHlvf6c=")</f>
        <v>#REF!</v>
      </c>
      <c r="FM4" t="b">
        <f>AND('WORLD CHAMP DWF-MUN 10'!G5,"AAAAAHlvf6g=")</f>
        <v>1</v>
      </c>
      <c r="FN4" t="e">
        <f>AND('WORLD CHAMP DWF-MUN 10'!H5,"AAAAAHlvf6k=")</f>
        <v>#VALUE!</v>
      </c>
      <c r="FO4">
        <f>IF('WORLD CHAMP DWF-MUN 10'!6:6,"AAAAAHlvf6o=",0)</f>
        <v>0</v>
      </c>
      <c r="FP4" t="e">
        <f>AND(#REF!,"AAAAAHlvf6s=")</f>
        <v>#REF!</v>
      </c>
      <c r="FQ4" t="e">
        <f>AND(#REF!,"AAAAAHlvf6w=")</f>
        <v>#REF!</v>
      </c>
      <c r="FR4" t="e">
        <f>AND(#REF!,"AAAAAHlvf60=")</f>
        <v>#REF!</v>
      </c>
      <c r="FS4" t="e">
        <f>AND(#REF!,"AAAAAHlvf64=")</f>
        <v>#REF!</v>
      </c>
      <c r="FT4" t="b">
        <f>AND('WORLD CHAMP DWF-MUN 10'!C5,"AAAAAHlvf68=")</f>
        <v>1</v>
      </c>
      <c r="FU4" t="e">
        <f>AND('WORLD CHAMP DWF-MUN 10'!D5,"AAAAAHlvf7A=")</f>
        <v>#VALUE!</v>
      </c>
      <c r="FV4" t="e">
        <f>AND('WORLD CHAMP DWF-MUN 10'!#REF!,"AAAAAHlvf7E=")</f>
        <v>#REF!</v>
      </c>
      <c r="FW4" t="e">
        <f>AND('WORLD CHAMP DWF-MUN 10'!#REF!,"AAAAAHlvf7I=")</f>
        <v>#REF!</v>
      </c>
      <c r="FX4" t="b">
        <f>AND('WORLD CHAMP DWF-MUN 10'!E6,"AAAAAHlvf7M=")</f>
        <v>1</v>
      </c>
      <c r="FY4" t="e">
        <f>AND('WORLD CHAMP DWF-MUN 10'!F6,"AAAAAHlvf7Q=")</f>
        <v>#VALUE!</v>
      </c>
      <c r="FZ4" t="e">
        <f>AND(#REF!,"AAAAAHlvf7U=")</f>
        <v>#REF!</v>
      </c>
      <c r="GA4" t="e">
        <f>AND(#REF!,"AAAAAHlvf7Y=")</f>
        <v>#REF!</v>
      </c>
      <c r="GB4" t="e">
        <f>AND('WORLD CHAMP DWF-MUN 10'!#REF!,"AAAAAHlvf7c=")</f>
        <v>#REF!</v>
      </c>
      <c r="GC4" t="e">
        <f>AND('WORLD CHAMP DWF-MUN 10'!#REF!,"AAAAAHlvf7g=")</f>
        <v>#REF!</v>
      </c>
      <c r="GD4" t="b">
        <f>AND('WORLD CHAMP DWF-MUN 10'!G6,"AAAAAHlvf7k=")</f>
        <v>1</v>
      </c>
      <c r="GE4" t="e">
        <f>AND('WORLD CHAMP DWF-MUN 10'!H6,"AAAAAHlvf7o=")</f>
        <v>#VALUE!</v>
      </c>
      <c r="GF4">
        <f>IF('WORLD CHAMP DWF-MUN 10'!7:7,"AAAAAHlvf7s=",0)</f>
        <v>0</v>
      </c>
      <c r="GG4" t="e">
        <f>AND(#REF!,"AAAAAHlvf7w=")</f>
        <v>#REF!</v>
      </c>
      <c r="GH4" t="e">
        <f>AND(#REF!,"AAAAAHlvf70=")</f>
        <v>#REF!</v>
      </c>
      <c r="GI4" t="e">
        <f>AND(#REF!,"AAAAAHlvf74=")</f>
        <v>#REF!</v>
      </c>
      <c r="GJ4" t="e">
        <f>AND(#REF!,"AAAAAHlvf78=")</f>
        <v>#REF!</v>
      </c>
      <c r="GK4" t="b">
        <f>AND('WORLD CHAMP DWF-MUN 10'!C6,"AAAAAHlvf8A=")</f>
        <v>1</v>
      </c>
      <c r="GL4" t="e">
        <f>AND('WORLD CHAMP DWF-MUN 10'!D6,"AAAAAHlvf8E=")</f>
        <v>#VALUE!</v>
      </c>
      <c r="GM4" t="e">
        <f>AND('WORLD CHAMP DWF-MUN 10'!#REF!,"AAAAAHlvf8I=")</f>
        <v>#REF!</v>
      </c>
      <c r="GN4" t="e">
        <f>AND('WORLD CHAMP DWF-MUN 10'!#REF!,"AAAAAHlvf8M=")</f>
        <v>#REF!</v>
      </c>
      <c r="GO4" t="b">
        <f>AND('WORLD CHAMP DWF-MUN 10'!E7,"AAAAAHlvf8Q=")</f>
        <v>1</v>
      </c>
      <c r="GP4" t="e">
        <f>AND('WORLD CHAMP DWF-MUN 10'!F7,"AAAAAHlvf8U=")</f>
        <v>#VALUE!</v>
      </c>
      <c r="GQ4" t="e">
        <f>AND(#REF!,"AAAAAHlvf8Y=")</f>
        <v>#REF!</v>
      </c>
      <c r="GR4" t="e">
        <f>AND(#REF!,"AAAAAHlvf8c=")</f>
        <v>#REF!</v>
      </c>
      <c r="GS4" t="e">
        <f>AND('WORLD CHAMP DWF-MUN 10'!#REF!,"AAAAAHlvf8g=")</f>
        <v>#REF!</v>
      </c>
      <c r="GT4" t="e">
        <f>AND('WORLD CHAMP DWF-MUN 10'!#REF!,"AAAAAHlvf8k=")</f>
        <v>#REF!</v>
      </c>
      <c r="GU4" t="b">
        <f>AND('WORLD CHAMP DWF-MUN 10'!G7,"AAAAAHlvf8o=")</f>
        <v>1</v>
      </c>
      <c r="GV4" t="e">
        <f>AND('WORLD CHAMP DWF-MUN 10'!H7,"AAAAAHlvf8s=")</f>
        <v>#VALUE!</v>
      </c>
      <c r="GW4">
        <f>IF('WORLD CHAMP DWF-MUN 10'!8:8,"AAAAAHlvf8w=",0)</f>
        <v>0</v>
      </c>
      <c r="GX4" t="e">
        <f>AND(#REF!,"AAAAAHlvf80=")</f>
        <v>#REF!</v>
      </c>
      <c r="GY4" t="e">
        <f>AND(#REF!,"AAAAAHlvf84=")</f>
        <v>#REF!</v>
      </c>
      <c r="GZ4" t="e">
        <f>AND(#REF!,"AAAAAHlvf88=")</f>
        <v>#REF!</v>
      </c>
      <c r="HA4" t="e">
        <f>AND(#REF!,"AAAAAHlvf9A=")</f>
        <v>#REF!</v>
      </c>
      <c r="HB4" t="b">
        <f>AND('WORLD CHAMP DWF-MUN 10'!C7,"AAAAAHlvf9E=")</f>
        <v>1</v>
      </c>
      <c r="HC4" t="e">
        <f>AND('WORLD CHAMP DWF-MUN 10'!D7,"AAAAAHlvf9I=")</f>
        <v>#VALUE!</v>
      </c>
      <c r="HD4" t="e">
        <f>AND('WORLD CHAMP DWF-MUN 10'!#REF!,"AAAAAHlvf9M=")</f>
        <v>#REF!</v>
      </c>
      <c r="HE4" t="e">
        <f>AND('WORLD CHAMP DWF-MUN 10'!#REF!,"AAAAAHlvf9Q=")</f>
        <v>#REF!</v>
      </c>
      <c r="HF4" t="b">
        <f>AND('WORLD CHAMP DWF-MUN 10'!E8,"AAAAAHlvf9U=")</f>
        <v>1</v>
      </c>
      <c r="HG4" t="e">
        <f>AND('WORLD CHAMP DWF-MUN 10'!F8,"AAAAAHlvf9Y=")</f>
        <v>#VALUE!</v>
      </c>
      <c r="HH4" t="e">
        <f>AND(#REF!,"AAAAAHlvf9c=")</f>
        <v>#REF!</v>
      </c>
      <c r="HI4" t="e">
        <f>AND(#REF!,"AAAAAHlvf9g=")</f>
        <v>#REF!</v>
      </c>
      <c r="HJ4" t="e">
        <f>AND('WORLD CHAMP DWF-MUN 10'!#REF!,"AAAAAHlvf9k=")</f>
        <v>#REF!</v>
      </c>
      <c r="HK4" t="e">
        <f>AND('WORLD CHAMP DWF-MUN 10'!#REF!,"AAAAAHlvf9o=")</f>
        <v>#REF!</v>
      </c>
      <c r="HL4" t="b">
        <f>AND('WORLD CHAMP DWF-MUN 10'!G8,"AAAAAHlvf9s=")</f>
        <v>1</v>
      </c>
      <c r="HM4" t="e">
        <f>AND('WORLD CHAMP DWF-MUN 10'!H8,"AAAAAHlvf9w=")</f>
        <v>#VALUE!</v>
      </c>
      <c r="HN4">
        <f>IF('WORLD CHAMP DWF-MUN 10'!9:9,"AAAAAHlvf90=",0)</f>
        <v>0</v>
      </c>
      <c r="HO4" t="e">
        <f>AND(#REF!,"AAAAAHlvf94=")</f>
        <v>#REF!</v>
      </c>
      <c r="HP4" t="e">
        <f>AND(#REF!,"AAAAAHlvf98=")</f>
        <v>#REF!</v>
      </c>
      <c r="HQ4" t="e">
        <f>AND(#REF!,"AAAAAHlvf+A=")</f>
        <v>#REF!</v>
      </c>
      <c r="HR4" t="e">
        <f>AND(#REF!,"AAAAAHlvf+E=")</f>
        <v>#REF!</v>
      </c>
      <c r="HS4" t="b">
        <f>AND('WORLD CHAMP DWF-MUN 10'!C8,"AAAAAHlvf+I=")</f>
        <v>1</v>
      </c>
      <c r="HT4" t="e">
        <f>AND('WORLD CHAMP DWF-MUN 10'!D8,"AAAAAHlvf+M=")</f>
        <v>#VALUE!</v>
      </c>
      <c r="HU4" t="e">
        <f>AND('WORLD CHAMP DWF-MUN 10'!#REF!,"AAAAAHlvf+Q=")</f>
        <v>#REF!</v>
      </c>
      <c r="HV4" t="e">
        <f>AND('WORLD CHAMP DWF-MUN 10'!#REF!,"AAAAAHlvf+U=")</f>
        <v>#REF!</v>
      </c>
      <c r="HW4" t="b">
        <f>AND('WORLD CHAMP DWF-MUN 10'!E9,"AAAAAHlvf+Y=")</f>
        <v>1</v>
      </c>
      <c r="HX4" t="e">
        <f>AND('WORLD CHAMP DWF-MUN 10'!F9,"AAAAAHlvf+c=")</f>
        <v>#VALUE!</v>
      </c>
      <c r="HY4" t="e">
        <f>AND(#REF!,"AAAAAHlvf+g=")</f>
        <v>#REF!</v>
      </c>
      <c r="HZ4" t="e">
        <f>AND(#REF!,"AAAAAHlvf+k=")</f>
        <v>#REF!</v>
      </c>
      <c r="IA4" t="e">
        <f>AND('WORLD CHAMP DWF-MUN 10'!#REF!,"AAAAAHlvf+o=")</f>
        <v>#REF!</v>
      </c>
      <c r="IB4" t="e">
        <f>AND('WORLD CHAMP DWF-MUN 10'!#REF!,"AAAAAHlvf+s=")</f>
        <v>#REF!</v>
      </c>
      <c r="IC4" t="e">
        <f>AND('WORLD CHAMP DWF-MUN 10'!#REF!,"AAAAAHlvf+w=")</f>
        <v>#REF!</v>
      </c>
      <c r="ID4" t="e">
        <f>AND('WORLD CHAMP DWF-MUN 10'!#REF!,"AAAAAHlvf+0=")</f>
        <v>#REF!</v>
      </c>
      <c r="IE4">
        <f>IF('WORLD CHAMP DWF-MUN 10'!10:10,"AAAAAHlvf+4=",0)</f>
        <v>0</v>
      </c>
      <c r="IF4" t="e">
        <f>AND(#REF!,"AAAAAHlvf+8=")</f>
        <v>#REF!</v>
      </c>
      <c r="IG4" t="e">
        <f>AND(#REF!,"AAAAAHlvf/A=")</f>
        <v>#REF!</v>
      </c>
      <c r="IH4" t="e">
        <f>AND(#REF!,"AAAAAHlvf/E=")</f>
        <v>#REF!</v>
      </c>
      <c r="II4" t="e">
        <f>AND(#REF!,"AAAAAHlvf/I=")</f>
        <v>#REF!</v>
      </c>
      <c r="IJ4" t="b">
        <f>AND('WORLD CHAMP DWF-MUN 10'!C9,"AAAAAHlvf/M=")</f>
        <v>1</v>
      </c>
      <c r="IK4" t="e">
        <f>AND('WORLD CHAMP DWF-MUN 10'!D9,"AAAAAHlvf/Q=")</f>
        <v>#VALUE!</v>
      </c>
      <c r="IL4" t="e">
        <f>AND('WORLD CHAMP DWF-MUN 10'!#REF!,"AAAAAHlvf/U=")</f>
        <v>#REF!</v>
      </c>
      <c r="IM4" t="e">
        <f>AND('WORLD CHAMP DWF-MUN 10'!#REF!,"AAAAAHlvf/Y=")</f>
        <v>#REF!</v>
      </c>
      <c r="IN4" t="b">
        <f>AND('WORLD CHAMP DWF-MUN 10'!E10,"AAAAAHlvf/c=")</f>
        <v>1</v>
      </c>
      <c r="IO4" t="e">
        <f>AND('WORLD CHAMP DWF-MUN 10'!F10,"AAAAAHlvf/g=")</f>
        <v>#VALUE!</v>
      </c>
      <c r="IP4" t="e">
        <f>AND(#REF!,"AAAAAHlvf/k=")</f>
        <v>#REF!</v>
      </c>
      <c r="IQ4" t="e">
        <f>AND(#REF!,"AAAAAHlvf/o=")</f>
        <v>#REF!</v>
      </c>
      <c r="IR4" t="e">
        <f>AND('WORLD CHAMP DWF-MUN 10'!#REF!,"AAAAAHlvf/s=")</f>
        <v>#REF!</v>
      </c>
      <c r="IS4" t="e">
        <f>AND('WORLD CHAMP DWF-MUN 10'!#REF!,"AAAAAHlvf/w=")</f>
        <v>#REF!</v>
      </c>
      <c r="IT4" t="b">
        <f>AND('WORLD CHAMP DWF-MUN 10'!G9,"AAAAAHlvf/0=")</f>
        <v>1</v>
      </c>
      <c r="IU4" t="e">
        <f>AND('WORLD CHAMP DWF-MUN 10'!H9,"AAAAAHlvf/4=")</f>
        <v>#VALUE!</v>
      </c>
      <c r="IV4">
        <f>IF('WORLD CHAMP DWF-MUN 10'!11:11,"AAAAAHlvf/8=",0)</f>
        <v>0</v>
      </c>
    </row>
    <row r="5" spans="1:256">
      <c r="A5" t="e">
        <f>AND(#REF!,"AAAAAE9nvwA=")</f>
        <v>#REF!</v>
      </c>
      <c r="B5" t="e">
        <f>AND(#REF!,"AAAAAE9nvwE=")</f>
        <v>#REF!</v>
      </c>
      <c r="C5" t="e">
        <f>AND('WORLD CHAMP DWF-MUN 10'!#REF!,"AAAAAE9nvwI=")</f>
        <v>#REF!</v>
      </c>
      <c r="D5" t="e">
        <f>AND('WORLD CHAMP DWF-MUN 10'!#REF!,"AAAAAE9nvwM=")</f>
        <v>#REF!</v>
      </c>
      <c r="E5" t="b">
        <f>AND('WORLD CHAMP DWF-MUN 10'!C10,"AAAAAE9nvwQ=")</f>
        <v>1</v>
      </c>
      <c r="F5" t="e">
        <f>AND('WORLD CHAMP DWF-MUN 10'!D10,"AAAAAE9nvwU=")</f>
        <v>#VALUE!</v>
      </c>
      <c r="G5" t="e">
        <f>AND('WORLD CHAMP DWF-MUN 10'!#REF!,"AAAAAE9nvwY=")</f>
        <v>#REF!</v>
      </c>
      <c r="H5" t="e">
        <f>AND('WORLD CHAMP DWF-MUN 10'!#REF!,"AAAAAE9nvwc=")</f>
        <v>#REF!</v>
      </c>
      <c r="I5" t="b">
        <f>AND('WORLD CHAMP DWF-MUN 10'!E11,"AAAAAE9nvwg=")</f>
        <v>1</v>
      </c>
      <c r="J5" t="e">
        <f>AND('WORLD CHAMP DWF-MUN 10'!F11,"AAAAAE9nvwk=")</f>
        <v>#VALUE!</v>
      </c>
      <c r="K5" t="e">
        <f>AND(#REF!,"AAAAAE9nvwo=")</f>
        <v>#REF!</v>
      </c>
      <c r="L5" t="e">
        <f>AND(#REF!,"AAAAAE9nvws=")</f>
        <v>#REF!</v>
      </c>
      <c r="M5" t="e">
        <f>AND('WORLD CHAMP DWF-MUN 10'!#REF!,"AAAAAE9nvww=")</f>
        <v>#REF!</v>
      </c>
      <c r="N5" t="e">
        <f>AND('WORLD CHAMP DWF-MUN 10'!#REF!,"AAAAAE9nvw0=")</f>
        <v>#REF!</v>
      </c>
      <c r="O5" t="b">
        <f>AND('WORLD CHAMP DWF-MUN 10'!G10,"AAAAAE9nvw4=")</f>
        <v>1</v>
      </c>
      <c r="P5" t="e">
        <f>AND('WORLD CHAMP DWF-MUN 10'!H10,"AAAAAE9nvw8=")</f>
        <v>#VALUE!</v>
      </c>
      <c r="Q5" t="str">
        <f>IF('WORLD CHAMP DWF-MUN 10'!12:12,"AAAAAE9nvxA=",0)</f>
        <v>AAAAAE9nvxA=</v>
      </c>
      <c r="R5" t="e">
        <f>AND(#REF!,"AAAAAE9nvxE=")</f>
        <v>#REF!</v>
      </c>
      <c r="S5" t="e">
        <f>AND(#REF!,"AAAAAE9nvxI=")</f>
        <v>#REF!</v>
      </c>
      <c r="T5" t="e">
        <f>AND(#REF!,"AAAAAE9nvxM=")</f>
        <v>#REF!</v>
      </c>
      <c r="U5" t="e">
        <f>AND(#REF!,"AAAAAE9nvxQ=")</f>
        <v>#REF!</v>
      </c>
      <c r="V5" t="b">
        <f>AND('WORLD CHAMP DWF-MUN 10'!C11,"AAAAAE9nvxU=")</f>
        <v>1</v>
      </c>
      <c r="W5" t="e">
        <f>AND('WORLD CHAMP DWF-MUN 10'!D11,"AAAAAE9nvxY=")</f>
        <v>#VALUE!</v>
      </c>
      <c r="X5" t="e">
        <f>AND('WORLD CHAMP DWF-MUN 10'!#REF!,"AAAAAE9nvxc=")</f>
        <v>#REF!</v>
      </c>
      <c r="Y5" t="e">
        <f>AND('WORLD CHAMP DWF-MUN 10'!#REF!,"AAAAAE9nvxg=")</f>
        <v>#REF!</v>
      </c>
      <c r="Z5" t="b">
        <f>AND('WORLD CHAMP DWF-MUN 10'!E12,"AAAAAE9nvxk=")</f>
        <v>1</v>
      </c>
      <c r="AA5" t="e">
        <f>AND('WORLD CHAMP DWF-MUN 10'!F12,"AAAAAE9nvxo=")</f>
        <v>#VALUE!</v>
      </c>
      <c r="AB5" t="e">
        <f>AND(#REF!,"AAAAAE9nvxs=")</f>
        <v>#REF!</v>
      </c>
      <c r="AC5" t="e">
        <f>AND(#REF!,"AAAAAE9nvxw=")</f>
        <v>#REF!</v>
      </c>
      <c r="AD5" t="e">
        <f>AND('WORLD CHAMP DWF-MUN 10'!#REF!,"AAAAAE9nvx0=")</f>
        <v>#REF!</v>
      </c>
      <c r="AE5" t="e">
        <f>AND('WORLD CHAMP DWF-MUN 10'!#REF!,"AAAAAE9nvx4=")</f>
        <v>#REF!</v>
      </c>
      <c r="AF5" t="b">
        <f>AND('WORLD CHAMP DWF-MUN 10'!G11,"AAAAAE9nvx8=")</f>
        <v>1</v>
      </c>
      <c r="AG5" t="e">
        <f>AND('WORLD CHAMP DWF-MUN 10'!H11,"AAAAAE9nvyA=")</f>
        <v>#VALUE!</v>
      </c>
      <c r="AH5">
        <f>IF('WORLD CHAMP DWF-MUN 10'!13:13,"AAAAAE9nvyE=",0)</f>
        <v>0</v>
      </c>
      <c r="AI5" t="e">
        <f>AND(#REF!,"AAAAAE9nvyI=")</f>
        <v>#REF!</v>
      </c>
      <c r="AJ5" t="e">
        <f>AND(#REF!,"AAAAAE9nvyM=")</f>
        <v>#REF!</v>
      </c>
      <c r="AK5" t="e">
        <f>AND(#REF!,"AAAAAE9nvyQ=")</f>
        <v>#REF!</v>
      </c>
      <c r="AL5" t="e">
        <f>AND(#REF!,"AAAAAE9nvyU=")</f>
        <v>#REF!</v>
      </c>
      <c r="AM5" t="b">
        <f>AND('WORLD CHAMP DWF-MUN 10'!C12,"AAAAAE9nvyY=")</f>
        <v>1</v>
      </c>
      <c r="AN5" t="e">
        <f>AND('WORLD CHAMP DWF-MUN 10'!D12,"AAAAAE9nvyc=")</f>
        <v>#VALUE!</v>
      </c>
      <c r="AO5" t="e">
        <f>AND('WORLD CHAMP DWF-MUN 10'!#REF!,"AAAAAE9nvyg=")</f>
        <v>#REF!</v>
      </c>
      <c r="AP5" t="e">
        <f>AND('WORLD CHAMP DWF-MUN 10'!#REF!,"AAAAAE9nvyk=")</f>
        <v>#REF!</v>
      </c>
      <c r="AQ5" t="b">
        <f>AND('WORLD CHAMP DWF-MUN 10'!E13,"AAAAAE9nvyo=")</f>
        <v>1</v>
      </c>
      <c r="AR5" t="e">
        <f>AND('WORLD CHAMP DWF-MUN 10'!F13,"AAAAAE9nvys=")</f>
        <v>#VALUE!</v>
      </c>
      <c r="AS5" t="e">
        <f>AND(#REF!,"AAAAAE9nvyw=")</f>
        <v>#REF!</v>
      </c>
      <c r="AT5" t="e">
        <f>AND(#REF!,"AAAAAE9nvy0=")</f>
        <v>#REF!</v>
      </c>
      <c r="AU5" t="e">
        <f>AND('WORLD CHAMP DWF-MUN 10'!#REF!,"AAAAAE9nvy4=")</f>
        <v>#REF!</v>
      </c>
      <c r="AV5" t="e">
        <f>AND('WORLD CHAMP DWF-MUN 10'!#REF!,"AAAAAE9nvy8=")</f>
        <v>#REF!</v>
      </c>
      <c r="AW5" t="b">
        <f>AND('WORLD CHAMP DWF-MUN 10'!G12,"AAAAAE9nvzA=")</f>
        <v>1</v>
      </c>
      <c r="AX5" t="e">
        <f>AND('WORLD CHAMP DWF-MUN 10'!H12,"AAAAAE9nvzE=")</f>
        <v>#VALUE!</v>
      </c>
      <c r="AY5">
        <f>IF('WORLD CHAMP DWF-MUN 10'!14:14,"AAAAAE9nvzI=",0)</f>
        <v>0</v>
      </c>
      <c r="AZ5" t="e">
        <f>AND(#REF!,"AAAAAE9nvzM=")</f>
        <v>#REF!</v>
      </c>
      <c r="BA5" t="e">
        <f>AND(#REF!,"AAAAAE9nvzQ=")</f>
        <v>#REF!</v>
      </c>
      <c r="BB5" t="e">
        <f>AND(#REF!,"AAAAAE9nvzU=")</f>
        <v>#REF!</v>
      </c>
      <c r="BC5" t="e">
        <f>AND(#REF!,"AAAAAE9nvzY=")</f>
        <v>#REF!</v>
      </c>
      <c r="BD5" t="b">
        <f>AND('WORLD CHAMP DWF-MUN 10'!C13,"AAAAAE9nvzc=")</f>
        <v>1</v>
      </c>
      <c r="BE5" t="e">
        <f>AND('WORLD CHAMP DWF-MUN 10'!D13,"AAAAAE9nvzg=")</f>
        <v>#VALUE!</v>
      </c>
      <c r="BF5" t="e">
        <f>AND('WORLD CHAMP DWF-MUN 10'!#REF!,"AAAAAE9nvzk=")</f>
        <v>#REF!</v>
      </c>
      <c r="BG5" t="e">
        <f>AND('WORLD CHAMP DWF-MUN 10'!#REF!,"AAAAAE9nvzo=")</f>
        <v>#REF!</v>
      </c>
      <c r="BH5" t="b">
        <f>AND('WORLD CHAMP DWF-MUN 10'!E14,"AAAAAE9nvzs=")</f>
        <v>1</v>
      </c>
      <c r="BI5" t="e">
        <f>AND('WORLD CHAMP DWF-MUN 10'!F14,"AAAAAE9nvzw=")</f>
        <v>#VALUE!</v>
      </c>
      <c r="BJ5" t="e">
        <f>AND(#REF!,"AAAAAE9nvz0=")</f>
        <v>#REF!</v>
      </c>
      <c r="BK5" t="e">
        <f>AND(#REF!,"AAAAAE9nvz4=")</f>
        <v>#REF!</v>
      </c>
      <c r="BL5" t="e">
        <f>AND('WORLD CHAMP DWF-MUN 10'!#REF!,"AAAAAE9nvz8=")</f>
        <v>#REF!</v>
      </c>
      <c r="BM5" t="e">
        <f>AND('WORLD CHAMP DWF-MUN 10'!#REF!,"AAAAAE9nv0A=")</f>
        <v>#REF!</v>
      </c>
      <c r="BN5" t="b">
        <f>AND('WORLD CHAMP DWF-MUN 10'!G14,"AAAAAE9nv0E=")</f>
        <v>1</v>
      </c>
      <c r="BO5" t="e">
        <f>AND('WORLD CHAMP DWF-MUN 10'!H14,"AAAAAE9nv0I=")</f>
        <v>#VALUE!</v>
      </c>
      <c r="BP5">
        <f>IF('WORLD CHAMP DWF-MUN 10'!15:15,"AAAAAE9nv0M=",0)</f>
        <v>0</v>
      </c>
      <c r="BQ5" t="e">
        <f>AND(#REF!,"AAAAAE9nv0Q=")</f>
        <v>#REF!</v>
      </c>
      <c r="BR5" t="e">
        <f>AND(#REF!,"AAAAAE9nv0U=")</f>
        <v>#REF!</v>
      </c>
      <c r="BS5" t="e">
        <f>AND('WORLD CHAMP DWF-MUN 10'!#REF!,"AAAAAE9nv0Y=")</f>
        <v>#REF!</v>
      </c>
      <c r="BT5" t="e">
        <f>AND('WORLD CHAMP DWF-MUN 10'!#REF!,"AAAAAE9nv0c=")</f>
        <v>#REF!</v>
      </c>
      <c r="BU5" t="b">
        <f>AND('WORLD CHAMP DWF-MUN 10'!C14,"AAAAAE9nv0g=")</f>
        <v>1</v>
      </c>
      <c r="BV5" t="e">
        <f>AND('WORLD CHAMP DWF-MUN 10'!D14,"AAAAAE9nv0k=")</f>
        <v>#VALUE!</v>
      </c>
      <c r="BW5" t="e">
        <f>AND('WORLD CHAMP DWF-MUN 10'!#REF!,"AAAAAE9nv0o=")</f>
        <v>#REF!</v>
      </c>
      <c r="BX5" t="e">
        <f>AND('WORLD CHAMP DWF-MUN 10'!#REF!,"AAAAAE9nv0s=")</f>
        <v>#REF!</v>
      </c>
      <c r="BY5" t="b">
        <f>AND('WORLD CHAMP DWF-MUN 10'!E15,"AAAAAE9nv0w=")</f>
        <v>1</v>
      </c>
      <c r="BZ5" t="e">
        <f>AND('WORLD CHAMP DWF-MUN 10'!F15,"AAAAAE9nv00=")</f>
        <v>#VALUE!</v>
      </c>
      <c r="CA5" t="e">
        <f>AND(#REF!,"AAAAAE9nv04=")</f>
        <v>#REF!</v>
      </c>
      <c r="CB5" t="e">
        <f>AND(#REF!,"AAAAAE9nv08=")</f>
        <v>#REF!</v>
      </c>
      <c r="CC5" t="e">
        <f>AND('WORLD CHAMP DWF-MUN 10'!#REF!,"AAAAAE9nv1A=")</f>
        <v>#REF!</v>
      </c>
      <c r="CD5" t="e">
        <f>AND('WORLD CHAMP DWF-MUN 10'!#REF!,"AAAAAE9nv1E=")</f>
        <v>#REF!</v>
      </c>
      <c r="CE5" t="e">
        <f>AND('WORLD CHAMP DWF-MUN 10'!#REF!,"AAAAAE9nv1I=")</f>
        <v>#REF!</v>
      </c>
      <c r="CF5" t="e">
        <f>AND('WORLD CHAMP DWF-MUN 10'!#REF!,"AAAAAE9nv1M=")</f>
        <v>#REF!</v>
      </c>
      <c r="CG5">
        <f>IF('WORLD CHAMP DWF-MUN 10'!16:16,"AAAAAE9nv1Q=",0)</f>
        <v>0</v>
      </c>
      <c r="CH5" t="e">
        <f>AND(#REF!,"AAAAAE9nv1U=")</f>
        <v>#REF!</v>
      </c>
      <c r="CI5" t="e">
        <f>AND(#REF!,"AAAAAE9nv1Y=")</f>
        <v>#REF!</v>
      </c>
      <c r="CJ5" t="e">
        <f>AND('WORLD CHAMP DWF-MUN 10'!#REF!,"AAAAAE9nv1c=")</f>
        <v>#REF!</v>
      </c>
      <c r="CK5" t="e">
        <f>AND('WORLD CHAMP DWF-MUN 10'!#REF!,"AAAAAE9nv1g=")</f>
        <v>#REF!</v>
      </c>
      <c r="CL5" t="b">
        <f>AND('WORLD CHAMP DWF-MUN 10'!C16,"AAAAAE9nv1k=")</f>
        <v>1</v>
      </c>
      <c r="CM5" t="e">
        <f>AND('WORLD CHAMP DWF-MUN 10'!D16,"AAAAAE9nv1o=")</f>
        <v>#VALUE!</v>
      </c>
      <c r="CN5" t="e">
        <f>AND('WORLD CHAMP DWF-MUN 10'!#REF!,"AAAAAE9nv1s=")</f>
        <v>#REF!</v>
      </c>
      <c r="CO5" t="e">
        <f>AND('WORLD CHAMP DWF-MUN 10'!#REF!,"AAAAAE9nv1w=")</f>
        <v>#REF!</v>
      </c>
      <c r="CP5" t="b">
        <f>AND('WORLD CHAMP DWF-MUN 10'!E16,"AAAAAE9nv10=")</f>
        <v>1</v>
      </c>
      <c r="CQ5" t="e">
        <f>AND('WORLD CHAMP DWF-MUN 10'!F16,"AAAAAE9nv14=")</f>
        <v>#VALUE!</v>
      </c>
      <c r="CR5" t="e">
        <f>AND(#REF!,"AAAAAE9nv18=")</f>
        <v>#REF!</v>
      </c>
      <c r="CS5" t="e">
        <f>AND(#REF!,"AAAAAE9nv2A=")</f>
        <v>#REF!</v>
      </c>
      <c r="CT5" t="e">
        <f>AND('WORLD CHAMP DWF-MUN 10'!#REF!,"AAAAAE9nv2E=")</f>
        <v>#REF!</v>
      </c>
      <c r="CU5" t="e">
        <f>AND('WORLD CHAMP DWF-MUN 10'!#REF!,"AAAAAE9nv2I=")</f>
        <v>#REF!</v>
      </c>
      <c r="CV5" t="b">
        <f>AND('WORLD CHAMP DWF-MUN 10'!G15,"AAAAAE9nv2M=")</f>
        <v>1</v>
      </c>
      <c r="CW5" t="e">
        <f>AND('WORLD CHAMP DWF-MUN 10'!H15,"AAAAAE9nv2Q=")</f>
        <v>#VALUE!</v>
      </c>
      <c r="CX5">
        <f>IF('WORLD CHAMP DWF-MUN 10'!17:17,"AAAAAE9nv2U=",0)</f>
        <v>0</v>
      </c>
      <c r="CY5" t="e">
        <f>AND(#REF!,"AAAAAE9nv2Y=")</f>
        <v>#REF!</v>
      </c>
      <c r="CZ5" t="e">
        <f>AND(#REF!,"AAAAAE9nv2c=")</f>
        <v>#REF!</v>
      </c>
      <c r="DA5" t="e">
        <f>AND(#REF!,"AAAAAE9nv2g=")</f>
        <v>#REF!</v>
      </c>
      <c r="DB5" t="e">
        <f>AND(#REF!,"AAAAAE9nv2k=")</f>
        <v>#REF!</v>
      </c>
      <c r="DC5" t="e">
        <f>AND('WORLD CHAMP DWF-MUN 10'!#REF!,"AAAAAE9nv2o=")</f>
        <v>#REF!</v>
      </c>
      <c r="DD5" t="e">
        <f>AND('WORLD CHAMP DWF-MUN 10'!#REF!,"AAAAAE9nv2s=")</f>
        <v>#REF!</v>
      </c>
      <c r="DE5" t="e">
        <f>AND('WORLD CHAMP DWF-MUN 10'!#REF!,"AAAAAE9nv2w=")</f>
        <v>#REF!</v>
      </c>
      <c r="DF5" t="e">
        <f>AND('WORLD CHAMP DWF-MUN 10'!#REF!,"AAAAAE9nv20=")</f>
        <v>#REF!</v>
      </c>
      <c r="DG5" t="b">
        <f>AND('WORLD CHAMP DWF-MUN 10'!E17,"AAAAAE9nv24=")</f>
        <v>1</v>
      </c>
      <c r="DH5" t="e">
        <f>AND('WORLD CHAMP DWF-MUN 10'!F17,"AAAAAE9nv28=")</f>
        <v>#VALUE!</v>
      </c>
      <c r="DI5" t="e">
        <f>AND(#REF!,"AAAAAE9nv3A=")</f>
        <v>#REF!</v>
      </c>
      <c r="DJ5" t="e">
        <f>AND(#REF!,"AAAAAE9nv3E=")</f>
        <v>#REF!</v>
      </c>
      <c r="DK5" t="e">
        <f>AND('WORLD CHAMP DWF-MUN 10'!#REF!,"AAAAAE9nv3I=")</f>
        <v>#REF!</v>
      </c>
      <c r="DL5" t="e">
        <f>AND('WORLD CHAMP DWF-MUN 10'!#REF!,"AAAAAE9nv3M=")</f>
        <v>#REF!</v>
      </c>
      <c r="DM5" t="b">
        <f>AND('WORLD CHAMP DWF-MUN 10'!G16,"AAAAAE9nv3Q=")</f>
        <v>1</v>
      </c>
      <c r="DN5" t="e">
        <f>AND('WORLD CHAMP DWF-MUN 10'!H16,"AAAAAE9nv3U=")</f>
        <v>#VALUE!</v>
      </c>
      <c r="DO5">
        <f>IF('WORLD CHAMP DWF-MUN 10'!18:18,"AAAAAE9nv3Y=",0)</f>
        <v>0</v>
      </c>
      <c r="DP5" t="e">
        <f>AND(#REF!,"AAAAAE9nv3c=")</f>
        <v>#REF!</v>
      </c>
      <c r="DQ5" t="e">
        <f>AND(#REF!,"AAAAAE9nv3g=")</f>
        <v>#REF!</v>
      </c>
      <c r="DR5" t="e">
        <f>AND(#REF!,"AAAAAE9nv3k=")</f>
        <v>#REF!</v>
      </c>
      <c r="DS5" t="e">
        <f>AND(#REF!,"AAAAAE9nv3o=")</f>
        <v>#REF!</v>
      </c>
      <c r="DT5" t="e">
        <f>AND('WORLD CHAMP DWF-MUN 10'!#REF!,"AAAAAE9nv3s=")</f>
        <v>#REF!</v>
      </c>
      <c r="DU5" t="e">
        <f>AND('WORLD CHAMP DWF-MUN 10'!#REF!,"AAAAAE9nv3w=")</f>
        <v>#REF!</v>
      </c>
      <c r="DV5" t="e">
        <f>AND('WORLD CHAMP DWF-MUN 10'!#REF!,"AAAAAE9nv30=")</f>
        <v>#REF!</v>
      </c>
      <c r="DW5" t="e">
        <f>AND('WORLD CHAMP DWF-MUN 10'!#REF!,"AAAAAE9nv34=")</f>
        <v>#REF!</v>
      </c>
      <c r="DX5" t="e">
        <f>AND('WORLD CHAMP DWF-MUN 10'!E18,"AAAAAE9nv38=")</f>
        <v>#VALUE!</v>
      </c>
      <c r="DY5" t="e">
        <f>AND('WORLD CHAMP DWF-MUN 10'!F18,"AAAAAE9nv4A=")</f>
        <v>#VALUE!</v>
      </c>
      <c r="DZ5" t="e">
        <f>AND(#REF!,"AAAAAE9nv4E=")</f>
        <v>#REF!</v>
      </c>
      <c r="EA5" t="e">
        <f>AND(#REF!,"AAAAAE9nv4I=")</f>
        <v>#REF!</v>
      </c>
      <c r="EB5" t="e">
        <f>AND('WORLD CHAMP DWF-MUN 10'!#REF!,"AAAAAE9nv4M=")</f>
        <v>#REF!</v>
      </c>
      <c r="EC5" t="e">
        <f>AND('WORLD CHAMP DWF-MUN 10'!#REF!,"AAAAAE9nv4Q=")</f>
        <v>#REF!</v>
      </c>
      <c r="ED5" t="b">
        <f>AND('WORLD CHAMP DWF-MUN 10'!G17,"AAAAAE9nv4U=")</f>
        <v>1</v>
      </c>
      <c r="EE5" t="e">
        <f>AND('WORLD CHAMP DWF-MUN 10'!H17,"AAAAAE9nv4Y=")</f>
        <v>#VALUE!</v>
      </c>
      <c r="EF5">
        <f>IF('WORLD CHAMP DWF-MUN 10'!19:19,"AAAAAE9nv4c=",0)</f>
        <v>0</v>
      </c>
      <c r="EG5" t="e">
        <f>AND(#REF!,"AAAAAE9nv4g=")</f>
        <v>#REF!</v>
      </c>
      <c r="EH5" t="e">
        <f>AND(#REF!,"AAAAAE9nv4k=")</f>
        <v>#REF!</v>
      </c>
      <c r="EI5" t="e">
        <f>AND(#REF!,"AAAAAE9nv4o=")</f>
        <v>#REF!</v>
      </c>
      <c r="EJ5" t="e">
        <f>AND(#REF!,"AAAAAE9nv4s=")</f>
        <v>#REF!</v>
      </c>
      <c r="EK5" t="e">
        <f>AND('WORLD CHAMP DWF-MUN 10'!C17,"AAAAAE9nv4w=")</f>
        <v>#VALUE!</v>
      </c>
      <c r="EL5" t="e">
        <f>AND('WORLD CHAMP DWF-MUN 10'!D17,"AAAAAE9nv40=")</f>
        <v>#VALUE!</v>
      </c>
      <c r="EM5" t="e">
        <f>AND('WORLD CHAMP DWF-MUN 10'!#REF!,"AAAAAE9nv44=")</f>
        <v>#REF!</v>
      </c>
      <c r="EN5" t="e">
        <f>AND('WORLD CHAMP DWF-MUN 10'!#REF!,"AAAAAE9nv48=")</f>
        <v>#REF!</v>
      </c>
      <c r="EO5" t="e">
        <f>AND('WORLD CHAMP DWF-MUN 10'!E19,"AAAAAE9nv5A=")</f>
        <v>#VALUE!</v>
      </c>
      <c r="EP5" t="e">
        <f>AND('WORLD CHAMP DWF-MUN 10'!F19,"AAAAAE9nv5E=")</f>
        <v>#VALUE!</v>
      </c>
      <c r="EQ5" t="e">
        <f>AND(#REF!,"AAAAAE9nv5I=")</f>
        <v>#REF!</v>
      </c>
      <c r="ER5" t="e">
        <f>AND(#REF!,"AAAAAE9nv5M=")</f>
        <v>#REF!</v>
      </c>
      <c r="ES5" t="e">
        <f>AND('WORLD CHAMP DWF-MUN 10'!#REF!,"AAAAAE9nv5Q=")</f>
        <v>#REF!</v>
      </c>
      <c r="ET5" t="e">
        <f>AND('WORLD CHAMP DWF-MUN 10'!#REF!,"AAAAAE9nv5U=")</f>
        <v>#REF!</v>
      </c>
      <c r="EU5" t="b">
        <f>AND('WORLD CHAMP DWF-MUN 10'!G18,"AAAAAE9nv5Y=")</f>
        <v>1</v>
      </c>
      <c r="EV5" t="e">
        <f>AND('WORLD CHAMP DWF-MUN 10'!H18,"AAAAAE9nv5c=")</f>
        <v>#VALUE!</v>
      </c>
      <c r="EW5">
        <f>IF('WORLD CHAMP DWF-MUN 10'!20:20,"AAAAAE9nv5g=",0)</f>
        <v>0</v>
      </c>
      <c r="EX5" t="e">
        <f>AND(#REF!,"AAAAAE9nv5k=")</f>
        <v>#REF!</v>
      </c>
      <c r="EY5" t="e">
        <f>AND(#REF!,"AAAAAE9nv5o=")</f>
        <v>#REF!</v>
      </c>
      <c r="EZ5" t="e">
        <f>AND(#REF!,"AAAAAE9nv5s=")</f>
        <v>#REF!</v>
      </c>
      <c r="FA5" t="e">
        <f>AND(#REF!,"AAAAAE9nv5w=")</f>
        <v>#REF!</v>
      </c>
      <c r="FB5" t="e">
        <f>AND('WORLD CHAMP DWF-MUN 10'!C18,"AAAAAE9nv50=")</f>
        <v>#VALUE!</v>
      </c>
      <c r="FC5" t="e">
        <f>AND('WORLD CHAMP DWF-MUN 10'!D18,"AAAAAE9nv54=")</f>
        <v>#VALUE!</v>
      </c>
      <c r="FD5" t="e">
        <f>AND('WORLD CHAMP DWF-MUN 10'!#REF!,"AAAAAE9nv58=")</f>
        <v>#REF!</v>
      </c>
      <c r="FE5" t="e">
        <f>AND('WORLD CHAMP DWF-MUN 10'!#REF!,"AAAAAE9nv6A=")</f>
        <v>#REF!</v>
      </c>
      <c r="FF5" t="e">
        <f>AND('WORLD CHAMP DWF-MUN 10'!E20,"AAAAAE9nv6E=")</f>
        <v>#VALUE!</v>
      </c>
      <c r="FG5" t="e">
        <f>AND('WORLD CHAMP DWF-MUN 10'!F20,"AAAAAE9nv6I=")</f>
        <v>#VALUE!</v>
      </c>
      <c r="FH5" t="e">
        <f>AND(#REF!,"AAAAAE9nv6M=")</f>
        <v>#REF!</v>
      </c>
      <c r="FI5" t="e">
        <f>AND(#REF!,"AAAAAE9nv6Q=")</f>
        <v>#REF!</v>
      </c>
      <c r="FJ5" t="e">
        <f>AND('WORLD CHAMP DWF-MUN 10'!#REF!,"AAAAAE9nv6U=")</f>
        <v>#REF!</v>
      </c>
      <c r="FK5" t="e">
        <f>AND('WORLD CHAMP DWF-MUN 10'!#REF!,"AAAAAE9nv6Y=")</f>
        <v>#REF!</v>
      </c>
      <c r="FL5" t="b">
        <f>AND('WORLD CHAMP DWF-MUN 10'!G19,"AAAAAE9nv6c=")</f>
        <v>1</v>
      </c>
      <c r="FM5" t="e">
        <f>AND('WORLD CHAMP DWF-MUN 10'!H19,"AAAAAE9nv6g=")</f>
        <v>#VALUE!</v>
      </c>
      <c r="FN5">
        <f>IF('WORLD CHAMP DWF-MUN 10'!21:21,"AAAAAE9nv6k=",0)</f>
        <v>0</v>
      </c>
      <c r="FO5" t="e">
        <f>AND(#REF!,"AAAAAE9nv6o=")</f>
        <v>#REF!</v>
      </c>
      <c r="FP5" t="e">
        <f>AND(#REF!,"AAAAAE9nv6s=")</f>
        <v>#REF!</v>
      </c>
      <c r="FQ5" t="e">
        <f>AND(#REF!,"AAAAAE9nv6w=")</f>
        <v>#REF!</v>
      </c>
      <c r="FR5" t="e">
        <f>AND(#REF!,"AAAAAE9nv60=")</f>
        <v>#REF!</v>
      </c>
      <c r="FS5" t="e">
        <f>AND('WORLD CHAMP DWF-MUN 10'!C19,"AAAAAE9nv64=")</f>
        <v>#VALUE!</v>
      </c>
      <c r="FT5" t="e">
        <f>AND('WORLD CHAMP DWF-MUN 10'!D19,"AAAAAE9nv68=")</f>
        <v>#VALUE!</v>
      </c>
      <c r="FU5" t="e">
        <f>AND('WORLD CHAMP DWF-MUN 10'!#REF!,"AAAAAE9nv7A=")</f>
        <v>#REF!</v>
      </c>
      <c r="FV5" t="e">
        <f>AND('WORLD CHAMP DWF-MUN 10'!#REF!,"AAAAAE9nv7E=")</f>
        <v>#REF!</v>
      </c>
      <c r="FW5" t="e">
        <f>AND('WORLD CHAMP DWF-MUN 10'!E21,"AAAAAE9nv7I=")</f>
        <v>#VALUE!</v>
      </c>
      <c r="FX5" t="e">
        <f>AND('WORLD CHAMP DWF-MUN 10'!F21,"AAAAAE9nv7M=")</f>
        <v>#VALUE!</v>
      </c>
      <c r="FY5" t="e">
        <f>AND(#REF!,"AAAAAE9nv7Q=")</f>
        <v>#REF!</v>
      </c>
      <c r="FZ5" t="e">
        <f>AND(#REF!,"AAAAAE9nv7U=")</f>
        <v>#REF!</v>
      </c>
      <c r="GA5" t="e">
        <f>AND('WORLD CHAMP DWF-MUN 10'!#REF!,"AAAAAE9nv7Y=")</f>
        <v>#REF!</v>
      </c>
      <c r="GB5" t="e">
        <f>AND('WORLD CHAMP DWF-MUN 10'!#REF!,"AAAAAE9nv7c=")</f>
        <v>#REF!</v>
      </c>
      <c r="GC5" t="b">
        <f>AND('WORLD CHAMP DWF-MUN 10'!G20,"AAAAAE9nv7g=")</f>
        <v>1</v>
      </c>
      <c r="GD5" t="e">
        <f>AND('WORLD CHAMP DWF-MUN 10'!H20,"AAAAAE9nv7k=")</f>
        <v>#VALUE!</v>
      </c>
      <c r="GE5">
        <f>IF('WORLD CHAMP DWF-MUN 10'!22:22,"AAAAAE9nv7o=",0)</f>
        <v>0</v>
      </c>
      <c r="GF5" t="e">
        <f>AND(#REF!,"AAAAAE9nv7s=")</f>
        <v>#REF!</v>
      </c>
      <c r="GG5" t="e">
        <f>AND(#REF!,"AAAAAE9nv7w=")</f>
        <v>#REF!</v>
      </c>
      <c r="GH5" t="e">
        <f>AND(#REF!,"AAAAAE9nv70=")</f>
        <v>#REF!</v>
      </c>
      <c r="GI5" t="e">
        <f>AND(#REF!,"AAAAAE9nv74=")</f>
        <v>#REF!</v>
      </c>
      <c r="GJ5" t="e">
        <f>AND('WORLD CHAMP DWF-MUN 10'!C22,"AAAAAE9nv78=")</f>
        <v>#VALUE!</v>
      </c>
      <c r="GK5" t="e">
        <f>AND('WORLD CHAMP DWF-MUN 10'!D22,"AAAAAE9nv8A=")</f>
        <v>#VALUE!</v>
      </c>
      <c r="GL5" t="e">
        <f>AND('WORLD CHAMP DWF-MUN 10'!#REF!,"AAAAAE9nv8E=")</f>
        <v>#REF!</v>
      </c>
      <c r="GM5" t="e">
        <f>AND('WORLD CHAMP DWF-MUN 10'!#REF!,"AAAAAE9nv8I=")</f>
        <v>#REF!</v>
      </c>
      <c r="GN5" t="e">
        <f>AND('WORLD CHAMP DWF-MUN 10'!E22,"AAAAAE9nv8M=")</f>
        <v>#VALUE!</v>
      </c>
      <c r="GO5" t="e">
        <f>AND('WORLD CHAMP DWF-MUN 10'!F22,"AAAAAE9nv8Q=")</f>
        <v>#VALUE!</v>
      </c>
      <c r="GP5" t="e">
        <f>AND(#REF!,"AAAAAE9nv8U=")</f>
        <v>#REF!</v>
      </c>
      <c r="GQ5" t="e">
        <f>AND(#REF!,"AAAAAE9nv8Y=")</f>
        <v>#REF!</v>
      </c>
      <c r="GR5" t="e">
        <f>AND('WORLD CHAMP DWF-MUN 10'!#REF!,"AAAAAE9nv8c=")</f>
        <v>#REF!</v>
      </c>
      <c r="GS5" t="e">
        <f>AND('WORLD CHAMP DWF-MUN 10'!#REF!,"AAAAAE9nv8g=")</f>
        <v>#REF!</v>
      </c>
      <c r="GT5" t="b">
        <f>AND('WORLD CHAMP DWF-MUN 10'!G21,"AAAAAE9nv8k=")</f>
        <v>1</v>
      </c>
      <c r="GU5" t="e">
        <f>AND('WORLD CHAMP DWF-MUN 10'!H21,"AAAAAE9nv8o=")</f>
        <v>#VALUE!</v>
      </c>
      <c r="GV5">
        <f>IF('WORLD CHAMP DWF-MUN 10'!23:23,"AAAAAE9nv8s=",0)</f>
        <v>0</v>
      </c>
      <c r="GW5" t="e">
        <f>AND(#REF!,"AAAAAE9nv8w=")</f>
        <v>#REF!</v>
      </c>
      <c r="GX5" t="e">
        <f>AND(#REF!,"AAAAAE9nv80=")</f>
        <v>#REF!</v>
      </c>
      <c r="GY5" t="e">
        <f>AND(#REF!,"AAAAAE9nv84=")</f>
        <v>#REF!</v>
      </c>
      <c r="GZ5" t="e">
        <f>AND(#REF!,"AAAAAE9nv88=")</f>
        <v>#REF!</v>
      </c>
      <c r="HA5" t="e">
        <f>AND('WORLD CHAMP DWF-MUN 10'!C23,"AAAAAE9nv9A=")</f>
        <v>#VALUE!</v>
      </c>
      <c r="HB5" t="e">
        <f>AND('WORLD CHAMP DWF-MUN 10'!D23,"AAAAAE9nv9E=")</f>
        <v>#VALUE!</v>
      </c>
      <c r="HC5" t="e">
        <f>AND('WORLD CHAMP DWF-MUN 10'!#REF!,"AAAAAE9nv9I=")</f>
        <v>#REF!</v>
      </c>
      <c r="HD5" t="e">
        <f>AND('WORLD CHAMP DWF-MUN 10'!#REF!,"AAAAAE9nv9M=")</f>
        <v>#REF!</v>
      </c>
      <c r="HE5" t="e">
        <f>AND('WORLD CHAMP DWF-MUN 10'!E23,"AAAAAE9nv9Q=")</f>
        <v>#VALUE!</v>
      </c>
      <c r="HF5" t="e">
        <f>AND('WORLD CHAMP DWF-MUN 10'!F23,"AAAAAE9nv9U=")</f>
        <v>#VALUE!</v>
      </c>
      <c r="HG5" t="e">
        <f>AND(#REF!,"AAAAAE9nv9Y=")</f>
        <v>#REF!</v>
      </c>
      <c r="HH5" t="e">
        <f>AND(#REF!,"AAAAAE9nv9c=")</f>
        <v>#REF!</v>
      </c>
      <c r="HI5" t="e">
        <f>AND('WORLD CHAMP DWF-MUN 10'!#REF!,"AAAAAE9nv9g=")</f>
        <v>#REF!</v>
      </c>
      <c r="HJ5" t="e">
        <f>AND('WORLD CHAMP DWF-MUN 10'!#REF!,"AAAAAE9nv9k=")</f>
        <v>#REF!</v>
      </c>
      <c r="HK5" t="b">
        <f>AND('WORLD CHAMP DWF-MUN 10'!G22,"AAAAAE9nv9o=")</f>
        <v>1</v>
      </c>
      <c r="HL5" t="e">
        <f>AND('WORLD CHAMP DWF-MUN 10'!H22,"AAAAAE9nv9s=")</f>
        <v>#VALUE!</v>
      </c>
      <c r="HM5">
        <f>IF('WORLD CHAMP DWF-MUN 10'!24:24,"AAAAAE9nv9w=",0)</f>
        <v>0</v>
      </c>
      <c r="HN5" t="e">
        <f>AND(#REF!,"AAAAAE9nv90=")</f>
        <v>#REF!</v>
      </c>
      <c r="HO5" t="e">
        <f>AND(#REF!,"AAAAAE9nv94=")</f>
        <v>#REF!</v>
      </c>
      <c r="HP5" t="e">
        <f>AND(#REF!,"AAAAAE9nv98=")</f>
        <v>#REF!</v>
      </c>
      <c r="HQ5" t="e">
        <f>AND(#REF!,"AAAAAE9nv+A=")</f>
        <v>#REF!</v>
      </c>
      <c r="HR5" t="e">
        <f>AND('WORLD CHAMP DWF-MUN 10'!C24,"AAAAAE9nv+E=")</f>
        <v>#VALUE!</v>
      </c>
      <c r="HS5" t="e">
        <f>AND('WORLD CHAMP DWF-MUN 10'!D24,"AAAAAE9nv+I=")</f>
        <v>#VALUE!</v>
      </c>
      <c r="HT5" t="e">
        <f>AND('WORLD CHAMP DWF-MUN 10'!#REF!,"AAAAAE9nv+M=")</f>
        <v>#REF!</v>
      </c>
      <c r="HU5" t="e">
        <f>AND('WORLD CHAMP DWF-MUN 10'!#REF!,"AAAAAE9nv+Q=")</f>
        <v>#REF!</v>
      </c>
      <c r="HV5" t="e">
        <f>AND('WORLD CHAMP DWF-MUN 10'!#REF!,"AAAAAE9nv+U=")</f>
        <v>#REF!</v>
      </c>
      <c r="HW5" t="e">
        <f>AND('WORLD CHAMP DWF-MUN 10'!#REF!,"AAAAAE9nv+Y=")</f>
        <v>#REF!</v>
      </c>
      <c r="HX5" t="e">
        <f>AND(#REF!,"AAAAAE9nv+c=")</f>
        <v>#REF!</v>
      </c>
      <c r="HY5" t="e">
        <f>AND(#REF!,"AAAAAE9nv+g=")</f>
        <v>#REF!</v>
      </c>
      <c r="HZ5" t="e">
        <f>AND('WORLD CHAMP DWF-MUN 10'!#REF!,"AAAAAE9nv+k=")</f>
        <v>#REF!</v>
      </c>
      <c r="IA5" t="e">
        <f>AND('WORLD CHAMP DWF-MUN 10'!#REF!,"AAAAAE9nv+o=")</f>
        <v>#REF!</v>
      </c>
      <c r="IB5" t="b">
        <f>AND('WORLD CHAMP DWF-MUN 10'!G23,"AAAAAE9nv+s=")</f>
        <v>1</v>
      </c>
      <c r="IC5" t="e">
        <f>AND('WORLD CHAMP DWF-MUN 10'!H23,"AAAAAE9nv+w=")</f>
        <v>#VALUE!</v>
      </c>
      <c r="ID5">
        <f>IF('WORLD CHAMP DWF-MUN 10'!25:25,"AAAAAE9nv+0=",0)</f>
        <v>0</v>
      </c>
      <c r="IE5" t="e">
        <f>AND(#REF!,"AAAAAE9nv+4=")</f>
        <v>#REF!</v>
      </c>
      <c r="IF5" t="e">
        <f>AND(#REF!,"AAAAAE9nv+8=")</f>
        <v>#REF!</v>
      </c>
      <c r="IG5" t="e">
        <f>AND(#REF!,"AAAAAE9nv/A=")</f>
        <v>#REF!</v>
      </c>
      <c r="IH5" t="e">
        <f>AND(#REF!,"AAAAAE9nv/E=")</f>
        <v>#REF!</v>
      </c>
      <c r="II5" t="e">
        <f>AND('WORLD CHAMP DWF-MUN 10'!C25,"AAAAAE9nv/I=")</f>
        <v>#VALUE!</v>
      </c>
      <c r="IJ5" t="e">
        <f>AND('WORLD CHAMP DWF-MUN 10'!D25,"AAAAAE9nv/M=")</f>
        <v>#VALUE!</v>
      </c>
      <c r="IK5" t="e">
        <f>AND('WORLD CHAMP DWF-MUN 10'!#REF!,"AAAAAE9nv/Q=")</f>
        <v>#REF!</v>
      </c>
      <c r="IL5" t="e">
        <f>AND('WORLD CHAMP DWF-MUN 10'!#REF!,"AAAAAE9nv/U=")</f>
        <v>#REF!</v>
      </c>
      <c r="IM5" t="e">
        <f>AND('WORLD CHAMP DWF-MUN 10'!E25,"AAAAAE9nv/Y=")</f>
        <v>#VALUE!</v>
      </c>
      <c r="IN5" t="e">
        <f>AND('WORLD CHAMP DWF-MUN 10'!F25,"AAAAAE9nv/c=")</f>
        <v>#VALUE!</v>
      </c>
      <c r="IO5" t="e">
        <f>AND(#REF!,"AAAAAE9nv/g=")</f>
        <v>#REF!</v>
      </c>
      <c r="IP5" t="e">
        <f>AND(#REF!,"AAAAAE9nv/k=")</f>
        <v>#REF!</v>
      </c>
      <c r="IQ5" t="e">
        <f>AND('WORLD CHAMP DWF-MUN 10'!#REF!,"AAAAAE9nv/o=")</f>
        <v>#REF!</v>
      </c>
      <c r="IR5" t="e">
        <f>AND('WORLD CHAMP DWF-MUN 10'!#REF!,"AAAAAE9nv/s=")</f>
        <v>#REF!</v>
      </c>
      <c r="IS5" t="b">
        <f>AND('WORLD CHAMP DWF-MUN 10'!G24,"AAAAAE9nv/w=")</f>
        <v>1</v>
      </c>
      <c r="IT5" t="e">
        <f>AND('WORLD CHAMP DWF-MUN 10'!H24,"AAAAAE9nv/0=")</f>
        <v>#VALUE!</v>
      </c>
      <c r="IU5">
        <f>IF('WORLD CHAMP DWF-MUN 10'!26:26,"AAAAAE9nv/4=",0)</f>
        <v>0</v>
      </c>
      <c r="IV5" t="e">
        <f>AND(#REF!,"AAAAAE9nv/8=")</f>
        <v>#REF!</v>
      </c>
    </row>
    <row r="6" spans="1:256">
      <c r="A6" t="e">
        <f>AND(#REF!,"AAAAAFzf+QA=")</f>
        <v>#REF!</v>
      </c>
      <c r="B6" t="e">
        <f>AND(#REF!,"AAAAAFzf+QE=")</f>
        <v>#REF!</v>
      </c>
      <c r="C6" t="e">
        <f>AND(#REF!,"AAAAAFzf+QI=")</f>
        <v>#REF!</v>
      </c>
      <c r="D6" t="e">
        <f>AND('WORLD CHAMP DWF-MUN 10'!C26,"AAAAAFzf+QM=")</f>
        <v>#VALUE!</v>
      </c>
      <c r="E6" t="e">
        <f>AND('WORLD CHAMP DWF-MUN 10'!D26,"AAAAAFzf+QQ=")</f>
        <v>#VALUE!</v>
      </c>
      <c r="F6" t="e">
        <f>AND('WORLD CHAMP DWF-MUN 10'!#REF!,"AAAAAFzf+QU=")</f>
        <v>#REF!</v>
      </c>
      <c r="G6" t="e">
        <f>AND('WORLD CHAMP DWF-MUN 10'!#REF!,"AAAAAFzf+QY=")</f>
        <v>#REF!</v>
      </c>
      <c r="H6" t="e">
        <f>AND('WORLD CHAMP DWF-MUN 10'!E26,"AAAAAFzf+Qc=")</f>
        <v>#VALUE!</v>
      </c>
      <c r="I6" t="e">
        <f>AND('WORLD CHAMP DWF-MUN 10'!F26,"AAAAAFzf+Qg=")</f>
        <v>#VALUE!</v>
      </c>
      <c r="J6" t="e">
        <f>AND(#REF!,"AAAAAFzf+Qk=")</f>
        <v>#REF!</v>
      </c>
      <c r="K6" t="e">
        <f>AND(#REF!,"AAAAAFzf+Qo=")</f>
        <v>#REF!</v>
      </c>
      <c r="L6" t="e">
        <f>AND('WORLD CHAMP DWF-MUN 10'!#REF!,"AAAAAFzf+Qs=")</f>
        <v>#REF!</v>
      </c>
      <c r="M6" t="e">
        <f>AND('WORLD CHAMP DWF-MUN 10'!#REF!,"AAAAAFzf+Qw=")</f>
        <v>#REF!</v>
      </c>
      <c r="N6" t="b">
        <f>AND('WORLD CHAMP DWF-MUN 10'!G25,"AAAAAFzf+Q0=")</f>
        <v>1</v>
      </c>
      <c r="O6" t="e">
        <f>AND('WORLD CHAMP DWF-MUN 10'!H25,"AAAAAFzf+Q4=")</f>
        <v>#VALUE!</v>
      </c>
      <c r="P6">
        <f>IF('WORLD CHAMP DWF-MUN 10'!27:27,"AAAAAFzf+Q8=",0)</f>
        <v>0</v>
      </c>
      <c r="Q6" t="e">
        <f>AND(#REF!,"AAAAAFzf+RA=")</f>
        <v>#REF!</v>
      </c>
      <c r="R6" t="e">
        <f>AND(#REF!,"AAAAAFzf+RE=")</f>
        <v>#REF!</v>
      </c>
      <c r="S6" t="e">
        <f>AND(#REF!,"AAAAAFzf+RI=")</f>
        <v>#REF!</v>
      </c>
      <c r="T6" t="e">
        <f>AND(#REF!,"AAAAAFzf+RM=")</f>
        <v>#REF!</v>
      </c>
      <c r="U6" t="e">
        <f>AND('WORLD CHAMP DWF-MUN 10'!C27,"AAAAAFzf+RQ=")</f>
        <v>#VALUE!</v>
      </c>
      <c r="V6" t="e">
        <f>AND('WORLD CHAMP DWF-MUN 10'!D27,"AAAAAFzf+RU=")</f>
        <v>#VALUE!</v>
      </c>
      <c r="W6" t="e">
        <f>AND('WORLD CHAMP DWF-MUN 10'!#REF!,"AAAAAFzf+RY=")</f>
        <v>#REF!</v>
      </c>
      <c r="X6" t="e">
        <f>AND('WORLD CHAMP DWF-MUN 10'!#REF!,"AAAAAFzf+Rc=")</f>
        <v>#REF!</v>
      </c>
      <c r="Y6" t="e">
        <f>AND('WORLD CHAMP DWF-MUN 10'!E27,"AAAAAFzf+Rg=")</f>
        <v>#VALUE!</v>
      </c>
      <c r="Z6" t="e">
        <f>AND('WORLD CHAMP DWF-MUN 10'!F27,"AAAAAFzf+Rk=")</f>
        <v>#VALUE!</v>
      </c>
      <c r="AA6" t="e">
        <f>AND(#REF!,"AAAAAFzf+Ro=")</f>
        <v>#REF!</v>
      </c>
      <c r="AB6" t="e">
        <f>AND(#REF!,"AAAAAFzf+Rs=")</f>
        <v>#REF!</v>
      </c>
      <c r="AC6" t="e">
        <f>AND('WORLD CHAMP DWF-MUN 10'!#REF!,"AAAAAFzf+Rw=")</f>
        <v>#REF!</v>
      </c>
      <c r="AD6" t="e">
        <f>AND('WORLD CHAMP DWF-MUN 10'!#REF!,"AAAAAFzf+R0=")</f>
        <v>#REF!</v>
      </c>
      <c r="AE6" t="e">
        <f>AND('WORLD CHAMP DWF-MUN 10'!G27,"AAAAAFzf+R4=")</f>
        <v>#VALUE!</v>
      </c>
      <c r="AF6" t="e">
        <f>AND('WORLD CHAMP DWF-MUN 10'!H27,"AAAAAFzf+R8=")</f>
        <v>#VALUE!</v>
      </c>
      <c r="AG6">
        <f>IF('WORLD CHAMP DWF-MUN 10'!28:28,"AAAAAFzf+SA=",0)</f>
        <v>0</v>
      </c>
      <c r="AH6" t="e">
        <f>AND(#REF!,"AAAAAFzf+SE=")</f>
        <v>#REF!</v>
      </c>
      <c r="AI6" t="e">
        <f>AND(#REF!,"AAAAAFzf+SI=")</f>
        <v>#REF!</v>
      </c>
      <c r="AJ6" t="e">
        <f>AND(#REF!,"AAAAAFzf+SM=")</f>
        <v>#REF!</v>
      </c>
      <c r="AK6" t="e">
        <f>AND(#REF!,"AAAAAFzf+SQ=")</f>
        <v>#REF!</v>
      </c>
      <c r="AL6" t="e">
        <f>AND('WORLD CHAMP DWF-MUN 10'!C28,"AAAAAFzf+SU=")</f>
        <v>#VALUE!</v>
      </c>
      <c r="AM6" t="e">
        <f>AND('WORLD CHAMP DWF-MUN 10'!D28,"AAAAAFzf+SY=")</f>
        <v>#VALUE!</v>
      </c>
      <c r="AN6" t="e">
        <f>AND('WORLD CHAMP DWF-MUN 10'!#REF!,"AAAAAFzf+Sc=")</f>
        <v>#REF!</v>
      </c>
      <c r="AO6" t="e">
        <f>AND('WORLD CHAMP DWF-MUN 10'!#REF!,"AAAAAFzf+Sg=")</f>
        <v>#REF!</v>
      </c>
      <c r="AP6" t="e">
        <f>AND('WORLD CHAMP DWF-MUN 10'!E28,"AAAAAFzf+Sk=")</f>
        <v>#VALUE!</v>
      </c>
      <c r="AQ6" t="e">
        <f>AND('WORLD CHAMP DWF-MUN 10'!F28,"AAAAAFzf+So=")</f>
        <v>#VALUE!</v>
      </c>
      <c r="AR6" t="e">
        <f>AND(#REF!,"AAAAAFzf+Ss=")</f>
        <v>#REF!</v>
      </c>
      <c r="AS6" t="e">
        <f>AND(#REF!,"AAAAAFzf+Sw=")</f>
        <v>#REF!</v>
      </c>
      <c r="AT6" t="e">
        <f>AND('WORLD CHAMP DWF-MUN 10'!#REF!,"AAAAAFzf+S0=")</f>
        <v>#REF!</v>
      </c>
      <c r="AU6" t="e">
        <f>AND('WORLD CHAMP DWF-MUN 10'!#REF!,"AAAAAFzf+S4=")</f>
        <v>#REF!</v>
      </c>
      <c r="AV6" t="e">
        <f>AND('WORLD CHAMP DWF-MUN 10'!G28,"AAAAAFzf+S8=")</f>
        <v>#VALUE!</v>
      </c>
      <c r="AW6" t="e">
        <f>AND('WORLD CHAMP DWF-MUN 10'!H28,"AAAAAFzf+TA=")</f>
        <v>#VALUE!</v>
      </c>
      <c r="AX6">
        <f>IF('WORLD CHAMP DWF-MUN 10'!29:29,"AAAAAFzf+TE=",0)</f>
        <v>0</v>
      </c>
      <c r="AY6" t="e">
        <f>AND(#REF!,"AAAAAFzf+TI=")</f>
        <v>#REF!</v>
      </c>
      <c r="AZ6" t="e">
        <f>AND(#REF!,"AAAAAFzf+TM=")</f>
        <v>#REF!</v>
      </c>
      <c r="BA6" t="e">
        <f>AND(#REF!,"AAAAAFzf+TQ=")</f>
        <v>#REF!</v>
      </c>
      <c r="BB6" t="e">
        <f>AND(#REF!,"AAAAAFzf+TU=")</f>
        <v>#REF!</v>
      </c>
      <c r="BC6" t="e">
        <f>AND('WORLD CHAMP DWF-MUN 10'!C29,"AAAAAFzf+TY=")</f>
        <v>#VALUE!</v>
      </c>
      <c r="BD6" t="e">
        <f>AND('WORLD CHAMP DWF-MUN 10'!D29,"AAAAAFzf+Tc=")</f>
        <v>#VALUE!</v>
      </c>
      <c r="BE6" t="e">
        <f>AND('WORLD CHAMP DWF-MUN 10'!#REF!,"AAAAAFzf+Tg=")</f>
        <v>#REF!</v>
      </c>
      <c r="BF6" t="e">
        <f>AND('WORLD CHAMP DWF-MUN 10'!#REF!,"AAAAAFzf+Tk=")</f>
        <v>#REF!</v>
      </c>
      <c r="BG6" t="e">
        <f>AND('WORLD CHAMP DWF-MUN 10'!E29,"AAAAAFzf+To=")</f>
        <v>#VALUE!</v>
      </c>
      <c r="BH6" t="e">
        <f>AND('WORLD CHAMP DWF-MUN 10'!F29,"AAAAAFzf+Ts=")</f>
        <v>#VALUE!</v>
      </c>
      <c r="BI6" t="e">
        <f>AND(#REF!,"AAAAAFzf+Tw=")</f>
        <v>#REF!</v>
      </c>
      <c r="BJ6" t="e">
        <f>AND(#REF!,"AAAAAFzf+T0=")</f>
        <v>#REF!</v>
      </c>
      <c r="BK6" t="e">
        <f>AND('WORLD CHAMP DWF-MUN 10'!#REF!,"AAAAAFzf+T4=")</f>
        <v>#REF!</v>
      </c>
      <c r="BL6" t="e">
        <f>AND('WORLD CHAMP DWF-MUN 10'!#REF!,"AAAAAFzf+T8=")</f>
        <v>#REF!</v>
      </c>
      <c r="BM6" t="e">
        <f>AND('WORLD CHAMP DWF-MUN 10'!G29,"AAAAAFzf+UA=")</f>
        <v>#VALUE!</v>
      </c>
      <c r="BN6" t="e">
        <f>AND('WORLD CHAMP DWF-MUN 10'!H29,"AAAAAFzf+UE=")</f>
        <v>#VALUE!</v>
      </c>
      <c r="BO6">
        <f>IF('WORLD CHAMP DWF-MUN 10'!30:30,"AAAAAFzf+UI=",0)</f>
        <v>0</v>
      </c>
      <c r="BP6" t="e">
        <f>AND(#REF!,"AAAAAFzf+UM=")</f>
        <v>#REF!</v>
      </c>
      <c r="BQ6" t="e">
        <f>AND(#REF!,"AAAAAFzf+UQ=")</f>
        <v>#REF!</v>
      </c>
      <c r="BR6" t="e">
        <f>AND(#REF!,"AAAAAFzf+UU=")</f>
        <v>#REF!</v>
      </c>
      <c r="BS6" t="e">
        <f>AND(#REF!,"AAAAAFzf+UY=")</f>
        <v>#REF!</v>
      </c>
      <c r="BT6" t="e">
        <f>AND('WORLD CHAMP DWF-MUN 10'!C30,"AAAAAFzf+Uc=")</f>
        <v>#VALUE!</v>
      </c>
      <c r="BU6" t="e">
        <f>AND('WORLD CHAMP DWF-MUN 10'!D30,"AAAAAFzf+Ug=")</f>
        <v>#VALUE!</v>
      </c>
      <c r="BV6" t="e">
        <f>AND('WORLD CHAMP DWF-MUN 10'!#REF!,"AAAAAFzf+Uk=")</f>
        <v>#REF!</v>
      </c>
      <c r="BW6" t="e">
        <f>AND('WORLD CHAMP DWF-MUN 10'!#REF!,"AAAAAFzf+Uo=")</f>
        <v>#REF!</v>
      </c>
      <c r="BX6" t="e">
        <f>AND('WORLD CHAMP DWF-MUN 10'!E30,"AAAAAFzf+Us=")</f>
        <v>#VALUE!</v>
      </c>
      <c r="BY6" t="e">
        <f>AND('WORLD CHAMP DWF-MUN 10'!F30,"AAAAAFzf+Uw=")</f>
        <v>#VALUE!</v>
      </c>
      <c r="BZ6" t="e">
        <f>AND(#REF!,"AAAAAFzf+U0=")</f>
        <v>#REF!</v>
      </c>
      <c r="CA6" t="e">
        <f>AND(#REF!,"AAAAAFzf+U4=")</f>
        <v>#REF!</v>
      </c>
      <c r="CB6" t="e">
        <f>AND('WORLD CHAMP DWF-MUN 10'!#REF!,"AAAAAFzf+U8=")</f>
        <v>#REF!</v>
      </c>
      <c r="CC6" t="e">
        <f>AND('WORLD CHAMP DWF-MUN 10'!#REF!,"AAAAAFzf+VA=")</f>
        <v>#REF!</v>
      </c>
      <c r="CD6" t="e">
        <f>AND('WORLD CHAMP DWF-MUN 10'!G30,"AAAAAFzf+VE=")</f>
        <v>#VALUE!</v>
      </c>
      <c r="CE6" t="e">
        <f>AND('WORLD CHAMP DWF-MUN 10'!H30,"AAAAAFzf+VI=")</f>
        <v>#VALUE!</v>
      </c>
      <c r="CF6">
        <f>IF('WORLD CHAMP DWF-MUN 10'!31:31,"AAAAAFzf+VM=",0)</f>
        <v>0</v>
      </c>
      <c r="CG6" t="e">
        <f>AND(#REF!,"AAAAAFzf+VQ=")</f>
        <v>#REF!</v>
      </c>
      <c r="CH6" t="e">
        <f>AND(#REF!,"AAAAAFzf+VU=")</f>
        <v>#REF!</v>
      </c>
      <c r="CI6" t="e">
        <f>AND(#REF!,"AAAAAFzf+VY=")</f>
        <v>#REF!</v>
      </c>
      <c r="CJ6" t="e">
        <f>AND(#REF!,"AAAAAFzf+Vc=")</f>
        <v>#REF!</v>
      </c>
      <c r="CK6" t="e">
        <f>AND('WORLD CHAMP DWF-MUN 10'!C31,"AAAAAFzf+Vg=")</f>
        <v>#VALUE!</v>
      </c>
      <c r="CL6" t="e">
        <f>AND('WORLD CHAMP DWF-MUN 10'!D31,"AAAAAFzf+Vk=")</f>
        <v>#VALUE!</v>
      </c>
      <c r="CM6" t="e">
        <f>AND('WORLD CHAMP DWF-MUN 10'!#REF!,"AAAAAFzf+Vo=")</f>
        <v>#REF!</v>
      </c>
      <c r="CN6" t="e">
        <f>AND('WORLD CHAMP DWF-MUN 10'!#REF!,"AAAAAFzf+Vs=")</f>
        <v>#REF!</v>
      </c>
      <c r="CO6" t="e">
        <f>AND('WORLD CHAMP DWF-MUN 10'!E31,"AAAAAFzf+Vw=")</f>
        <v>#VALUE!</v>
      </c>
      <c r="CP6" t="e">
        <f>AND('WORLD CHAMP DWF-MUN 10'!F31,"AAAAAFzf+V0=")</f>
        <v>#VALUE!</v>
      </c>
      <c r="CQ6" t="e">
        <f>AND(#REF!,"AAAAAFzf+V4=")</f>
        <v>#REF!</v>
      </c>
      <c r="CR6" t="e">
        <f>AND(#REF!,"AAAAAFzf+V8=")</f>
        <v>#REF!</v>
      </c>
      <c r="CS6" t="e">
        <f>AND('WORLD CHAMP DWF-MUN 10'!#REF!,"AAAAAFzf+WA=")</f>
        <v>#REF!</v>
      </c>
      <c r="CT6" t="e">
        <f>AND('WORLD CHAMP DWF-MUN 10'!#REF!,"AAAAAFzf+WE=")</f>
        <v>#REF!</v>
      </c>
      <c r="CU6" t="e">
        <f>AND('WORLD CHAMP DWF-MUN 10'!G31,"AAAAAFzf+WI=")</f>
        <v>#VALUE!</v>
      </c>
      <c r="CV6" t="e">
        <f>AND('WORLD CHAMP DWF-MUN 10'!H31,"AAAAAFzf+WM=")</f>
        <v>#VALUE!</v>
      </c>
      <c r="CW6">
        <f>IF('WORLD CHAMP DWF-MUN 10'!32:32,"AAAAAFzf+WQ=",0)</f>
        <v>0</v>
      </c>
      <c r="CX6" t="e">
        <f>AND(#REF!,"AAAAAFzf+WU=")</f>
        <v>#REF!</v>
      </c>
      <c r="CY6" t="e">
        <f>AND(#REF!,"AAAAAFzf+WY=")</f>
        <v>#REF!</v>
      </c>
      <c r="CZ6" t="e">
        <f>AND(#REF!,"AAAAAFzf+Wc=")</f>
        <v>#REF!</v>
      </c>
      <c r="DA6" t="e">
        <f>AND(#REF!,"AAAAAFzf+Wg=")</f>
        <v>#REF!</v>
      </c>
      <c r="DB6" t="e">
        <f>AND('WORLD CHAMP DWF-MUN 10'!C32,"AAAAAFzf+Wk=")</f>
        <v>#VALUE!</v>
      </c>
      <c r="DC6" t="e">
        <f>AND('WORLD CHAMP DWF-MUN 10'!D32,"AAAAAFzf+Wo=")</f>
        <v>#VALUE!</v>
      </c>
      <c r="DD6" t="e">
        <f>AND('WORLD CHAMP DWF-MUN 10'!#REF!,"AAAAAFzf+Ws=")</f>
        <v>#REF!</v>
      </c>
      <c r="DE6" t="e">
        <f>AND('WORLD CHAMP DWF-MUN 10'!#REF!,"AAAAAFzf+Ww=")</f>
        <v>#REF!</v>
      </c>
      <c r="DF6" t="e">
        <f>AND('WORLD CHAMP DWF-MUN 10'!E32,"AAAAAFzf+W0=")</f>
        <v>#VALUE!</v>
      </c>
      <c r="DG6" t="e">
        <f>AND('WORLD CHAMP DWF-MUN 10'!F32,"AAAAAFzf+W4=")</f>
        <v>#VALUE!</v>
      </c>
      <c r="DH6" t="e">
        <f>AND(#REF!,"AAAAAFzf+W8=")</f>
        <v>#REF!</v>
      </c>
      <c r="DI6" t="e">
        <f>AND(#REF!,"AAAAAFzf+XA=")</f>
        <v>#REF!</v>
      </c>
      <c r="DJ6" t="e">
        <f>AND('WORLD CHAMP DWF-MUN 10'!#REF!,"AAAAAFzf+XE=")</f>
        <v>#REF!</v>
      </c>
      <c r="DK6" t="e">
        <f>AND('WORLD CHAMP DWF-MUN 10'!#REF!,"AAAAAFzf+XI=")</f>
        <v>#REF!</v>
      </c>
      <c r="DL6" t="e">
        <f>AND('WORLD CHAMP DWF-MUN 10'!G32,"AAAAAFzf+XM=")</f>
        <v>#VALUE!</v>
      </c>
      <c r="DM6" t="e">
        <f>AND('WORLD CHAMP DWF-MUN 10'!H32,"AAAAAFzf+XQ=")</f>
        <v>#VALUE!</v>
      </c>
      <c r="DN6">
        <f>IF('WORLD CHAMP DWF-MUN 10'!33:33,"AAAAAFzf+XU=",0)</f>
        <v>0</v>
      </c>
      <c r="DO6" t="e">
        <f>AND(#REF!,"AAAAAFzf+XY=")</f>
        <v>#REF!</v>
      </c>
      <c r="DP6" t="e">
        <f>AND(#REF!,"AAAAAFzf+Xc=")</f>
        <v>#REF!</v>
      </c>
      <c r="DQ6" t="e">
        <f>AND(#REF!,"AAAAAFzf+Xg=")</f>
        <v>#REF!</v>
      </c>
      <c r="DR6" t="e">
        <f>AND(#REF!,"AAAAAFzf+Xk=")</f>
        <v>#REF!</v>
      </c>
      <c r="DS6" t="e">
        <f>AND('WORLD CHAMP DWF-MUN 10'!C33,"AAAAAFzf+Xo=")</f>
        <v>#VALUE!</v>
      </c>
      <c r="DT6" t="e">
        <f>AND('WORLD CHAMP DWF-MUN 10'!D33,"AAAAAFzf+Xs=")</f>
        <v>#VALUE!</v>
      </c>
      <c r="DU6" t="e">
        <f>AND('WORLD CHAMP DWF-MUN 10'!#REF!,"AAAAAFzf+Xw=")</f>
        <v>#REF!</v>
      </c>
      <c r="DV6" t="e">
        <f>AND('WORLD CHAMP DWF-MUN 10'!#REF!,"AAAAAFzf+X0=")</f>
        <v>#REF!</v>
      </c>
      <c r="DW6" t="e">
        <f>AND('WORLD CHAMP DWF-MUN 10'!E33,"AAAAAFzf+X4=")</f>
        <v>#VALUE!</v>
      </c>
      <c r="DX6" t="e">
        <f>AND('WORLD CHAMP DWF-MUN 10'!F33,"AAAAAFzf+X8=")</f>
        <v>#VALUE!</v>
      </c>
      <c r="DY6" t="e">
        <f>AND(#REF!,"AAAAAFzf+YA=")</f>
        <v>#REF!</v>
      </c>
      <c r="DZ6" t="e">
        <f>AND(#REF!,"AAAAAFzf+YE=")</f>
        <v>#REF!</v>
      </c>
      <c r="EA6" t="e">
        <f>AND('WORLD CHAMP DWF-MUN 10'!#REF!,"AAAAAFzf+YI=")</f>
        <v>#REF!</v>
      </c>
      <c r="EB6" t="e">
        <f>AND('WORLD CHAMP DWF-MUN 10'!#REF!,"AAAAAFzf+YM=")</f>
        <v>#REF!</v>
      </c>
      <c r="EC6" t="e">
        <f>AND('WORLD CHAMP DWF-MUN 10'!G33,"AAAAAFzf+YQ=")</f>
        <v>#VALUE!</v>
      </c>
      <c r="ED6" t="e">
        <f>AND('WORLD CHAMP DWF-MUN 10'!H33,"AAAAAFzf+YU=")</f>
        <v>#VALUE!</v>
      </c>
      <c r="EE6">
        <f>IF('WORLD CHAMP DWF-MUN 10'!34:34,"AAAAAFzf+YY=",0)</f>
        <v>0</v>
      </c>
      <c r="EF6" t="e">
        <f>AND(#REF!,"AAAAAFzf+Yc=")</f>
        <v>#REF!</v>
      </c>
      <c r="EG6" t="e">
        <f>AND(#REF!,"AAAAAFzf+Yg=")</f>
        <v>#REF!</v>
      </c>
      <c r="EH6" t="e">
        <f>AND(#REF!,"AAAAAFzf+Yk=")</f>
        <v>#REF!</v>
      </c>
      <c r="EI6" t="e">
        <f>AND(#REF!,"AAAAAFzf+Yo=")</f>
        <v>#REF!</v>
      </c>
      <c r="EJ6" t="e">
        <f>AND('WORLD CHAMP DWF-MUN 10'!C34,"AAAAAFzf+Ys=")</f>
        <v>#VALUE!</v>
      </c>
      <c r="EK6" t="e">
        <f>AND('WORLD CHAMP DWF-MUN 10'!D34,"AAAAAFzf+Yw=")</f>
        <v>#VALUE!</v>
      </c>
      <c r="EL6" t="e">
        <f>AND('WORLD CHAMP DWF-MUN 10'!#REF!,"AAAAAFzf+Y0=")</f>
        <v>#REF!</v>
      </c>
      <c r="EM6" t="e">
        <f>AND('WORLD CHAMP DWF-MUN 10'!#REF!,"AAAAAFzf+Y4=")</f>
        <v>#REF!</v>
      </c>
      <c r="EN6" t="e">
        <f>AND('WORLD CHAMP DWF-MUN 10'!E34,"AAAAAFzf+Y8=")</f>
        <v>#VALUE!</v>
      </c>
      <c r="EO6" t="e">
        <f>AND('WORLD CHAMP DWF-MUN 10'!F34,"AAAAAFzf+ZA=")</f>
        <v>#VALUE!</v>
      </c>
      <c r="EP6" t="e">
        <f>AND(#REF!,"AAAAAFzf+ZE=")</f>
        <v>#REF!</v>
      </c>
      <c r="EQ6" t="e">
        <f>AND(#REF!,"AAAAAFzf+ZI=")</f>
        <v>#REF!</v>
      </c>
      <c r="ER6" t="e">
        <f>AND('WORLD CHAMP DWF-MUN 10'!#REF!,"AAAAAFzf+ZM=")</f>
        <v>#REF!</v>
      </c>
      <c r="ES6" t="e">
        <f>AND('WORLD CHAMP DWF-MUN 10'!#REF!,"AAAAAFzf+ZQ=")</f>
        <v>#REF!</v>
      </c>
      <c r="ET6" t="e">
        <f>AND('WORLD CHAMP DWF-MUN 10'!G34,"AAAAAFzf+ZU=")</f>
        <v>#VALUE!</v>
      </c>
      <c r="EU6" t="e">
        <f>AND('WORLD CHAMP DWF-MUN 10'!H34,"AAAAAFzf+ZY=")</f>
        <v>#VALUE!</v>
      </c>
      <c r="EV6">
        <f>IF('WORLD CHAMP DWF-MUN 10'!35:35,"AAAAAFzf+Zc=",0)</f>
        <v>0</v>
      </c>
      <c r="EW6" t="e">
        <f>AND(#REF!,"AAAAAFzf+Zg=")</f>
        <v>#REF!</v>
      </c>
      <c r="EX6" t="e">
        <f>AND(#REF!,"AAAAAFzf+Zk=")</f>
        <v>#REF!</v>
      </c>
      <c r="EY6" t="e">
        <f>AND(#REF!,"AAAAAFzf+Zo=")</f>
        <v>#REF!</v>
      </c>
      <c r="EZ6" t="e">
        <f>AND(#REF!,"AAAAAFzf+Zs=")</f>
        <v>#REF!</v>
      </c>
      <c r="FA6" t="e">
        <f>AND('WORLD CHAMP DWF-MUN 10'!C35,"AAAAAFzf+Zw=")</f>
        <v>#VALUE!</v>
      </c>
      <c r="FB6" t="e">
        <f>AND('WORLD CHAMP DWF-MUN 10'!D35,"AAAAAFzf+Z0=")</f>
        <v>#VALUE!</v>
      </c>
      <c r="FC6" t="e">
        <f>AND('WORLD CHAMP DWF-MUN 10'!#REF!,"AAAAAFzf+Z4=")</f>
        <v>#REF!</v>
      </c>
      <c r="FD6" t="e">
        <f>AND('WORLD CHAMP DWF-MUN 10'!#REF!,"AAAAAFzf+Z8=")</f>
        <v>#REF!</v>
      </c>
      <c r="FE6" t="e">
        <f>AND('WORLD CHAMP DWF-MUN 10'!E35,"AAAAAFzf+aA=")</f>
        <v>#VALUE!</v>
      </c>
      <c r="FF6" t="e">
        <f>AND('WORLD CHAMP DWF-MUN 10'!F35,"AAAAAFzf+aE=")</f>
        <v>#VALUE!</v>
      </c>
      <c r="FG6" t="e">
        <f>AND(#REF!,"AAAAAFzf+aI=")</f>
        <v>#REF!</v>
      </c>
      <c r="FH6" t="e">
        <f>AND(#REF!,"AAAAAFzf+aM=")</f>
        <v>#REF!</v>
      </c>
      <c r="FI6" t="e">
        <f>AND('WORLD CHAMP DWF-MUN 10'!#REF!,"AAAAAFzf+aQ=")</f>
        <v>#REF!</v>
      </c>
      <c r="FJ6" t="e">
        <f>AND('WORLD CHAMP DWF-MUN 10'!#REF!,"AAAAAFzf+aU=")</f>
        <v>#REF!</v>
      </c>
      <c r="FK6" t="e">
        <f>AND('WORLD CHAMP DWF-MUN 10'!G35,"AAAAAFzf+aY=")</f>
        <v>#VALUE!</v>
      </c>
      <c r="FL6" t="e">
        <f>AND('WORLD CHAMP DWF-MUN 10'!H35,"AAAAAFzf+ac=")</f>
        <v>#VALUE!</v>
      </c>
      <c r="FM6">
        <f>IF('WORLD CHAMP DWF-MUN 10'!36:36,"AAAAAFzf+ag=",0)</f>
        <v>0</v>
      </c>
      <c r="FN6" t="e">
        <f>AND('WORLD CHAMP DWF-MUN 10'!#REF!,"AAAAAFzf+ak=")</f>
        <v>#REF!</v>
      </c>
      <c r="FO6" t="e">
        <f>AND('WORLD CHAMP DWF-MUN 10'!#REF!,"AAAAAFzf+ao=")</f>
        <v>#REF!</v>
      </c>
      <c r="FP6" t="e">
        <f>AND(#REF!,"AAAAAFzf+as=")</f>
        <v>#REF!</v>
      </c>
      <c r="FQ6" t="e">
        <f>AND(#REF!,"AAAAAFzf+aw=")</f>
        <v>#REF!</v>
      </c>
      <c r="FR6" t="e">
        <f>AND('WORLD CHAMP DWF-MUN 10'!C36,"AAAAAFzf+a0=")</f>
        <v>#VALUE!</v>
      </c>
      <c r="FS6" t="e">
        <f>AND('WORLD CHAMP DWF-MUN 10'!D36,"AAAAAFzf+a4=")</f>
        <v>#VALUE!</v>
      </c>
      <c r="FT6" t="e">
        <f>AND('WORLD CHAMP DWF-MUN 10'!#REF!,"AAAAAFzf+a8=")</f>
        <v>#REF!</v>
      </c>
      <c r="FU6" t="e">
        <f>AND('WORLD CHAMP DWF-MUN 10'!#REF!,"AAAAAFzf+bA=")</f>
        <v>#REF!</v>
      </c>
      <c r="FV6" t="e">
        <f>AND('WORLD CHAMP DWF-MUN 10'!E36,"AAAAAFzf+bE=")</f>
        <v>#VALUE!</v>
      </c>
      <c r="FW6" t="e">
        <f>AND('WORLD CHAMP DWF-MUN 10'!F36,"AAAAAFzf+bI=")</f>
        <v>#VALUE!</v>
      </c>
      <c r="FX6" t="e">
        <f>AND(#REF!,"AAAAAFzf+bM=")</f>
        <v>#REF!</v>
      </c>
      <c r="FY6" t="e">
        <f>AND(#REF!,"AAAAAFzf+bQ=")</f>
        <v>#REF!</v>
      </c>
      <c r="FZ6" t="e">
        <f>AND('WORLD CHAMP DWF-MUN 10'!#REF!,"AAAAAFzf+bU=")</f>
        <v>#REF!</v>
      </c>
      <c r="GA6" t="e">
        <f>AND('WORLD CHAMP DWF-MUN 10'!#REF!,"AAAAAFzf+bY=")</f>
        <v>#REF!</v>
      </c>
      <c r="GB6" t="e">
        <f>AND('WORLD CHAMP DWF-MUN 10'!G36,"AAAAAFzf+bc=")</f>
        <v>#VALUE!</v>
      </c>
      <c r="GC6" t="e">
        <f>AND('WORLD CHAMP DWF-MUN 10'!H36,"AAAAAFzf+bg=")</f>
        <v>#VALUE!</v>
      </c>
      <c r="GD6">
        <f>IF('WORLD CHAMP DWF-MUN 10'!37:37,"AAAAAFzf+bk=",0)</f>
        <v>0</v>
      </c>
      <c r="GE6" t="e">
        <f>AND('WORLD CHAMP DWF-MUN 10'!#REF!,"AAAAAFzf+bo=")</f>
        <v>#REF!</v>
      </c>
      <c r="GF6" t="e">
        <f>AND('WORLD CHAMP DWF-MUN 10'!#REF!,"AAAAAFzf+bs=")</f>
        <v>#REF!</v>
      </c>
      <c r="GG6" t="e">
        <f>AND('WORLD CHAMP DWF-MUN 10'!#REF!,"AAAAAFzf+bw=")</f>
        <v>#REF!</v>
      </c>
      <c r="GH6" t="e">
        <f>AND('WORLD CHAMP DWF-MUN 10'!#REF!,"AAAAAFzf+b0=")</f>
        <v>#REF!</v>
      </c>
      <c r="GI6" t="e">
        <f>AND('WORLD CHAMP DWF-MUN 10'!C37,"AAAAAFzf+b4=")</f>
        <v>#VALUE!</v>
      </c>
      <c r="GJ6" t="e">
        <f>AND('WORLD CHAMP DWF-MUN 10'!D37,"AAAAAFzf+b8=")</f>
        <v>#VALUE!</v>
      </c>
      <c r="GK6" t="e">
        <f>AND('WORLD CHAMP DWF-MUN 10'!#REF!,"AAAAAFzf+cA=")</f>
        <v>#REF!</v>
      </c>
      <c r="GL6" t="e">
        <f>AND('WORLD CHAMP DWF-MUN 10'!#REF!,"AAAAAFzf+cE=")</f>
        <v>#REF!</v>
      </c>
      <c r="GM6" t="e">
        <f>AND('WORLD CHAMP DWF-MUN 10'!E37,"AAAAAFzf+cI=")</f>
        <v>#VALUE!</v>
      </c>
      <c r="GN6" t="e">
        <f>AND('WORLD CHAMP DWF-MUN 10'!F37,"AAAAAFzf+cM=")</f>
        <v>#VALUE!</v>
      </c>
      <c r="GO6" t="e">
        <f>AND(#REF!,"AAAAAFzf+cQ=")</f>
        <v>#REF!</v>
      </c>
      <c r="GP6" t="e">
        <f>AND(#REF!,"AAAAAFzf+cU=")</f>
        <v>#REF!</v>
      </c>
      <c r="GQ6" t="e">
        <f>AND('WORLD CHAMP DWF-MUN 10'!#REF!,"AAAAAFzf+cY=")</f>
        <v>#REF!</v>
      </c>
      <c r="GR6" t="e">
        <f>AND('WORLD CHAMP DWF-MUN 10'!#REF!,"AAAAAFzf+cc=")</f>
        <v>#REF!</v>
      </c>
      <c r="GS6" t="e">
        <f>AND('WORLD CHAMP DWF-MUN 10'!G37,"AAAAAFzf+cg=")</f>
        <v>#VALUE!</v>
      </c>
      <c r="GT6" t="e">
        <f>AND('WORLD CHAMP DWF-MUN 10'!H37,"AAAAAFzf+ck=")</f>
        <v>#VALUE!</v>
      </c>
      <c r="GU6">
        <f>IF('WORLD CHAMP DWF-MUN 10'!38:38,"AAAAAFzf+co=",0)</f>
        <v>0</v>
      </c>
      <c r="GV6" t="e">
        <f>IF('WORLD CHAMP DWF-MUN 10'!#REF!,"AAAAAFzf+cs=",0)</f>
        <v>#REF!</v>
      </c>
      <c r="GW6" t="e">
        <f>IF('WORLD CHAMP DWF-MUN 10'!#REF!,"AAAAAFzf+cw=",0)</f>
        <v>#REF!</v>
      </c>
      <c r="GX6" t="str">
        <f>IF('WORLD CHAMP DWF-MUN 10'!A:A,"AAAAAFzf+c0=",0)</f>
        <v>AAAAAFzf+c0=</v>
      </c>
      <c r="GY6" t="e">
        <f>IF('WORLD CHAMP DWF-MUN 10'!B:B,"AAAAAFzf+c4=",0)</f>
        <v>#VALUE!</v>
      </c>
      <c r="GZ6" t="str">
        <f>IF('WORLD CHAMP DWF-MUN 10'!C:C,"AAAAAFzf+c8=",0)</f>
        <v>AAAAAFzf+c8=</v>
      </c>
      <c r="HA6" t="e">
        <f>IF('WORLD CHAMP DWF-MUN 10'!D:D,"AAAAAFzf+dA=",0)</f>
        <v>#VALUE!</v>
      </c>
      <c r="HB6" t="e">
        <f>IF('WORLD CHAMP DWF-MUN 10'!#REF!,"AAAAAFzf+dE=",0)</f>
        <v>#REF!</v>
      </c>
      <c r="HC6" t="e">
        <f>IF('WORLD CHAMP DWF-MUN 10'!#REF!,"AAAAAFzf+dI=",0)</f>
        <v>#REF!</v>
      </c>
      <c r="HD6" t="str">
        <f>IF('WORLD CHAMP DWF-MUN 10'!E:E,"AAAAAFzf+dM=",0)</f>
        <v>AAAAAFzf+dM=</v>
      </c>
      <c r="HE6" t="e">
        <f>IF('WORLD CHAMP DWF-MUN 10'!F:F,"AAAAAFzf+dQ=",0)</f>
        <v>#VALUE!</v>
      </c>
      <c r="HF6" t="e">
        <f>IF(#REF!,"AAAAAFzf+dU=",0)</f>
        <v>#REF!</v>
      </c>
      <c r="HG6" t="e">
        <f>IF(#REF!,"AAAAAFzf+dY=",0)</f>
        <v>#REF!</v>
      </c>
      <c r="HH6" t="e">
        <f>IF('WORLD CHAMP DWF-MUN 10'!#REF!,"AAAAAFzf+dc=",0)</f>
        <v>#REF!</v>
      </c>
      <c r="HI6" t="e">
        <f>IF('WORLD CHAMP DWF-MUN 10'!#REF!,"AAAAAFzf+dg=",0)</f>
        <v>#REF!</v>
      </c>
      <c r="HJ6" t="str">
        <f>IF('WORLD CHAMP DWF-MUN 10'!G:G,"AAAAAFzf+dk=",0)</f>
        <v>AAAAAFzf+dk=</v>
      </c>
      <c r="HK6" t="e">
        <f>IF('WORLD CHAMP DWF-MUN 10'!H:H,"AAAAAFzf+do=",0)</f>
        <v>#VALUE!</v>
      </c>
      <c r="HL6" t="e">
        <f>IF(#REF!,"AAAAAFzf+ds=",0)</f>
        <v>#REF!</v>
      </c>
      <c r="HM6" t="e">
        <f>AND(#REF!,"AAAAAFzf+dw=")</f>
        <v>#REF!</v>
      </c>
      <c r="HN6" t="e">
        <f>AND(#REF!,"AAAAAFzf+d0=")</f>
        <v>#REF!</v>
      </c>
      <c r="HO6" t="e">
        <f>AND(#REF!,"AAAAAFzf+d4=")</f>
        <v>#REF!</v>
      </c>
      <c r="HP6" t="e">
        <f>AND(#REF!,"AAAAAFzf+d8=")</f>
        <v>#REF!</v>
      </c>
      <c r="HQ6" t="e">
        <f>AND(#REF!,"AAAAAFzf+eA=")</f>
        <v>#REF!</v>
      </c>
      <c r="HR6" t="e">
        <f>AND(#REF!,"AAAAAFzf+eE=")</f>
        <v>#REF!</v>
      </c>
      <c r="HS6" t="e">
        <f>AND(#REF!,"AAAAAFzf+eI=")</f>
        <v>#REF!</v>
      </c>
      <c r="HT6" t="e">
        <f>AND(#REF!,"AAAAAFzf+eM=")</f>
        <v>#REF!</v>
      </c>
      <c r="HU6" t="e">
        <f>AND(#REF!,"AAAAAFzf+eQ=")</f>
        <v>#REF!</v>
      </c>
      <c r="HV6" t="e">
        <f>AND(#REF!,"AAAAAFzf+eU=")</f>
        <v>#REF!</v>
      </c>
      <c r="HW6" t="e">
        <f>AND(#REF!,"AAAAAFzf+eY=")</f>
        <v>#REF!</v>
      </c>
      <c r="HX6" t="e">
        <f>AND(#REF!,"AAAAAFzf+ec=")</f>
        <v>#REF!</v>
      </c>
      <c r="HY6" t="e">
        <f>AND(#REF!,"AAAAAFzf+eg=")</f>
        <v>#REF!</v>
      </c>
      <c r="HZ6" t="e">
        <f>AND(#REF!,"AAAAAFzf+ek=")</f>
        <v>#REF!</v>
      </c>
      <c r="IA6" t="e">
        <f>AND(#REF!,"AAAAAFzf+eo=")</f>
        <v>#REF!</v>
      </c>
      <c r="IB6" t="e">
        <f>AND(#REF!,"AAAAAFzf+es=")</f>
        <v>#REF!</v>
      </c>
      <c r="IC6" t="e">
        <f>AND(#REF!,"AAAAAFzf+ew=")</f>
        <v>#REF!</v>
      </c>
      <c r="ID6" t="e">
        <f>AND(#REF!,"AAAAAFzf+e0=")</f>
        <v>#REF!</v>
      </c>
      <c r="IE6" t="e">
        <f>AND(#REF!,"AAAAAFzf+e4=")</f>
        <v>#REF!</v>
      </c>
      <c r="IF6" t="e">
        <f>AND(#REF!,"AAAAAFzf+e8=")</f>
        <v>#REF!</v>
      </c>
      <c r="IG6" t="e">
        <f>IF(#REF!,"AAAAAFzf+fA=",0)</f>
        <v>#REF!</v>
      </c>
      <c r="IH6" t="e">
        <f>AND(#REF!,"AAAAAFzf+fE=")</f>
        <v>#REF!</v>
      </c>
      <c r="II6" t="e">
        <f>AND(#REF!,"AAAAAFzf+fI=")</f>
        <v>#REF!</v>
      </c>
      <c r="IJ6" t="e">
        <f>AND(#REF!,"AAAAAFzf+fM=")</f>
        <v>#REF!</v>
      </c>
      <c r="IK6" t="e">
        <f>AND(#REF!,"AAAAAFzf+fQ=")</f>
        <v>#REF!</v>
      </c>
      <c r="IL6" t="e">
        <f>AND(#REF!,"AAAAAFzf+fU=")</f>
        <v>#REF!</v>
      </c>
      <c r="IM6" t="e">
        <f>AND(#REF!,"AAAAAFzf+fY=")</f>
        <v>#REF!</v>
      </c>
      <c r="IN6" t="e">
        <f>AND(#REF!,"AAAAAFzf+fc=")</f>
        <v>#REF!</v>
      </c>
      <c r="IO6" t="e">
        <f>AND(#REF!,"AAAAAFzf+fg=")</f>
        <v>#REF!</v>
      </c>
      <c r="IP6" t="e">
        <f>AND(#REF!,"AAAAAFzf+fk=")</f>
        <v>#REF!</v>
      </c>
      <c r="IQ6" t="e">
        <f>AND(#REF!,"AAAAAFzf+fo=")</f>
        <v>#REF!</v>
      </c>
      <c r="IR6" t="e">
        <f>AND(#REF!,"AAAAAFzf+fs=")</f>
        <v>#REF!</v>
      </c>
      <c r="IS6" t="e">
        <f>AND(#REF!,"AAAAAFzf+fw=")</f>
        <v>#REF!</v>
      </c>
      <c r="IT6" t="e">
        <f>AND(#REF!,"AAAAAFzf+f0=")</f>
        <v>#REF!</v>
      </c>
      <c r="IU6" t="e">
        <f>AND(#REF!,"AAAAAFzf+f4=")</f>
        <v>#REF!</v>
      </c>
      <c r="IV6" t="e">
        <f>AND(#REF!,"AAAAAFzf+f8=")</f>
        <v>#REF!</v>
      </c>
    </row>
    <row r="7" spans="1:256">
      <c r="A7" t="e">
        <f>AND(#REF!,"AAAAACv/fgA=")</f>
        <v>#REF!</v>
      </c>
      <c r="B7" t="e">
        <f>AND(#REF!,"AAAAACv/fgE=")</f>
        <v>#REF!</v>
      </c>
      <c r="C7" t="e">
        <f>AND(#REF!,"AAAAACv/fgI=")</f>
        <v>#REF!</v>
      </c>
      <c r="D7" t="e">
        <f>AND(#REF!,"AAAAACv/fgM=")</f>
        <v>#REF!</v>
      </c>
      <c r="E7" t="e">
        <f>AND(#REF!,"AAAAACv/fgQ=")</f>
        <v>#REF!</v>
      </c>
      <c r="F7" t="e">
        <f>IF(#REF!,"AAAAACv/fgU=",0)</f>
        <v>#REF!</v>
      </c>
      <c r="G7" t="e">
        <f>AND(#REF!,"AAAAACv/fgY=")</f>
        <v>#REF!</v>
      </c>
      <c r="H7" t="e">
        <f>AND(#REF!,"AAAAACv/fgc=")</f>
        <v>#REF!</v>
      </c>
      <c r="I7" t="e">
        <f>AND(#REF!,"AAAAACv/fgg=")</f>
        <v>#REF!</v>
      </c>
      <c r="J7" t="e">
        <f>AND(#REF!,"AAAAACv/fgk=")</f>
        <v>#REF!</v>
      </c>
      <c r="K7" t="e">
        <f>AND(#REF!,"AAAAACv/fgo=")</f>
        <v>#REF!</v>
      </c>
      <c r="L7" t="e">
        <f>AND(#REF!,"AAAAACv/fgs=")</f>
        <v>#REF!</v>
      </c>
      <c r="M7" t="e">
        <f>AND(#REF!,"AAAAACv/fgw=")</f>
        <v>#REF!</v>
      </c>
      <c r="N7" t="e">
        <f>AND(#REF!,"AAAAACv/fg0=")</f>
        <v>#REF!</v>
      </c>
      <c r="O7" t="e">
        <f>AND(#REF!,"AAAAACv/fg4=")</f>
        <v>#REF!</v>
      </c>
      <c r="P7" t="e">
        <f>AND(#REF!,"AAAAACv/fg8=")</f>
        <v>#REF!</v>
      </c>
      <c r="Q7" t="e">
        <f>AND(#REF!,"AAAAACv/fhA=")</f>
        <v>#REF!</v>
      </c>
      <c r="R7" t="e">
        <f>AND(#REF!,"AAAAACv/fhE=")</f>
        <v>#REF!</v>
      </c>
      <c r="S7" t="e">
        <f>AND(#REF!,"AAAAACv/fhI=")</f>
        <v>#REF!</v>
      </c>
      <c r="T7" t="e">
        <f>AND(#REF!,"AAAAACv/fhM=")</f>
        <v>#REF!</v>
      </c>
      <c r="U7" t="e">
        <f>AND(#REF!,"AAAAACv/fhQ=")</f>
        <v>#REF!</v>
      </c>
      <c r="V7" t="e">
        <f>AND(#REF!,"AAAAACv/fhU=")</f>
        <v>#REF!</v>
      </c>
      <c r="W7" t="e">
        <f>AND(#REF!,"AAAAACv/fhY=")</f>
        <v>#REF!</v>
      </c>
      <c r="X7" t="e">
        <f>AND(#REF!,"AAAAACv/fhc=")</f>
        <v>#REF!</v>
      </c>
      <c r="Y7" t="e">
        <f>AND(#REF!,"AAAAACv/fhg=")</f>
        <v>#REF!</v>
      </c>
      <c r="Z7" t="e">
        <f>AND(#REF!,"AAAAACv/fhk=")</f>
        <v>#REF!</v>
      </c>
      <c r="AA7" t="e">
        <f>IF(#REF!,"AAAAACv/fho=",0)</f>
        <v>#REF!</v>
      </c>
      <c r="AB7" t="e">
        <f>AND(#REF!,"AAAAACv/fhs=")</f>
        <v>#REF!</v>
      </c>
      <c r="AC7" t="e">
        <f>AND(#REF!,"AAAAACv/fhw=")</f>
        <v>#REF!</v>
      </c>
      <c r="AD7" t="e">
        <f>AND(#REF!,"AAAAACv/fh0=")</f>
        <v>#REF!</v>
      </c>
      <c r="AE7" t="e">
        <f>AND(#REF!,"AAAAACv/fh4=")</f>
        <v>#REF!</v>
      </c>
      <c r="AF7" t="e">
        <f>AND(#REF!,"AAAAACv/fh8=")</f>
        <v>#REF!</v>
      </c>
      <c r="AG7" t="e">
        <f>AND(#REF!,"AAAAACv/fiA=")</f>
        <v>#REF!</v>
      </c>
      <c r="AH7" t="e">
        <f>AND(#REF!,"AAAAACv/fiE=")</f>
        <v>#REF!</v>
      </c>
      <c r="AI7" t="e">
        <f>AND(#REF!,"AAAAACv/fiI=")</f>
        <v>#REF!</v>
      </c>
      <c r="AJ7" t="e">
        <f>AND(#REF!,"AAAAACv/fiM=")</f>
        <v>#REF!</v>
      </c>
      <c r="AK7" t="e">
        <f>AND(#REF!,"AAAAACv/fiQ=")</f>
        <v>#REF!</v>
      </c>
      <c r="AL7" t="e">
        <f>AND(#REF!,"AAAAACv/fiU=")</f>
        <v>#REF!</v>
      </c>
      <c r="AM7" t="e">
        <f>AND(#REF!,"AAAAACv/fiY=")</f>
        <v>#REF!</v>
      </c>
      <c r="AN7" t="e">
        <f>AND(#REF!,"AAAAACv/fic=")</f>
        <v>#REF!</v>
      </c>
      <c r="AO7" t="e">
        <f>AND(#REF!,"AAAAACv/fig=")</f>
        <v>#REF!</v>
      </c>
      <c r="AP7" t="e">
        <f>AND(#REF!,"AAAAACv/fik=")</f>
        <v>#REF!</v>
      </c>
      <c r="AQ7" t="e">
        <f>AND(#REF!,"AAAAACv/fio=")</f>
        <v>#REF!</v>
      </c>
      <c r="AR7" t="e">
        <f>AND(#REF!,"AAAAACv/fis=")</f>
        <v>#REF!</v>
      </c>
      <c r="AS7" t="e">
        <f>AND(#REF!,"AAAAACv/fiw=")</f>
        <v>#REF!</v>
      </c>
      <c r="AT7" t="e">
        <f>AND(#REF!,"AAAAACv/fi0=")</f>
        <v>#REF!</v>
      </c>
      <c r="AU7" t="e">
        <f>AND(#REF!,"AAAAACv/fi4=")</f>
        <v>#REF!</v>
      </c>
      <c r="AV7" t="e">
        <f>IF(#REF!,"AAAAACv/fi8=",0)</f>
        <v>#REF!</v>
      </c>
      <c r="AW7" t="e">
        <f>AND(#REF!,"AAAAACv/fjA=")</f>
        <v>#REF!</v>
      </c>
      <c r="AX7" t="e">
        <f>AND(#REF!,"AAAAACv/fjE=")</f>
        <v>#REF!</v>
      </c>
      <c r="AY7" t="e">
        <f>AND(#REF!,"AAAAACv/fjI=")</f>
        <v>#REF!</v>
      </c>
      <c r="AZ7" t="e">
        <f>AND(#REF!,"AAAAACv/fjM=")</f>
        <v>#REF!</v>
      </c>
      <c r="BA7" t="e">
        <f>AND(#REF!,"AAAAACv/fjQ=")</f>
        <v>#REF!</v>
      </c>
      <c r="BB7" t="e">
        <f>AND(#REF!,"AAAAACv/fjU=")</f>
        <v>#REF!</v>
      </c>
      <c r="BC7" t="e">
        <f>AND(#REF!,"AAAAACv/fjY=")</f>
        <v>#REF!</v>
      </c>
      <c r="BD7" t="e">
        <f>AND(#REF!,"AAAAACv/fjc=")</f>
        <v>#REF!</v>
      </c>
      <c r="BE7" t="e">
        <f>AND(#REF!,"AAAAACv/fjg=")</f>
        <v>#REF!</v>
      </c>
      <c r="BF7" t="e">
        <f>AND(#REF!,"AAAAACv/fjk=")</f>
        <v>#REF!</v>
      </c>
      <c r="BG7" t="e">
        <f>AND(#REF!,"AAAAACv/fjo=")</f>
        <v>#REF!</v>
      </c>
      <c r="BH7" t="e">
        <f>AND(#REF!,"AAAAACv/fjs=")</f>
        <v>#REF!</v>
      </c>
      <c r="BI7" t="e">
        <f>AND(#REF!,"AAAAACv/fjw=")</f>
        <v>#REF!</v>
      </c>
      <c r="BJ7" t="e">
        <f>AND(#REF!,"AAAAACv/fj0=")</f>
        <v>#REF!</v>
      </c>
      <c r="BK7" t="e">
        <f>AND(#REF!,"AAAAACv/fj4=")</f>
        <v>#REF!</v>
      </c>
      <c r="BL7" t="e">
        <f>AND(#REF!,"AAAAACv/fj8=")</f>
        <v>#REF!</v>
      </c>
      <c r="BM7" t="e">
        <f>AND(#REF!,"AAAAACv/fkA=")</f>
        <v>#REF!</v>
      </c>
      <c r="BN7" t="e">
        <f>AND(#REF!,"AAAAACv/fkE=")</f>
        <v>#REF!</v>
      </c>
      <c r="BO7" t="e">
        <f>AND(#REF!,"AAAAACv/fkI=")</f>
        <v>#REF!</v>
      </c>
      <c r="BP7" t="e">
        <f>AND(#REF!,"AAAAACv/fkM=")</f>
        <v>#REF!</v>
      </c>
      <c r="BQ7" t="e">
        <f>IF(#REF!,"AAAAACv/fkQ=",0)</f>
        <v>#REF!</v>
      </c>
      <c r="BR7" t="e">
        <f>AND(#REF!,"AAAAACv/fkU=")</f>
        <v>#REF!</v>
      </c>
      <c r="BS7" t="e">
        <f>AND(#REF!,"AAAAACv/fkY=")</f>
        <v>#REF!</v>
      </c>
      <c r="BT7" t="e">
        <f>AND(#REF!,"AAAAACv/fkc=")</f>
        <v>#REF!</v>
      </c>
      <c r="BU7" t="e">
        <f>AND(#REF!,"AAAAACv/fkg=")</f>
        <v>#REF!</v>
      </c>
      <c r="BV7" t="e">
        <f>AND(#REF!,"AAAAACv/fkk=")</f>
        <v>#REF!</v>
      </c>
      <c r="BW7" t="e">
        <f>AND(#REF!,"AAAAACv/fko=")</f>
        <v>#REF!</v>
      </c>
      <c r="BX7" t="e">
        <f>AND(#REF!,"AAAAACv/fks=")</f>
        <v>#REF!</v>
      </c>
      <c r="BY7" t="e">
        <f>AND(#REF!,"AAAAACv/fkw=")</f>
        <v>#REF!</v>
      </c>
      <c r="BZ7" t="e">
        <f>AND(#REF!,"AAAAACv/fk0=")</f>
        <v>#REF!</v>
      </c>
      <c r="CA7" t="e">
        <f>AND(#REF!,"AAAAACv/fk4=")</f>
        <v>#REF!</v>
      </c>
      <c r="CB7" t="e">
        <f>AND(#REF!,"AAAAACv/fk8=")</f>
        <v>#REF!</v>
      </c>
      <c r="CC7" t="e">
        <f>AND(#REF!,"AAAAACv/flA=")</f>
        <v>#REF!</v>
      </c>
      <c r="CD7" t="e">
        <f>AND(#REF!,"AAAAACv/flE=")</f>
        <v>#REF!</v>
      </c>
      <c r="CE7" t="e">
        <f>AND(#REF!,"AAAAACv/flI=")</f>
        <v>#REF!</v>
      </c>
      <c r="CF7" t="e">
        <f>AND(#REF!,"AAAAACv/flM=")</f>
        <v>#REF!</v>
      </c>
      <c r="CG7" t="e">
        <f>AND(#REF!,"AAAAACv/flQ=")</f>
        <v>#REF!</v>
      </c>
      <c r="CH7" t="e">
        <f>AND(#REF!,"AAAAACv/flU=")</f>
        <v>#REF!</v>
      </c>
      <c r="CI7" t="e">
        <f>AND(#REF!,"AAAAACv/flY=")</f>
        <v>#REF!</v>
      </c>
      <c r="CJ7" t="e">
        <f>AND(#REF!,"AAAAACv/flc=")</f>
        <v>#REF!</v>
      </c>
      <c r="CK7" t="e">
        <f>AND(#REF!,"AAAAACv/flg=")</f>
        <v>#REF!</v>
      </c>
      <c r="CL7" t="e">
        <f>IF(#REF!,"AAAAACv/flk=",0)</f>
        <v>#REF!</v>
      </c>
      <c r="CM7" t="e">
        <f>AND(#REF!,"AAAAACv/flo=")</f>
        <v>#REF!</v>
      </c>
      <c r="CN7" t="e">
        <f>AND(#REF!,"AAAAACv/fls=")</f>
        <v>#REF!</v>
      </c>
      <c r="CO7" t="e">
        <f>AND(#REF!,"AAAAACv/flw=")</f>
        <v>#REF!</v>
      </c>
      <c r="CP7" t="e">
        <f>AND(#REF!,"AAAAACv/fl0=")</f>
        <v>#REF!</v>
      </c>
      <c r="CQ7" t="e">
        <f>AND(#REF!,"AAAAACv/fl4=")</f>
        <v>#REF!</v>
      </c>
      <c r="CR7" t="e">
        <f>AND(#REF!,"AAAAACv/fl8=")</f>
        <v>#REF!</v>
      </c>
      <c r="CS7" t="e">
        <f>AND(#REF!,"AAAAACv/fmA=")</f>
        <v>#REF!</v>
      </c>
      <c r="CT7" t="e">
        <f>AND(#REF!,"AAAAACv/fmE=")</f>
        <v>#REF!</v>
      </c>
      <c r="CU7" t="e">
        <f>AND(#REF!,"AAAAACv/fmI=")</f>
        <v>#REF!</v>
      </c>
      <c r="CV7" t="e">
        <f>AND(#REF!,"AAAAACv/fmM=")</f>
        <v>#REF!</v>
      </c>
      <c r="CW7" t="e">
        <f>AND(#REF!,"AAAAACv/fmQ=")</f>
        <v>#REF!</v>
      </c>
      <c r="CX7" t="e">
        <f>AND(#REF!,"AAAAACv/fmU=")</f>
        <v>#REF!</v>
      </c>
      <c r="CY7" t="e">
        <f>AND(#REF!,"AAAAACv/fmY=")</f>
        <v>#REF!</v>
      </c>
      <c r="CZ7" t="e">
        <f>AND(#REF!,"AAAAACv/fmc=")</f>
        <v>#REF!</v>
      </c>
      <c r="DA7" t="e">
        <f>AND(#REF!,"AAAAACv/fmg=")</f>
        <v>#REF!</v>
      </c>
      <c r="DB7" t="e">
        <f>AND(#REF!,"AAAAACv/fmk=")</f>
        <v>#REF!</v>
      </c>
      <c r="DC7" t="e">
        <f>AND(#REF!,"AAAAACv/fmo=")</f>
        <v>#REF!</v>
      </c>
      <c r="DD7" t="e">
        <f>AND(#REF!,"AAAAACv/fms=")</f>
        <v>#REF!</v>
      </c>
      <c r="DE7" t="e">
        <f>AND(#REF!,"AAAAACv/fmw=")</f>
        <v>#REF!</v>
      </c>
      <c r="DF7" t="e">
        <f>AND(#REF!,"AAAAACv/fm0=")</f>
        <v>#REF!</v>
      </c>
      <c r="DG7" t="e">
        <f>IF(#REF!,"AAAAACv/fm4=",0)</f>
        <v>#REF!</v>
      </c>
      <c r="DH7" t="e">
        <f>AND(#REF!,"AAAAACv/fm8=")</f>
        <v>#REF!</v>
      </c>
      <c r="DI7" t="e">
        <f>AND(#REF!,"AAAAACv/fnA=")</f>
        <v>#REF!</v>
      </c>
      <c r="DJ7" t="e">
        <f>AND(#REF!,"AAAAACv/fnE=")</f>
        <v>#REF!</v>
      </c>
      <c r="DK7" t="e">
        <f>AND(#REF!,"AAAAACv/fnI=")</f>
        <v>#REF!</v>
      </c>
      <c r="DL7" t="e">
        <f>AND(#REF!,"AAAAACv/fnM=")</f>
        <v>#REF!</v>
      </c>
      <c r="DM7" t="e">
        <f>AND(#REF!,"AAAAACv/fnQ=")</f>
        <v>#REF!</v>
      </c>
      <c r="DN7" t="e">
        <f>AND(#REF!,"AAAAACv/fnU=")</f>
        <v>#REF!</v>
      </c>
      <c r="DO7" t="e">
        <f>AND(#REF!,"AAAAACv/fnY=")</f>
        <v>#REF!</v>
      </c>
      <c r="DP7" t="e">
        <f>AND(#REF!,"AAAAACv/fnc=")</f>
        <v>#REF!</v>
      </c>
      <c r="DQ7" t="e">
        <f>AND(#REF!,"AAAAACv/fng=")</f>
        <v>#REF!</v>
      </c>
      <c r="DR7" t="e">
        <f>AND(#REF!,"AAAAACv/fnk=")</f>
        <v>#REF!</v>
      </c>
      <c r="DS7" t="e">
        <f>AND(#REF!,"AAAAACv/fno=")</f>
        <v>#REF!</v>
      </c>
      <c r="DT7" t="e">
        <f>AND(#REF!,"AAAAACv/fns=")</f>
        <v>#REF!</v>
      </c>
      <c r="DU7" t="e">
        <f>AND(#REF!,"AAAAACv/fnw=")</f>
        <v>#REF!</v>
      </c>
      <c r="DV7" t="e">
        <f>AND(#REF!,"AAAAACv/fn0=")</f>
        <v>#REF!</v>
      </c>
      <c r="DW7" t="e">
        <f>AND(#REF!,"AAAAACv/fn4=")</f>
        <v>#REF!</v>
      </c>
      <c r="DX7" t="e">
        <f>AND(#REF!,"AAAAACv/fn8=")</f>
        <v>#REF!</v>
      </c>
      <c r="DY7" t="e">
        <f>AND(#REF!,"AAAAACv/foA=")</f>
        <v>#REF!</v>
      </c>
      <c r="DZ7" t="e">
        <f>AND(#REF!,"AAAAACv/foE=")</f>
        <v>#REF!</v>
      </c>
      <c r="EA7" t="e">
        <f>AND(#REF!,"AAAAACv/foI=")</f>
        <v>#REF!</v>
      </c>
      <c r="EB7" t="e">
        <f>IF(#REF!,"AAAAACv/foM=",0)</f>
        <v>#REF!</v>
      </c>
      <c r="EC7" t="e">
        <f>AND(#REF!,"AAAAACv/foQ=")</f>
        <v>#REF!</v>
      </c>
      <c r="ED7" t="e">
        <f>AND(#REF!,"AAAAACv/foU=")</f>
        <v>#REF!</v>
      </c>
      <c r="EE7" t="e">
        <f>AND(#REF!,"AAAAACv/foY=")</f>
        <v>#REF!</v>
      </c>
      <c r="EF7" t="e">
        <f>AND(#REF!,"AAAAACv/foc=")</f>
        <v>#REF!</v>
      </c>
      <c r="EG7" t="e">
        <f>AND(#REF!,"AAAAACv/fog=")</f>
        <v>#REF!</v>
      </c>
      <c r="EH7" t="e">
        <f>AND(#REF!,"AAAAACv/fok=")</f>
        <v>#REF!</v>
      </c>
      <c r="EI7" t="e">
        <f>AND(#REF!,"AAAAACv/foo=")</f>
        <v>#REF!</v>
      </c>
      <c r="EJ7" t="e">
        <f>AND(#REF!,"AAAAACv/fos=")</f>
        <v>#REF!</v>
      </c>
      <c r="EK7" t="e">
        <f>AND(#REF!,"AAAAACv/fow=")</f>
        <v>#REF!</v>
      </c>
      <c r="EL7" t="e">
        <f>AND(#REF!,"AAAAACv/fo0=")</f>
        <v>#REF!</v>
      </c>
      <c r="EM7" t="e">
        <f>AND(#REF!,"AAAAACv/fo4=")</f>
        <v>#REF!</v>
      </c>
      <c r="EN7" t="e">
        <f>AND(#REF!,"AAAAACv/fo8=")</f>
        <v>#REF!</v>
      </c>
      <c r="EO7" t="e">
        <f>AND(#REF!,"AAAAACv/fpA=")</f>
        <v>#REF!</v>
      </c>
      <c r="EP7" t="e">
        <f>AND(#REF!,"AAAAACv/fpE=")</f>
        <v>#REF!</v>
      </c>
      <c r="EQ7" t="e">
        <f>AND(#REF!,"AAAAACv/fpI=")</f>
        <v>#REF!</v>
      </c>
      <c r="ER7" t="e">
        <f>AND(#REF!,"AAAAACv/fpM=")</f>
        <v>#REF!</v>
      </c>
      <c r="ES7" t="e">
        <f>AND(#REF!,"AAAAACv/fpQ=")</f>
        <v>#REF!</v>
      </c>
      <c r="ET7" t="e">
        <f>AND(#REF!,"AAAAACv/fpU=")</f>
        <v>#REF!</v>
      </c>
      <c r="EU7" t="e">
        <f>AND(#REF!,"AAAAACv/fpY=")</f>
        <v>#REF!</v>
      </c>
      <c r="EV7" t="e">
        <f>AND(#REF!,"AAAAACv/fpc=")</f>
        <v>#REF!</v>
      </c>
      <c r="EW7" t="e">
        <f>IF(#REF!,"AAAAACv/fpg=",0)</f>
        <v>#REF!</v>
      </c>
      <c r="EX7" t="e">
        <f>AND(#REF!,"AAAAACv/fpk=")</f>
        <v>#REF!</v>
      </c>
      <c r="EY7" t="e">
        <f>AND(#REF!,"AAAAACv/fpo=")</f>
        <v>#REF!</v>
      </c>
      <c r="EZ7" t="e">
        <f>AND(#REF!,"AAAAACv/fps=")</f>
        <v>#REF!</v>
      </c>
      <c r="FA7" t="e">
        <f>AND(#REF!,"AAAAACv/fpw=")</f>
        <v>#REF!</v>
      </c>
      <c r="FB7" t="e">
        <f>AND(#REF!,"AAAAACv/fp0=")</f>
        <v>#REF!</v>
      </c>
      <c r="FC7" t="e">
        <f>AND(#REF!,"AAAAACv/fp4=")</f>
        <v>#REF!</v>
      </c>
      <c r="FD7" t="e">
        <f>AND(#REF!,"AAAAACv/fp8=")</f>
        <v>#REF!</v>
      </c>
      <c r="FE7" t="e">
        <f>AND(#REF!,"AAAAACv/fqA=")</f>
        <v>#REF!</v>
      </c>
      <c r="FF7" t="e">
        <f>AND(#REF!,"AAAAACv/fqE=")</f>
        <v>#REF!</v>
      </c>
      <c r="FG7" t="e">
        <f>AND(#REF!,"AAAAACv/fqI=")</f>
        <v>#REF!</v>
      </c>
      <c r="FH7" t="e">
        <f>AND(#REF!,"AAAAACv/fqM=")</f>
        <v>#REF!</v>
      </c>
      <c r="FI7" t="e">
        <f>AND(#REF!,"AAAAACv/fqQ=")</f>
        <v>#REF!</v>
      </c>
      <c r="FJ7" t="e">
        <f>AND(#REF!,"AAAAACv/fqU=")</f>
        <v>#REF!</v>
      </c>
      <c r="FK7" t="e">
        <f>AND(#REF!,"AAAAACv/fqY=")</f>
        <v>#REF!</v>
      </c>
      <c r="FL7" t="e">
        <f>AND(#REF!,"AAAAACv/fqc=")</f>
        <v>#REF!</v>
      </c>
      <c r="FM7" t="e">
        <f>AND(#REF!,"AAAAACv/fqg=")</f>
        <v>#REF!</v>
      </c>
      <c r="FN7" t="e">
        <f>AND(#REF!,"AAAAACv/fqk=")</f>
        <v>#REF!</v>
      </c>
      <c r="FO7" t="e">
        <f>AND(#REF!,"AAAAACv/fqo=")</f>
        <v>#REF!</v>
      </c>
      <c r="FP7" t="e">
        <f>AND(#REF!,"AAAAACv/fqs=")</f>
        <v>#REF!</v>
      </c>
      <c r="FQ7" t="e">
        <f>AND(#REF!,"AAAAACv/fqw=")</f>
        <v>#REF!</v>
      </c>
      <c r="FR7" t="e">
        <f>IF(#REF!,"AAAAACv/fq0=",0)</f>
        <v>#REF!</v>
      </c>
      <c r="FS7" t="e">
        <f>AND(#REF!,"AAAAACv/fq4=")</f>
        <v>#REF!</v>
      </c>
      <c r="FT7" t="e">
        <f>AND(#REF!,"AAAAACv/fq8=")</f>
        <v>#REF!</v>
      </c>
      <c r="FU7" t="e">
        <f>AND(#REF!,"AAAAACv/frA=")</f>
        <v>#REF!</v>
      </c>
      <c r="FV7" t="e">
        <f>AND(#REF!,"AAAAACv/frE=")</f>
        <v>#REF!</v>
      </c>
      <c r="FW7" t="e">
        <f>AND(#REF!,"AAAAACv/frI=")</f>
        <v>#REF!</v>
      </c>
      <c r="FX7" t="e">
        <f>AND(#REF!,"AAAAACv/frM=")</f>
        <v>#REF!</v>
      </c>
      <c r="FY7" t="e">
        <f>AND(#REF!,"AAAAACv/frQ=")</f>
        <v>#REF!</v>
      </c>
      <c r="FZ7" t="e">
        <f>AND(#REF!,"AAAAACv/frU=")</f>
        <v>#REF!</v>
      </c>
      <c r="GA7" t="e">
        <f>AND(#REF!,"AAAAACv/frY=")</f>
        <v>#REF!</v>
      </c>
      <c r="GB7" t="e">
        <f>AND(#REF!,"AAAAACv/frc=")</f>
        <v>#REF!</v>
      </c>
      <c r="GC7" t="e">
        <f>AND(#REF!,"AAAAACv/frg=")</f>
        <v>#REF!</v>
      </c>
      <c r="GD7" t="e">
        <f>AND(#REF!,"AAAAACv/frk=")</f>
        <v>#REF!</v>
      </c>
      <c r="GE7" t="e">
        <f>AND(#REF!,"AAAAACv/fro=")</f>
        <v>#REF!</v>
      </c>
      <c r="GF7" t="e">
        <f>AND(#REF!,"AAAAACv/frs=")</f>
        <v>#REF!</v>
      </c>
      <c r="GG7" t="e">
        <f>AND(#REF!,"AAAAACv/frw=")</f>
        <v>#REF!</v>
      </c>
      <c r="GH7" t="e">
        <f>AND(#REF!,"AAAAACv/fr0=")</f>
        <v>#REF!</v>
      </c>
      <c r="GI7" t="e">
        <f>AND(#REF!,"AAAAACv/fr4=")</f>
        <v>#REF!</v>
      </c>
      <c r="GJ7" t="e">
        <f>AND(#REF!,"AAAAACv/fr8=")</f>
        <v>#REF!</v>
      </c>
      <c r="GK7" t="e">
        <f>AND(#REF!,"AAAAACv/fsA=")</f>
        <v>#REF!</v>
      </c>
      <c r="GL7" t="e">
        <f>AND(#REF!,"AAAAACv/fsE=")</f>
        <v>#REF!</v>
      </c>
      <c r="GM7" t="e">
        <f>IF(#REF!,"AAAAACv/fsI=",0)</f>
        <v>#REF!</v>
      </c>
      <c r="GN7" t="e">
        <f>AND(#REF!,"AAAAACv/fsM=")</f>
        <v>#REF!</v>
      </c>
      <c r="GO7" t="e">
        <f>AND(#REF!,"AAAAACv/fsQ=")</f>
        <v>#REF!</v>
      </c>
      <c r="GP7" t="e">
        <f>AND(#REF!,"AAAAACv/fsU=")</f>
        <v>#REF!</v>
      </c>
      <c r="GQ7" t="e">
        <f>AND(#REF!,"AAAAACv/fsY=")</f>
        <v>#REF!</v>
      </c>
      <c r="GR7" t="e">
        <f>AND(#REF!,"AAAAACv/fsc=")</f>
        <v>#REF!</v>
      </c>
      <c r="GS7" t="e">
        <f>AND(#REF!,"AAAAACv/fsg=")</f>
        <v>#REF!</v>
      </c>
      <c r="GT7" t="e">
        <f>AND(#REF!,"AAAAACv/fsk=")</f>
        <v>#REF!</v>
      </c>
      <c r="GU7" t="e">
        <f>AND(#REF!,"AAAAACv/fso=")</f>
        <v>#REF!</v>
      </c>
      <c r="GV7" t="e">
        <f>AND(#REF!,"AAAAACv/fss=")</f>
        <v>#REF!</v>
      </c>
      <c r="GW7" t="e">
        <f>AND(#REF!,"AAAAACv/fsw=")</f>
        <v>#REF!</v>
      </c>
      <c r="GX7" t="e">
        <f>AND(#REF!,"AAAAACv/fs0=")</f>
        <v>#REF!</v>
      </c>
      <c r="GY7" t="e">
        <f>AND(#REF!,"AAAAACv/fs4=")</f>
        <v>#REF!</v>
      </c>
      <c r="GZ7" t="e">
        <f>AND(#REF!,"AAAAACv/fs8=")</f>
        <v>#REF!</v>
      </c>
      <c r="HA7" t="e">
        <f>AND(#REF!,"AAAAACv/ftA=")</f>
        <v>#REF!</v>
      </c>
      <c r="HB7" t="e">
        <f>AND(#REF!,"AAAAACv/ftE=")</f>
        <v>#REF!</v>
      </c>
      <c r="HC7" t="e">
        <f>AND(#REF!,"AAAAACv/ftI=")</f>
        <v>#REF!</v>
      </c>
      <c r="HD7" t="e">
        <f>AND(#REF!,"AAAAACv/ftM=")</f>
        <v>#REF!</v>
      </c>
      <c r="HE7" t="e">
        <f>AND(#REF!,"AAAAACv/ftQ=")</f>
        <v>#REF!</v>
      </c>
      <c r="HF7" t="e">
        <f>AND(#REF!,"AAAAACv/ftU=")</f>
        <v>#REF!</v>
      </c>
      <c r="HG7" t="e">
        <f>AND(#REF!,"AAAAACv/ftY=")</f>
        <v>#REF!</v>
      </c>
      <c r="HH7" t="e">
        <f>IF(#REF!,"AAAAACv/ftc=",0)</f>
        <v>#REF!</v>
      </c>
      <c r="HI7" t="e">
        <f>AND(#REF!,"AAAAACv/ftg=")</f>
        <v>#REF!</v>
      </c>
      <c r="HJ7" t="e">
        <f>AND(#REF!,"AAAAACv/ftk=")</f>
        <v>#REF!</v>
      </c>
      <c r="HK7" t="e">
        <f>AND(#REF!,"AAAAACv/fto=")</f>
        <v>#REF!</v>
      </c>
      <c r="HL7" t="e">
        <f>AND(#REF!,"AAAAACv/fts=")</f>
        <v>#REF!</v>
      </c>
      <c r="HM7" t="e">
        <f>AND(#REF!,"AAAAACv/ftw=")</f>
        <v>#REF!</v>
      </c>
      <c r="HN7" t="e">
        <f>AND(#REF!,"AAAAACv/ft0=")</f>
        <v>#REF!</v>
      </c>
      <c r="HO7" t="e">
        <f>AND(#REF!,"AAAAACv/ft4=")</f>
        <v>#REF!</v>
      </c>
      <c r="HP7" t="e">
        <f>AND(#REF!,"AAAAACv/ft8=")</f>
        <v>#REF!</v>
      </c>
      <c r="HQ7" t="e">
        <f>AND(#REF!,"AAAAACv/fuA=")</f>
        <v>#REF!</v>
      </c>
      <c r="HR7" t="e">
        <f>AND(#REF!,"AAAAACv/fuE=")</f>
        <v>#REF!</v>
      </c>
      <c r="HS7" t="e">
        <f>AND(#REF!,"AAAAACv/fuI=")</f>
        <v>#REF!</v>
      </c>
      <c r="HT7" t="e">
        <f>AND(#REF!,"AAAAACv/fuM=")</f>
        <v>#REF!</v>
      </c>
      <c r="HU7" t="e">
        <f>AND(#REF!,"AAAAACv/fuQ=")</f>
        <v>#REF!</v>
      </c>
      <c r="HV7" t="e">
        <f>AND(#REF!,"AAAAACv/fuU=")</f>
        <v>#REF!</v>
      </c>
      <c r="HW7" t="e">
        <f>AND(#REF!,"AAAAACv/fuY=")</f>
        <v>#REF!</v>
      </c>
      <c r="HX7" t="e">
        <f>AND(#REF!,"AAAAACv/fuc=")</f>
        <v>#REF!</v>
      </c>
      <c r="HY7" t="e">
        <f>AND(#REF!,"AAAAACv/fug=")</f>
        <v>#REF!</v>
      </c>
      <c r="HZ7" t="e">
        <f>AND(#REF!,"AAAAACv/fuk=")</f>
        <v>#REF!</v>
      </c>
      <c r="IA7" t="e">
        <f>AND(#REF!,"AAAAACv/fuo=")</f>
        <v>#REF!</v>
      </c>
      <c r="IB7" t="e">
        <f>AND(#REF!,"AAAAACv/fus=")</f>
        <v>#REF!</v>
      </c>
      <c r="IC7" t="e">
        <f>IF(#REF!,"AAAAACv/fuw=",0)</f>
        <v>#REF!</v>
      </c>
      <c r="ID7" t="e">
        <f>AND(#REF!,"AAAAACv/fu0=")</f>
        <v>#REF!</v>
      </c>
      <c r="IE7" t="e">
        <f>AND(#REF!,"AAAAACv/fu4=")</f>
        <v>#REF!</v>
      </c>
      <c r="IF7" t="e">
        <f>AND(#REF!,"AAAAACv/fu8=")</f>
        <v>#REF!</v>
      </c>
      <c r="IG7" t="e">
        <f>AND(#REF!,"AAAAACv/fvA=")</f>
        <v>#REF!</v>
      </c>
      <c r="IH7" t="e">
        <f>AND(#REF!,"AAAAACv/fvE=")</f>
        <v>#REF!</v>
      </c>
      <c r="II7" t="e">
        <f>AND(#REF!,"AAAAACv/fvI=")</f>
        <v>#REF!</v>
      </c>
      <c r="IJ7" t="e">
        <f>AND(#REF!,"AAAAACv/fvM=")</f>
        <v>#REF!</v>
      </c>
      <c r="IK7" t="e">
        <f>AND(#REF!,"AAAAACv/fvQ=")</f>
        <v>#REF!</v>
      </c>
      <c r="IL7" t="e">
        <f>AND(#REF!,"AAAAACv/fvU=")</f>
        <v>#REF!</v>
      </c>
      <c r="IM7" t="e">
        <f>AND(#REF!,"AAAAACv/fvY=")</f>
        <v>#REF!</v>
      </c>
      <c r="IN7" t="e">
        <f>AND(#REF!,"AAAAACv/fvc=")</f>
        <v>#REF!</v>
      </c>
      <c r="IO7" t="e">
        <f>AND(#REF!,"AAAAACv/fvg=")</f>
        <v>#REF!</v>
      </c>
      <c r="IP7" t="e">
        <f>AND(#REF!,"AAAAACv/fvk=")</f>
        <v>#REF!</v>
      </c>
      <c r="IQ7" t="e">
        <f>AND(#REF!,"AAAAACv/fvo=")</f>
        <v>#REF!</v>
      </c>
      <c r="IR7" t="e">
        <f>AND(#REF!,"AAAAACv/fvs=")</f>
        <v>#REF!</v>
      </c>
      <c r="IS7" t="e">
        <f>AND(#REF!,"AAAAACv/fvw=")</f>
        <v>#REF!</v>
      </c>
      <c r="IT7" t="e">
        <f>AND(#REF!,"AAAAACv/fv0=")</f>
        <v>#REF!</v>
      </c>
      <c r="IU7" t="e">
        <f>AND(#REF!,"AAAAACv/fv4=")</f>
        <v>#REF!</v>
      </c>
      <c r="IV7" t="e">
        <f>AND(#REF!,"AAAAACv/fv8=")</f>
        <v>#REF!</v>
      </c>
    </row>
    <row r="8" spans="1:256">
      <c r="A8" t="e">
        <f>AND(#REF!,"AAAAAGT//wA=")</f>
        <v>#REF!</v>
      </c>
      <c r="B8" t="e">
        <f>IF(#REF!,"AAAAAGT//wE=",0)</f>
        <v>#REF!</v>
      </c>
      <c r="C8" t="e">
        <f>AND(#REF!,"AAAAAGT//wI=")</f>
        <v>#REF!</v>
      </c>
      <c r="D8" t="e">
        <f>AND(#REF!,"AAAAAGT//wM=")</f>
        <v>#REF!</v>
      </c>
      <c r="E8" t="e">
        <f>AND(#REF!,"AAAAAGT//wQ=")</f>
        <v>#REF!</v>
      </c>
      <c r="F8" t="e">
        <f>AND(#REF!,"AAAAAGT//wU=")</f>
        <v>#REF!</v>
      </c>
      <c r="G8" t="e">
        <f>AND(#REF!,"AAAAAGT//wY=")</f>
        <v>#REF!</v>
      </c>
      <c r="H8" t="e">
        <f>AND(#REF!,"AAAAAGT//wc=")</f>
        <v>#REF!</v>
      </c>
      <c r="I8" t="e">
        <f>AND(#REF!,"AAAAAGT//wg=")</f>
        <v>#REF!</v>
      </c>
      <c r="J8" t="e">
        <f>AND(#REF!,"AAAAAGT//wk=")</f>
        <v>#REF!</v>
      </c>
      <c r="K8" t="e">
        <f>AND(#REF!,"AAAAAGT//wo=")</f>
        <v>#REF!</v>
      </c>
      <c r="L8" t="e">
        <f>AND(#REF!,"AAAAAGT//ws=")</f>
        <v>#REF!</v>
      </c>
      <c r="M8" t="e">
        <f>AND(#REF!,"AAAAAGT//ww=")</f>
        <v>#REF!</v>
      </c>
      <c r="N8" t="e">
        <f>AND(#REF!,"AAAAAGT//w0=")</f>
        <v>#REF!</v>
      </c>
      <c r="O8" t="e">
        <f>AND(#REF!,"AAAAAGT//w4=")</f>
        <v>#REF!</v>
      </c>
      <c r="P8" t="e">
        <f>AND(#REF!,"AAAAAGT//w8=")</f>
        <v>#REF!</v>
      </c>
      <c r="Q8" t="e">
        <f>AND(#REF!,"AAAAAGT//xA=")</f>
        <v>#REF!</v>
      </c>
      <c r="R8" t="e">
        <f>AND(#REF!,"AAAAAGT//xE=")</f>
        <v>#REF!</v>
      </c>
      <c r="S8" t="e">
        <f>AND(#REF!,"AAAAAGT//xI=")</f>
        <v>#REF!</v>
      </c>
      <c r="T8" t="e">
        <f>AND(#REF!,"AAAAAGT//xM=")</f>
        <v>#REF!</v>
      </c>
      <c r="U8" t="e">
        <f>AND(#REF!,"AAAAAGT//xQ=")</f>
        <v>#REF!</v>
      </c>
      <c r="V8" t="e">
        <f>AND(#REF!,"AAAAAGT//xU=")</f>
        <v>#REF!</v>
      </c>
      <c r="W8" t="e">
        <f>IF(#REF!,"AAAAAGT//xY=",0)</f>
        <v>#REF!</v>
      </c>
      <c r="X8" t="e">
        <f>AND(#REF!,"AAAAAGT//xc=")</f>
        <v>#REF!</v>
      </c>
      <c r="Y8" t="e">
        <f>AND(#REF!,"AAAAAGT//xg=")</f>
        <v>#REF!</v>
      </c>
      <c r="Z8" t="e">
        <f>AND(#REF!,"AAAAAGT//xk=")</f>
        <v>#REF!</v>
      </c>
      <c r="AA8" t="e">
        <f>AND(#REF!,"AAAAAGT//xo=")</f>
        <v>#REF!</v>
      </c>
      <c r="AB8" t="e">
        <f>AND(#REF!,"AAAAAGT//xs=")</f>
        <v>#REF!</v>
      </c>
      <c r="AC8" t="e">
        <f>AND(#REF!,"AAAAAGT//xw=")</f>
        <v>#REF!</v>
      </c>
      <c r="AD8" t="e">
        <f>AND(#REF!,"AAAAAGT//x0=")</f>
        <v>#REF!</v>
      </c>
      <c r="AE8" t="e">
        <f>AND(#REF!,"AAAAAGT//x4=")</f>
        <v>#REF!</v>
      </c>
      <c r="AF8" t="e">
        <f>AND(#REF!,"AAAAAGT//x8=")</f>
        <v>#REF!</v>
      </c>
      <c r="AG8" t="e">
        <f>AND(#REF!,"AAAAAGT//yA=")</f>
        <v>#REF!</v>
      </c>
      <c r="AH8" t="e">
        <f>AND(#REF!,"AAAAAGT//yE=")</f>
        <v>#REF!</v>
      </c>
      <c r="AI8" t="e">
        <f>AND(#REF!,"AAAAAGT//yI=")</f>
        <v>#REF!</v>
      </c>
      <c r="AJ8" t="e">
        <f>AND(#REF!,"AAAAAGT//yM=")</f>
        <v>#REF!</v>
      </c>
      <c r="AK8" t="e">
        <f>AND(#REF!,"AAAAAGT//yQ=")</f>
        <v>#REF!</v>
      </c>
      <c r="AL8" t="e">
        <f>AND(#REF!,"AAAAAGT//yU=")</f>
        <v>#REF!</v>
      </c>
      <c r="AM8" t="e">
        <f>AND(#REF!,"AAAAAGT//yY=")</f>
        <v>#REF!</v>
      </c>
      <c r="AN8" t="e">
        <f>AND(#REF!,"AAAAAGT//yc=")</f>
        <v>#REF!</v>
      </c>
      <c r="AO8" t="e">
        <f>AND(#REF!,"AAAAAGT//yg=")</f>
        <v>#REF!</v>
      </c>
      <c r="AP8" t="e">
        <f>AND(#REF!,"AAAAAGT//yk=")</f>
        <v>#REF!</v>
      </c>
      <c r="AQ8" t="e">
        <f>AND(#REF!,"AAAAAGT//yo=")</f>
        <v>#REF!</v>
      </c>
      <c r="AR8" t="e">
        <f>IF(#REF!,"AAAAAGT//ys=",0)</f>
        <v>#REF!</v>
      </c>
      <c r="AS8" t="e">
        <f>AND(#REF!,"AAAAAGT//yw=")</f>
        <v>#REF!</v>
      </c>
      <c r="AT8" t="e">
        <f>AND(#REF!,"AAAAAGT//y0=")</f>
        <v>#REF!</v>
      </c>
      <c r="AU8" t="e">
        <f>AND(#REF!,"AAAAAGT//y4=")</f>
        <v>#REF!</v>
      </c>
      <c r="AV8" t="e">
        <f>AND(#REF!,"AAAAAGT//y8=")</f>
        <v>#REF!</v>
      </c>
      <c r="AW8" t="e">
        <f>AND(#REF!,"AAAAAGT//zA=")</f>
        <v>#REF!</v>
      </c>
      <c r="AX8" t="e">
        <f>AND(#REF!,"AAAAAGT//zE=")</f>
        <v>#REF!</v>
      </c>
      <c r="AY8" t="e">
        <f>AND(#REF!,"AAAAAGT//zI=")</f>
        <v>#REF!</v>
      </c>
      <c r="AZ8" t="e">
        <f>AND(#REF!,"AAAAAGT//zM=")</f>
        <v>#REF!</v>
      </c>
      <c r="BA8" t="e">
        <f>AND(#REF!,"AAAAAGT//zQ=")</f>
        <v>#REF!</v>
      </c>
      <c r="BB8" t="e">
        <f>AND(#REF!,"AAAAAGT//zU=")</f>
        <v>#REF!</v>
      </c>
      <c r="BC8" t="e">
        <f>AND(#REF!,"AAAAAGT//zY=")</f>
        <v>#REF!</v>
      </c>
      <c r="BD8" t="e">
        <f>AND(#REF!,"AAAAAGT//zc=")</f>
        <v>#REF!</v>
      </c>
      <c r="BE8" t="e">
        <f>AND(#REF!,"AAAAAGT//zg=")</f>
        <v>#REF!</v>
      </c>
      <c r="BF8" t="e">
        <f>AND(#REF!,"AAAAAGT//zk=")</f>
        <v>#REF!</v>
      </c>
      <c r="BG8" t="e">
        <f>AND(#REF!,"AAAAAGT//zo=")</f>
        <v>#REF!</v>
      </c>
      <c r="BH8" t="e">
        <f>AND(#REF!,"AAAAAGT//zs=")</f>
        <v>#REF!</v>
      </c>
      <c r="BI8" t="e">
        <f>AND(#REF!,"AAAAAGT//zw=")</f>
        <v>#REF!</v>
      </c>
      <c r="BJ8" t="e">
        <f>AND(#REF!,"AAAAAGT//z0=")</f>
        <v>#REF!</v>
      </c>
      <c r="BK8" t="e">
        <f>AND(#REF!,"AAAAAGT//z4=")</f>
        <v>#REF!</v>
      </c>
      <c r="BL8" t="e">
        <f>AND(#REF!,"AAAAAGT//z8=")</f>
        <v>#REF!</v>
      </c>
      <c r="BM8" t="e">
        <f>IF(#REF!,"AAAAAGT//0A=",0)</f>
        <v>#REF!</v>
      </c>
      <c r="BN8" t="e">
        <f>AND(#REF!,"AAAAAGT//0E=")</f>
        <v>#REF!</v>
      </c>
      <c r="BO8" t="e">
        <f>AND(#REF!,"AAAAAGT//0I=")</f>
        <v>#REF!</v>
      </c>
      <c r="BP8" t="e">
        <f>AND(#REF!,"AAAAAGT//0M=")</f>
        <v>#REF!</v>
      </c>
      <c r="BQ8" t="e">
        <f>AND(#REF!,"AAAAAGT//0Q=")</f>
        <v>#REF!</v>
      </c>
      <c r="BR8" t="e">
        <f>AND(#REF!,"AAAAAGT//0U=")</f>
        <v>#REF!</v>
      </c>
      <c r="BS8" t="e">
        <f>AND(#REF!,"AAAAAGT//0Y=")</f>
        <v>#REF!</v>
      </c>
      <c r="BT8" t="e">
        <f>AND(#REF!,"AAAAAGT//0c=")</f>
        <v>#REF!</v>
      </c>
      <c r="BU8" t="e">
        <f>AND(#REF!,"AAAAAGT//0g=")</f>
        <v>#REF!</v>
      </c>
      <c r="BV8" t="e">
        <f>AND(#REF!,"AAAAAGT//0k=")</f>
        <v>#REF!</v>
      </c>
      <c r="BW8" t="e">
        <f>AND(#REF!,"AAAAAGT//0o=")</f>
        <v>#REF!</v>
      </c>
      <c r="BX8" t="e">
        <f>AND(#REF!,"AAAAAGT//0s=")</f>
        <v>#REF!</v>
      </c>
      <c r="BY8" t="e">
        <f>AND(#REF!,"AAAAAGT//0w=")</f>
        <v>#REF!</v>
      </c>
      <c r="BZ8" t="e">
        <f>AND(#REF!,"AAAAAGT//00=")</f>
        <v>#REF!</v>
      </c>
      <c r="CA8" t="e">
        <f>AND(#REF!,"AAAAAGT//04=")</f>
        <v>#REF!</v>
      </c>
      <c r="CB8" t="e">
        <f>AND(#REF!,"AAAAAGT//08=")</f>
        <v>#REF!</v>
      </c>
      <c r="CC8" t="e">
        <f>AND(#REF!,"AAAAAGT//1A=")</f>
        <v>#REF!</v>
      </c>
      <c r="CD8" t="e">
        <f>AND(#REF!,"AAAAAGT//1E=")</f>
        <v>#REF!</v>
      </c>
      <c r="CE8" t="e">
        <f>AND(#REF!,"AAAAAGT//1I=")</f>
        <v>#REF!</v>
      </c>
      <c r="CF8" t="e">
        <f>AND(#REF!,"AAAAAGT//1M=")</f>
        <v>#REF!</v>
      </c>
      <c r="CG8" t="e">
        <f>AND(#REF!,"AAAAAGT//1Q=")</f>
        <v>#REF!</v>
      </c>
      <c r="CH8" t="e">
        <f>IF(#REF!,"AAAAAGT//1U=",0)</f>
        <v>#REF!</v>
      </c>
      <c r="CI8" t="e">
        <f>AND(#REF!,"AAAAAGT//1Y=")</f>
        <v>#REF!</v>
      </c>
      <c r="CJ8" t="e">
        <f>AND(#REF!,"AAAAAGT//1c=")</f>
        <v>#REF!</v>
      </c>
      <c r="CK8" t="e">
        <f>AND(#REF!,"AAAAAGT//1g=")</f>
        <v>#REF!</v>
      </c>
      <c r="CL8" t="e">
        <f>AND(#REF!,"AAAAAGT//1k=")</f>
        <v>#REF!</v>
      </c>
      <c r="CM8" t="e">
        <f>AND(#REF!,"AAAAAGT//1o=")</f>
        <v>#REF!</v>
      </c>
      <c r="CN8" t="e">
        <f>AND(#REF!,"AAAAAGT//1s=")</f>
        <v>#REF!</v>
      </c>
      <c r="CO8" t="e">
        <f>AND(#REF!,"AAAAAGT//1w=")</f>
        <v>#REF!</v>
      </c>
      <c r="CP8" t="e">
        <f>AND(#REF!,"AAAAAGT//10=")</f>
        <v>#REF!</v>
      </c>
      <c r="CQ8" t="e">
        <f>AND(#REF!,"AAAAAGT//14=")</f>
        <v>#REF!</v>
      </c>
      <c r="CR8" t="e">
        <f>AND(#REF!,"AAAAAGT//18=")</f>
        <v>#REF!</v>
      </c>
      <c r="CS8" t="e">
        <f>AND(#REF!,"AAAAAGT//2A=")</f>
        <v>#REF!</v>
      </c>
      <c r="CT8" t="e">
        <f>AND(#REF!,"AAAAAGT//2E=")</f>
        <v>#REF!</v>
      </c>
      <c r="CU8" t="e">
        <f>AND(#REF!,"AAAAAGT//2I=")</f>
        <v>#REF!</v>
      </c>
      <c r="CV8" t="e">
        <f>AND(#REF!,"AAAAAGT//2M=")</f>
        <v>#REF!</v>
      </c>
      <c r="CW8" t="e">
        <f>AND(#REF!,"AAAAAGT//2Q=")</f>
        <v>#REF!</v>
      </c>
      <c r="CX8" t="e">
        <f>AND(#REF!,"AAAAAGT//2U=")</f>
        <v>#REF!</v>
      </c>
      <c r="CY8" t="e">
        <f>AND(#REF!,"AAAAAGT//2Y=")</f>
        <v>#REF!</v>
      </c>
      <c r="CZ8" t="e">
        <f>AND(#REF!,"AAAAAGT//2c=")</f>
        <v>#REF!</v>
      </c>
      <c r="DA8" t="e">
        <f>AND(#REF!,"AAAAAGT//2g=")</f>
        <v>#REF!</v>
      </c>
      <c r="DB8" t="e">
        <f>AND(#REF!,"AAAAAGT//2k=")</f>
        <v>#REF!</v>
      </c>
      <c r="DC8" t="e">
        <f>IF(#REF!,"AAAAAGT//2o=",0)</f>
        <v>#REF!</v>
      </c>
      <c r="DD8" t="e">
        <f>AND(#REF!,"AAAAAGT//2s=")</f>
        <v>#REF!</v>
      </c>
      <c r="DE8" t="e">
        <f>AND(#REF!,"AAAAAGT//2w=")</f>
        <v>#REF!</v>
      </c>
      <c r="DF8" t="e">
        <f>AND(#REF!,"AAAAAGT//20=")</f>
        <v>#REF!</v>
      </c>
      <c r="DG8" t="e">
        <f>AND(#REF!,"AAAAAGT//24=")</f>
        <v>#REF!</v>
      </c>
      <c r="DH8" t="e">
        <f>AND(#REF!,"AAAAAGT//28=")</f>
        <v>#REF!</v>
      </c>
      <c r="DI8" t="e">
        <f>AND(#REF!,"AAAAAGT//3A=")</f>
        <v>#REF!</v>
      </c>
      <c r="DJ8" t="e">
        <f>AND(#REF!,"AAAAAGT//3E=")</f>
        <v>#REF!</v>
      </c>
      <c r="DK8" t="e">
        <f>AND(#REF!,"AAAAAGT//3I=")</f>
        <v>#REF!</v>
      </c>
      <c r="DL8" t="e">
        <f>AND(#REF!,"AAAAAGT//3M=")</f>
        <v>#REF!</v>
      </c>
      <c r="DM8" t="e">
        <f>AND(#REF!,"AAAAAGT//3Q=")</f>
        <v>#REF!</v>
      </c>
      <c r="DN8" t="e">
        <f>AND(#REF!,"AAAAAGT//3U=")</f>
        <v>#REF!</v>
      </c>
      <c r="DO8" t="e">
        <f>AND(#REF!,"AAAAAGT//3Y=")</f>
        <v>#REF!</v>
      </c>
      <c r="DP8" t="e">
        <f>AND(#REF!,"AAAAAGT//3c=")</f>
        <v>#REF!</v>
      </c>
      <c r="DQ8" t="e">
        <f>AND(#REF!,"AAAAAGT//3g=")</f>
        <v>#REF!</v>
      </c>
      <c r="DR8" t="e">
        <f>AND(#REF!,"AAAAAGT//3k=")</f>
        <v>#REF!</v>
      </c>
      <c r="DS8" t="e">
        <f>AND(#REF!,"AAAAAGT//3o=")</f>
        <v>#REF!</v>
      </c>
      <c r="DT8" t="e">
        <f>AND(#REF!,"AAAAAGT//3s=")</f>
        <v>#REF!</v>
      </c>
      <c r="DU8" t="e">
        <f>AND(#REF!,"AAAAAGT//3w=")</f>
        <v>#REF!</v>
      </c>
      <c r="DV8" t="e">
        <f>AND(#REF!,"AAAAAGT//30=")</f>
        <v>#REF!</v>
      </c>
      <c r="DW8" t="e">
        <f>AND(#REF!,"AAAAAGT//34=")</f>
        <v>#REF!</v>
      </c>
      <c r="DX8" t="e">
        <f>IF(#REF!,"AAAAAGT//38=",0)</f>
        <v>#REF!</v>
      </c>
      <c r="DY8" t="e">
        <f>AND(#REF!,"AAAAAGT//4A=")</f>
        <v>#REF!</v>
      </c>
      <c r="DZ8" t="e">
        <f>AND(#REF!,"AAAAAGT//4E=")</f>
        <v>#REF!</v>
      </c>
      <c r="EA8" t="e">
        <f>AND(#REF!,"AAAAAGT//4I=")</f>
        <v>#REF!</v>
      </c>
      <c r="EB8" t="e">
        <f>AND(#REF!,"AAAAAGT//4M=")</f>
        <v>#REF!</v>
      </c>
      <c r="EC8" t="e">
        <f>AND(#REF!,"AAAAAGT//4Q=")</f>
        <v>#REF!</v>
      </c>
      <c r="ED8" t="e">
        <f>AND(#REF!,"AAAAAGT//4U=")</f>
        <v>#REF!</v>
      </c>
      <c r="EE8" t="e">
        <f>AND(#REF!,"AAAAAGT//4Y=")</f>
        <v>#REF!</v>
      </c>
      <c r="EF8" t="e">
        <f>AND(#REF!,"AAAAAGT//4c=")</f>
        <v>#REF!</v>
      </c>
      <c r="EG8" t="e">
        <f>AND(#REF!,"AAAAAGT//4g=")</f>
        <v>#REF!</v>
      </c>
      <c r="EH8" t="e">
        <f>AND(#REF!,"AAAAAGT//4k=")</f>
        <v>#REF!</v>
      </c>
      <c r="EI8" t="e">
        <f>AND(#REF!,"AAAAAGT//4o=")</f>
        <v>#REF!</v>
      </c>
      <c r="EJ8" t="e">
        <f>AND(#REF!,"AAAAAGT//4s=")</f>
        <v>#REF!</v>
      </c>
      <c r="EK8" t="e">
        <f>AND(#REF!,"AAAAAGT//4w=")</f>
        <v>#REF!</v>
      </c>
      <c r="EL8" t="e">
        <f>AND(#REF!,"AAAAAGT//40=")</f>
        <v>#REF!</v>
      </c>
      <c r="EM8" t="e">
        <f>AND(#REF!,"AAAAAGT//44=")</f>
        <v>#REF!</v>
      </c>
      <c r="EN8" t="e">
        <f>AND(#REF!,"AAAAAGT//48=")</f>
        <v>#REF!</v>
      </c>
      <c r="EO8" t="e">
        <f>AND(#REF!,"AAAAAGT//5A=")</f>
        <v>#REF!</v>
      </c>
      <c r="EP8" t="e">
        <f>AND(#REF!,"AAAAAGT//5E=")</f>
        <v>#REF!</v>
      </c>
      <c r="EQ8" t="e">
        <f>AND(#REF!,"AAAAAGT//5I=")</f>
        <v>#REF!</v>
      </c>
      <c r="ER8" t="e">
        <f>AND(#REF!,"AAAAAGT//5M=")</f>
        <v>#REF!</v>
      </c>
      <c r="ES8" t="e">
        <f>IF(#REF!,"AAAAAGT//5Q=",0)</f>
        <v>#REF!</v>
      </c>
      <c r="ET8" t="e">
        <f>AND(#REF!,"AAAAAGT//5U=")</f>
        <v>#REF!</v>
      </c>
      <c r="EU8" t="e">
        <f>AND(#REF!,"AAAAAGT//5Y=")</f>
        <v>#REF!</v>
      </c>
      <c r="EV8" t="e">
        <f>AND(#REF!,"AAAAAGT//5c=")</f>
        <v>#REF!</v>
      </c>
      <c r="EW8" t="e">
        <f>AND(#REF!,"AAAAAGT//5g=")</f>
        <v>#REF!</v>
      </c>
      <c r="EX8" t="e">
        <f>AND(#REF!,"AAAAAGT//5k=")</f>
        <v>#REF!</v>
      </c>
      <c r="EY8" t="e">
        <f>AND(#REF!,"AAAAAGT//5o=")</f>
        <v>#REF!</v>
      </c>
      <c r="EZ8" t="e">
        <f>AND(#REF!,"AAAAAGT//5s=")</f>
        <v>#REF!</v>
      </c>
      <c r="FA8" t="e">
        <f>AND(#REF!,"AAAAAGT//5w=")</f>
        <v>#REF!</v>
      </c>
      <c r="FB8" t="e">
        <f>AND(#REF!,"AAAAAGT//50=")</f>
        <v>#REF!</v>
      </c>
      <c r="FC8" t="e">
        <f>AND(#REF!,"AAAAAGT//54=")</f>
        <v>#REF!</v>
      </c>
      <c r="FD8" t="e">
        <f>AND(#REF!,"AAAAAGT//58=")</f>
        <v>#REF!</v>
      </c>
      <c r="FE8" t="e">
        <f>AND(#REF!,"AAAAAGT//6A=")</f>
        <v>#REF!</v>
      </c>
      <c r="FF8" t="e">
        <f>AND(#REF!,"AAAAAGT//6E=")</f>
        <v>#REF!</v>
      </c>
      <c r="FG8" t="e">
        <f>AND(#REF!,"AAAAAGT//6I=")</f>
        <v>#REF!</v>
      </c>
      <c r="FH8" t="e">
        <f>AND(#REF!,"AAAAAGT//6M=")</f>
        <v>#REF!</v>
      </c>
      <c r="FI8" t="e">
        <f>AND(#REF!,"AAAAAGT//6Q=")</f>
        <v>#REF!</v>
      </c>
      <c r="FJ8" t="e">
        <f>AND(#REF!,"AAAAAGT//6U=")</f>
        <v>#REF!</v>
      </c>
      <c r="FK8" t="e">
        <f>AND(#REF!,"AAAAAGT//6Y=")</f>
        <v>#REF!</v>
      </c>
      <c r="FL8" t="e">
        <f>AND(#REF!,"AAAAAGT//6c=")</f>
        <v>#REF!</v>
      </c>
      <c r="FM8" t="e">
        <f>AND(#REF!,"AAAAAGT//6g=")</f>
        <v>#REF!</v>
      </c>
      <c r="FN8" t="e">
        <f>IF(#REF!,"AAAAAGT//6k=",0)</f>
        <v>#REF!</v>
      </c>
      <c r="FO8" t="e">
        <f>AND(#REF!,"AAAAAGT//6o=")</f>
        <v>#REF!</v>
      </c>
      <c r="FP8" t="e">
        <f>AND(#REF!,"AAAAAGT//6s=")</f>
        <v>#REF!</v>
      </c>
      <c r="FQ8" t="e">
        <f>AND(#REF!,"AAAAAGT//6w=")</f>
        <v>#REF!</v>
      </c>
      <c r="FR8" t="e">
        <f>AND(#REF!,"AAAAAGT//60=")</f>
        <v>#REF!</v>
      </c>
      <c r="FS8" t="e">
        <f>AND(#REF!,"AAAAAGT//64=")</f>
        <v>#REF!</v>
      </c>
      <c r="FT8" t="e">
        <f>AND(#REF!,"AAAAAGT//68=")</f>
        <v>#REF!</v>
      </c>
      <c r="FU8" t="e">
        <f>AND(#REF!,"AAAAAGT//7A=")</f>
        <v>#REF!</v>
      </c>
      <c r="FV8" t="e">
        <f>AND(#REF!,"AAAAAGT//7E=")</f>
        <v>#REF!</v>
      </c>
      <c r="FW8" t="e">
        <f>AND(#REF!,"AAAAAGT//7I=")</f>
        <v>#REF!</v>
      </c>
      <c r="FX8" t="e">
        <f>AND(#REF!,"AAAAAGT//7M=")</f>
        <v>#REF!</v>
      </c>
      <c r="FY8" t="e">
        <f>AND(#REF!,"AAAAAGT//7Q=")</f>
        <v>#REF!</v>
      </c>
      <c r="FZ8" t="e">
        <f>AND(#REF!,"AAAAAGT//7U=")</f>
        <v>#REF!</v>
      </c>
      <c r="GA8" t="e">
        <f>AND(#REF!,"AAAAAGT//7Y=")</f>
        <v>#REF!</v>
      </c>
      <c r="GB8" t="e">
        <f>AND(#REF!,"AAAAAGT//7c=")</f>
        <v>#REF!</v>
      </c>
      <c r="GC8" t="e">
        <f>AND(#REF!,"AAAAAGT//7g=")</f>
        <v>#REF!</v>
      </c>
      <c r="GD8" t="e">
        <f>AND(#REF!,"AAAAAGT//7k=")</f>
        <v>#REF!</v>
      </c>
      <c r="GE8" t="e">
        <f>AND(#REF!,"AAAAAGT//7o=")</f>
        <v>#REF!</v>
      </c>
      <c r="GF8" t="e">
        <f>AND(#REF!,"AAAAAGT//7s=")</f>
        <v>#REF!</v>
      </c>
      <c r="GG8" t="e">
        <f>AND(#REF!,"AAAAAGT//7w=")</f>
        <v>#REF!</v>
      </c>
      <c r="GH8" t="e">
        <f>AND(#REF!,"AAAAAGT//70=")</f>
        <v>#REF!</v>
      </c>
      <c r="GI8" t="e">
        <f>IF(#REF!,"AAAAAGT//74=",0)</f>
        <v>#REF!</v>
      </c>
      <c r="GJ8" t="e">
        <f>AND(#REF!,"AAAAAGT//78=")</f>
        <v>#REF!</v>
      </c>
      <c r="GK8" t="e">
        <f>AND(#REF!,"AAAAAGT//8A=")</f>
        <v>#REF!</v>
      </c>
      <c r="GL8" t="e">
        <f>AND(#REF!,"AAAAAGT//8E=")</f>
        <v>#REF!</v>
      </c>
      <c r="GM8" t="e">
        <f>AND(#REF!,"AAAAAGT//8I=")</f>
        <v>#REF!</v>
      </c>
      <c r="GN8" t="e">
        <f>AND(#REF!,"AAAAAGT//8M=")</f>
        <v>#REF!</v>
      </c>
      <c r="GO8" t="e">
        <f>AND(#REF!,"AAAAAGT//8Q=")</f>
        <v>#REF!</v>
      </c>
      <c r="GP8" t="e">
        <f>AND(#REF!,"AAAAAGT//8U=")</f>
        <v>#REF!</v>
      </c>
      <c r="GQ8" t="e">
        <f>AND(#REF!,"AAAAAGT//8Y=")</f>
        <v>#REF!</v>
      </c>
      <c r="GR8" t="e">
        <f>AND(#REF!,"AAAAAGT//8c=")</f>
        <v>#REF!</v>
      </c>
      <c r="GS8" t="e">
        <f>AND(#REF!,"AAAAAGT//8g=")</f>
        <v>#REF!</v>
      </c>
      <c r="GT8" t="e">
        <f>AND(#REF!,"AAAAAGT//8k=")</f>
        <v>#REF!</v>
      </c>
      <c r="GU8" t="e">
        <f>AND(#REF!,"AAAAAGT//8o=")</f>
        <v>#REF!</v>
      </c>
      <c r="GV8" t="e">
        <f>AND(#REF!,"AAAAAGT//8s=")</f>
        <v>#REF!</v>
      </c>
      <c r="GW8" t="e">
        <f>AND(#REF!,"AAAAAGT//8w=")</f>
        <v>#REF!</v>
      </c>
      <c r="GX8" t="e">
        <f>AND(#REF!,"AAAAAGT//80=")</f>
        <v>#REF!</v>
      </c>
      <c r="GY8" t="e">
        <f>AND(#REF!,"AAAAAGT//84=")</f>
        <v>#REF!</v>
      </c>
      <c r="GZ8" t="e">
        <f>AND(#REF!,"AAAAAGT//88=")</f>
        <v>#REF!</v>
      </c>
      <c r="HA8" t="e">
        <f>AND(#REF!,"AAAAAGT//9A=")</f>
        <v>#REF!</v>
      </c>
      <c r="HB8" t="e">
        <f>AND(#REF!,"AAAAAGT//9E=")</f>
        <v>#REF!</v>
      </c>
      <c r="HC8" t="e">
        <f>AND(#REF!,"AAAAAGT//9I=")</f>
        <v>#REF!</v>
      </c>
      <c r="HD8" t="e">
        <f>IF(#REF!,"AAAAAGT//9M=",0)</f>
        <v>#REF!</v>
      </c>
      <c r="HE8" t="e">
        <f>AND(#REF!,"AAAAAGT//9Q=")</f>
        <v>#REF!</v>
      </c>
      <c r="HF8" t="e">
        <f>AND(#REF!,"AAAAAGT//9U=")</f>
        <v>#REF!</v>
      </c>
      <c r="HG8" t="e">
        <f>AND(#REF!,"AAAAAGT//9Y=")</f>
        <v>#REF!</v>
      </c>
      <c r="HH8" t="e">
        <f>AND(#REF!,"AAAAAGT//9c=")</f>
        <v>#REF!</v>
      </c>
      <c r="HI8" t="e">
        <f>AND(#REF!,"AAAAAGT//9g=")</f>
        <v>#REF!</v>
      </c>
      <c r="HJ8" t="e">
        <f>AND(#REF!,"AAAAAGT//9k=")</f>
        <v>#REF!</v>
      </c>
      <c r="HK8" t="e">
        <f>AND(#REF!,"AAAAAGT//9o=")</f>
        <v>#REF!</v>
      </c>
      <c r="HL8" t="e">
        <f>AND(#REF!,"AAAAAGT//9s=")</f>
        <v>#REF!</v>
      </c>
      <c r="HM8" t="e">
        <f>AND(#REF!,"AAAAAGT//9w=")</f>
        <v>#REF!</v>
      </c>
      <c r="HN8" t="e">
        <f>AND(#REF!,"AAAAAGT//90=")</f>
        <v>#REF!</v>
      </c>
      <c r="HO8" t="e">
        <f>AND(#REF!,"AAAAAGT//94=")</f>
        <v>#REF!</v>
      </c>
      <c r="HP8" t="e">
        <f>AND(#REF!,"AAAAAGT//98=")</f>
        <v>#REF!</v>
      </c>
      <c r="HQ8" t="e">
        <f>AND(#REF!,"AAAAAGT//+A=")</f>
        <v>#REF!</v>
      </c>
      <c r="HR8" t="e">
        <f>AND(#REF!,"AAAAAGT//+E=")</f>
        <v>#REF!</v>
      </c>
      <c r="HS8" t="e">
        <f>AND(#REF!,"AAAAAGT//+I=")</f>
        <v>#REF!</v>
      </c>
      <c r="HT8" t="e">
        <f>AND(#REF!,"AAAAAGT//+M=")</f>
        <v>#REF!</v>
      </c>
      <c r="HU8" t="e">
        <f>AND(#REF!,"AAAAAGT//+Q=")</f>
        <v>#REF!</v>
      </c>
      <c r="HV8" t="e">
        <f>AND(#REF!,"AAAAAGT//+U=")</f>
        <v>#REF!</v>
      </c>
      <c r="HW8" t="e">
        <f>AND(#REF!,"AAAAAGT//+Y=")</f>
        <v>#REF!</v>
      </c>
      <c r="HX8" t="e">
        <f>AND(#REF!,"AAAAAGT//+c=")</f>
        <v>#REF!</v>
      </c>
      <c r="HY8" t="e">
        <f>IF(#REF!,"AAAAAGT//+g=",0)</f>
        <v>#REF!</v>
      </c>
      <c r="HZ8" t="e">
        <f>AND(#REF!,"AAAAAGT//+k=")</f>
        <v>#REF!</v>
      </c>
      <c r="IA8" t="e">
        <f>AND(#REF!,"AAAAAGT//+o=")</f>
        <v>#REF!</v>
      </c>
      <c r="IB8" t="e">
        <f>AND(#REF!,"AAAAAGT//+s=")</f>
        <v>#REF!</v>
      </c>
      <c r="IC8" t="e">
        <f>AND(#REF!,"AAAAAGT//+w=")</f>
        <v>#REF!</v>
      </c>
      <c r="ID8" t="e">
        <f>AND(#REF!,"AAAAAGT//+0=")</f>
        <v>#REF!</v>
      </c>
      <c r="IE8" t="e">
        <f>AND(#REF!,"AAAAAGT//+4=")</f>
        <v>#REF!</v>
      </c>
      <c r="IF8" t="e">
        <f>AND(#REF!,"AAAAAGT//+8=")</f>
        <v>#REF!</v>
      </c>
      <c r="IG8" t="e">
        <f>AND(#REF!,"AAAAAGT///A=")</f>
        <v>#REF!</v>
      </c>
      <c r="IH8" t="e">
        <f>AND(#REF!,"AAAAAGT///E=")</f>
        <v>#REF!</v>
      </c>
      <c r="II8" t="e">
        <f>AND(#REF!,"AAAAAGT///I=")</f>
        <v>#REF!</v>
      </c>
      <c r="IJ8" t="e">
        <f>AND(#REF!,"AAAAAGT///M=")</f>
        <v>#REF!</v>
      </c>
      <c r="IK8" t="e">
        <f>AND(#REF!,"AAAAAGT///Q=")</f>
        <v>#REF!</v>
      </c>
      <c r="IL8" t="e">
        <f>AND(#REF!,"AAAAAGT///U=")</f>
        <v>#REF!</v>
      </c>
      <c r="IM8" t="e">
        <f>AND(#REF!,"AAAAAGT///Y=")</f>
        <v>#REF!</v>
      </c>
      <c r="IN8" t="e">
        <f>AND(#REF!,"AAAAAGT///c=")</f>
        <v>#REF!</v>
      </c>
      <c r="IO8" t="e">
        <f>AND(#REF!,"AAAAAGT///g=")</f>
        <v>#REF!</v>
      </c>
      <c r="IP8" t="e">
        <f>AND(#REF!,"AAAAAGT///k=")</f>
        <v>#REF!</v>
      </c>
      <c r="IQ8" t="e">
        <f>AND(#REF!,"AAAAAGT///o=")</f>
        <v>#REF!</v>
      </c>
      <c r="IR8" t="e">
        <f>AND(#REF!,"AAAAAGT///s=")</f>
        <v>#REF!</v>
      </c>
      <c r="IS8" t="e">
        <f>AND(#REF!,"AAAAAGT///w=")</f>
        <v>#REF!</v>
      </c>
      <c r="IT8" t="e">
        <f>IF(#REF!,"AAAAAGT///0=",0)</f>
        <v>#REF!</v>
      </c>
      <c r="IU8" t="e">
        <f>IF(#REF!,"AAAAAGT///4=",0)</f>
        <v>#REF!</v>
      </c>
      <c r="IV8" t="e">
        <f>IF(#REF!,"AAAAAGT///8=",0)</f>
        <v>#REF!</v>
      </c>
    </row>
    <row r="9" spans="1:256">
      <c r="A9" t="e">
        <f>IF(#REF!,"AAAAAH2dewA=",0)</f>
        <v>#REF!</v>
      </c>
      <c r="B9" t="e">
        <f>IF(#REF!,"AAAAAH2dewE=",0)</f>
        <v>#REF!</v>
      </c>
      <c r="C9" t="e">
        <f>IF(#REF!,"AAAAAH2dewI=",0)</f>
        <v>#REF!</v>
      </c>
      <c r="D9" t="e">
        <f>IF(#REF!,"AAAAAH2dewM=",0)</f>
        <v>#REF!</v>
      </c>
      <c r="E9" t="e">
        <f>IF(#REF!,"AAAAAH2dewQ=",0)</f>
        <v>#REF!</v>
      </c>
      <c r="F9" t="e">
        <f>IF(#REF!,"AAAAAH2dewU=",0)</f>
        <v>#REF!</v>
      </c>
      <c r="G9" t="e">
        <f>IF(#REF!,"AAAAAH2dewY=",0)</f>
        <v>#REF!</v>
      </c>
      <c r="H9" t="e">
        <f>IF(#REF!,"AAAAAH2dewc=",0)</f>
        <v>#REF!</v>
      </c>
      <c r="I9" t="e">
        <f>IF(#REF!,"AAAAAH2dewg=",0)</f>
        <v>#REF!</v>
      </c>
      <c r="J9" t="e">
        <f>IF(#REF!,"AAAAAH2dewk=",0)</f>
        <v>#REF!</v>
      </c>
      <c r="K9" t="e">
        <f>IF(#REF!,"AAAAAH2dewo=",0)</f>
        <v>#REF!</v>
      </c>
      <c r="L9" t="e">
        <f>IF(#REF!,"AAAAAH2dews=",0)</f>
        <v>#REF!</v>
      </c>
      <c r="M9" t="e">
        <f>IF(#REF!,"AAAAAH2deww=",0)</f>
        <v>#REF!</v>
      </c>
      <c r="N9" t="e">
        <f>IF(#REF!,"AAAAAH2dew0=",0)</f>
        <v>#REF!</v>
      </c>
      <c r="O9" t="e">
        <f>IF(#REF!,"AAAAAH2dew4=",0)</f>
        <v>#REF!</v>
      </c>
      <c r="P9" t="e">
        <f>IF(#REF!,"AAAAAH2dew8=",0)</f>
        <v>#REF!</v>
      </c>
      <c r="Q9" t="e">
        <f>IF(#REF!,"AAAAAH2dexA=",0)</f>
        <v>#REF!</v>
      </c>
      <c r="R9" t="e">
        <f>IF(#REF!,"AAAAAH2dexE=",0)</f>
        <v>#REF!</v>
      </c>
      <c r="S9" t="e">
        <f>IF(#REF!,"AAAAAH2dexI=",0)</f>
        <v>#REF!</v>
      </c>
      <c r="T9" t="e">
        <f>IF(#REF!,"AAAAAH2dexM=",0)</f>
        <v>#REF!</v>
      </c>
      <c r="U9" t="e">
        <f>AND(#REF!,"AAAAAH2dexQ=")</f>
        <v>#REF!</v>
      </c>
      <c r="V9" t="e">
        <f>AND(#REF!,"AAAAAH2dexU=")</f>
        <v>#REF!</v>
      </c>
      <c r="W9" t="e">
        <f>AND(#REF!,"AAAAAH2dexY=")</f>
        <v>#REF!</v>
      </c>
      <c r="X9" t="e">
        <f>AND(#REF!,"AAAAAH2dexc=")</f>
        <v>#REF!</v>
      </c>
      <c r="Y9" t="e">
        <f>AND(#REF!,"AAAAAH2dexg=")</f>
        <v>#REF!</v>
      </c>
      <c r="Z9" t="e">
        <f>AND(#REF!,"AAAAAH2dexk=")</f>
        <v>#REF!</v>
      </c>
      <c r="AA9" t="e">
        <f>IF(#REF!,"AAAAAH2dexo=",0)</f>
        <v>#REF!</v>
      </c>
      <c r="AB9" t="e">
        <f>AND(#REF!,"AAAAAH2dexs=")</f>
        <v>#REF!</v>
      </c>
      <c r="AC9" t="e">
        <f>AND(#REF!,"AAAAAH2dexw=")</f>
        <v>#REF!</v>
      </c>
      <c r="AD9" t="e">
        <f>AND(#REF!,"AAAAAH2dex0=")</f>
        <v>#REF!</v>
      </c>
      <c r="AE9" t="e">
        <f>AND(#REF!,"AAAAAH2dex4=")</f>
        <v>#REF!</v>
      </c>
      <c r="AF9" t="e">
        <f>AND(#REF!,"AAAAAH2dex8=")</f>
        <v>#REF!</v>
      </c>
      <c r="AG9" t="e">
        <f>AND(#REF!,"AAAAAH2deyA=")</f>
        <v>#REF!</v>
      </c>
      <c r="AH9" t="e">
        <f>IF(#REF!,"AAAAAH2deyE=",0)</f>
        <v>#REF!</v>
      </c>
      <c r="AI9" t="e">
        <f>AND(#REF!,"AAAAAH2deyI=")</f>
        <v>#REF!</v>
      </c>
      <c r="AJ9" t="e">
        <f>AND(#REF!,"AAAAAH2deyM=")</f>
        <v>#REF!</v>
      </c>
      <c r="AK9" t="e">
        <f>AND(#REF!,"AAAAAH2deyQ=")</f>
        <v>#REF!</v>
      </c>
      <c r="AL9" t="e">
        <f>AND(#REF!,"AAAAAH2deyU=")</f>
        <v>#REF!</v>
      </c>
      <c r="AM9" t="e">
        <f>AND(#REF!,"AAAAAH2deyY=")</f>
        <v>#REF!</v>
      </c>
      <c r="AN9" t="e">
        <f>AND(#REF!,"AAAAAH2deyc=")</f>
        <v>#REF!</v>
      </c>
      <c r="AO9" t="e">
        <f>IF(#REF!,"AAAAAH2deyg=",0)</f>
        <v>#REF!</v>
      </c>
      <c r="AP9" t="e">
        <f>AND(#REF!,"AAAAAH2deyk=")</f>
        <v>#REF!</v>
      </c>
      <c r="AQ9" t="e">
        <f>AND(#REF!,"AAAAAH2deyo=")</f>
        <v>#REF!</v>
      </c>
      <c r="AR9" t="e">
        <f>AND(#REF!,"AAAAAH2deys=")</f>
        <v>#REF!</v>
      </c>
      <c r="AS9" t="e">
        <f>AND(#REF!,"AAAAAH2deyw=")</f>
        <v>#REF!</v>
      </c>
      <c r="AT9" t="e">
        <f>AND(#REF!,"AAAAAH2dey0=")</f>
        <v>#REF!</v>
      </c>
      <c r="AU9" t="e">
        <f>AND(#REF!,"AAAAAH2dey4=")</f>
        <v>#REF!</v>
      </c>
      <c r="AV9" t="e">
        <f>IF(#REF!,"AAAAAH2dey8=",0)</f>
        <v>#REF!</v>
      </c>
      <c r="AW9" t="e">
        <f>AND(#REF!,"AAAAAH2dezA=")</f>
        <v>#REF!</v>
      </c>
      <c r="AX9" t="e">
        <f>AND(#REF!,"AAAAAH2dezE=")</f>
        <v>#REF!</v>
      </c>
      <c r="AY9" t="e">
        <f>AND(#REF!,"AAAAAH2dezI=")</f>
        <v>#REF!</v>
      </c>
      <c r="AZ9" t="e">
        <f>AND(#REF!,"AAAAAH2dezM=")</f>
        <v>#REF!</v>
      </c>
      <c r="BA9" t="e">
        <f>AND(#REF!,"AAAAAH2dezQ=")</f>
        <v>#REF!</v>
      </c>
      <c r="BB9" t="e">
        <f>AND(#REF!,"AAAAAH2dezU=")</f>
        <v>#REF!</v>
      </c>
      <c r="BC9" t="e">
        <f>IF(#REF!,"AAAAAH2dezY=",0)</f>
        <v>#REF!</v>
      </c>
      <c r="BD9" t="e">
        <f>AND(#REF!,"AAAAAH2dezc=")</f>
        <v>#REF!</v>
      </c>
      <c r="BE9" t="e">
        <f>AND(#REF!,"AAAAAH2dezg=")</f>
        <v>#REF!</v>
      </c>
      <c r="BF9" t="e">
        <f>AND(#REF!,"AAAAAH2dezk=")</f>
        <v>#REF!</v>
      </c>
      <c r="BG9" t="e">
        <f>AND(#REF!,"AAAAAH2dezo=")</f>
        <v>#REF!</v>
      </c>
      <c r="BH9" t="e">
        <f>AND(#REF!,"AAAAAH2dezs=")</f>
        <v>#REF!</v>
      </c>
      <c r="BI9" t="e">
        <f>AND(#REF!,"AAAAAH2dezw=")</f>
        <v>#REF!</v>
      </c>
      <c r="BJ9" t="e">
        <f>IF(#REF!,"AAAAAH2dez0=",0)</f>
        <v>#REF!</v>
      </c>
      <c r="BK9" t="e">
        <f>AND(#REF!,"AAAAAH2dez4=")</f>
        <v>#REF!</v>
      </c>
      <c r="BL9" t="e">
        <f>AND(#REF!,"AAAAAH2dez8=")</f>
        <v>#REF!</v>
      </c>
      <c r="BM9" t="e">
        <f>AND(#REF!,"AAAAAH2de0A=")</f>
        <v>#REF!</v>
      </c>
      <c r="BN9" t="e">
        <f>AND(#REF!,"AAAAAH2de0E=")</f>
        <v>#REF!</v>
      </c>
      <c r="BO9" t="e">
        <f>AND(#REF!,"AAAAAH2de0I=")</f>
        <v>#REF!</v>
      </c>
      <c r="BP9" t="e">
        <f>AND(#REF!,"AAAAAH2de0M=")</f>
        <v>#REF!</v>
      </c>
      <c r="BQ9" t="e">
        <f>IF(#REF!,"AAAAAH2de0Q=",0)</f>
        <v>#REF!</v>
      </c>
      <c r="BR9" t="e">
        <f>AND(#REF!,"AAAAAH2de0U=")</f>
        <v>#REF!</v>
      </c>
      <c r="BS9" t="e">
        <f>AND(#REF!,"AAAAAH2de0Y=")</f>
        <v>#REF!</v>
      </c>
      <c r="BT9" t="e">
        <f>AND(#REF!,"AAAAAH2de0c=")</f>
        <v>#REF!</v>
      </c>
      <c r="BU9" t="e">
        <f>AND(#REF!,"AAAAAH2de0g=")</f>
        <v>#REF!</v>
      </c>
      <c r="BV9" t="e">
        <f>AND(#REF!,"AAAAAH2de0k=")</f>
        <v>#REF!</v>
      </c>
      <c r="BW9" t="e">
        <f>AND(#REF!,"AAAAAH2de0o=")</f>
        <v>#REF!</v>
      </c>
      <c r="BX9" t="e">
        <f>IF(#REF!,"AAAAAH2de0s=",0)</f>
        <v>#REF!</v>
      </c>
      <c r="BY9" t="e">
        <f>AND(#REF!,"AAAAAH2de0w=")</f>
        <v>#REF!</v>
      </c>
      <c r="BZ9" t="e">
        <f>AND(#REF!,"AAAAAH2de00=")</f>
        <v>#REF!</v>
      </c>
      <c r="CA9" t="e">
        <f>AND(#REF!,"AAAAAH2de04=")</f>
        <v>#REF!</v>
      </c>
      <c r="CB9" t="e">
        <f>AND(#REF!,"AAAAAH2de08=")</f>
        <v>#REF!</v>
      </c>
      <c r="CC9" t="e">
        <f>AND(#REF!,"AAAAAH2de1A=")</f>
        <v>#REF!</v>
      </c>
      <c r="CD9" t="e">
        <f>AND(#REF!,"AAAAAH2de1E=")</f>
        <v>#REF!</v>
      </c>
      <c r="CE9" t="e">
        <f>IF(#REF!,"AAAAAH2de1I=",0)</f>
        <v>#REF!</v>
      </c>
      <c r="CF9" t="e">
        <f>AND(#REF!,"AAAAAH2de1M=")</f>
        <v>#REF!</v>
      </c>
      <c r="CG9" t="e">
        <f>AND(#REF!,"AAAAAH2de1Q=")</f>
        <v>#REF!</v>
      </c>
      <c r="CH9" t="e">
        <f>AND(#REF!,"AAAAAH2de1U=")</f>
        <v>#REF!</v>
      </c>
      <c r="CI9" t="e">
        <f>AND(#REF!,"AAAAAH2de1Y=")</f>
        <v>#REF!</v>
      </c>
      <c r="CJ9" t="e">
        <f>AND(#REF!,"AAAAAH2de1c=")</f>
        <v>#REF!</v>
      </c>
      <c r="CK9" t="e">
        <f>AND(#REF!,"AAAAAH2de1g=")</f>
        <v>#REF!</v>
      </c>
      <c r="CL9" t="e">
        <f>IF(#REF!,"AAAAAH2de1k=",0)</f>
        <v>#REF!</v>
      </c>
      <c r="CM9" t="e">
        <f>AND(#REF!,"AAAAAH2de1o=")</f>
        <v>#REF!</v>
      </c>
      <c r="CN9" t="e">
        <f>AND(#REF!,"AAAAAH2de1s=")</f>
        <v>#REF!</v>
      </c>
      <c r="CO9" t="e">
        <f>AND(#REF!,"AAAAAH2de1w=")</f>
        <v>#REF!</v>
      </c>
      <c r="CP9" t="e">
        <f>AND(#REF!,"AAAAAH2de10=")</f>
        <v>#REF!</v>
      </c>
      <c r="CQ9" t="e">
        <f>AND(#REF!,"AAAAAH2de14=")</f>
        <v>#REF!</v>
      </c>
      <c r="CR9" t="e">
        <f>AND(#REF!,"AAAAAH2de18=")</f>
        <v>#REF!</v>
      </c>
      <c r="CS9" t="e">
        <f>IF(#REF!,"AAAAAH2de2A=",0)</f>
        <v>#REF!</v>
      </c>
      <c r="CT9" t="e">
        <f>AND(#REF!,"AAAAAH2de2E=")</f>
        <v>#REF!</v>
      </c>
      <c r="CU9" t="e">
        <f>AND(#REF!,"AAAAAH2de2I=")</f>
        <v>#REF!</v>
      </c>
      <c r="CV9" t="e">
        <f>AND(#REF!,"AAAAAH2de2M=")</f>
        <v>#REF!</v>
      </c>
      <c r="CW9" t="e">
        <f>AND(#REF!,"AAAAAH2de2Q=")</f>
        <v>#REF!</v>
      </c>
      <c r="CX9" t="e">
        <f>AND(#REF!,"AAAAAH2de2U=")</f>
        <v>#REF!</v>
      </c>
      <c r="CY9" t="e">
        <f>AND(#REF!,"AAAAAH2de2Y=")</f>
        <v>#REF!</v>
      </c>
      <c r="CZ9" t="e">
        <f>IF(#REF!,"AAAAAH2de2c=",0)</f>
        <v>#REF!</v>
      </c>
      <c r="DA9" t="e">
        <f>AND(#REF!,"AAAAAH2de2g=")</f>
        <v>#REF!</v>
      </c>
      <c r="DB9" t="e">
        <f>AND(#REF!,"AAAAAH2de2k=")</f>
        <v>#REF!</v>
      </c>
      <c r="DC9" t="e">
        <f>AND(#REF!,"AAAAAH2de2o=")</f>
        <v>#REF!</v>
      </c>
      <c r="DD9" t="e">
        <f>AND(#REF!,"AAAAAH2de2s=")</f>
        <v>#REF!</v>
      </c>
      <c r="DE9" t="e">
        <f>AND(#REF!,"AAAAAH2de2w=")</f>
        <v>#REF!</v>
      </c>
      <c r="DF9" t="e">
        <f>AND(#REF!,"AAAAAH2de20=")</f>
        <v>#REF!</v>
      </c>
      <c r="DG9" t="e">
        <f>IF(#REF!,"AAAAAH2de24=",0)</f>
        <v>#REF!</v>
      </c>
      <c r="DH9" t="e">
        <f>AND(#REF!,"AAAAAH2de28=")</f>
        <v>#REF!</v>
      </c>
      <c r="DI9" t="e">
        <f>AND(#REF!,"AAAAAH2de3A=")</f>
        <v>#REF!</v>
      </c>
      <c r="DJ9" t="e">
        <f>AND(#REF!,"AAAAAH2de3E=")</f>
        <v>#REF!</v>
      </c>
      <c r="DK9" t="e">
        <f>AND(#REF!,"AAAAAH2de3I=")</f>
        <v>#REF!</v>
      </c>
      <c r="DL9" t="e">
        <f>AND(#REF!,"AAAAAH2de3M=")</f>
        <v>#REF!</v>
      </c>
      <c r="DM9" t="e">
        <f>AND(#REF!,"AAAAAH2de3Q=")</f>
        <v>#REF!</v>
      </c>
      <c r="DN9" t="e">
        <f>IF(#REF!,"AAAAAH2de3U=",0)</f>
        <v>#REF!</v>
      </c>
      <c r="DO9" t="e">
        <f>AND(#REF!,"AAAAAH2de3Y=")</f>
        <v>#REF!</v>
      </c>
      <c r="DP9" t="e">
        <f>AND(#REF!,"AAAAAH2de3c=")</f>
        <v>#REF!</v>
      </c>
      <c r="DQ9" t="e">
        <f>AND(#REF!,"AAAAAH2de3g=")</f>
        <v>#REF!</v>
      </c>
      <c r="DR9" t="e">
        <f>AND(#REF!,"AAAAAH2de3k=")</f>
        <v>#REF!</v>
      </c>
      <c r="DS9" t="e">
        <f>AND(#REF!,"AAAAAH2de3o=")</f>
        <v>#REF!</v>
      </c>
      <c r="DT9" t="e">
        <f>AND(#REF!,"AAAAAH2de3s=")</f>
        <v>#REF!</v>
      </c>
      <c r="DU9" t="e">
        <f>IF(#REF!,"AAAAAH2de3w=",0)</f>
        <v>#REF!</v>
      </c>
      <c r="DV9" t="e">
        <f>AND(#REF!,"AAAAAH2de30=")</f>
        <v>#REF!</v>
      </c>
      <c r="DW9" t="e">
        <f>AND(#REF!,"AAAAAH2de34=")</f>
        <v>#REF!</v>
      </c>
      <c r="DX9" t="e">
        <f>AND(#REF!,"AAAAAH2de38=")</f>
        <v>#REF!</v>
      </c>
      <c r="DY9" t="e">
        <f>AND(#REF!,"AAAAAH2de4A=")</f>
        <v>#REF!</v>
      </c>
      <c r="DZ9" t="e">
        <f>AND(#REF!,"AAAAAH2de4E=")</f>
        <v>#REF!</v>
      </c>
      <c r="EA9" t="e">
        <f>AND(#REF!,"AAAAAH2de4I=")</f>
        <v>#REF!</v>
      </c>
      <c r="EB9" t="e">
        <f>IF(#REF!,"AAAAAH2de4M=",0)</f>
        <v>#REF!</v>
      </c>
      <c r="EC9" t="e">
        <f>AND(#REF!,"AAAAAH2de4Q=")</f>
        <v>#REF!</v>
      </c>
      <c r="ED9" t="e">
        <f>AND(#REF!,"AAAAAH2de4U=")</f>
        <v>#REF!</v>
      </c>
      <c r="EE9" t="e">
        <f>AND(#REF!,"AAAAAH2de4Y=")</f>
        <v>#REF!</v>
      </c>
      <c r="EF9" t="e">
        <f>AND(#REF!,"AAAAAH2de4c=")</f>
        <v>#REF!</v>
      </c>
      <c r="EG9" t="e">
        <f>AND(#REF!,"AAAAAH2de4g=")</f>
        <v>#REF!</v>
      </c>
      <c r="EH9" t="e">
        <f>AND(#REF!,"AAAAAH2de4k=")</f>
        <v>#REF!</v>
      </c>
      <c r="EI9" t="e">
        <f>IF(#REF!,"AAAAAH2de4o=",0)</f>
        <v>#REF!</v>
      </c>
      <c r="EJ9" t="e">
        <f>AND(#REF!,"AAAAAH2de4s=")</f>
        <v>#REF!</v>
      </c>
      <c r="EK9" t="e">
        <f>AND(#REF!,"AAAAAH2de4w=")</f>
        <v>#REF!</v>
      </c>
      <c r="EL9" t="e">
        <f>AND(#REF!,"AAAAAH2de40=")</f>
        <v>#REF!</v>
      </c>
      <c r="EM9" t="e">
        <f>AND(#REF!,"AAAAAH2de44=")</f>
        <v>#REF!</v>
      </c>
      <c r="EN9" t="e">
        <f>AND(#REF!,"AAAAAH2de48=")</f>
        <v>#REF!</v>
      </c>
      <c r="EO9" t="e">
        <f>AND(#REF!,"AAAAAH2de5A=")</f>
        <v>#REF!</v>
      </c>
      <c r="EP9" t="e">
        <f>IF(#REF!,"AAAAAH2de5E=",0)</f>
        <v>#REF!</v>
      </c>
      <c r="EQ9" t="e">
        <f>AND(#REF!,"AAAAAH2de5I=")</f>
        <v>#REF!</v>
      </c>
      <c r="ER9" t="e">
        <f>AND(#REF!,"AAAAAH2de5M=")</f>
        <v>#REF!</v>
      </c>
      <c r="ES9" t="e">
        <f>AND(#REF!,"AAAAAH2de5Q=")</f>
        <v>#REF!</v>
      </c>
      <c r="ET9" t="e">
        <f>AND(#REF!,"AAAAAH2de5U=")</f>
        <v>#REF!</v>
      </c>
      <c r="EU9" t="e">
        <f>AND(#REF!,"AAAAAH2de5Y=")</f>
        <v>#REF!</v>
      </c>
      <c r="EV9" t="e">
        <f>AND(#REF!,"AAAAAH2de5c=")</f>
        <v>#REF!</v>
      </c>
      <c r="EW9" t="e">
        <f>IF(#REF!,"AAAAAH2de5g=",0)</f>
        <v>#REF!</v>
      </c>
      <c r="EX9" t="e">
        <f>AND(#REF!,"AAAAAH2de5k=")</f>
        <v>#REF!</v>
      </c>
      <c r="EY9" t="e">
        <f>AND(#REF!,"AAAAAH2de5o=")</f>
        <v>#REF!</v>
      </c>
      <c r="EZ9" t="e">
        <f>AND(#REF!,"AAAAAH2de5s=")</f>
        <v>#REF!</v>
      </c>
      <c r="FA9" t="e">
        <f>AND(#REF!,"AAAAAH2de5w=")</f>
        <v>#REF!</v>
      </c>
      <c r="FB9" t="e">
        <f>AND(#REF!,"AAAAAH2de50=")</f>
        <v>#REF!</v>
      </c>
      <c r="FC9" t="e">
        <f>AND(#REF!,"AAAAAH2de54=")</f>
        <v>#REF!</v>
      </c>
      <c r="FD9" t="e">
        <f>IF(#REF!,"AAAAAH2de58=",0)</f>
        <v>#REF!</v>
      </c>
      <c r="FE9" t="e">
        <f>AND(#REF!,"AAAAAH2de6A=")</f>
        <v>#REF!</v>
      </c>
      <c r="FF9" t="e">
        <f>AND(#REF!,"AAAAAH2de6E=")</f>
        <v>#REF!</v>
      </c>
      <c r="FG9" t="e">
        <f>AND(#REF!,"AAAAAH2de6I=")</f>
        <v>#REF!</v>
      </c>
      <c r="FH9" t="e">
        <f>AND(#REF!,"AAAAAH2de6M=")</f>
        <v>#REF!</v>
      </c>
      <c r="FI9" t="e">
        <f>AND(#REF!,"AAAAAH2de6Q=")</f>
        <v>#REF!</v>
      </c>
      <c r="FJ9" t="e">
        <f>AND(#REF!,"AAAAAH2de6U=")</f>
        <v>#REF!</v>
      </c>
      <c r="FK9" t="e">
        <f>IF(#REF!,"AAAAAH2de6Y=",0)</f>
        <v>#REF!</v>
      </c>
      <c r="FL9" t="e">
        <f>AND(#REF!,"AAAAAH2de6c=")</f>
        <v>#REF!</v>
      </c>
      <c r="FM9" t="e">
        <f>AND(#REF!,"AAAAAH2de6g=")</f>
        <v>#REF!</v>
      </c>
      <c r="FN9" t="e">
        <f>AND(#REF!,"AAAAAH2de6k=")</f>
        <v>#REF!</v>
      </c>
      <c r="FO9" t="e">
        <f>AND(#REF!,"AAAAAH2de6o=")</f>
        <v>#REF!</v>
      </c>
      <c r="FP9" t="e">
        <f>AND(#REF!,"AAAAAH2de6s=")</f>
        <v>#REF!</v>
      </c>
      <c r="FQ9" t="e">
        <f>AND(#REF!,"AAAAAH2de6w=")</f>
        <v>#REF!</v>
      </c>
      <c r="FR9" t="e">
        <f>IF(#REF!,"AAAAAH2de60=",0)</f>
        <v>#REF!</v>
      </c>
      <c r="FS9" t="e">
        <f>AND(#REF!,"AAAAAH2de64=")</f>
        <v>#REF!</v>
      </c>
      <c r="FT9" t="e">
        <f>AND(#REF!,"AAAAAH2de68=")</f>
        <v>#REF!</v>
      </c>
      <c r="FU9" t="e">
        <f>AND(#REF!,"AAAAAH2de7A=")</f>
        <v>#REF!</v>
      </c>
      <c r="FV9" t="e">
        <f>AND(#REF!,"AAAAAH2de7E=")</f>
        <v>#REF!</v>
      </c>
      <c r="FW9" t="e">
        <f>AND(#REF!,"AAAAAH2de7I=")</f>
        <v>#REF!</v>
      </c>
      <c r="FX9" t="e">
        <f>AND(#REF!,"AAAAAH2de7M=")</f>
        <v>#REF!</v>
      </c>
      <c r="FY9" t="e">
        <f>IF(#REF!,"AAAAAH2de7Q=",0)</f>
        <v>#REF!</v>
      </c>
      <c r="FZ9" t="e">
        <f>AND(#REF!,"AAAAAH2de7U=")</f>
        <v>#REF!</v>
      </c>
      <c r="GA9" t="e">
        <f>AND(#REF!,"AAAAAH2de7Y=")</f>
        <v>#REF!</v>
      </c>
      <c r="GB9" t="e">
        <f>AND(#REF!,"AAAAAH2de7c=")</f>
        <v>#REF!</v>
      </c>
      <c r="GC9" t="e">
        <f>AND(#REF!,"AAAAAH2de7g=")</f>
        <v>#REF!</v>
      </c>
      <c r="GD9" t="e">
        <f>AND(#REF!,"AAAAAH2de7k=")</f>
        <v>#REF!</v>
      </c>
      <c r="GE9" t="e">
        <f>AND(#REF!,"AAAAAH2de7o=")</f>
        <v>#REF!</v>
      </c>
      <c r="GF9" t="e">
        <f>IF(#REF!,"AAAAAH2de7s=",0)</f>
        <v>#REF!</v>
      </c>
      <c r="GG9" t="e">
        <f>AND(#REF!,"AAAAAH2de7w=")</f>
        <v>#REF!</v>
      </c>
      <c r="GH9" t="e">
        <f>AND(#REF!,"AAAAAH2de70=")</f>
        <v>#REF!</v>
      </c>
      <c r="GI9" t="e">
        <f>AND(#REF!,"AAAAAH2de74=")</f>
        <v>#REF!</v>
      </c>
      <c r="GJ9" t="e">
        <f>AND(#REF!,"AAAAAH2de78=")</f>
        <v>#REF!</v>
      </c>
      <c r="GK9" t="e">
        <f>AND(#REF!,"AAAAAH2de8A=")</f>
        <v>#REF!</v>
      </c>
      <c r="GL9" t="e">
        <f>AND(#REF!,"AAAAAH2de8E=")</f>
        <v>#REF!</v>
      </c>
      <c r="GM9" t="e">
        <f>IF(#REF!,"AAAAAH2de8I=",0)</f>
        <v>#REF!</v>
      </c>
      <c r="GN9" t="e">
        <f>AND(#REF!,"AAAAAH2de8M=")</f>
        <v>#REF!</v>
      </c>
      <c r="GO9" t="e">
        <f>AND(#REF!,"AAAAAH2de8Q=")</f>
        <v>#REF!</v>
      </c>
      <c r="GP9" t="e">
        <f>AND(#REF!,"AAAAAH2de8U=")</f>
        <v>#REF!</v>
      </c>
      <c r="GQ9" t="e">
        <f>AND(#REF!,"AAAAAH2de8Y=")</f>
        <v>#REF!</v>
      </c>
      <c r="GR9" t="e">
        <f>AND(#REF!,"AAAAAH2de8c=")</f>
        <v>#REF!</v>
      </c>
      <c r="GS9" t="e">
        <f>AND(#REF!,"AAAAAH2de8g=")</f>
        <v>#REF!</v>
      </c>
      <c r="GT9" t="e">
        <f>IF(#REF!,"AAAAAH2de8k=",0)</f>
        <v>#REF!</v>
      </c>
      <c r="GU9" t="e">
        <f>AND(#REF!,"AAAAAH2de8o=")</f>
        <v>#REF!</v>
      </c>
      <c r="GV9" t="e">
        <f>AND(#REF!,"AAAAAH2de8s=")</f>
        <v>#REF!</v>
      </c>
      <c r="GW9" t="e">
        <f>AND(#REF!,"AAAAAH2de8w=")</f>
        <v>#REF!</v>
      </c>
      <c r="GX9" t="e">
        <f>AND(#REF!,"AAAAAH2de80=")</f>
        <v>#REF!</v>
      </c>
      <c r="GY9" t="e">
        <f>AND(#REF!,"AAAAAH2de84=")</f>
        <v>#REF!</v>
      </c>
      <c r="GZ9" t="e">
        <f>AND(#REF!,"AAAAAH2de88=")</f>
        <v>#REF!</v>
      </c>
      <c r="HA9" t="e">
        <f>IF(#REF!,"AAAAAH2de9A=",0)</f>
        <v>#REF!</v>
      </c>
      <c r="HB9" t="e">
        <f>AND(#REF!,"AAAAAH2de9E=")</f>
        <v>#REF!</v>
      </c>
      <c r="HC9" t="e">
        <f>AND(#REF!,"AAAAAH2de9I=")</f>
        <v>#REF!</v>
      </c>
      <c r="HD9" t="e">
        <f>AND(#REF!,"AAAAAH2de9M=")</f>
        <v>#REF!</v>
      </c>
      <c r="HE9" t="e">
        <f>AND(#REF!,"AAAAAH2de9Q=")</f>
        <v>#REF!</v>
      </c>
      <c r="HF9" t="e">
        <f>AND(#REF!,"AAAAAH2de9U=")</f>
        <v>#REF!</v>
      </c>
      <c r="HG9" t="e">
        <f>AND(#REF!,"AAAAAH2de9Y=")</f>
        <v>#REF!</v>
      </c>
      <c r="HH9" t="e">
        <f>IF(#REF!,"AAAAAH2de9c=",0)</f>
        <v>#REF!</v>
      </c>
      <c r="HI9" t="e">
        <f>AND(#REF!,"AAAAAH2de9g=")</f>
        <v>#REF!</v>
      </c>
      <c r="HJ9" t="e">
        <f>AND(#REF!,"AAAAAH2de9k=")</f>
        <v>#REF!</v>
      </c>
      <c r="HK9" t="e">
        <f>AND(#REF!,"AAAAAH2de9o=")</f>
        <v>#REF!</v>
      </c>
      <c r="HL9" t="e">
        <f>AND(#REF!,"AAAAAH2de9s=")</f>
        <v>#REF!</v>
      </c>
      <c r="HM9" t="e">
        <f>AND(#REF!,"AAAAAH2de9w=")</f>
        <v>#REF!</v>
      </c>
      <c r="HN9" t="e">
        <f>AND(#REF!,"AAAAAH2de90=")</f>
        <v>#REF!</v>
      </c>
      <c r="HO9" t="e">
        <f>IF(#REF!,"AAAAAH2de94=",0)</f>
        <v>#REF!</v>
      </c>
      <c r="HP9" t="e">
        <f>AND(#REF!,"AAAAAH2de98=")</f>
        <v>#REF!</v>
      </c>
      <c r="HQ9" t="e">
        <f>AND(#REF!,"AAAAAH2de+A=")</f>
        <v>#REF!</v>
      </c>
      <c r="HR9" t="e">
        <f>AND(#REF!,"AAAAAH2de+E=")</f>
        <v>#REF!</v>
      </c>
      <c r="HS9" t="e">
        <f>AND(#REF!,"AAAAAH2de+I=")</f>
        <v>#REF!</v>
      </c>
      <c r="HT9" t="e">
        <f>AND(#REF!,"AAAAAH2de+M=")</f>
        <v>#REF!</v>
      </c>
      <c r="HU9" t="e">
        <f>AND(#REF!,"AAAAAH2de+Q=")</f>
        <v>#REF!</v>
      </c>
      <c r="HV9" t="e">
        <f>IF(#REF!,"AAAAAH2de+U=",0)</f>
        <v>#REF!</v>
      </c>
      <c r="HW9" t="e">
        <f>IF(#REF!,"AAAAAH2de+Y=",0)</f>
        <v>#REF!</v>
      </c>
      <c r="HX9" t="e">
        <f>IF(#REF!,"AAAAAH2de+c=",0)</f>
        <v>#REF!</v>
      </c>
      <c r="HY9" t="e">
        <f>IF(#REF!,"AAAAAH2de+g=",0)</f>
        <v>#REF!</v>
      </c>
      <c r="HZ9" t="e">
        <f>IF(#REF!,"AAAAAH2de+k=",0)</f>
        <v>#REF!</v>
      </c>
      <c r="IA9" t="e">
        <f>IF(#REF!,"AAAAAH2de+o=",0)</f>
        <v>#REF!</v>
      </c>
      <c r="IB9" t="e">
        <f>IF(#REF!,"AAAAAH2de+s=",0)</f>
        <v>#REF!</v>
      </c>
      <c r="IC9">
        <f>IF('PCNY05-MOR-MMK 7'!1:1,"AAAAAH2de+w=",0)</f>
        <v>0</v>
      </c>
      <c r="ID9" t="b">
        <f>AND('PCNY05-MOR-MMK 7'!A1,"AAAAAH2de+0=")</f>
        <v>1</v>
      </c>
      <c r="IE9" t="e">
        <f>AND('PCNY05-MOR-MMK 7'!B1,"AAAAAH2de+4=")</f>
        <v>#VALUE!</v>
      </c>
      <c r="IF9" t="b">
        <f>AND('PCNY05-MOR-MMK 7'!C1,"AAAAAH2de+8=")</f>
        <v>1</v>
      </c>
      <c r="IG9" t="e">
        <f>AND('PCNY05-MOR-MMK 7'!D1,"AAAAAH2de/A=")</f>
        <v>#VALUE!</v>
      </c>
      <c r="IH9" t="e">
        <f>AND('PCNY05-MOR-MMK 7'!#REF!,"AAAAAH2de/E=")</f>
        <v>#REF!</v>
      </c>
      <c r="II9" t="e">
        <f>AND('PCNY05-MOR-MMK 7'!#REF!,"AAAAAH2de/I=")</f>
        <v>#REF!</v>
      </c>
      <c r="IJ9" t="e">
        <f>AND('PCNY05-MOR-MMK 7'!#REF!,"AAAAAH2de/M=")</f>
        <v>#REF!</v>
      </c>
      <c r="IK9" t="e">
        <f>AND('PCNY05-MOR-MMK 7'!#REF!,"AAAAAH2de/Q=")</f>
        <v>#REF!</v>
      </c>
      <c r="IL9" t="e">
        <f>AND('PCNY05-MOR-MMK 7'!#REF!,"AAAAAH2de/U=")</f>
        <v>#REF!</v>
      </c>
      <c r="IM9" t="e">
        <f>AND('PCNY05-MOR-MMK 7'!#REF!,"AAAAAH2de/Y=")</f>
        <v>#REF!</v>
      </c>
      <c r="IN9">
        <f>IF('PCNY05-MOR-MMK 7'!2:2,"AAAAAH2de/c=",0)</f>
        <v>0</v>
      </c>
      <c r="IO9" t="b">
        <f>AND('PCNY05-MOR-MMK 7'!A2,"AAAAAH2de/g=")</f>
        <v>1</v>
      </c>
      <c r="IP9" t="e">
        <f>AND('PCNY05-MOR-MMK 7'!B2,"AAAAAH2de/k=")</f>
        <v>#VALUE!</v>
      </c>
      <c r="IQ9" t="b">
        <f>AND('PCNY05-MOR-MMK 7'!C2,"AAAAAH2de/o=")</f>
        <v>1</v>
      </c>
      <c r="IR9" t="e">
        <f>AND('PCNY05-MOR-MMK 7'!D2,"AAAAAH2de/s=")</f>
        <v>#VALUE!</v>
      </c>
      <c r="IS9" t="e">
        <f>AND('PCNY05-MOR-MMK 7'!#REF!,"AAAAAH2de/w=")</f>
        <v>#REF!</v>
      </c>
      <c r="IT9" t="e">
        <f>AND('PCNY05-MOR-MMK 7'!#REF!,"AAAAAH2de/0=")</f>
        <v>#REF!</v>
      </c>
      <c r="IU9" t="e">
        <f>AND('PCNY05-MOR-MMK 7'!#REF!,"AAAAAH2de/4=")</f>
        <v>#REF!</v>
      </c>
      <c r="IV9" t="e">
        <f>AND('PCNY05-MOR-MMK 7'!#REF!,"AAAAAH2de/8=")</f>
        <v>#REF!</v>
      </c>
    </row>
    <row r="10" spans="1:256">
      <c r="A10" t="e">
        <f>AND('PCNY05-MOR-MMK 7'!#REF!,"AAAAAH2/7QA=")</f>
        <v>#REF!</v>
      </c>
      <c r="B10" t="e">
        <f>AND('PCNY05-MOR-MMK 7'!#REF!,"AAAAAH2/7QE=")</f>
        <v>#REF!</v>
      </c>
      <c r="C10" t="str">
        <f>IF('PCNY05-MOR-MMK 7'!3:3,"AAAAAH2/7QI=",0)</f>
        <v>AAAAAH2/7QI=</v>
      </c>
      <c r="D10" t="b">
        <f>AND('PCNY05-MOR-MMK 7'!A3,"AAAAAH2/7QM=")</f>
        <v>1</v>
      </c>
      <c r="E10" t="e">
        <f>AND('PCNY05-MOR-MMK 7'!B3,"AAAAAH2/7QQ=")</f>
        <v>#VALUE!</v>
      </c>
      <c r="F10" t="b">
        <f>AND('PCNY05-MOR-MMK 7'!C4,"AAAAAH2/7QU=")</f>
        <v>1</v>
      </c>
      <c r="G10" t="e">
        <f>AND('PCNY05-MOR-MMK 7'!D4,"AAAAAH2/7QY=")</f>
        <v>#VALUE!</v>
      </c>
      <c r="H10" t="e">
        <f>AND('PCNY05-MOR-MMK 7'!#REF!,"AAAAAH2/7Qc=")</f>
        <v>#REF!</v>
      </c>
      <c r="I10" t="e">
        <f>AND('PCNY05-MOR-MMK 7'!#REF!,"AAAAAH2/7Qg=")</f>
        <v>#REF!</v>
      </c>
      <c r="J10" t="e">
        <f>AND('PCNY05-MOR-MMK 7'!#REF!,"AAAAAH2/7Qk=")</f>
        <v>#REF!</v>
      </c>
      <c r="K10" t="e">
        <f>AND('PCNY05-MOR-MMK 7'!#REF!,"AAAAAH2/7Qo=")</f>
        <v>#REF!</v>
      </c>
      <c r="L10" t="e">
        <f>AND('PCNY05-MOR-MMK 7'!#REF!,"AAAAAH2/7Qs=")</f>
        <v>#REF!</v>
      </c>
      <c r="M10" t="e">
        <f>AND('PCNY05-MOR-MMK 7'!#REF!,"AAAAAH2/7Qw=")</f>
        <v>#REF!</v>
      </c>
      <c r="N10" t="e">
        <f>IF('PCNY05-MOR-MMK 7'!4:4,"AAAAAH2/7Q0=",0)</f>
        <v>#VALUE!</v>
      </c>
      <c r="O10" t="b">
        <f>AND('PCNY05-MOR-MMK 7'!A4,"AAAAAH2/7Q4=")</f>
        <v>1</v>
      </c>
      <c r="P10" t="e">
        <f>AND('PCNY05-MOR-MMK 7'!B4,"AAAAAH2/7Q8=")</f>
        <v>#VALUE!</v>
      </c>
      <c r="Q10" t="b">
        <f>AND('PCNY05-MOR-MMK 7'!C5,"AAAAAH2/7RA=")</f>
        <v>1</v>
      </c>
      <c r="R10" t="e">
        <f>AND('PCNY05-MOR-MMK 7'!D5,"AAAAAH2/7RE=")</f>
        <v>#VALUE!</v>
      </c>
      <c r="S10" t="e">
        <f>AND('PCNY05-MOR-MMK 7'!#REF!,"AAAAAH2/7RI=")</f>
        <v>#REF!</v>
      </c>
      <c r="T10" t="e">
        <f>AND('PCNY05-MOR-MMK 7'!#REF!,"AAAAAH2/7RM=")</f>
        <v>#REF!</v>
      </c>
      <c r="U10" t="e">
        <f>AND('PCNY05-MOR-MMK 7'!#REF!,"AAAAAH2/7RQ=")</f>
        <v>#REF!</v>
      </c>
      <c r="V10" t="e">
        <f>AND('PCNY05-MOR-MMK 7'!#REF!,"AAAAAH2/7RU=")</f>
        <v>#REF!</v>
      </c>
      <c r="W10" t="e">
        <f>AND('PCNY05-MOR-MMK 7'!#REF!,"AAAAAH2/7RY=")</f>
        <v>#REF!</v>
      </c>
      <c r="X10" t="e">
        <f>AND('PCNY05-MOR-MMK 7'!#REF!,"AAAAAH2/7Rc=")</f>
        <v>#REF!</v>
      </c>
      <c r="Y10">
        <f>IF('PCNY05-MOR-MMK 7'!5:5,"AAAAAH2/7Rg=",0)</f>
        <v>0</v>
      </c>
      <c r="Z10" t="b">
        <f>AND('PCNY05-MOR-MMK 7'!A5,"AAAAAH2/7Rk=")</f>
        <v>1</v>
      </c>
      <c r="AA10" t="e">
        <f>AND('PCNY05-MOR-MMK 7'!B5,"AAAAAH2/7Ro=")</f>
        <v>#VALUE!</v>
      </c>
      <c r="AB10" t="b">
        <f>AND('PCNY05-MOR-MMK 7'!C6,"AAAAAH2/7Rs=")</f>
        <v>1</v>
      </c>
      <c r="AC10" t="e">
        <f>AND('PCNY05-MOR-MMK 7'!D6,"AAAAAH2/7Rw=")</f>
        <v>#VALUE!</v>
      </c>
      <c r="AD10" t="e">
        <f>AND('PCNY05-MOR-MMK 7'!#REF!,"AAAAAH2/7R0=")</f>
        <v>#REF!</v>
      </c>
      <c r="AE10" t="e">
        <f>AND('PCNY05-MOR-MMK 7'!#REF!,"AAAAAH2/7R4=")</f>
        <v>#REF!</v>
      </c>
      <c r="AF10" t="e">
        <f>AND('PCNY05-MOR-MMK 7'!#REF!,"AAAAAH2/7R8=")</f>
        <v>#REF!</v>
      </c>
      <c r="AG10" t="e">
        <f>AND('PCNY05-MOR-MMK 7'!#REF!,"AAAAAH2/7SA=")</f>
        <v>#REF!</v>
      </c>
      <c r="AH10" t="e">
        <f>AND('PCNY05-MOR-MMK 7'!#REF!,"AAAAAH2/7SE=")</f>
        <v>#REF!</v>
      </c>
      <c r="AI10" t="e">
        <f>AND('PCNY05-MOR-MMK 7'!#REF!,"AAAAAH2/7SI=")</f>
        <v>#REF!</v>
      </c>
      <c r="AJ10">
        <f>IF('PCNY05-MOR-MMK 7'!6:6,"AAAAAH2/7SM=",0)</f>
        <v>0</v>
      </c>
      <c r="AK10" t="b">
        <f>AND('PCNY05-MOR-MMK 7'!A6,"AAAAAH2/7SQ=")</f>
        <v>1</v>
      </c>
      <c r="AL10" t="e">
        <f>AND('PCNY05-MOR-MMK 7'!B6,"AAAAAH2/7SU=")</f>
        <v>#VALUE!</v>
      </c>
      <c r="AM10" t="b">
        <f>AND('PCNY05-MOR-MMK 7'!C7,"AAAAAH2/7SY=")</f>
        <v>1</v>
      </c>
      <c r="AN10" t="e">
        <f>AND('PCNY05-MOR-MMK 7'!D7,"AAAAAH2/7Sc=")</f>
        <v>#VALUE!</v>
      </c>
      <c r="AO10" t="e">
        <f>AND('PCNY05-MOR-MMK 7'!#REF!,"AAAAAH2/7Sg=")</f>
        <v>#REF!</v>
      </c>
      <c r="AP10" t="e">
        <f>AND('PCNY05-MOR-MMK 7'!#REF!,"AAAAAH2/7Sk=")</f>
        <v>#REF!</v>
      </c>
      <c r="AQ10" t="e">
        <f>AND('PCNY05-MOR-MMK 7'!#REF!,"AAAAAH2/7So=")</f>
        <v>#REF!</v>
      </c>
      <c r="AR10" t="e">
        <f>AND('PCNY05-MOR-MMK 7'!#REF!,"AAAAAH2/7Ss=")</f>
        <v>#REF!</v>
      </c>
      <c r="AS10" t="e">
        <f>AND('PCNY05-MOR-MMK 7'!#REF!,"AAAAAH2/7Sw=")</f>
        <v>#REF!</v>
      </c>
      <c r="AT10" t="e">
        <f>AND('PCNY05-MOR-MMK 7'!#REF!,"AAAAAH2/7S0=")</f>
        <v>#REF!</v>
      </c>
      <c r="AU10">
        <f>IF('PCNY05-MOR-MMK 7'!7:7,"AAAAAH2/7S4=",0)</f>
        <v>0</v>
      </c>
      <c r="AV10" t="b">
        <f>AND('PCNY05-MOR-MMK 7'!A7,"AAAAAH2/7S8=")</f>
        <v>1</v>
      </c>
      <c r="AW10" t="e">
        <f>AND('PCNY05-MOR-MMK 7'!B7,"AAAAAH2/7TA=")</f>
        <v>#VALUE!</v>
      </c>
      <c r="AX10" t="b">
        <f>AND('PCNY05-MOR-MMK 7'!C8,"AAAAAH2/7TE=")</f>
        <v>1</v>
      </c>
      <c r="AY10" t="e">
        <f>AND('PCNY05-MOR-MMK 7'!D8,"AAAAAH2/7TI=")</f>
        <v>#VALUE!</v>
      </c>
      <c r="AZ10" t="e">
        <f>AND('PCNY05-MOR-MMK 7'!#REF!,"AAAAAH2/7TM=")</f>
        <v>#REF!</v>
      </c>
      <c r="BA10" t="e">
        <f>AND('PCNY05-MOR-MMK 7'!#REF!,"AAAAAH2/7TQ=")</f>
        <v>#REF!</v>
      </c>
      <c r="BB10" t="e">
        <f>AND('PCNY05-MOR-MMK 7'!#REF!,"AAAAAH2/7TU=")</f>
        <v>#REF!</v>
      </c>
      <c r="BC10" t="e">
        <f>AND('PCNY05-MOR-MMK 7'!#REF!,"AAAAAH2/7TY=")</f>
        <v>#REF!</v>
      </c>
      <c r="BD10" t="e">
        <f>AND('PCNY05-MOR-MMK 7'!#REF!,"AAAAAH2/7Tc=")</f>
        <v>#REF!</v>
      </c>
      <c r="BE10" t="e">
        <f>AND('PCNY05-MOR-MMK 7'!#REF!,"AAAAAH2/7Tg=")</f>
        <v>#REF!</v>
      </c>
      <c r="BF10">
        <f>IF('PCNY05-MOR-MMK 7'!8:8,"AAAAAH2/7Tk=",0)</f>
        <v>0</v>
      </c>
      <c r="BG10" t="b">
        <f>AND('PCNY05-MOR-MMK 7'!A8,"AAAAAH2/7To=")</f>
        <v>1</v>
      </c>
      <c r="BH10" t="e">
        <f>AND('PCNY05-MOR-MMK 7'!B8,"AAAAAH2/7Ts=")</f>
        <v>#VALUE!</v>
      </c>
      <c r="BI10" t="b">
        <f>AND('PCNY05-MOR-MMK 7'!C9,"AAAAAH2/7Tw=")</f>
        <v>1</v>
      </c>
      <c r="BJ10" t="e">
        <f>AND('PCNY05-MOR-MMK 7'!D9,"AAAAAH2/7T0=")</f>
        <v>#VALUE!</v>
      </c>
      <c r="BK10" t="e">
        <f>AND('PCNY05-MOR-MMK 7'!#REF!,"AAAAAH2/7T4=")</f>
        <v>#REF!</v>
      </c>
      <c r="BL10" t="e">
        <f>AND('PCNY05-MOR-MMK 7'!#REF!,"AAAAAH2/7T8=")</f>
        <v>#REF!</v>
      </c>
      <c r="BM10" t="e">
        <f>AND('PCNY05-MOR-MMK 7'!#REF!,"AAAAAH2/7UA=")</f>
        <v>#REF!</v>
      </c>
      <c r="BN10" t="e">
        <f>AND('PCNY05-MOR-MMK 7'!#REF!,"AAAAAH2/7UE=")</f>
        <v>#REF!</v>
      </c>
      <c r="BO10" t="e">
        <f>AND('PCNY05-MOR-MMK 7'!#REF!,"AAAAAH2/7UI=")</f>
        <v>#REF!</v>
      </c>
      <c r="BP10" t="e">
        <f>AND('PCNY05-MOR-MMK 7'!#REF!,"AAAAAH2/7UM=")</f>
        <v>#REF!</v>
      </c>
      <c r="BQ10">
        <f>IF('PCNY05-MOR-MMK 7'!9:9,"AAAAAH2/7UQ=",0)</f>
        <v>0</v>
      </c>
      <c r="BR10" t="b">
        <f>AND('PCNY05-MOR-MMK 7'!A9,"AAAAAH2/7UU=")</f>
        <v>1</v>
      </c>
      <c r="BS10" t="e">
        <f>AND('PCNY05-MOR-MMK 7'!B9,"AAAAAH2/7UY=")</f>
        <v>#VALUE!</v>
      </c>
      <c r="BT10" t="b">
        <f>AND('PCNY05-MOR-MMK 7'!C10,"AAAAAH2/7Uc=")</f>
        <v>1</v>
      </c>
      <c r="BU10" t="e">
        <f>AND('PCNY05-MOR-MMK 7'!D10,"AAAAAH2/7Ug=")</f>
        <v>#VALUE!</v>
      </c>
      <c r="BV10" t="e">
        <f>AND('PCNY05-MOR-MMK 7'!#REF!,"AAAAAH2/7Uk=")</f>
        <v>#REF!</v>
      </c>
      <c r="BW10" t="e">
        <f>AND('PCNY05-MOR-MMK 7'!#REF!,"AAAAAH2/7Uo=")</f>
        <v>#REF!</v>
      </c>
      <c r="BX10" t="e">
        <f>AND('PCNY05-MOR-MMK 7'!#REF!,"AAAAAH2/7Us=")</f>
        <v>#REF!</v>
      </c>
      <c r="BY10" t="e">
        <f>AND('PCNY05-MOR-MMK 7'!#REF!,"AAAAAH2/7Uw=")</f>
        <v>#REF!</v>
      </c>
      <c r="BZ10" t="e">
        <f>AND('PCNY05-MOR-MMK 7'!#REF!,"AAAAAH2/7U0=")</f>
        <v>#REF!</v>
      </c>
      <c r="CA10" t="e">
        <f>AND('PCNY05-MOR-MMK 7'!#REF!,"AAAAAH2/7U4=")</f>
        <v>#REF!</v>
      </c>
      <c r="CB10">
        <f>IF('PCNY05-MOR-MMK 7'!10:10,"AAAAAH2/7U8=",0)</f>
        <v>0</v>
      </c>
      <c r="CC10" t="b">
        <f>AND('PCNY05-MOR-MMK 7'!A15,"AAAAAH2/7VA=")</f>
        <v>1</v>
      </c>
      <c r="CD10" t="e">
        <f>AND('PCNY05-MOR-MMK 7'!B15,"AAAAAH2/7VE=")</f>
        <v>#VALUE!</v>
      </c>
      <c r="CE10" t="b">
        <f>AND('PCNY05-MOR-MMK 7'!C11,"AAAAAH2/7VI=")</f>
        <v>1</v>
      </c>
      <c r="CF10" t="e">
        <f>AND('PCNY05-MOR-MMK 7'!D11,"AAAAAH2/7VM=")</f>
        <v>#VALUE!</v>
      </c>
      <c r="CG10" t="e">
        <f>AND('PCNY05-MOR-MMK 7'!#REF!,"AAAAAH2/7VQ=")</f>
        <v>#REF!</v>
      </c>
      <c r="CH10" t="e">
        <f>AND('PCNY05-MOR-MMK 7'!#REF!,"AAAAAH2/7VU=")</f>
        <v>#REF!</v>
      </c>
      <c r="CI10" t="e">
        <f>AND('PCNY05-MOR-MMK 7'!#REF!,"AAAAAH2/7VY=")</f>
        <v>#REF!</v>
      </c>
      <c r="CJ10" t="e">
        <f>AND('PCNY05-MOR-MMK 7'!#REF!,"AAAAAH2/7Vc=")</f>
        <v>#REF!</v>
      </c>
      <c r="CK10" t="e">
        <f>AND('PCNY05-MOR-MMK 7'!#REF!,"AAAAAH2/7Vg=")</f>
        <v>#REF!</v>
      </c>
      <c r="CL10" t="e">
        <f>AND('PCNY05-MOR-MMK 7'!#REF!,"AAAAAH2/7Vk=")</f>
        <v>#REF!</v>
      </c>
      <c r="CM10">
        <f>IF('PCNY05-MOR-MMK 7'!11:11,"AAAAAH2/7Vo=",0)</f>
        <v>0</v>
      </c>
      <c r="CN10" t="e">
        <f>AND('PCNY05-MOR-MMK 7'!#REF!,"AAAAAH2/7Vs=")</f>
        <v>#REF!</v>
      </c>
      <c r="CO10" t="e">
        <f>AND('PCNY05-MOR-MMK 7'!#REF!,"AAAAAH2/7Vw=")</f>
        <v>#REF!</v>
      </c>
      <c r="CP10" t="b">
        <f>AND('PCNY05-MOR-MMK 7'!C12,"AAAAAH2/7V0=")</f>
        <v>1</v>
      </c>
      <c r="CQ10" t="e">
        <f>AND('PCNY05-MOR-MMK 7'!D12,"AAAAAH2/7V4=")</f>
        <v>#VALUE!</v>
      </c>
      <c r="CR10" t="e">
        <f>AND('PCNY05-MOR-MMK 7'!#REF!,"AAAAAH2/7V8=")</f>
        <v>#REF!</v>
      </c>
      <c r="CS10" t="e">
        <f>AND('PCNY05-MOR-MMK 7'!#REF!,"AAAAAH2/7WA=")</f>
        <v>#REF!</v>
      </c>
      <c r="CT10" t="e">
        <f>AND('PCNY05-MOR-MMK 7'!#REF!,"AAAAAH2/7WE=")</f>
        <v>#REF!</v>
      </c>
      <c r="CU10" t="e">
        <f>AND('PCNY05-MOR-MMK 7'!#REF!,"AAAAAH2/7WI=")</f>
        <v>#REF!</v>
      </c>
      <c r="CV10" t="e">
        <f>AND('PCNY05-MOR-MMK 7'!#REF!,"AAAAAH2/7WM=")</f>
        <v>#REF!</v>
      </c>
      <c r="CW10" t="e">
        <f>AND('PCNY05-MOR-MMK 7'!#REF!,"AAAAAH2/7WQ=")</f>
        <v>#REF!</v>
      </c>
      <c r="CX10">
        <f>IF('PCNY05-MOR-MMK 7'!12:12,"AAAAAH2/7WU=",0)</f>
        <v>0</v>
      </c>
      <c r="CY10" t="b">
        <f>AND('PCNY05-MOR-MMK 7'!A10,"AAAAAH2/7WY=")</f>
        <v>1</v>
      </c>
      <c r="CZ10" t="e">
        <f>AND('PCNY05-MOR-MMK 7'!B10,"AAAAAH2/7Wc=")</f>
        <v>#VALUE!</v>
      </c>
      <c r="DA10" t="b">
        <f>AND('PCNY05-MOR-MMK 7'!C13,"AAAAAH2/7Wg=")</f>
        <v>1</v>
      </c>
      <c r="DB10" t="e">
        <f>AND('PCNY05-MOR-MMK 7'!D13,"AAAAAH2/7Wk=")</f>
        <v>#VALUE!</v>
      </c>
      <c r="DC10" t="e">
        <f>AND('PCNY05-MOR-MMK 7'!#REF!,"AAAAAH2/7Wo=")</f>
        <v>#REF!</v>
      </c>
      <c r="DD10" t="e">
        <f>AND('PCNY05-MOR-MMK 7'!#REF!,"AAAAAH2/7Ws=")</f>
        <v>#REF!</v>
      </c>
      <c r="DE10" t="e">
        <f>AND('PCNY05-MOR-MMK 7'!#REF!,"AAAAAH2/7Ww=")</f>
        <v>#REF!</v>
      </c>
      <c r="DF10" t="e">
        <f>AND('PCNY05-MOR-MMK 7'!#REF!,"AAAAAH2/7W0=")</f>
        <v>#REF!</v>
      </c>
      <c r="DG10" t="e">
        <f>AND('PCNY05-MOR-MMK 7'!#REF!,"AAAAAH2/7W4=")</f>
        <v>#REF!</v>
      </c>
      <c r="DH10" t="e">
        <f>AND('PCNY05-MOR-MMK 7'!#REF!,"AAAAAH2/7W8=")</f>
        <v>#REF!</v>
      </c>
      <c r="DI10">
        <f>IF('PCNY05-MOR-MMK 7'!13:13,"AAAAAH2/7XA=",0)</f>
        <v>0</v>
      </c>
      <c r="DJ10" t="b">
        <f>AND('PCNY05-MOR-MMK 7'!A11,"AAAAAH2/7XE=")</f>
        <v>1</v>
      </c>
      <c r="DK10" t="e">
        <f>AND('PCNY05-MOR-MMK 7'!B11,"AAAAAH2/7XI=")</f>
        <v>#VALUE!</v>
      </c>
      <c r="DL10" t="b">
        <f>AND('PCNY05-MOR-MMK 7'!C14,"AAAAAH2/7XM=")</f>
        <v>1</v>
      </c>
      <c r="DM10" t="e">
        <f>AND('PCNY05-MOR-MMK 7'!D14,"AAAAAH2/7XQ=")</f>
        <v>#VALUE!</v>
      </c>
      <c r="DN10" t="e">
        <f>AND('PCNY05-MOR-MMK 7'!#REF!,"AAAAAH2/7XU=")</f>
        <v>#REF!</v>
      </c>
      <c r="DO10" t="e">
        <f>AND('PCNY05-MOR-MMK 7'!#REF!,"AAAAAH2/7XY=")</f>
        <v>#REF!</v>
      </c>
      <c r="DP10" t="e">
        <f>AND('PCNY05-MOR-MMK 7'!#REF!,"AAAAAH2/7Xc=")</f>
        <v>#REF!</v>
      </c>
      <c r="DQ10" t="e">
        <f>AND('PCNY05-MOR-MMK 7'!#REF!,"AAAAAH2/7Xg=")</f>
        <v>#REF!</v>
      </c>
      <c r="DR10" t="e">
        <f>AND('PCNY05-MOR-MMK 7'!#REF!,"AAAAAH2/7Xk=")</f>
        <v>#REF!</v>
      </c>
      <c r="DS10" t="e">
        <f>AND('PCNY05-MOR-MMK 7'!#REF!,"AAAAAH2/7Xo=")</f>
        <v>#REF!</v>
      </c>
      <c r="DT10">
        <f>IF('PCNY05-MOR-MMK 7'!14:14,"AAAAAH2/7Xs=",0)</f>
        <v>0</v>
      </c>
      <c r="DU10" t="b">
        <f>AND('PCNY05-MOR-MMK 7'!A12,"AAAAAH2/7Xw=")</f>
        <v>1</v>
      </c>
      <c r="DV10" t="e">
        <f>AND('PCNY05-MOR-MMK 7'!B12,"AAAAAH2/7X0=")</f>
        <v>#VALUE!</v>
      </c>
      <c r="DW10" t="b">
        <f>AND('PCNY05-MOR-MMK 7'!C15,"AAAAAH2/7X4=")</f>
        <v>1</v>
      </c>
      <c r="DX10" t="e">
        <f>AND('PCNY05-MOR-MMK 7'!D15,"AAAAAH2/7X8=")</f>
        <v>#VALUE!</v>
      </c>
      <c r="DY10" t="e">
        <f>AND('PCNY05-MOR-MMK 7'!#REF!,"AAAAAH2/7YA=")</f>
        <v>#REF!</v>
      </c>
      <c r="DZ10" t="e">
        <f>AND('PCNY05-MOR-MMK 7'!#REF!,"AAAAAH2/7YE=")</f>
        <v>#REF!</v>
      </c>
      <c r="EA10" t="e">
        <f>AND('PCNY05-MOR-MMK 7'!#REF!,"AAAAAH2/7YI=")</f>
        <v>#REF!</v>
      </c>
      <c r="EB10" t="e">
        <f>AND('PCNY05-MOR-MMK 7'!#REF!,"AAAAAH2/7YM=")</f>
        <v>#REF!</v>
      </c>
      <c r="EC10" t="e">
        <f>AND('PCNY05-MOR-MMK 7'!#REF!,"AAAAAH2/7YQ=")</f>
        <v>#REF!</v>
      </c>
      <c r="ED10" t="e">
        <f>AND('PCNY05-MOR-MMK 7'!#REF!,"AAAAAH2/7YU=")</f>
        <v>#REF!</v>
      </c>
      <c r="EE10">
        <f>IF('PCNY05-MOR-MMK 7'!15:15,"AAAAAH2/7YY=",0)</f>
        <v>0</v>
      </c>
      <c r="EF10" t="b">
        <f>AND('PCNY05-MOR-MMK 7'!A13,"AAAAAH2/7Yc=")</f>
        <v>1</v>
      </c>
      <c r="EG10" t="e">
        <f>AND('PCNY05-MOR-MMK 7'!B13,"AAAAAH2/7Yg=")</f>
        <v>#VALUE!</v>
      </c>
      <c r="EH10" t="b">
        <f>AND('PCNY05-MOR-MMK 7'!C16,"AAAAAH2/7Yk=")</f>
        <v>1</v>
      </c>
      <c r="EI10" t="e">
        <f>AND('PCNY05-MOR-MMK 7'!D16,"AAAAAH2/7Yo=")</f>
        <v>#VALUE!</v>
      </c>
      <c r="EJ10" t="e">
        <f>AND('PCNY05-MOR-MMK 7'!#REF!,"AAAAAH2/7Ys=")</f>
        <v>#REF!</v>
      </c>
      <c r="EK10" t="e">
        <f>AND('PCNY05-MOR-MMK 7'!#REF!,"AAAAAH2/7Yw=")</f>
        <v>#REF!</v>
      </c>
      <c r="EL10" t="e">
        <f>AND('PCNY05-MOR-MMK 7'!#REF!,"AAAAAH2/7Y0=")</f>
        <v>#REF!</v>
      </c>
      <c r="EM10" t="e">
        <f>AND('PCNY05-MOR-MMK 7'!#REF!,"AAAAAH2/7Y4=")</f>
        <v>#REF!</v>
      </c>
      <c r="EN10" t="e">
        <f>AND('PCNY05-MOR-MMK 7'!#REF!,"AAAAAH2/7Y8=")</f>
        <v>#REF!</v>
      </c>
      <c r="EO10" t="e">
        <f>AND('PCNY05-MOR-MMK 7'!#REF!,"AAAAAH2/7ZA=")</f>
        <v>#REF!</v>
      </c>
      <c r="EP10">
        <f>IF('PCNY05-MOR-MMK 7'!16:16,"AAAAAH2/7ZE=",0)</f>
        <v>0</v>
      </c>
      <c r="EQ10" t="b">
        <f>AND('PCNY05-MOR-MMK 7'!A14,"AAAAAH2/7ZI=")</f>
        <v>1</v>
      </c>
      <c r="ER10" t="e">
        <f>AND('PCNY05-MOR-MMK 7'!B14,"AAAAAH2/7ZM=")</f>
        <v>#VALUE!</v>
      </c>
      <c r="ES10" t="b">
        <f>AND('PCNY05-MOR-MMK 7'!C17,"AAAAAH2/7ZQ=")</f>
        <v>1</v>
      </c>
      <c r="ET10" t="e">
        <f>AND('PCNY05-MOR-MMK 7'!D17,"AAAAAH2/7ZU=")</f>
        <v>#VALUE!</v>
      </c>
      <c r="EU10" t="e">
        <f>AND('PCNY05-MOR-MMK 7'!#REF!,"AAAAAH2/7ZY=")</f>
        <v>#REF!</v>
      </c>
      <c r="EV10" t="e">
        <f>AND('PCNY05-MOR-MMK 7'!#REF!,"AAAAAH2/7Zc=")</f>
        <v>#REF!</v>
      </c>
      <c r="EW10" t="e">
        <f>AND('PCNY05-MOR-MMK 7'!#REF!,"AAAAAH2/7Zg=")</f>
        <v>#REF!</v>
      </c>
      <c r="EX10" t="e">
        <f>AND('PCNY05-MOR-MMK 7'!#REF!,"AAAAAH2/7Zk=")</f>
        <v>#REF!</v>
      </c>
      <c r="EY10" t="e">
        <f>AND('PCNY05-MOR-MMK 7'!#REF!,"AAAAAH2/7Zo=")</f>
        <v>#REF!</v>
      </c>
      <c r="EZ10" t="e">
        <f>AND('PCNY05-MOR-MMK 7'!#REF!,"AAAAAH2/7Zs=")</f>
        <v>#REF!</v>
      </c>
      <c r="FA10">
        <f>IF('PCNY05-MOR-MMK 7'!17:17,"AAAAAH2/7Zw=",0)</f>
        <v>0</v>
      </c>
      <c r="FB10" t="e">
        <f>AND('PCNY05-MOR-MMK 7'!#REF!,"AAAAAH2/7Z0=")</f>
        <v>#REF!</v>
      </c>
      <c r="FC10" t="e">
        <f>AND('PCNY05-MOR-MMK 7'!#REF!,"AAAAAH2/7Z4=")</f>
        <v>#REF!</v>
      </c>
      <c r="FD10" t="b">
        <f>AND('PCNY05-MOR-MMK 7'!C18,"AAAAAH2/7Z8=")</f>
        <v>1</v>
      </c>
      <c r="FE10" t="e">
        <f>AND('PCNY05-MOR-MMK 7'!D18,"AAAAAH2/7aA=")</f>
        <v>#VALUE!</v>
      </c>
      <c r="FF10" t="e">
        <f>AND('PCNY05-MOR-MMK 7'!#REF!,"AAAAAH2/7aE=")</f>
        <v>#REF!</v>
      </c>
      <c r="FG10" t="e">
        <f>AND('PCNY05-MOR-MMK 7'!#REF!,"AAAAAH2/7aI=")</f>
        <v>#REF!</v>
      </c>
      <c r="FH10" t="e">
        <f>AND('PCNY05-MOR-MMK 7'!#REF!,"AAAAAH2/7aM=")</f>
        <v>#REF!</v>
      </c>
      <c r="FI10" t="e">
        <f>AND('PCNY05-MOR-MMK 7'!#REF!,"AAAAAH2/7aQ=")</f>
        <v>#REF!</v>
      </c>
      <c r="FJ10" t="e">
        <f>AND('PCNY05-MOR-MMK 7'!#REF!,"AAAAAH2/7aU=")</f>
        <v>#REF!</v>
      </c>
      <c r="FK10" t="e">
        <f>AND('PCNY05-MOR-MMK 7'!#REF!,"AAAAAH2/7aY=")</f>
        <v>#REF!</v>
      </c>
      <c r="FL10">
        <f>IF('PCNY05-MOR-MMK 7'!18:18,"AAAAAH2/7ac=",0)</f>
        <v>0</v>
      </c>
      <c r="FM10" t="e">
        <f>AND('PCNY05-MOR-MMK 7'!A18,"AAAAAH2/7ag=")</f>
        <v>#VALUE!</v>
      </c>
      <c r="FN10" t="e">
        <f>AND('PCNY05-MOR-MMK 7'!B18,"AAAAAH2/7ak=")</f>
        <v>#VALUE!</v>
      </c>
      <c r="FO10" t="b">
        <f>AND('PCNY05-MOR-MMK 7'!C19,"AAAAAH2/7ao=")</f>
        <v>1</v>
      </c>
      <c r="FP10" t="e">
        <f>AND('PCNY05-MOR-MMK 7'!D19,"AAAAAH2/7as=")</f>
        <v>#VALUE!</v>
      </c>
      <c r="FQ10" t="e">
        <f>AND('PCNY05-MOR-MMK 7'!#REF!,"AAAAAH2/7aw=")</f>
        <v>#REF!</v>
      </c>
      <c r="FR10" t="e">
        <f>AND('PCNY05-MOR-MMK 7'!#REF!,"AAAAAH2/7a0=")</f>
        <v>#REF!</v>
      </c>
      <c r="FS10" t="e">
        <f>AND('PCNY05-MOR-MMK 7'!#REF!,"AAAAAH2/7a4=")</f>
        <v>#REF!</v>
      </c>
      <c r="FT10" t="e">
        <f>AND('PCNY05-MOR-MMK 7'!#REF!,"AAAAAH2/7a8=")</f>
        <v>#REF!</v>
      </c>
      <c r="FU10" t="e">
        <f>AND('PCNY05-MOR-MMK 7'!#REF!,"AAAAAH2/7bA=")</f>
        <v>#REF!</v>
      </c>
      <c r="FV10" t="e">
        <f>AND('PCNY05-MOR-MMK 7'!#REF!,"AAAAAH2/7bE=")</f>
        <v>#REF!</v>
      </c>
      <c r="FW10">
        <f>IF('PCNY05-MOR-MMK 7'!19:19,"AAAAAH2/7bI=",0)</f>
        <v>0</v>
      </c>
      <c r="FX10" t="e">
        <f>AND('PCNY05-MOR-MMK 7'!A19,"AAAAAH2/7bM=")</f>
        <v>#VALUE!</v>
      </c>
      <c r="FY10" t="e">
        <f>AND('PCNY05-MOR-MMK 7'!B19,"AAAAAH2/7bQ=")</f>
        <v>#VALUE!</v>
      </c>
      <c r="FZ10" t="b">
        <f>AND('PCNY05-MOR-MMK 7'!C20,"AAAAAH2/7bU=")</f>
        <v>1</v>
      </c>
      <c r="GA10" t="e">
        <f>AND('PCNY05-MOR-MMK 7'!D20,"AAAAAH2/7bY=")</f>
        <v>#VALUE!</v>
      </c>
      <c r="GB10" t="e">
        <f>AND('PCNY05-MOR-MMK 7'!#REF!,"AAAAAH2/7bc=")</f>
        <v>#REF!</v>
      </c>
      <c r="GC10" t="e">
        <f>AND('PCNY05-MOR-MMK 7'!#REF!,"AAAAAH2/7bg=")</f>
        <v>#REF!</v>
      </c>
      <c r="GD10" t="e">
        <f>AND('PCNY05-MOR-MMK 7'!#REF!,"AAAAAH2/7bk=")</f>
        <v>#REF!</v>
      </c>
      <c r="GE10" t="e">
        <f>AND('PCNY05-MOR-MMK 7'!#REF!,"AAAAAH2/7bo=")</f>
        <v>#REF!</v>
      </c>
      <c r="GF10" t="e">
        <f>AND('PCNY05-MOR-MMK 7'!#REF!,"AAAAAH2/7bs=")</f>
        <v>#REF!</v>
      </c>
      <c r="GG10" t="e">
        <f>AND('PCNY05-MOR-MMK 7'!#REF!,"AAAAAH2/7bw=")</f>
        <v>#REF!</v>
      </c>
      <c r="GH10">
        <f>IF('PCNY05-MOR-MMK 7'!20:20,"AAAAAH2/7b0=",0)</f>
        <v>0</v>
      </c>
      <c r="GI10" t="e">
        <f>AND('PCNY05-MOR-MMK 7'!A20,"AAAAAH2/7b4=")</f>
        <v>#VALUE!</v>
      </c>
      <c r="GJ10" t="e">
        <f>AND('PCNY05-MOR-MMK 7'!B20,"AAAAAH2/7b8=")</f>
        <v>#VALUE!</v>
      </c>
      <c r="GK10" t="b">
        <f>AND('PCNY05-MOR-MMK 7'!C21,"AAAAAH2/7cA=")</f>
        <v>1</v>
      </c>
      <c r="GL10" t="e">
        <f>AND('PCNY05-MOR-MMK 7'!D21,"AAAAAH2/7cE=")</f>
        <v>#VALUE!</v>
      </c>
      <c r="GM10" t="e">
        <f>AND('PCNY05-MOR-MMK 7'!#REF!,"AAAAAH2/7cI=")</f>
        <v>#REF!</v>
      </c>
      <c r="GN10" t="e">
        <f>AND('PCNY05-MOR-MMK 7'!#REF!,"AAAAAH2/7cM=")</f>
        <v>#REF!</v>
      </c>
      <c r="GO10" t="e">
        <f>AND('PCNY05-MOR-MMK 7'!#REF!,"AAAAAH2/7cQ=")</f>
        <v>#REF!</v>
      </c>
      <c r="GP10" t="e">
        <f>AND('PCNY05-MOR-MMK 7'!#REF!,"AAAAAH2/7cU=")</f>
        <v>#REF!</v>
      </c>
      <c r="GQ10" t="e">
        <f>AND('PCNY05-MOR-MMK 7'!#REF!,"AAAAAH2/7cY=")</f>
        <v>#REF!</v>
      </c>
      <c r="GR10" t="e">
        <f>AND('PCNY05-MOR-MMK 7'!#REF!,"AAAAAH2/7cc=")</f>
        <v>#REF!</v>
      </c>
      <c r="GS10">
        <f>IF('PCNY05-MOR-MMK 7'!21:21,"AAAAAH2/7cg=",0)</f>
        <v>0</v>
      </c>
      <c r="GT10" t="e">
        <f>AND('PCNY05-MOR-MMK 7'!A21,"AAAAAH2/7ck=")</f>
        <v>#VALUE!</v>
      </c>
      <c r="GU10" t="e">
        <f>AND('PCNY05-MOR-MMK 7'!B21,"AAAAAH2/7co=")</f>
        <v>#VALUE!</v>
      </c>
      <c r="GV10" t="b">
        <f>AND('PCNY05-MOR-MMK 7'!C22,"AAAAAH2/7cs=")</f>
        <v>1</v>
      </c>
      <c r="GW10" t="e">
        <f>AND('PCNY05-MOR-MMK 7'!D22,"AAAAAH2/7cw=")</f>
        <v>#VALUE!</v>
      </c>
      <c r="GX10" t="e">
        <f>AND('PCNY05-MOR-MMK 7'!#REF!,"AAAAAH2/7c0=")</f>
        <v>#REF!</v>
      </c>
      <c r="GY10" t="e">
        <f>AND('PCNY05-MOR-MMK 7'!#REF!,"AAAAAH2/7c4=")</f>
        <v>#REF!</v>
      </c>
      <c r="GZ10" t="e">
        <f>AND('PCNY05-MOR-MMK 7'!#REF!,"AAAAAH2/7c8=")</f>
        <v>#REF!</v>
      </c>
      <c r="HA10" t="e">
        <f>AND('PCNY05-MOR-MMK 7'!#REF!,"AAAAAH2/7dA=")</f>
        <v>#REF!</v>
      </c>
      <c r="HB10" t="e">
        <f>AND('PCNY05-MOR-MMK 7'!#REF!,"AAAAAH2/7dE=")</f>
        <v>#REF!</v>
      </c>
      <c r="HC10" t="e">
        <f>AND('PCNY05-MOR-MMK 7'!#REF!,"AAAAAH2/7dI=")</f>
        <v>#REF!</v>
      </c>
      <c r="HD10">
        <f>IF('PCNY05-MOR-MMK 7'!22:22,"AAAAAH2/7dM=",0)</f>
        <v>0</v>
      </c>
      <c r="HE10" t="e">
        <f>AND('PCNY05-MOR-MMK 7'!A22,"AAAAAH2/7dQ=")</f>
        <v>#VALUE!</v>
      </c>
      <c r="HF10" t="e">
        <f>AND('PCNY05-MOR-MMK 7'!B22,"AAAAAH2/7dU=")</f>
        <v>#VALUE!</v>
      </c>
      <c r="HG10" t="b">
        <f>AND('PCNY05-MOR-MMK 7'!C23,"AAAAAH2/7dY=")</f>
        <v>1</v>
      </c>
      <c r="HH10" t="e">
        <f>AND('PCNY05-MOR-MMK 7'!D23,"AAAAAH2/7dc=")</f>
        <v>#VALUE!</v>
      </c>
      <c r="HI10" t="e">
        <f>AND('PCNY05-MOR-MMK 7'!#REF!,"AAAAAH2/7dg=")</f>
        <v>#REF!</v>
      </c>
      <c r="HJ10" t="e">
        <f>AND('PCNY05-MOR-MMK 7'!#REF!,"AAAAAH2/7dk=")</f>
        <v>#REF!</v>
      </c>
      <c r="HK10" t="e">
        <f>AND('PCNY05-MOR-MMK 7'!#REF!,"AAAAAH2/7do=")</f>
        <v>#REF!</v>
      </c>
      <c r="HL10" t="e">
        <f>AND('PCNY05-MOR-MMK 7'!#REF!,"AAAAAH2/7ds=")</f>
        <v>#REF!</v>
      </c>
      <c r="HM10" t="e">
        <f>AND('PCNY05-MOR-MMK 7'!#REF!,"AAAAAH2/7dw=")</f>
        <v>#REF!</v>
      </c>
      <c r="HN10" t="e">
        <f>AND('PCNY05-MOR-MMK 7'!#REF!,"AAAAAH2/7d0=")</f>
        <v>#REF!</v>
      </c>
      <c r="HO10">
        <f>IF('PCNY05-MOR-MMK 7'!23:23,"AAAAAH2/7d4=",0)</f>
        <v>0</v>
      </c>
      <c r="HP10" t="e">
        <f>AND('PCNY05-MOR-MMK 7'!A23,"AAAAAH2/7d8=")</f>
        <v>#VALUE!</v>
      </c>
      <c r="HQ10" t="e">
        <f>AND('PCNY05-MOR-MMK 7'!B23,"AAAAAH2/7eA=")</f>
        <v>#VALUE!</v>
      </c>
      <c r="HR10" t="b">
        <f>AND('PCNY05-MOR-MMK 7'!C24,"AAAAAH2/7eE=")</f>
        <v>1</v>
      </c>
      <c r="HS10" t="e">
        <f>AND('PCNY05-MOR-MMK 7'!D24,"AAAAAH2/7eI=")</f>
        <v>#VALUE!</v>
      </c>
      <c r="HT10" t="e">
        <f>AND('PCNY05-MOR-MMK 7'!#REF!,"AAAAAH2/7eM=")</f>
        <v>#REF!</v>
      </c>
      <c r="HU10" t="e">
        <f>AND('PCNY05-MOR-MMK 7'!#REF!,"AAAAAH2/7eQ=")</f>
        <v>#REF!</v>
      </c>
      <c r="HV10" t="e">
        <f>AND('PCNY05-MOR-MMK 7'!#REF!,"AAAAAH2/7eU=")</f>
        <v>#REF!</v>
      </c>
      <c r="HW10" t="e">
        <f>AND('PCNY05-MOR-MMK 7'!#REF!,"AAAAAH2/7eY=")</f>
        <v>#REF!</v>
      </c>
      <c r="HX10" t="e">
        <f>AND('PCNY05-MOR-MMK 7'!#REF!,"AAAAAH2/7ec=")</f>
        <v>#REF!</v>
      </c>
      <c r="HY10" t="e">
        <f>AND('PCNY05-MOR-MMK 7'!#REF!,"AAAAAH2/7eg=")</f>
        <v>#REF!</v>
      </c>
      <c r="HZ10">
        <f>IF('PCNY05-MOR-MMK 7'!24:24,"AAAAAH2/7ek=",0)</f>
        <v>0</v>
      </c>
      <c r="IA10" t="e">
        <f>AND('PCNY05-MOR-MMK 7'!A24,"AAAAAH2/7eo=")</f>
        <v>#VALUE!</v>
      </c>
      <c r="IB10" t="e">
        <f>AND('PCNY05-MOR-MMK 7'!B24,"AAAAAH2/7es=")</f>
        <v>#VALUE!</v>
      </c>
      <c r="IC10" t="e">
        <f>AND('PCNY05-MOR-MMK 7'!#REF!,"AAAAAH2/7ew=")</f>
        <v>#REF!</v>
      </c>
      <c r="ID10" t="e">
        <f>AND('PCNY05-MOR-MMK 7'!#REF!,"AAAAAH2/7e0=")</f>
        <v>#REF!</v>
      </c>
      <c r="IE10" t="e">
        <f>AND('PCNY05-MOR-MMK 7'!#REF!,"AAAAAH2/7e4=")</f>
        <v>#REF!</v>
      </c>
      <c r="IF10" t="e">
        <f>AND('PCNY05-MOR-MMK 7'!#REF!,"AAAAAH2/7e8=")</f>
        <v>#REF!</v>
      </c>
      <c r="IG10" t="e">
        <f>AND('PCNY05-MOR-MMK 7'!#REF!,"AAAAAH2/7fA=")</f>
        <v>#REF!</v>
      </c>
      <c r="IH10" t="e">
        <f>AND('PCNY05-MOR-MMK 7'!#REF!,"AAAAAH2/7fE=")</f>
        <v>#REF!</v>
      </c>
      <c r="II10" t="e">
        <f>AND('PCNY05-MOR-MMK 7'!#REF!,"AAAAAH2/7fI=")</f>
        <v>#REF!</v>
      </c>
      <c r="IJ10" t="e">
        <f>AND('PCNY05-MOR-MMK 7'!#REF!,"AAAAAH2/7fM=")</f>
        <v>#REF!</v>
      </c>
      <c r="IK10">
        <f>IF('PCNY05-MOR-MMK 7'!25:25,"AAAAAH2/7fQ=",0)</f>
        <v>0</v>
      </c>
      <c r="IL10" t="e">
        <f>AND('PCNY05-MOR-MMK 7'!A25,"AAAAAH2/7fU=")</f>
        <v>#VALUE!</v>
      </c>
      <c r="IM10" t="e">
        <f>AND('PCNY05-MOR-MMK 7'!B25,"AAAAAH2/7fY=")</f>
        <v>#VALUE!</v>
      </c>
      <c r="IN10" t="e">
        <f>AND('PCNY05-MOR-MMK 7'!C25,"AAAAAH2/7fc=")</f>
        <v>#VALUE!</v>
      </c>
      <c r="IO10" t="e">
        <f>AND('PCNY05-MOR-MMK 7'!D25,"AAAAAH2/7fg=")</f>
        <v>#VALUE!</v>
      </c>
      <c r="IP10" t="e">
        <f>AND('PCNY05-MOR-MMK 7'!#REF!,"AAAAAH2/7fk=")</f>
        <v>#REF!</v>
      </c>
      <c r="IQ10" t="e">
        <f>AND('PCNY05-MOR-MMK 7'!#REF!,"AAAAAH2/7fo=")</f>
        <v>#REF!</v>
      </c>
      <c r="IR10" t="e">
        <f>AND('PCNY05-MOR-MMK 7'!#REF!,"AAAAAH2/7fs=")</f>
        <v>#REF!</v>
      </c>
      <c r="IS10" t="e">
        <f>AND('PCNY05-MOR-MMK 7'!#REF!,"AAAAAH2/7fw=")</f>
        <v>#REF!</v>
      </c>
      <c r="IT10" t="e">
        <f>AND('PCNY05-MOR-MMK 7'!#REF!,"AAAAAH2/7f0=")</f>
        <v>#REF!</v>
      </c>
      <c r="IU10" t="e">
        <f>AND('PCNY05-MOR-MMK 7'!#REF!,"AAAAAH2/7f4=")</f>
        <v>#REF!</v>
      </c>
      <c r="IV10">
        <f>IF('PCNY05-MOR-MMK 7'!26:26,"AAAAAH2/7f8=",0)</f>
        <v>0</v>
      </c>
    </row>
    <row r="11" spans="1:256">
      <c r="A11" t="e">
        <f>AND('PCNY05-MOR-MMK 7'!A26,"AAAAAD7a/wA=")</f>
        <v>#VALUE!</v>
      </c>
      <c r="B11" t="e">
        <f>AND('PCNY05-MOR-MMK 7'!B26,"AAAAAD7a/wE=")</f>
        <v>#VALUE!</v>
      </c>
      <c r="C11" t="e">
        <f>AND('PCNY05-MOR-MMK 7'!#REF!,"AAAAAD7a/wI=")</f>
        <v>#REF!</v>
      </c>
      <c r="D11" t="e">
        <f>AND('PCNY05-MOR-MMK 7'!#REF!,"AAAAAD7a/wM=")</f>
        <v>#REF!</v>
      </c>
      <c r="E11" t="e">
        <f>AND('PCNY05-MOR-MMK 7'!#REF!,"AAAAAD7a/wQ=")</f>
        <v>#REF!</v>
      </c>
      <c r="F11" t="e">
        <f>AND('PCNY05-MOR-MMK 7'!#REF!,"AAAAAD7a/wU=")</f>
        <v>#REF!</v>
      </c>
      <c r="G11" t="e">
        <f>AND('PCNY05-MOR-MMK 7'!#REF!,"AAAAAD7a/wY=")</f>
        <v>#REF!</v>
      </c>
      <c r="H11" t="e">
        <f>AND('PCNY05-MOR-MMK 7'!#REF!,"AAAAAD7a/wc=")</f>
        <v>#REF!</v>
      </c>
      <c r="I11" t="e">
        <f>AND('PCNY05-MOR-MMK 7'!#REF!,"AAAAAD7a/wg=")</f>
        <v>#REF!</v>
      </c>
      <c r="J11" t="e">
        <f>AND('PCNY05-MOR-MMK 7'!#REF!,"AAAAAD7a/wk=")</f>
        <v>#REF!</v>
      </c>
      <c r="K11">
        <f>IF('PCNY05-MOR-MMK 7'!27:27,"AAAAAD7a/wo=",0)</f>
        <v>0</v>
      </c>
      <c r="L11" t="e">
        <f>AND('PCNY05-MOR-MMK 7'!A27,"AAAAAD7a/ws=")</f>
        <v>#VALUE!</v>
      </c>
      <c r="M11" t="e">
        <f>AND('PCNY05-MOR-MMK 7'!B27,"AAAAAD7a/ww=")</f>
        <v>#VALUE!</v>
      </c>
      <c r="N11" t="e">
        <f>AND('PCNY05-MOR-MMK 7'!C27,"AAAAAD7a/w0=")</f>
        <v>#VALUE!</v>
      </c>
      <c r="O11" t="e">
        <f>AND('PCNY05-MOR-MMK 7'!D27,"AAAAAD7a/w4=")</f>
        <v>#VALUE!</v>
      </c>
      <c r="P11" t="e">
        <f>AND('PCNY05-MOR-MMK 7'!#REF!,"AAAAAD7a/w8=")</f>
        <v>#REF!</v>
      </c>
      <c r="Q11" t="e">
        <f>AND('PCNY05-MOR-MMK 7'!#REF!,"AAAAAD7a/xA=")</f>
        <v>#REF!</v>
      </c>
      <c r="R11" t="e">
        <f>AND('PCNY05-MOR-MMK 7'!#REF!,"AAAAAD7a/xE=")</f>
        <v>#REF!</v>
      </c>
      <c r="S11" t="e">
        <f>AND('PCNY05-MOR-MMK 7'!#REF!,"AAAAAD7a/xI=")</f>
        <v>#REF!</v>
      </c>
      <c r="T11" t="e">
        <f>AND('PCNY05-MOR-MMK 7'!#REF!,"AAAAAD7a/xM=")</f>
        <v>#REF!</v>
      </c>
      <c r="U11" t="e">
        <f>AND('PCNY05-MOR-MMK 7'!#REF!,"AAAAAD7a/xQ=")</f>
        <v>#REF!</v>
      </c>
      <c r="V11">
        <f>IF('PCNY05-MOR-MMK 7'!28:28,"AAAAAD7a/xU=",0)</f>
        <v>0</v>
      </c>
      <c r="W11" t="str">
        <f>IF('PCNY05-MOR-MMK 7'!A:A,"AAAAAD7a/xY=",0)</f>
        <v>AAAAAD7a/xY=</v>
      </c>
      <c r="X11" t="e">
        <f>IF('PCNY05-MOR-MMK 7'!B:B,"AAAAAD7a/xc=",0)</f>
        <v>#VALUE!</v>
      </c>
      <c r="Y11" t="str">
        <f>IF('PCNY05-MOR-MMK 7'!C:C,"AAAAAD7a/xg=",0)</f>
        <v>AAAAAD7a/xg=</v>
      </c>
      <c r="Z11" t="e">
        <f>IF('PCNY05-MOR-MMK 7'!D:D,"AAAAAD7a/xk=",0)</f>
        <v>#VALUE!</v>
      </c>
      <c r="AA11" t="e">
        <f>IF('PCNY05-MOR-MMK 7'!#REF!,"AAAAAD7a/xo=",0)</f>
        <v>#REF!</v>
      </c>
      <c r="AB11" t="e">
        <f>IF('PCNY05-MOR-MMK 7'!#REF!,"AAAAAD7a/xs=",0)</f>
        <v>#REF!</v>
      </c>
      <c r="AC11" t="e">
        <f>IF('PCNY05-MOR-MMK 7'!#REF!,"AAAAAD7a/xw=",0)</f>
        <v>#REF!</v>
      </c>
      <c r="AD11" t="e">
        <f>IF('PCNY05-MOR-MMK 7'!#REF!,"AAAAAD7a/x0=",0)</f>
        <v>#REF!</v>
      </c>
      <c r="AE11" t="e">
        <f>IF('PCNY05-MOR-MMK 7'!#REF!,"AAAAAD7a/x4=",0)</f>
        <v>#REF!</v>
      </c>
      <c r="AF11" t="e">
        <f>IF('PCNY05-MOR-MMK 7'!#REF!,"AAAAAD7a/x8=",0)</f>
        <v>#REF!</v>
      </c>
      <c r="AG11" t="e">
        <f>IF(#REF!,"AAAAAD7a/yA=",0)</f>
        <v>#REF!</v>
      </c>
      <c r="AH11" t="e">
        <f>AND(#REF!,"AAAAAD7a/yE=")</f>
        <v>#REF!</v>
      </c>
      <c r="AI11" t="e">
        <f>AND(#REF!,"AAAAAD7a/yI=")</f>
        <v>#REF!</v>
      </c>
      <c r="AJ11" t="e">
        <f>AND(#REF!,"AAAAAD7a/yM=")</f>
        <v>#REF!</v>
      </c>
      <c r="AK11" t="e">
        <f>AND(#REF!,"AAAAAD7a/yQ=")</f>
        <v>#REF!</v>
      </c>
      <c r="AL11" t="e">
        <f>AND(#REF!,"AAAAAD7a/yU=")</f>
        <v>#REF!</v>
      </c>
      <c r="AM11" t="e">
        <f>AND(#REF!,"AAAAAD7a/yY=")</f>
        <v>#REF!</v>
      </c>
      <c r="AN11" t="e">
        <f>IF(#REF!,"AAAAAD7a/yc=",0)</f>
        <v>#REF!</v>
      </c>
      <c r="AO11" t="e">
        <f>AND(#REF!,"AAAAAD7a/yg=")</f>
        <v>#REF!</v>
      </c>
      <c r="AP11" t="e">
        <f>AND(#REF!,"AAAAAD7a/yk=")</f>
        <v>#REF!</v>
      </c>
      <c r="AQ11" t="e">
        <f>AND(#REF!,"AAAAAD7a/yo=")</f>
        <v>#REF!</v>
      </c>
      <c r="AR11" t="e">
        <f>AND(#REF!,"AAAAAD7a/ys=")</f>
        <v>#REF!</v>
      </c>
      <c r="AS11" t="e">
        <f>AND(#REF!,"AAAAAD7a/yw=")</f>
        <v>#REF!</v>
      </c>
      <c r="AT11" t="e">
        <f>AND(#REF!,"AAAAAD7a/y0=")</f>
        <v>#REF!</v>
      </c>
      <c r="AU11" t="e">
        <f>IF(#REF!,"AAAAAD7a/y4=",0)</f>
        <v>#REF!</v>
      </c>
      <c r="AV11" t="e">
        <f>AND(#REF!,"AAAAAD7a/y8=")</f>
        <v>#REF!</v>
      </c>
      <c r="AW11" t="e">
        <f>AND(#REF!,"AAAAAD7a/zA=")</f>
        <v>#REF!</v>
      </c>
      <c r="AX11" t="e">
        <f>AND(#REF!,"AAAAAD7a/zE=")</f>
        <v>#REF!</v>
      </c>
      <c r="AY11" t="e">
        <f>AND(#REF!,"AAAAAD7a/zI=")</f>
        <v>#REF!</v>
      </c>
      <c r="AZ11" t="e">
        <f>AND(#REF!,"AAAAAD7a/zM=")</f>
        <v>#REF!</v>
      </c>
      <c r="BA11" t="e">
        <f>AND(#REF!,"AAAAAD7a/zQ=")</f>
        <v>#REF!</v>
      </c>
      <c r="BB11" t="e">
        <f>IF(#REF!,"AAAAAD7a/zU=",0)</f>
        <v>#REF!</v>
      </c>
      <c r="BC11" t="e">
        <f>AND(#REF!,"AAAAAD7a/zY=")</f>
        <v>#REF!</v>
      </c>
      <c r="BD11" t="e">
        <f>AND(#REF!,"AAAAAD7a/zc=")</f>
        <v>#REF!</v>
      </c>
      <c r="BE11" t="e">
        <f>AND(#REF!,"AAAAAD7a/zg=")</f>
        <v>#REF!</v>
      </c>
      <c r="BF11" t="e">
        <f>AND(#REF!,"AAAAAD7a/zk=")</f>
        <v>#REF!</v>
      </c>
      <c r="BG11" t="e">
        <f>AND(#REF!,"AAAAAD7a/zo=")</f>
        <v>#REF!</v>
      </c>
      <c r="BH11" t="e">
        <f>AND(#REF!,"AAAAAD7a/zs=")</f>
        <v>#REF!</v>
      </c>
      <c r="BI11" t="e">
        <f>IF(#REF!,"AAAAAD7a/zw=",0)</f>
        <v>#REF!</v>
      </c>
      <c r="BJ11" t="e">
        <f>AND(#REF!,"AAAAAD7a/z0=")</f>
        <v>#REF!</v>
      </c>
      <c r="BK11" t="e">
        <f>AND(#REF!,"AAAAAD7a/z4=")</f>
        <v>#REF!</v>
      </c>
      <c r="BL11" t="e">
        <f>AND(#REF!,"AAAAAD7a/z8=")</f>
        <v>#REF!</v>
      </c>
      <c r="BM11" t="e">
        <f>AND(#REF!,"AAAAAD7a/0A=")</f>
        <v>#REF!</v>
      </c>
      <c r="BN11" t="e">
        <f>AND(#REF!,"AAAAAD7a/0E=")</f>
        <v>#REF!</v>
      </c>
      <c r="BO11" t="e">
        <f>AND(#REF!,"AAAAAD7a/0I=")</f>
        <v>#REF!</v>
      </c>
      <c r="BP11" t="e">
        <f>IF(#REF!,"AAAAAD7a/0M=",0)</f>
        <v>#REF!</v>
      </c>
      <c r="BQ11" t="e">
        <f>AND(#REF!,"AAAAAD7a/0Q=")</f>
        <v>#REF!</v>
      </c>
      <c r="BR11" t="e">
        <f>AND(#REF!,"AAAAAD7a/0U=")</f>
        <v>#REF!</v>
      </c>
      <c r="BS11" t="e">
        <f>AND(#REF!,"AAAAAD7a/0Y=")</f>
        <v>#REF!</v>
      </c>
      <c r="BT11" t="e">
        <f>AND(#REF!,"AAAAAD7a/0c=")</f>
        <v>#REF!</v>
      </c>
      <c r="BU11" t="e">
        <f>AND(#REF!,"AAAAAD7a/0g=")</f>
        <v>#REF!</v>
      </c>
      <c r="BV11" t="e">
        <f>AND(#REF!,"AAAAAD7a/0k=")</f>
        <v>#REF!</v>
      </c>
      <c r="BW11" t="e">
        <f>IF(#REF!,"AAAAAD7a/0o=",0)</f>
        <v>#REF!</v>
      </c>
      <c r="BX11" t="e">
        <f>AND(#REF!,"AAAAAD7a/0s=")</f>
        <v>#REF!</v>
      </c>
      <c r="BY11" t="e">
        <f>AND(#REF!,"AAAAAD7a/0w=")</f>
        <v>#REF!</v>
      </c>
      <c r="BZ11" t="e">
        <f>AND(#REF!,"AAAAAD7a/00=")</f>
        <v>#REF!</v>
      </c>
      <c r="CA11" t="e">
        <f>AND(#REF!,"AAAAAD7a/04=")</f>
        <v>#REF!</v>
      </c>
      <c r="CB11" t="e">
        <f>AND(#REF!,"AAAAAD7a/08=")</f>
        <v>#REF!</v>
      </c>
      <c r="CC11" t="e">
        <f>AND(#REF!,"AAAAAD7a/1A=")</f>
        <v>#REF!</v>
      </c>
      <c r="CD11" t="e">
        <f>IF(#REF!,"AAAAAD7a/1E=",0)</f>
        <v>#REF!</v>
      </c>
      <c r="CE11" t="e">
        <f>AND(#REF!,"AAAAAD7a/1I=")</f>
        <v>#REF!</v>
      </c>
      <c r="CF11" t="e">
        <f>AND(#REF!,"AAAAAD7a/1M=")</f>
        <v>#REF!</v>
      </c>
      <c r="CG11" t="e">
        <f>AND(#REF!,"AAAAAD7a/1Q=")</f>
        <v>#REF!</v>
      </c>
      <c r="CH11" t="e">
        <f>AND(#REF!,"AAAAAD7a/1U=")</f>
        <v>#REF!</v>
      </c>
      <c r="CI11" t="e">
        <f>AND(#REF!,"AAAAAD7a/1Y=")</f>
        <v>#REF!</v>
      </c>
      <c r="CJ11" t="e">
        <f>AND(#REF!,"AAAAAD7a/1c=")</f>
        <v>#REF!</v>
      </c>
      <c r="CK11" t="e">
        <f>IF(#REF!,"AAAAAD7a/1g=",0)</f>
        <v>#REF!</v>
      </c>
      <c r="CL11" t="e">
        <f>AND(#REF!,"AAAAAD7a/1k=")</f>
        <v>#REF!</v>
      </c>
      <c r="CM11" t="e">
        <f>AND(#REF!,"AAAAAD7a/1o=")</f>
        <v>#REF!</v>
      </c>
      <c r="CN11" t="e">
        <f>AND(#REF!,"AAAAAD7a/1s=")</f>
        <v>#REF!</v>
      </c>
      <c r="CO11" t="e">
        <f>AND(#REF!,"AAAAAD7a/1w=")</f>
        <v>#REF!</v>
      </c>
      <c r="CP11" t="e">
        <f>AND(#REF!,"AAAAAD7a/10=")</f>
        <v>#REF!</v>
      </c>
      <c r="CQ11" t="e">
        <f>AND(#REF!,"AAAAAD7a/14=")</f>
        <v>#REF!</v>
      </c>
      <c r="CR11" t="e">
        <f>IF(#REF!,"AAAAAD7a/18=",0)</f>
        <v>#REF!</v>
      </c>
      <c r="CS11" t="e">
        <f>AND(#REF!,"AAAAAD7a/2A=")</f>
        <v>#REF!</v>
      </c>
      <c r="CT11" t="e">
        <f>AND(#REF!,"AAAAAD7a/2E=")</f>
        <v>#REF!</v>
      </c>
      <c r="CU11" t="e">
        <f>AND(#REF!,"AAAAAD7a/2I=")</f>
        <v>#REF!</v>
      </c>
      <c r="CV11" t="e">
        <f>AND(#REF!,"AAAAAD7a/2M=")</f>
        <v>#REF!</v>
      </c>
      <c r="CW11" t="e">
        <f>AND(#REF!,"AAAAAD7a/2Q=")</f>
        <v>#REF!</v>
      </c>
      <c r="CX11" t="e">
        <f>AND(#REF!,"AAAAAD7a/2U=")</f>
        <v>#REF!</v>
      </c>
      <c r="CY11" t="e">
        <f>IF(#REF!,"AAAAAD7a/2Y=",0)</f>
        <v>#REF!</v>
      </c>
      <c r="CZ11" t="e">
        <f>AND(#REF!,"AAAAAD7a/2c=")</f>
        <v>#REF!</v>
      </c>
      <c r="DA11" t="e">
        <f>AND(#REF!,"AAAAAD7a/2g=")</f>
        <v>#REF!</v>
      </c>
      <c r="DB11" t="e">
        <f>AND(#REF!,"AAAAAD7a/2k=")</f>
        <v>#REF!</v>
      </c>
      <c r="DC11" t="e">
        <f>AND(#REF!,"AAAAAD7a/2o=")</f>
        <v>#REF!</v>
      </c>
      <c r="DD11" t="e">
        <f>AND(#REF!,"AAAAAD7a/2s=")</f>
        <v>#REF!</v>
      </c>
      <c r="DE11" t="e">
        <f>AND(#REF!,"AAAAAD7a/2w=")</f>
        <v>#REF!</v>
      </c>
      <c r="DF11" t="e">
        <f>IF(#REF!,"AAAAAD7a/20=",0)</f>
        <v>#REF!</v>
      </c>
      <c r="DG11" t="e">
        <f>AND(#REF!,"AAAAAD7a/24=")</f>
        <v>#REF!</v>
      </c>
      <c r="DH11" t="e">
        <f>AND(#REF!,"AAAAAD7a/28=")</f>
        <v>#REF!</v>
      </c>
      <c r="DI11" t="e">
        <f>AND(#REF!,"AAAAAD7a/3A=")</f>
        <v>#REF!</v>
      </c>
      <c r="DJ11" t="e">
        <f>AND(#REF!,"AAAAAD7a/3E=")</f>
        <v>#REF!</v>
      </c>
      <c r="DK11" t="e">
        <f>AND(#REF!,"AAAAAD7a/3I=")</f>
        <v>#REF!</v>
      </c>
      <c r="DL11" t="e">
        <f>AND(#REF!,"AAAAAD7a/3M=")</f>
        <v>#REF!</v>
      </c>
      <c r="DM11" t="e">
        <f>IF(#REF!,"AAAAAD7a/3Q=",0)</f>
        <v>#REF!</v>
      </c>
      <c r="DN11" t="e">
        <f>AND(#REF!,"AAAAAD7a/3U=")</f>
        <v>#REF!</v>
      </c>
      <c r="DO11" t="e">
        <f>AND(#REF!,"AAAAAD7a/3Y=")</f>
        <v>#REF!</v>
      </c>
      <c r="DP11" t="e">
        <f>AND(#REF!,"AAAAAD7a/3c=")</f>
        <v>#REF!</v>
      </c>
      <c r="DQ11" t="e">
        <f>AND(#REF!,"AAAAAD7a/3g=")</f>
        <v>#REF!</v>
      </c>
      <c r="DR11" t="e">
        <f>AND(#REF!,"AAAAAD7a/3k=")</f>
        <v>#REF!</v>
      </c>
      <c r="DS11" t="e">
        <f>AND(#REF!,"AAAAAD7a/3o=")</f>
        <v>#REF!</v>
      </c>
      <c r="DT11" t="e">
        <f>IF(#REF!,"AAAAAD7a/3s=",0)</f>
        <v>#REF!</v>
      </c>
      <c r="DU11" t="e">
        <f>AND(#REF!,"AAAAAD7a/3w=")</f>
        <v>#REF!</v>
      </c>
      <c r="DV11" t="e">
        <f>AND(#REF!,"AAAAAD7a/30=")</f>
        <v>#REF!</v>
      </c>
      <c r="DW11" t="e">
        <f>AND(#REF!,"AAAAAD7a/34=")</f>
        <v>#REF!</v>
      </c>
      <c r="DX11" t="e">
        <f>AND(#REF!,"AAAAAD7a/38=")</f>
        <v>#REF!</v>
      </c>
      <c r="DY11" t="e">
        <f>AND(#REF!,"AAAAAD7a/4A=")</f>
        <v>#REF!</v>
      </c>
      <c r="DZ11" t="e">
        <f>AND(#REF!,"AAAAAD7a/4E=")</f>
        <v>#REF!</v>
      </c>
      <c r="EA11" t="e">
        <f>IF(#REF!,"AAAAAD7a/4I=",0)</f>
        <v>#REF!</v>
      </c>
      <c r="EB11" t="e">
        <f>AND(#REF!,"AAAAAD7a/4M=")</f>
        <v>#REF!</v>
      </c>
      <c r="EC11" t="e">
        <f>AND(#REF!,"AAAAAD7a/4Q=")</f>
        <v>#REF!</v>
      </c>
      <c r="ED11" t="e">
        <f>AND(#REF!,"AAAAAD7a/4U=")</f>
        <v>#REF!</v>
      </c>
      <c r="EE11" t="e">
        <f>AND(#REF!,"AAAAAD7a/4Y=")</f>
        <v>#REF!</v>
      </c>
      <c r="EF11" t="e">
        <f>AND(#REF!,"AAAAAD7a/4c=")</f>
        <v>#REF!</v>
      </c>
      <c r="EG11" t="e">
        <f>AND(#REF!,"AAAAAD7a/4g=")</f>
        <v>#REF!</v>
      </c>
      <c r="EH11" t="e">
        <f>IF(#REF!,"AAAAAD7a/4k=",0)</f>
        <v>#REF!</v>
      </c>
      <c r="EI11" t="e">
        <f>AND(#REF!,"AAAAAD7a/4o=")</f>
        <v>#REF!</v>
      </c>
      <c r="EJ11" t="e">
        <f>AND(#REF!,"AAAAAD7a/4s=")</f>
        <v>#REF!</v>
      </c>
      <c r="EK11" t="e">
        <f>AND(#REF!,"AAAAAD7a/4w=")</f>
        <v>#REF!</v>
      </c>
      <c r="EL11" t="e">
        <f>AND(#REF!,"AAAAAD7a/40=")</f>
        <v>#REF!</v>
      </c>
      <c r="EM11" t="e">
        <f>AND(#REF!,"AAAAAD7a/44=")</f>
        <v>#REF!</v>
      </c>
      <c r="EN11" t="e">
        <f>AND(#REF!,"AAAAAD7a/48=")</f>
        <v>#REF!</v>
      </c>
      <c r="EO11" t="e">
        <f>IF(#REF!,"AAAAAD7a/5A=",0)</f>
        <v>#REF!</v>
      </c>
      <c r="EP11" t="e">
        <f>AND(#REF!,"AAAAAD7a/5E=")</f>
        <v>#REF!</v>
      </c>
      <c r="EQ11" t="e">
        <f>AND(#REF!,"AAAAAD7a/5I=")</f>
        <v>#REF!</v>
      </c>
      <c r="ER11" t="e">
        <f>AND(#REF!,"AAAAAD7a/5M=")</f>
        <v>#REF!</v>
      </c>
      <c r="ES11" t="e">
        <f>AND(#REF!,"AAAAAD7a/5Q=")</f>
        <v>#REF!</v>
      </c>
      <c r="ET11" t="e">
        <f>AND(#REF!,"AAAAAD7a/5U=")</f>
        <v>#REF!</v>
      </c>
      <c r="EU11" t="e">
        <f>AND(#REF!,"AAAAAD7a/5Y=")</f>
        <v>#REF!</v>
      </c>
      <c r="EV11" t="e">
        <f>IF(#REF!,"AAAAAD7a/5c=",0)</f>
        <v>#REF!</v>
      </c>
      <c r="EW11" t="e">
        <f>AND(#REF!,"AAAAAD7a/5g=")</f>
        <v>#REF!</v>
      </c>
      <c r="EX11" t="e">
        <f>AND(#REF!,"AAAAAD7a/5k=")</f>
        <v>#REF!</v>
      </c>
      <c r="EY11" t="e">
        <f>AND(#REF!,"AAAAAD7a/5o=")</f>
        <v>#REF!</v>
      </c>
      <c r="EZ11" t="e">
        <f>AND(#REF!,"AAAAAD7a/5s=")</f>
        <v>#REF!</v>
      </c>
      <c r="FA11" t="e">
        <f>AND(#REF!,"AAAAAD7a/5w=")</f>
        <v>#REF!</v>
      </c>
      <c r="FB11" t="e">
        <f>AND(#REF!,"AAAAAD7a/50=")</f>
        <v>#REF!</v>
      </c>
      <c r="FC11" t="e">
        <f>IF(#REF!,"AAAAAD7a/54=",0)</f>
        <v>#REF!</v>
      </c>
      <c r="FD11" t="e">
        <f>AND(#REF!,"AAAAAD7a/58=")</f>
        <v>#REF!</v>
      </c>
      <c r="FE11" t="e">
        <f>AND(#REF!,"AAAAAD7a/6A=")</f>
        <v>#REF!</v>
      </c>
      <c r="FF11" t="e">
        <f>AND(#REF!,"AAAAAD7a/6E=")</f>
        <v>#REF!</v>
      </c>
      <c r="FG11" t="e">
        <f>AND(#REF!,"AAAAAD7a/6I=")</f>
        <v>#REF!</v>
      </c>
      <c r="FH11" t="e">
        <f>IF(#REF!,"AAAAAD7a/6M=",0)</f>
        <v>#REF!</v>
      </c>
      <c r="FI11" t="e">
        <f>AND(#REF!,"AAAAAD7a/6Q=")</f>
        <v>#REF!</v>
      </c>
      <c r="FJ11" t="e">
        <f>AND(#REF!,"AAAAAD7a/6U=")</f>
        <v>#REF!</v>
      </c>
      <c r="FK11" t="e">
        <f>AND(#REF!,"AAAAAD7a/6Y=")</f>
        <v>#REF!</v>
      </c>
      <c r="FL11" t="e">
        <f>AND(#REF!,"AAAAAD7a/6c=")</f>
        <v>#REF!</v>
      </c>
      <c r="FM11" t="e">
        <f>IF(#REF!,"AAAAAD7a/6g=",0)</f>
        <v>#REF!</v>
      </c>
      <c r="FN11" t="e">
        <f>AND(#REF!,"AAAAAD7a/6k=")</f>
        <v>#REF!</v>
      </c>
      <c r="FO11" t="e">
        <f>AND(#REF!,"AAAAAD7a/6o=")</f>
        <v>#REF!</v>
      </c>
      <c r="FP11" t="e">
        <f>AND(#REF!,"AAAAAD7a/6s=")</f>
        <v>#REF!</v>
      </c>
      <c r="FQ11" t="e">
        <f>AND(#REF!,"AAAAAD7a/6w=")</f>
        <v>#REF!</v>
      </c>
      <c r="FR11" t="e">
        <f>IF(#REF!,"AAAAAD7a/60=",0)</f>
        <v>#REF!</v>
      </c>
      <c r="FS11" t="e">
        <f>AND(#REF!,"AAAAAD7a/64=")</f>
        <v>#REF!</v>
      </c>
      <c r="FT11" t="e">
        <f>AND(#REF!,"AAAAAD7a/68=")</f>
        <v>#REF!</v>
      </c>
      <c r="FU11" t="e">
        <f>AND(#REF!,"AAAAAD7a/7A=")</f>
        <v>#REF!</v>
      </c>
      <c r="FV11" t="e">
        <f>AND(#REF!,"AAAAAD7a/7E=")</f>
        <v>#REF!</v>
      </c>
      <c r="FW11" t="e">
        <f>IF(#REF!,"AAAAAD7a/7I=",0)</f>
        <v>#REF!</v>
      </c>
      <c r="FX11" t="e">
        <f>IF(#REF!,"AAAAAD7a/7M=",0)</f>
        <v>#REF!</v>
      </c>
      <c r="FY11" t="e">
        <f>IF(#REF!,"AAAAAD7a/7Q=",0)</f>
        <v>#REF!</v>
      </c>
      <c r="FZ11" t="e">
        <f>IF(#REF!,"AAAAAD7a/7U=",0)</f>
        <v>#REF!</v>
      </c>
      <c r="GA11" t="e">
        <f>IF(#REF!,"AAAAAD7a/7Y=",0)</f>
        <v>#REF!</v>
      </c>
      <c r="GB11" t="e">
        <f>IF(#REF!,"AAAAAD7a/7c=",0)</f>
        <v>#REF!</v>
      </c>
      <c r="GC11">
        <f>IF('BYOS 40'!1:1,"AAAAAD7a/7g=",0)</f>
        <v>0</v>
      </c>
      <c r="GD11" t="b">
        <f>AND('BYOS 40'!W1,"AAAAAD7a/7k=")</f>
        <v>1</v>
      </c>
      <c r="GE11" t="e">
        <f>AND('BYOS 40'!X1,"AAAAAD7a/7o=")</f>
        <v>#VALUE!</v>
      </c>
      <c r="GF11" t="b">
        <f>AND('BYOS 40'!AE1,"AAAAAD7a/7s=")</f>
        <v>1</v>
      </c>
      <c r="GG11" t="e">
        <f>AND('BYOS 40'!AF1,"AAAAAD7a/7w=")</f>
        <v>#VALUE!</v>
      </c>
      <c r="GH11" t="b">
        <f>AND('BYOS 40'!BK1,"AAAAAD7a/70=")</f>
        <v>1</v>
      </c>
      <c r="GI11" t="e">
        <f>AND('BYOS 40'!BL1,"AAAAAD7a/74=")</f>
        <v>#VALUE!</v>
      </c>
      <c r="GJ11">
        <f>IF('BYOS 40'!2:2,"AAAAAD7a/78=",0)</f>
        <v>0</v>
      </c>
      <c r="GK11" t="b">
        <f>AND('BYOS 40'!W2,"AAAAAD7a/8A=")</f>
        <v>1</v>
      </c>
      <c r="GL11" t="e">
        <f>AND('BYOS 40'!X2,"AAAAAD7a/8E=")</f>
        <v>#VALUE!</v>
      </c>
      <c r="GM11" t="b">
        <f>AND('BYOS 40'!AE2,"AAAAAD7a/8I=")</f>
        <v>1</v>
      </c>
      <c r="GN11" t="e">
        <f>AND('BYOS 40'!AF3,"AAAAAD7a/8M=")</f>
        <v>#VALUE!</v>
      </c>
      <c r="GO11" t="b">
        <f>AND('BYOS 40'!BK2,"AAAAAD7a/8Q=")</f>
        <v>1</v>
      </c>
      <c r="GP11" t="e">
        <f>AND('BYOS 40'!BL2,"AAAAAD7a/8U=")</f>
        <v>#VALUE!</v>
      </c>
      <c r="GQ11">
        <f>IF('BYOS 40'!3:3,"AAAAAD7a/8Y=",0)</f>
        <v>0</v>
      </c>
      <c r="GR11" t="b">
        <f>AND('BYOS 40'!W3,"AAAAAD7a/8c=")</f>
        <v>1</v>
      </c>
      <c r="GS11" t="e">
        <f>AND('BYOS 40'!X3,"AAAAAD7a/8g=")</f>
        <v>#VALUE!</v>
      </c>
      <c r="GT11" t="b">
        <f>AND('BYOS 40'!AE3,"AAAAAD7a/8k=")</f>
        <v>1</v>
      </c>
      <c r="GU11" t="e">
        <f>AND('BYOS 40'!AF4,"AAAAAD7a/8o=")</f>
        <v>#VALUE!</v>
      </c>
      <c r="GV11" t="b">
        <f>AND('BYOS 40'!BK3,"AAAAAD7a/8s=")</f>
        <v>1</v>
      </c>
      <c r="GW11" t="e">
        <f>AND('BYOS 40'!BL3,"AAAAAD7a/8w=")</f>
        <v>#VALUE!</v>
      </c>
      <c r="GX11">
        <f>IF('BYOS 40'!4:4,"AAAAAD7a/80=",0)</f>
        <v>0</v>
      </c>
      <c r="GY11" t="b">
        <f>AND('BYOS 40'!W4,"AAAAAD7a/84=")</f>
        <v>1</v>
      </c>
      <c r="GZ11" t="e">
        <f>AND('BYOS 40'!X4,"AAAAAD7a/88=")</f>
        <v>#VALUE!</v>
      </c>
      <c r="HA11" t="b">
        <f>AND('BYOS 40'!AE4,"AAAAAD7a/9A=")</f>
        <v>1</v>
      </c>
      <c r="HB11" t="e">
        <f>AND('BYOS 40'!AF5,"AAAAAD7a/9E=")</f>
        <v>#VALUE!</v>
      </c>
      <c r="HC11" t="b">
        <f>AND('BYOS 40'!BK4,"AAAAAD7a/9I=")</f>
        <v>1</v>
      </c>
      <c r="HD11" t="e">
        <f>AND('BYOS 40'!BL4,"AAAAAD7a/9M=")</f>
        <v>#VALUE!</v>
      </c>
      <c r="HE11">
        <f>IF('BYOS 40'!5:5,"AAAAAD7a/9Q=",0)</f>
        <v>0</v>
      </c>
      <c r="HF11" t="b">
        <f>AND('BYOS 40'!W5,"AAAAAD7a/9U=")</f>
        <v>1</v>
      </c>
      <c r="HG11" t="e">
        <f>AND('BYOS 40'!X5,"AAAAAD7a/9Y=")</f>
        <v>#VALUE!</v>
      </c>
      <c r="HH11" t="b">
        <f>AND('BYOS 40'!AE5,"AAAAAD7a/9c=")</f>
        <v>1</v>
      </c>
      <c r="HI11" t="e">
        <f>AND('BYOS 40'!AF6,"AAAAAD7a/9g=")</f>
        <v>#VALUE!</v>
      </c>
      <c r="HJ11" t="b">
        <f>AND('BYOS 40'!BK5,"AAAAAD7a/9k=")</f>
        <v>1</v>
      </c>
      <c r="HK11" t="e">
        <f>AND('BYOS 40'!BL5,"AAAAAD7a/9o=")</f>
        <v>#VALUE!</v>
      </c>
      <c r="HL11">
        <f>IF('BYOS 40'!6:6,"AAAAAD7a/9s=",0)</f>
        <v>0</v>
      </c>
      <c r="HM11" t="b">
        <f>AND('BYOS 40'!W6,"AAAAAD7a/9w=")</f>
        <v>1</v>
      </c>
      <c r="HN11" t="e">
        <f>AND('BYOS 40'!X6,"AAAAAD7a/90=")</f>
        <v>#VALUE!</v>
      </c>
      <c r="HO11" t="b">
        <f>AND('BYOS 40'!AE6,"AAAAAD7a/94=")</f>
        <v>1</v>
      </c>
      <c r="HP11" t="e">
        <f>AND('BYOS 40'!AF7,"AAAAAD7a/98=")</f>
        <v>#VALUE!</v>
      </c>
      <c r="HQ11" t="b">
        <f>AND('BYOS 40'!BK6,"AAAAAD7a/+A=")</f>
        <v>1</v>
      </c>
      <c r="HR11" t="e">
        <f>AND('BYOS 40'!BL6,"AAAAAD7a/+E=")</f>
        <v>#VALUE!</v>
      </c>
      <c r="HS11">
        <f>IF('BYOS 40'!7:7,"AAAAAD7a/+I=",0)</f>
        <v>0</v>
      </c>
      <c r="HT11" t="b">
        <f>AND('BYOS 40'!W7,"AAAAAD7a/+M=")</f>
        <v>1</v>
      </c>
      <c r="HU11" t="e">
        <f>AND('BYOS 40'!X7,"AAAAAD7a/+Q=")</f>
        <v>#VALUE!</v>
      </c>
      <c r="HV11" t="b">
        <f>AND('BYOS 40'!AE7,"AAAAAD7a/+U=")</f>
        <v>1</v>
      </c>
      <c r="HW11" t="e">
        <f>AND('BYOS 40'!AF8,"AAAAAD7a/+Y=")</f>
        <v>#VALUE!</v>
      </c>
      <c r="HX11" t="b">
        <f>AND('BYOS 40'!BK7,"AAAAAD7a/+c=")</f>
        <v>1</v>
      </c>
      <c r="HY11" t="e">
        <f>AND('BYOS 40'!BL7,"AAAAAD7a/+g=")</f>
        <v>#VALUE!</v>
      </c>
      <c r="HZ11">
        <f>IF('BYOS 40'!8:8,"AAAAAD7a/+k=",0)</f>
        <v>0</v>
      </c>
      <c r="IA11" t="b">
        <f>AND('BYOS 40'!W8,"AAAAAD7a/+o=")</f>
        <v>1</v>
      </c>
      <c r="IB11" t="e">
        <f>AND('BYOS 40'!X8,"AAAAAD7a/+s=")</f>
        <v>#VALUE!</v>
      </c>
      <c r="IC11" t="b">
        <f>AND('BYOS 40'!AE8,"AAAAAD7a/+w=")</f>
        <v>1</v>
      </c>
      <c r="ID11" t="e">
        <f>AND('BYOS 40'!AF9,"AAAAAD7a/+0=")</f>
        <v>#VALUE!</v>
      </c>
      <c r="IE11" t="b">
        <f>AND('BYOS 40'!BK8,"AAAAAD7a/+4=")</f>
        <v>1</v>
      </c>
      <c r="IF11" t="e">
        <f>AND('BYOS 40'!BL8,"AAAAAD7a/+8=")</f>
        <v>#VALUE!</v>
      </c>
      <c r="IG11">
        <f>IF('BYOS 40'!9:9,"AAAAAD7a//A=",0)</f>
        <v>0</v>
      </c>
      <c r="IH11" t="b">
        <f>AND('BYOS 40'!W9,"AAAAAD7a//E=")</f>
        <v>1</v>
      </c>
      <c r="II11" t="e">
        <f>AND('BYOS 40'!X9,"AAAAAD7a//I=")</f>
        <v>#VALUE!</v>
      </c>
      <c r="IJ11" t="b">
        <f>AND('BYOS 40'!AE9,"AAAAAD7a//M=")</f>
        <v>1</v>
      </c>
      <c r="IK11" t="e">
        <f>AND('BYOS 40'!AF10,"AAAAAD7a//Q=")</f>
        <v>#VALUE!</v>
      </c>
      <c r="IL11" t="b">
        <f>AND('BYOS 40'!BK9,"AAAAAD7a//U=")</f>
        <v>1</v>
      </c>
      <c r="IM11" t="e">
        <f>AND('BYOS 40'!BL9,"AAAAAD7a//Y=")</f>
        <v>#VALUE!</v>
      </c>
      <c r="IN11">
        <f>IF('BYOS 40'!10:10,"AAAAAD7a//c=",0)</f>
        <v>0</v>
      </c>
      <c r="IO11" t="b">
        <f>AND('BYOS 40'!W10,"AAAAAD7a//g=")</f>
        <v>1</v>
      </c>
      <c r="IP11" t="e">
        <f>AND('BYOS 40'!X10,"AAAAAD7a//k=")</f>
        <v>#VALUE!</v>
      </c>
      <c r="IQ11" t="b">
        <f>AND('BYOS 40'!AE10,"AAAAAD7a//o=")</f>
        <v>1</v>
      </c>
      <c r="IR11" t="e">
        <f>AND('BYOS 40'!AF12,"AAAAAD7a//s=")</f>
        <v>#VALUE!</v>
      </c>
      <c r="IS11" t="b">
        <f>AND('BYOS 40'!BK10,"AAAAAD7a//w=")</f>
        <v>1</v>
      </c>
      <c r="IT11" t="e">
        <f>AND('BYOS 40'!BL10,"AAAAAD7a//0=")</f>
        <v>#VALUE!</v>
      </c>
      <c r="IU11">
        <f>IF('BYOS 40'!11:11,"AAAAAD7a//4=",0)</f>
        <v>0</v>
      </c>
      <c r="IV11" t="b">
        <f>AND('BYOS 40'!W11,"AAAAAD7a//8=")</f>
        <v>1</v>
      </c>
    </row>
    <row r="12" spans="1:256">
      <c r="A12" t="e">
        <f>AND('BYOS 40'!X11,"AAAAAH9P/QA=")</f>
        <v>#VALUE!</v>
      </c>
      <c r="B12" t="b">
        <f>AND('BYOS 40'!AE12,"AAAAAH9P/QE=")</f>
        <v>1</v>
      </c>
      <c r="C12" t="e">
        <f>AND('BYOS 40'!#REF!,"AAAAAH9P/QI=")</f>
        <v>#REF!</v>
      </c>
      <c r="D12" t="b">
        <f>AND('BYOS 40'!BK11,"AAAAAH9P/QM=")</f>
        <v>1</v>
      </c>
      <c r="E12" t="e">
        <f>AND('BYOS 40'!BL11,"AAAAAH9P/QQ=")</f>
        <v>#VALUE!</v>
      </c>
      <c r="F12" t="e">
        <f>IF('BYOS 40'!12:12,"AAAAAH9P/QU=",0)</f>
        <v>#VALUE!</v>
      </c>
      <c r="G12" t="b">
        <f>AND('BYOS 40'!W12,"AAAAAH9P/QY=")</f>
        <v>1</v>
      </c>
      <c r="H12" t="e">
        <f>AND('BYOS 40'!X12,"AAAAAH9P/Qc=")</f>
        <v>#VALUE!</v>
      </c>
      <c r="I12" t="e">
        <f>AND('BYOS 40'!#REF!,"AAAAAH9P/Qg=")</f>
        <v>#REF!</v>
      </c>
      <c r="J12" t="e">
        <f>AND('BYOS 40'!AF13,"AAAAAH9P/Qk=")</f>
        <v>#VALUE!</v>
      </c>
      <c r="K12" t="b">
        <f>AND('BYOS 40'!BK12,"AAAAAH9P/Qo=")</f>
        <v>1</v>
      </c>
      <c r="L12" t="e">
        <f>AND('BYOS 40'!BL12,"AAAAAH9P/Qs=")</f>
        <v>#VALUE!</v>
      </c>
      <c r="M12" t="str">
        <f>IF('BYOS 40'!13:13,"AAAAAH9P/Qw=",0)</f>
        <v>AAAAAH9P/Qw=</v>
      </c>
      <c r="N12" t="b">
        <f>AND('BYOS 40'!W13,"AAAAAH9P/Q0=")</f>
        <v>1</v>
      </c>
      <c r="O12" t="e">
        <f>AND('BYOS 40'!X13,"AAAAAH9P/Q4=")</f>
        <v>#VALUE!</v>
      </c>
      <c r="P12" t="b">
        <f>AND('BYOS 40'!AE13,"AAAAAH9P/Q8=")</f>
        <v>1</v>
      </c>
      <c r="Q12" t="e">
        <f>AND('BYOS 40'!AF14,"AAAAAH9P/RA=")</f>
        <v>#VALUE!</v>
      </c>
      <c r="R12" t="b">
        <f>AND('BYOS 40'!BK13,"AAAAAH9P/RE=")</f>
        <v>1</v>
      </c>
      <c r="S12" t="e">
        <f>AND('BYOS 40'!BL13,"AAAAAH9P/RI=")</f>
        <v>#VALUE!</v>
      </c>
      <c r="T12" t="e">
        <f>IF('BYOS 40'!14:14,"AAAAAH9P/RM=",0)</f>
        <v>#VALUE!</v>
      </c>
      <c r="U12" t="b">
        <f>AND('BYOS 40'!W14,"AAAAAH9P/RQ=")</f>
        <v>1</v>
      </c>
      <c r="V12" t="e">
        <f>AND('BYOS 40'!X14,"AAAAAH9P/RU=")</f>
        <v>#VALUE!</v>
      </c>
      <c r="W12" t="b">
        <f>AND('BYOS 40'!AE14,"AAAAAH9P/RY=")</f>
        <v>1</v>
      </c>
      <c r="X12" t="e">
        <f>AND('BYOS 40'!AF15,"AAAAAH9P/Rc=")</f>
        <v>#VALUE!</v>
      </c>
      <c r="Y12" t="b">
        <f>AND('BYOS 40'!BK14,"AAAAAH9P/Rg=")</f>
        <v>1</v>
      </c>
      <c r="Z12" t="e">
        <f>AND('BYOS 40'!BL14,"AAAAAH9P/Rk=")</f>
        <v>#VALUE!</v>
      </c>
      <c r="AA12" t="str">
        <f>IF('BYOS 40'!15:15,"AAAAAH9P/Ro=",0)</f>
        <v>AAAAAH9P/Ro=</v>
      </c>
      <c r="AB12" t="b">
        <f>AND('BYOS 40'!W15,"AAAAAH9P/Rs=")</f>
        <v>1</v>
      </c>
      <c r="AC12" t="e">
        <f>AND('BYOS 40'!X15,"AAAAAH9P/Rw=")</f>
        <v>#VALUE!</v>
      </c>
      <c r="AD12" t="b">
        <f>AND('BYOS 40'!AE15,"AAAAAH9P/R0=")</f>
        <v>1</v>
      </c>
      <c r="AE12" t="e">
        <f>AND('BYOS 40'!AF16,"AAAAAH9P/R4=")</f>
        <v>#VALUE!</v>
      </c>
      <c r="AF12" t="b">
        <f>AND('BYOS 40'!BK15,"AAAAAH9P/R8=")</f>
        <v>1</v>
      </c>
      <c r="AG12" t="e">
        <f>AND('BYOS 40'!BL15,"AAAAAH9P/SA=")</f>
        <v>#VALUE!</v>
      </c>
      <c r="AH12" t="e">
        <f>IF('BYOS 40'!16:16,"AAAAAH9P/SE=",0)</f>
        <v>#VALUE!</v>
      </c>
      <c r="AI12" t="b">
        <f>AND('BYOS 40'!W16,"AAAAAH9P/SI=")</f>
        <v>1</v>
      </c>
      <c r="AJ12" t="e">
        <f>AND('BYOS 40'!X16,"AAAAAH9P/SM=")</f>
        <v>#VALUE!</v>
      </c>
      <c r="AK12" t="b">
        <f>AND('BYOS 40'!AE16,"AAAAAH9P/SQ=")</f>
        <v>1</v>
      </c>
      <c r="AL12" t="e">
        <f>AND('BYOS 40'!AF17,"AAAAAH9P/SU=")</f>
        <v>#VALUE!</v>
      </c>
      <c r="AM12" t="b">
        <f>AND('BYOS 40'!BK16,"AAAAAH9P/SY=")</f>
        <v>1</v>
      </c>
      <c r="AN12" t="e">
        <f>AND('BYOS 40'!BL16,"AAAAAH9P/Sc=")</f>
        <v>#VALUE!</v>
      </c>
      <c r="AO12" t="str">
        <f>IF('BYOS 40'!17:17,"AAAAAH9P/Sg=",0)</f>
        <v>AAAAAH9P/Sg=</v>
      </c>
      <c r="AP12" t="b">
        <f>AND('BYOS 40'!W17,"AAAAAH9P/Sk=")</f>
        <v>1</v>
      </c>
      <c r="AQ12" t="e">
        <f>AND('BYOS 40'!X17,"AAAAAH9P/So=")</f>
        <v>#VALUE!</v>
      </c>
      <c r="AR12" t="b">
        <f>AND('BYOS 40'!AE17,"AAAAAH9P/Ss=")</f>
        <v>1</v>
      </c>
      <c r="AS12" t="e">
        <f>AND('BYOS 40'!#REF!,"AAAAAH9P/Sw=")</f>
        <v>#REF!</v>
      </c>
      <c r="AT12" t="b">
        <f>AND('BYOS 40'!BK17,"AAAAAH9P/S0=")</f>
        <v>1</v>
      </c>
      <c r="AU12" t="e">
        <f>AND('BYOS 40'!BL17,"AAAAAH9P/S4=")</f>
        <v>#VALUE!</v>
      </c>
      <c r="AV12" t="e">
        <f>IF('BYOS 40'!18:18,"AAAAAH9P/S8=",0)</f>
        <v>#VALUE!</v>
      </c>
      <c r="AW12" t="b">
        <f>AND('BYOS 40'!W18,"AAAAAH9P/TA=")</f>
        <v>1</v>
      </c>
      <c r="AX12" t="e">
        <f>AND('BYOS 40'!X18,"AAAAAH9P/TE=")</f>
        <v>#VALUE!</v>
      </c>
      <c r="AY12" t="b">
        <f>AND('BYOS 40'!AE18,"AAAAAH9P/TI=")</f>
        <v>1</v>
      </c>
      <c r="AZ12" t="e">
        <f>AND('BYOS 40'!#REF!,"AAAAAH9P/TM=")</f>
        <v>#REF!</v>
      </c>
      <c r="BA12" t="str">
        <f>IF('BYOS 40'!19:19,"AAAAAH9P/TQ=",0)</f>
        <v>AAAAAH9P/TQ=</v>
      </c>
      <c r="BB12" t="b">
        <f>AND('BYOS 40'!W19,"AAAAAH9P/TU=")</f>
        <v>1</v>
      </c>
      <c r="BC12" t="e">
        <f>AND('BYOS 40'!X19,"AAAAAH9P/TY=")</f>
        <v>#VALUE!</v>
      </c>
      <c r="BD12" t="b">
        <f>AND('BYOS 40'!AE19,"AAAAAH9P/Tc=")</f>
        <v>1</v>
      </c>
      <c r="BE12" t="e">
        <f>AND('BYOS 40'!AF18,"AAAAAH9P/Tg=")</f>
        <v>#VALUE!</v>
      </c>
      <c r="BF12" t="e">
        <f>IF('BYOS 40'!20:20,"AAAAAH9P/Tk=",0)</f>
        <v>#VALUE!</v>
      </c>
      <c r="BG12" t="b">
        <f>AND('BYOS 40'!W20,"AAAAAH9P/To=")</f>
        <v>1</v>
      </c>
      <c r="BH12" t="e">
        <f>AND('BYOS 40'!X20,"AAAAAH9P/Ts=")</f>
        <v>#VALUE!</v>
      </c>
      <c r="BI12" t="b">
        <f>AND('BYOS 40'!AE20,"AAAAAH9P/Tw=")</f>
        <v>1</v>
      </c>
      <c r="BJ12" t="e">
        <f>AND('BYOS 40'!AF19,"AAAAAH9P/T0=")</f>
        <v>#VALUE!</v>
      </c>
      <c r="BK12">
        <f>IF('BYOS 40'!21:21,"AAAAAH9P/T4=",0)</f>
        <v>0</v>
      </c>
      <c r="BL12" t="b">
        <f>AND('BYOS 40'!A21,"AAAAAH9P/T8=")</f>
        <v>1</v>
      </c>
      <c r="BM12" t="e">
        <f>AND('BYOS 40'!B19,"AAAAAH9P/UA=")</f>
        <v>#VALUE!</v>
      </c>
      <c r="BN12" t="b">
        <f>AND('BYOS 40'!AE21,"AAAAAH9P/UE=")</f>
        <v>1</v>
      </c>
      <c r="BO12" t="e">
        <f>AND('BYOS 40'!AF20,"AAAAAH9P/UI=")</f>
        <v>#VALUE!</v>
      </c>
      <c r="BP12" t="e">
        <f>IF('BYOS 40'!22:22,"AAAAAH9P/UM=",0)</f>
        <v>#VALUE!</v>
      </c>
      <c r="BQ12" t="b">
        <f>AND('BYOS 40'!A22,"AAAAAH9P/UQ=")</f>
        <v>1</v>
      </c>
      <c r="BR12" t="e">
        <f>AND('BYOS 40'!B20,"AAAAAH9P/UU=")</f>
        <v>#VALUE!</v>
      </c>
      <c r="BS12" t="b">
        <f>AND('BYOS 40'!AE22,"AAAAAH9P/UY=")</f>
        <v>1</v>
      </c>
      <c r="BT12" t="e">
        <f>AND('BYOS 40'!#REF!,"AAAAAH9P/Uc=")</f>
        <v>#REF!</v>
      </c>
      <c r="BU12">
        <f>IF('BYOS 40'!23:23,"AAAAAH9P/Ug=",0)</f>
        <v>0</v>
      </c>
      <c r="BV12" t="b">
        <f>AND('BYOS 40'!A23,"AAAAAH9P/Uk=")</f>
        <v>1</v>
      </c>
      <c r="BW12" t="e">
        <f>AND('BYOS 40'!B21,"AAAAAH9P/Uo=")</f>
        <v>#VALUE!</v>
      </c>
      <c r="BX12" t="b">
        <f>AND('BYOS 40'!AE23,"AAAAAH9P/Us=")</f>
        <v>1</v>
      </c>
      <c r="BY12" t="e">
        <f>AND('BYOS 40'!AF21,"AAAAAH9P/Uw=")</f>
        <v>#VALUE!</v>
      </c>
      <c r="BZ12">
        <f>IF('BYOS 40'!24:24,"AAAAAH9P/U0=",0)</f>
        <v>0</v>
      </c>
      <c r="CA12" t="b">
        <f>AND('BYOS 40'!A24,"AAAAAH9P/U4=")</f>
        <v>1</v>
      </c>
      <c r="CB12" t="e">
        <f>AND('BYOS 40'!B22,"AAAAAH9P/U8=")</f>
        <v>#VALUE!</v>
      </c>
      <c r="CC12" t="b">
        <f>AND('BYOS 40'!AE24,"AAAAAH9P/VA=")</f>
        <v>1</v>
      </c>
      <c r="CD12" t="e">
        <f>AND('BYOS 40'!AF22,"AAAAAH9P/VE=")</f>
        <v>#VALUE!</v>
      </c>
      <c r="CE12">
        <f>IF('BYOS 40'!25:25,"AAAAAH9P/VI=",0)</f>
        <v>0</v>
      </c>
      <c r="CF12" t="b">
        <f>AND('BYOS 40'!A25,"AAAAAH9P/VM=")</f>
        <v>1</v>
      </c>
      <c r="CG12" t="e">
        <f>AND('BYOS 40'!B23,"AAAAAH9P/VQ=")</f>
        <v>#VALUE!</v>
      </c>
      <c r="CH12" t="b">
        <f>AND('BYOS 40'!AE25,"AAAAAH9P/VU=")</f>
        <v>1</v>
      </c>
      <c r="CI12" t="e">
        <f>AND('BYOS 40'!AF23,"AAAAAH9P/VY=")</f>
        <v>#VALUE!</v>
      </c>
      <c r="CJ12" t="str">
        <f>IF('BYOS 40'!A:A,"AAAAAH9P/Vc=",0)</f>
        <v>AAAAAH9P/Vc=</v>
      </c>
      <c r="CK12" t="e">
        <f>IF('BYOS 40'!B:B,"AAAAAH9P/Vg=",0)</f>
        <v>#VALUE!</v>
      </c>
      <c r="CL12" t="str">
        <f>IF('BYOS 40'!I:I,"AAAAAH9P/Vk=",0)</f>
        <v>AAAAAH9P/Vk=</v>
      </c>
      <c r="CM12" t="e">
        <f>IF('BYOS 40'!J:J,"AAAAAH9P/Vo=",0)</f>
        <v>#VALUE!</v>
      </c>
      <c r="CN12" t="e">
        <f>IF('BYOS 40'!#REF!,"AAAAAH9P/Vs=",0)</f>
        <v>#REF!</v>
      </c>
      <c r="CO12" t="e">
        <f>IF('BYOS 40'!#REF!,"AAAAAH9P/Vw=",0)</f>
        <v>#REF!</v>
      </c>
      <c r="CP12" t="e">
        <f>IF(#REF!,"AAAAAH9P/V0=",0)</f>
        <v>#REF!</v>
      </c>
      <c r="CQ12" t="e">
        <f>AND(#REF!,"AAAAAH9P/V4=")</f>
        <v>#REF!</v>
      </c>
      <c r="CR12" t="e">
        <f>AND(#REF!,"AAAAAH9P/V8=")</f>
        <v>#REF!</v>
      </c>
      <c r="CS12" t="e">
        <f>AND(#REF!,"AAAAAH9P/WA=")</f>
        <v>#REF!</v>
      </c>
      <c r="CT12" t="e">
        <f>AND(#REF!,"AAAAAH9P/WE=")</f>
        <v>#REF!</v>
      </c>
      <c r="CU12" t="e">
        <f>AND(#REF!,"AAAAAH9P/WI=")</f>
        <v>#REF!</v>
      </c>
      <c r="CV12" t="e">
        <f>AND(#REF!,"AAAAAH9P/WM=")</f>
        <v>#REF!</v>
      </c>
      <c r="CW12" t="e">
        <f>AND(#REF!,"AAAAAH9P/WQ=")</f>
        <v>#REF!</v>
      </c>
      <c r="CX12" t="e">
        <f>AND(#REF!,"AAAAAH9P/WU=")</f>
        <v>#REF!</v>
      </c>
      <c r="CY12" t="e">
        <f>IF(#REF!,"AAAAAH9P/WY=",0)</f>
        <v>#REF!</v>
      </c>
      <c r="CZ12" t="e">
        <f>AND(#REF!,"AAAAAH9P/Wc=")</f>
        <v>#REF!</v>
      </c>
      <c r="DA12" t="e">
        <f>AND(#REF!,"AAAAAH9P/Wg=")</f>
        <v>#REF!</v>
      </c>
      <c r="DB12" t="e">
        <f>AND(#REF!,"AAAAAH9P/Wk=")</f>
        <v>#REF!</v>
      </c>
      <c r="DC12" t="e">
        <f>AND(#REF!,"AAAAAH9P/Wo=")</f>
        <v>#REF!</v>
      </c>
      <c r="DD12" t="e">
        <f>AND(#REF!,"AAAAAH9P/Ws=")</f>
        <v>#REF!</v>
      </c>
      <c r="DE12" t="e">
        <f>AND(#REF!,"AAAAAH9P/Ww=")</f>
        <v>#REF!</v>
      </c>
      <c r="DF12" t="e">
        <f>AND(#REF!,"AAAAAH9P/W0=")</f>
        <v>#REF!</v>
      </c>
      <c r="DG12" t="e">
        <f>AND(#REF!,"AAAAAH9P/W4=")</f>
        <v>#REF!</v>
      </c>
      <c r="DH12" t="e">
        <f>IF(#REF!,"AAAAAH9P/W8=",0)</f>
        <v>#REF!</v>
      </c>
      <c r="DI12" t="e">
        <f>AND(#REF!,"AAAAAH9P/XA=")</f>
        <v>#REF!</v>
      </c>
      <c r="DJ12" t="e">
        <f>AND(#REF!,"AAAAAH9P/XE=")</f>
        <v>#REF!</v>
      </c>
      <c r="DK12" t="e">
        <f>AND(#REF!,"AAAAAH9P/XI=")</f>
        <v>#REF!</v>
      </c>
      <c r="DL12" t="e">
        <f>AND(#REF!,"AAAAAH9P/XM=")</f>
        <v>#REF!</v>
      </c>
      <c r="DM12" t="e">
        <f>AND(#REF!,"AAAAAH9P/XQ=")</f>
        <v>#REF!</v>
      </c>
      <c r="DN12" t="e">
        <f>AND(#REF!,"AAAAAH9P/XU=")</f>
        <v>#REF!</v>
      </c>
      <c r="DO12" t="e">
        <f>AND(#REF!,"AAAAAH9P/XY=")</f>
        <v>#REF!</v>
      </c>
      <c r="DP12" t="e">
        <f>AND(#REF!,"AAAAAH9P/Xc=")</f>
        <v>#REF!</v>
      </c>
      <c r="DQ12" t="e">
        <f>IF(#REF!,"AAAAAH9P/Xg=",0)</f>
        <v>#REF!</v>
      </c>
      <c r="DR12" t="e">
        <f>AND(#REF!,"AAAAAH9P/Xk=")</f>
        <v>#REF!</v>
      </c>
      <c r="DS12" t="e">
        <f>AND(#REF!,"AAAAAH9P/Xo=")</f>
        <v>#REF!</v>
      </c>
      <c r="DT12" t="e">
        <f>AND(#REF!,"AAAAAH9P/Xs=")</f>
        <v>#REF!</v>
      </c>
      <c r="DU12" t="e">
        <f>AND(#REF!,"AAAAAH9P/Xw=")</f>
        <v>#REF!</v>
      </c>
      <c r="DV12" t="e">
        <f>AND(#REF!,"AAAAAH9P/X0=")</f>
        <v>#REF!</v>
      </c>
      <c r="DW12" t="e">
        <f>AND(#REF!,"AAAAAH9P/X4=")</f>
        <v>#REF!</v>
      </c>
      <c r="DX12" t="e">
        <f>AND(#REF!,"AAAAAH9P/X8=")</f>
        <v>#REF!</v>
      </c>
      <c r="DY12" t="e">
        <f>AND(#REF!,"AAAAAH9P/YA=")</f>
        <v>#REF!</v>
      </c>
      <c r="DZ12" t="e">
        <f>IF(#REF!,"AAAAAH9P/YE=",0)</f>
        <v>#REF!</v>
      </c>
      <c r="EA12" t="e">
        <f>AND(#REF!,"AAAAAH9P/YI=")</f>
        <v>#REF!</v>
      </c>
      <c r="EB12" t="e">
        <f>AND(#REF!,"AAAAAH9P/YM=")</f>
        <v>#REF!</v>
      </c>
      <c r="EC12" t="e">
        <f>AND(#REF!,"AAAAAH9P/YQ=")</f>
        <v>#REF!</v>
      </c>
      <c r="ED12" t="e">
        <f>AND(#REF!,"AAAAAH9P/YU=")</f>
        <v>#REF!</v>
      </c>
      <c r="EE12" t="e">
        <f>AND(#REF!,"AAAAAH9P/YY=")</f>
        <v>#REF!</v>
      </c>
      <c r="EF12" t="e">
        <f>AND(#REF!,"AAAAAH9P/Yc=")</f>
        <v>#REF!</v>
      </c>
      <c r="EG12" t="e">
        <f>AND(#REF!,"AAAAAH9P/Yg=")</f>
        <v>#REF!</v>
      </c>
      <c r="EH12" t="e">
        <f>AND(#REF!,"AAAAAH9P/Yk=")</f>
        <v>#REF!</v>
      </c>
      <c r="EI12" t="e">
        <f>IF(#REF!,"AAAAAH9P/Yo=",0)</f>
        <v>#REF!</v>
      </c>
      <c r="EJ12" t="e">
        <f>AND(#REF!,"AAAAAH9P/Ys=")</f>
        <v>#REF!</v>
      </c>
      <c r="EK12" t="e">
        <f>AND(#REF!,"AAAAAH9P/Yw=")</f>
        <v>#REF!</v>
      </c>
      <c r="EL12" t="e">
        <f>AND(#REF!,"AAAAAH9P/Y0=")</f>
        <v>#REF!</v>
      </c>
      <c r="EM12" t="e">
        <f>AND(#REF!,"AAAAAH9P/Y4=")</f>
        <v>#REF!</v>
      </c>
      <c r="EN12" t="e">
        <f>AND(#REF!,"AAAAAH9P/Y8=")</f>
        <v>#REF!</v>
      </c>
      <c r="EO12" t="e">
        <f>AND(#REF!,"AAAAAH9P/ZA=")</f>
        <v>#REF!</v>
      </c>
      <c r="EP12" t="e">
        <f>AND(#REF!,"AAAAAH9P/ZE=")</f>
        <v>#REF!</v>
      </c>
      <c r="EQ12" t="e">
        <f>AND(#REF!,"AAAAAH9P/ZI=")</f>
        <v>#REF!</v>
      </c>
      <c r="ER12" t="e">
        <f>IF(#REF!,"AAAAAH9P/ZM=",0)</f>
        <v>#REF!</v>
      </c>
      <c r="ES12" t="e">
        <f>AND(#REF!,"AAAAAH9P/ZQ=")</f>
        <v>#REF!</v>
      </c>
      <c r="ET12" t="e">
        <f>AND(#REF!,"AAAAAH9P/ZU=")</f>
        <v>#REF!</v>
      </c>
      <c r="EU12" t="e">
        <f>AND(#REF!,"AAAAAH9P/ZY=")</f>
        <v>#REF!</v>
      </c>
      <c r="EV12" t="e">
        <f>AND(#REF!,"AAAAAH9P/Zc=")</f>
        <v>#REF!</v>
      </c>
      <c r="EW12" t="e">
        <f>AND(#REF!,"AAAAAH9P/Zg=")</f>
        <v>#REF!</v>
      </c>
      <c r="EX12" t="e">
        <f>AND(#REF!,"AAAAAH9P/Zk=")</f>
        <v>#REF!</v>
      </c>
      <c r="EY12" t="e">
        <f>AND(#REF!,"AAAAAH9P/Zo=")</f>
        <v>#REF!</v>
      </c>
      <c r="EZ12" t="e">
        <f>AND(#REF!,"AAAAAH9P/Zs=")</f>
        <v>#REF!</v>
      </c>
      <c r="FA12" t="e">
        <f>IF(#REF!,"AAAAAH9P/Zw=",0)</f>
        <v>#REF!</v>
      </c>
      <c r="FB12" t="e">
        <f>AND(#REF!,"AAAAAH9P/Z0=")</f>
        <v>#REF!</v>
      </c>
      <c r="FC12" t="e">
        <f>AND(#REF!,"AAAAAH9P/Z4=")</f>
        <v>#REF!</v>
      </c>
      <c r="FD12" t="e">
        <f>AND(#REF!,"AAAAAH9P/Z8=")</f>
        <v>#REF!</v>
      </c>
      <c r="FE12" t="e">
        <f>AND(#REF!,"AAAAAH9P/aA=")</f>
        <v>#REF!</v>
      </c>
      <c r="FF12" t="e">
        <f>AND(#REF!,"AAAAAH9P/aE=")</f>
        <v>#REF!</v>
      </c>
      <c r="FG12" t="e">
        <f>AND(#REF!,"AAAAAH9P/aI=")</f>
        <v>#REF!</v>
      </c>
      <c r="FH12" t="e">
        <f>AND(#REF!,"AAAAAH9P/aM=")</f>
        <v>#REF!</v>
      </c>
      <c r="FI12" t="e">
        <f>AND(#REF!,"AAAAAH9P/aQ=")</f>
        <v>#REF!</v>
      </c>
      <c r="FJ12" t="e">
        <f>IF(#REF!,"AAAAAH9P/aU=",0)</f>
        <v>#REF!</v>
      </c>
      <c r="FK12" t="e">
        <f>AND(#REF!,"AAAAAH9P/aY=")</f>
        <v>#REF!</v>
      </c>
      <c r="FL12" t="e">
        <f>AND(#REF!,"AAAAAH9P/ac=")</f>
        <v>#REF!</v>
      </c>
      <c r="FM12" t="e">
        <f>AND(#REF!,"AAAAAH9P/ag=")</f>
        <v>#REF!</v>
      </c>
      <c r="FN12" t="e">
        <f>AND(#REF!,"AAAAAH9P/ak=")</f>
        <v>#REF!</v>
      </c>
      <c r="FO12" t="e">
        <f>AND(#REF!,"AAAAAH9P/ao=")</f>
        <v>#REF!</v>
      </c>
      <c r="FP12" t="e">
        <f>AND(#REF!,"AAAAAH9P/as=")</f>
        <v>#REF!</v>
      </c>
      <c r="FQ12" t="e">
        <f>AND(#REF!,"AAAAAH9P/aw=")</f>
        <v>#REF!</v>
      </c>
      <c r="FR12" t="e">
        <f>AND(#REF!,"AAAAAH9P/a0=")</f>
        <v>#REF!</v>
      </c>
      <c r="FS12" t="e">
        <f>IF(#REF!,"AAAAAH9P/a4=",0)</f>
        <v>#REF!</v>
      </c>
      <c r="FT12" t="e">
        <f>AND(#REF!,"AAAAAH9P/a8=")</f>
        <v>#REF!</v>
      </c>
      <c r="FU12" t="e">
        <f>AND(#REF!,"AAAAAH9P/bA=")</f>
        <v>#REF!</v>
      </c>
      <c r="FV12" t="e">
        <f>AND(#REF!,"AAAAAH9P/bE=")</f>
        <v>#REF!</v>
      </c>
      <c r="FW12" t="e">
        <f>AND(#REF!,"AAAAAH9P/bI=")</f>
        <v>#REF!</v>
      </c>
      <c r="FX12" t="e">
        <f>AND(#REF!,"AAAAAH9P/bM=")</f>
        <v>#REF!</v>
      </c>
      <c r="FY12" t="e">
        <f>AND(#REF!,"AAAAAH9P/bQ=")</f>
        <v>#REF!</v>
      </c>
      <c r="FZ12" t="e">
        <f>AND(#REF!,"AAAAAH9P/bU=")</f>
        <v>#REF!</v>
      </c>
      <c r="GA12" t="e">
        <f>AND(#REF!,"AAAAAH9P/bY=")</f>
        <v>#REF!</v>
      </c>
      <c r="GB12" t="e">
        <f>IF(#REF!,"AAAAAH9P/bc=",0)</f>
        <v>#REF!</v>
      </c>
      <c r="GC12" t="e">
        <f>AND(#REF!,"AAAAAH9P/bg=")</f>
        <v>#REF!</v>
      </c>
      <c r="GD12" t="e">
        <f>AND(#REF!,"AAAAAH9P/bk=")</f>
        <v>#REF!</v>
      </c>
      <c r="GE12" t="e">
        <f>AND(#REF!,"AAAAAH9P/bo=")</f>
        <v>#REF!</v>
      </c>
      <c r="GF12" t="e">
        <f>AND(#REF!,"AAAAAH9P/bs=")</f>
        <v>#REF!</v>
      </c>
      <c r="GG12" t="e">
        <f>AND(#REF!,"AAAAAH9P/bw=")</f>
        <v>#REF!</v>
      </c>
      <c r="GH12" t="e">
        <f>AND(#REF!,"AAAAAH9P/b0=")</f>
        <v>#REF!</v>
      </c>
      <c r="GI12" t="e">
        <f>AND(#REF!,"AAAAAH9P/b4=")</f>
        <v>#REF!</v>
      </c>
      <c r="GJ12" t="e">
        <f>AND(#REF!,"AAAAAH9P/b8=")</f>
        <v>#REF!</v>
      </c>
      <c r="GK12" t="e">
        <f>IF(#REF!,"AAAAAH9P/cA=",0)</f>
        <v>#REF!</v>
      </c>
      <c r="GL12" t="e">
        <f>AND(#REF!,"AAAAAH9P/cE=")</f>
        <v>#REF!</v>
      </c>
      <c r="GM12" t="e">
        <f>AND(#REF!,"AAAAAH9P/cI=")</f>
        <v>#REF!</v>
      </c>
      <c r="GN12" t="e">
        <f>AND(#REF!,"AAAAAH9P/cM=")</f>
        <v>#REF!</v>
      </c>
      <c r="GO12" t="e">
        <f>AND(#REF!,"AAAAAH9P/cQ=")</f>
        <v>#REF!</v>
      </c>
      <c r="GP12" t="e">
        <f>AND(#REF!,"AAAAAH9P/cU=")</f>
        <v>#REF!</v>
      </c>
      <c r="GQ12" t="e">
        <f>AND(#REF!,"AAAAAH9P/cY=")</f>
        <v>#REF!</v>
      </c>
      <c r="GR12" t="e">
        <f>AND(#REF!,"AAAAAH9P/cc=")</f>
        <v>#REF!</v>
      </c>
      <c r="GS12" t="e">
        <f>AND(#REF!,"AAAAAH9P/cg=")</f>
        <v>#REF!</v>
      </c>
      <c r="GT12" t="e">
        <f>IF(#REF!,"AAAAAH9P/ck=",0)</f>
        <v>#REF!</v>
      </c>
      <c r="GU12" t="e">
        <f>AND(#REF!,"AAAAAH9P/co=")</f>
        <v>#REF!</v>
      </c>
      <c r="GV12" t="e">
        <f>AND(#REF!,"AAAAAH9P/cs=")</f>
        <v>#REF!</v>
      </c>
      <c r="GW12" t="e">
        <f>AND(#REF!,"AAAAAH9P/cw=")</f>
        <v>#REF!</v>
      </c>
      <c r="GX12" t="e">
        <f>AND(#REF!,"AAAAAH9P/c0=")</f>
        <v>#REF!</v>
      </c>
      <c r="GY12" t="e">
        <f>AND(#REF!,"AAAAAH9P/c4=")</f>
        <v>#REF!</v>
      </c>
      <c r="GZ12" t="e">
        <f>AND(#REF!,"AAAAAH9P/c8=")</f>
        <v>#REF!</v>
      </c>
      <c r="HA12" t="e">
        <f>AND(#REF!,"AAAAAH9P/dA=")</f>
        <v>#REF!</v>
      </c>
      <c r="HB12" t="e">
        <f>AND(#REF!,"AAAAAH9P/dE=")</f>
        <v>#REF!</v>
      </c>
      <c r="HC12" t="e">
        <f>IF(#REF!,"AAAAAH9P/dI=",0)</f>
        <v>#REF!</v>
      </c>
      <c r="HD12" t="e">
        <f>AND(#REF!,"AAAAAH9P/dM=")</f>
        <v>#REF!</v>
      </c>
      <c r="HE12" t="e">
        <f>AND(#REF!,"AAAAAH9P/dQ=")</f>
        <v>#REF!</v>
      </c>
      <c r="HF12" t="e">
        <f>AND(#REF!,"AAAAAH9P/dU=")</f>
        <v>#REF!</v>
      </c>
      <c r="HG12" t="e">
        <f>AND(#REF!,"AAAAAH9P/dY=")</f>
        <v>#REF!</v>
      </c>
      <c r="HH12" t="e">
        <f>AND(#REF!,"AAAAAH9P/dc=")</f>
        <v>#REF!</v>
      </c>
      <c r="HI12" t="e">
        <f>AND(#REF!,"AAAAAH9P/dg=")</f>
        <v>#REF!</v>
      </c>
      <c r="HJ12" t="e">
        <f>AND(#REF!,"AAAAAH9P/dk=")</f>
        <v>#REF!</v>
      </c>
      <c r="HK12" t="e">
        <f>AND(#REF!,"AAAAAH9P/do=")</f>
        <v>#REF!</v>
      </c>
      <c r="HL12" t="e">
        <f>IF(#REF!,"AAAAAH9P/ds=",0)</f>
        <v>#REF!</v>
      </c>
      <c r="HM12" t="e">
        <f>AND(#REF!,"AAAAAH9P/dw=")</f>
        <v>#REF!</v>
      </c>
      <c r="HN12" t="e">
        <f>AND(#REF!,"AAAAAH9P/d0=")</f>
        <v>#REF!</v>
      </c>
      <c r="HO12" t="e">
        <f>AND(#REF!,"AAAAAH9P/d4=")</f>
        <v>#REF!</v>
      </c>
      <c r="HP12" t="e">
        <f>AND(#REF!,"AAAAAH9P/d8=")</f>
        <v>#REF!</v>
      </c>
      <c r="HQ12" t="e">
        <f>AND(#REF!,"AAAAAH9P/eA=")</f>
        <v>#REF!</v>
      </c>
      <c r="HR12" t="e">
        <f>AND(#REF!,"AAAAAH9P/eE=")</f>
        <v>#REF!</v>
      </c>
      <c r="HS12" t="e">
        <f>AND(#REF!,"AAAAAH9P/eI=")</f>
        <v>#REF!</v>
      </c>
      <c r="HT12" t="e">
        <f>AND(#REF!,"AAAAAH9P/eM=")</f>
        <v>#REF!</v>
      </c>
      <c r="HU12" t="e">
        <f>IF(#REF!,"AAAAAH9P/eQ=",0)</f>
        <v>#REF!</v>
      </c>
      <c r="HV12" t="e">
        <f>AND(#REF!,"AAAAAH9P/eU=")</f>
        <v>#REF!</v>
      </c>
      <c r="HW12" t="e">
        <f>AND(#REF!,"AAAAAH9P/eY=")</f>
        <v>#REF!</v>
      </c>
      <c r="HX12" t="e">
        <f>AND(#REF!,"AAAAAH9P/ec=")</f>
        <v>#REF!</v>
      </c>
      <c r="HY12" t="e">
        <f>AND(#REF!,"AAAAAH9P/eg=")</f>
        <v>#REF!</v>
      </c>
      <c r="HZ12" t="e">
        <f>AND(#REF!,"AAAAAH9P/ek=")</f>
        <v>#REF!</v>
      </c>
      <c r="IA12" t="e">
        <f>AND(#REF!,"AAAAAH9P/eo=")</f>
        <v>#REF!</v>
      </c>
      <c r="IB12" t="e">
        <f>AND(#REF!,"AAAAAH9P/es=")</f>
        <v>#REF!</v>
      </c>
      <c r="IC12" t="e">
        <f>AND(#REF!,"AAAAAH9P/ew=")</f>
        <v>#REF!</v>
      </c>
      <c r="ID12" t="e">
        <f>IF(#REF!,"AAAAAH9P/e0=",0)</f>
        <v>#REF!</v>
      </c>
      <c r="IE12" t="e">
        <f>AND(#REF!,"AAAAAH9P/e4=")</f>
        <v>#REF!</v>
      </c>
      <c r="IF12" t="e">
        <f>AND(#REF!,"AAAAAH9P/e8=")</f>
        <v>#REF!</v>
      </c>
      <c r="IG12" t="e">
        <f>AND(#REF!,"AAAAAH9P/fA=")</f>
        <v>#REF!</v>
      </c>
      <c r="IH12" t="e">
        <f>AND(#REF!,"AAAAAH9P/fE=")</f>
        <v>#REF!</v>
      </c>
      <c r="II12" t="e">
        <f>AND(#REF!,"AAAAAH9P/fI=")</f>
        <v>#REF!</v>
      </c>
      <c r="IJ12" t="e">
        <f>AND(#REF!,"AAAAAH9P/fM=")</f>
        <v>#REF!</v>
      </c>
      <c r="IK12" t="e">
        <f>AND(#REF!,"AAAAAH9P/fQ=")</f>
        <v>#REF!</v>
      </c>
      <c r="IL12" t="e">
        <f>AND(#REF!,"AAAAAH9P/fU=")</f>
        <v>#REF!</v>
      </c>
      <c r="IM12" t="e">
        <f>IF(#REF!,"AAAAAH9P/fY=",0)</f>
        <v>#REF!</v>
      </c>
      <c r="IN12" t="e">
        <f>AND(#REF!,"AAAAAH9P/fc=")</f>
        <v>#REF!</v>
      </c>
      <c r="IO12" t="e">
        <f>AND(#REF!,"AAAAAH9P/fg=")</f>
        <v>#REF!</v>
      </c>
      <c r="IP12" t="e">
        <f>AND(#REF!,"AAAAAH9P/fk=")</f>
        <v>#REF!</v>
      </c>
      <c r="IQ12" t="e">
        <f>AND(#REF!,"AAAAAH9P/fo=")</f>
        <v>#REF!</v>
      </c>
      <c r="IR12" t="e">
        <f>AND(#REF!,"AAAAAH9P/fs=")</f>
        <v>#REF!</v>
      </c>
      <c r="IS12" t="e">
        <f>AND(#REF!,"AAAAAH9P/fw=")</f>
        <v>#REF!</v>
      </c>
      <c r="IT12" t="e">
        <f>AND(#REF!,"AAAAAH9P/f0=")</f>
        <v>#REF!</v>
      </c>
      <c r="IU12" t="e">
        <f>AND(#REF!,"AAAAAH9P/f4=")</f>
        <v>#REF!</v>
      </c>
      <c r="IV12" t="e">
        <f>IF(#REF!,"AAAAAH9P/f8=",0)</f>
        <v>#REF!</v>
      </c>
    </row>
    <row r="13" spans="1:256">
      <c r="A13" t="e">
        <f>AND(#REF!,"AAAAAB/3vwA=")</f>
        <v>#REF!</v>
      </c>
      <c r="B13" t="e">
        <f>AND(#REF!,"AAAAAB/3vwE=")</f>
        <v>#REF!</v>
      </c>
      <c r="C13" t="e">
        <f>AND(#REF!,"AAAAAB/3vwI=")</f>
        <v>#REF!</v>
      </c>
      <c r="D13" t="e">
        <f>AND(#REF!,"AAAAAB/3vwM=")</f>
        <v>#REF!</v>
      </c>
      <c r="E13" t="e">
        <f>AND(#REF!,"AAAAAB/3vwQ=")</f>
        <v>#REF!</v>
      </c>
      <c r="F13" t="e">
        <f>AND(#REF!,"AAAAAB/3vwU=")</f>
        <v>#REF!</v>
      </c>
      <c r="G13" t="e">
        <f>AND(#REF!,"AAAAAB/3vwY=")</f>
        <v>#REF!</v>
      </c>
      <c r="H13" t="e">
        <f>AND(#REF!,"AAAAAB/3vwc=")</f>
        <v>#REF!</v>
      </c>
      <c r="I13" t="e">
        <f>IF(#REF!,"AAAAAB/3vwg=",0)</f>
        <v>#REF!</v>
      </c>
      <c r="J13" t="e">
        <f>AND(#REF!,"AAAAAB/3vwk=")</f>
        <v>#REF!</v>
      </c>
      <c r="K13" t="e">
        <f>AND(#REF!,"AAAAAB/3vwo=")</f>
        <v>#REF!</v>
      </c>
      <c r="L13" t="e">
        <f>AND(#REF!,"AAAAAB/3vws=")</f>
        <v>#REF!</v>
      </c>
      <c r="M13" t="e">
        <f>AND(#REF!,"AAAAAB/3vww=")</f>
        <v>#REF!</v>
      </c>
      <c r="N13" t="e">
        <f>AND(#REF!,"AAAAAB/3vw0=")</f>
        <v>#REF!</v>
      </c>
      <c r="O13" t="e">
        <f>AND(#REF!,"AAAAAB/3vw4=")</f>
        <v>#REF!</v>
      </c>
      <c r="P13" t="e">
        <f>AND(#REF!,"AAAAAB/3vw8=")</f>
        <v>#REF!</v>
      </c>
      <c r="Q13" t="e">
        <f>AND(#REF!,"AAAAAB/3vxA=")</f>
        <v>#REF!</v>
      </c>
      <c r="R13" t="e">
        <f>IF(#REF!,"AAAAAB/3vxE=",0)</f>
        <v>#REF!</v>
      </c>
      <c r="S13" t="e">
        <f>AND(#REF!,"AAAAAB/3vxI=")</f>
        <v>#REF!</v>
      </c>
      <c r="T13" t="e">
        <f>AND(#REF!,"AAAAAB/3vxM=")</f>
        <v>#REF!</v>
      </c>
      <c r="U13" t="e">
        <f>AND(#REF!,"AAAAAB/3vxQ=")</f>
        <v>#REF!</v>
      </c>
      <c r="V13" t="e">
        <f>AND(#REF!,"AAAAAB/3vxU=")</f>
        <v>#REF!</v>
      </c>
      <c r="W13" t="e">
        <f>AND(#REF!,"AAAAAB/3vxY=")</f>
        <v>#REF!</v>
      </c>
      <c r="X13" t="e">
        <f>AND(#REF!,"AAAAAB/3vxc=")</f>
        <v>#REF!</v>
      </c>
      <c r="Y13" t="e">
        <f>IF(#REF!,"AAAAAB/3vxg=",0)</f>
        <v>#REF!</v>
      </c>
      <c r="Z13" t="e">
        <f>AND(#REF!,"AAAAAB/3vxk=")</f>
        <v>#REF!</v>
      </c>
      <c r="AA13" t="e">
        <f>AND(#REF!,"AAAAAB/3vxo=")</f>
        <v>#REF!</v>
      </c>
      <c r="AB13" t="e">
        <f>AND(#REF!,"AAAAAB/3vxs=")</f>
        <v>#REF!</v>
      </c>
      <c r="AC13" t="e">
        <f>AND(#REF!,"AAAAAB/3vxw=")</f>
        <v>#REF!</v>
      </c>
      <c r="AD13" t="e">
        <f>AND(#REF!,"AAAAAB/3vx0=")</f>
        <v>#REF!</v>
      </c>
      <c r="AE13" t="e">
        <f>AND(#REF!,"AAAAAB/3vx4=")</f>
        <v>#REF!</v>
      </c>
      <c r="AF13" t="e">
        <f>IF(#REF!,"AAAAAB/3vx8=",0)</f>
        <v>#REF!</v>
      </c>
      <c r="AG13" t="e">
        <f>IF(#REF!,"AAAAAB/3vyA=",0)</f>
        <v>#REF!</v>
      </c>
      <c r="AH13" t="e">
        <f>IF(#REF!,"AAAAAB/3vyE=",0)</f>
        <v>#REF!</v>
      </c>
      <c r="AI13" t="e">
        <f>IF(#REF!,"AAAAAB/3vyI=",0)</f>
        <v>#REF!</v>
      </c>
      <c r="AJ13" t="e">
        <f>IF(#REF!,"AAAAAB/3vyM=",0)</f>
        <v>#REF!</v>
      </c>
      <c r="AK13" t="e">
        <f>IF(#REF!,"AAAAAB/3vyQ=",0)</f>
        <v>#REF!</v>
      </c>
      <c r="AL13" t="e">
        <f>IF(#REF!,"AAAAAB/3vyU=",0)</f>
        <v>#REF!</v>
      </c>
      <c r="AM13" t="e">
        <f>IF(#REF!,"AAAAAB/3vyY=",0)</f>
        <v>#REF!</v>
      </c>
      <c r="AN13">
        <f>IF([1]Labo!$A1:$AMJ1,"AAAAAB/3vyc=",0)</f>
        <v>0</v>
      </c>
      <c r="AO13" t="b">
        <f>AND([1]Labo!A1,"AAAAAB/3vyg=")</f>
        <v>1</v>
      </c>
      <c r="AP13" t="e">
        <f>AND([1]Labo!B1,"AAAAAB/3vyk=")</f>
        <v>#VALUE!</v>
      </c>
      <c r="AQ13" t="e">
        <f>AND([1]Labo!C1,"AAAAAB/3vyo=")</f>
        <v>#VALUE!</v>
      </c>
      <c r="AR13" t="b">
        <f>AND([1]Labo!M1,"AAAAAB/3vys=")</f>
        <v>1</v>
      </c>
      <c r="AS13" t="e">
        <f>AND([1]Labo!N1,"AAAAAB/3vyw=")</f>
        <v>#VALUE!</v>
      </c>
      <c r="AT13">
        <f>IF([1]Labo!$A2:$AMJ2,"AAAAAB/3vy0=",0)</f>
        <v>0</v>
      </c>
      <c r="AU13" t="b">
        <f>AND([1]Labo!A2,"AAAAAB/3vy4=")</f>
        <v>1</v>
      </c>
      <c r="AV13" t="e">
        <f>AND([1]Labo!B2,"AAAAAB/3vy8=")</f>
        <v>#VALUE!</v>
      </c>
      <c r="AW13" t="e">
        <f>AND([1]Labo!C2,"AAAAAB/3vzA=")</f>
        <v>#VALUE!</v>
      </c>
      <c r="AX13" t="b">
        <f>AND([1]Labo!M2,"AAAAAB/3vzE=")</f>
        <v>1</v>
      </c>
      <c r="AY13" t="e">
        <f>AND([1]Labo!N2,"AAAAAB/3vzI=")</f>
        <v>#VALUE!</v>
      </c>
      <c r="AZ13">
        <f>IF([1]Labo!$A3:$AMJ3,"AAAAAB/3vzM=",0)</f>
        <v>0</v>
      </c>
      <c r="BA13" t="b">
        <f>AND([1]Labo!A3,"AAAAAB/3vzQ=")</f>
        <v>1</v>
      </c>
      <c r="BB13" t="e">
        <f>AND([1]Labo!B3,"AAAAAB/3vzU=")</f>
        <v>#VALUE!</v>
      </c>
      <c r="BC13" t="e">
        <f>AND([1]Labo!C3,"AAAAAB/3vzY=")</f>
        <v>#VALUE!</v>
      </c>
      <c r="BD13" t="b">
        <f>AND([1]Labo!M3,"AAAAAB/3vzc=")</f>
        <v>1</v>
      </c>
      <c r="BE13" t="e">
        <f>AND([1]Labo!N3,"AAAAAB/3vzg=")</f>
        <v>#VALUE!</v>
      </c>
      <c r="BF13">
        <f>IF([1]Labo!$A4:$AMJ4,"AAAAAB/3vzk=",0)</f>
        <v>0</v>
      </c>
      <c r="BG13" t="b">
        <f>AND([1]Labo!A4,"AAAAAB/3vzo=")</f>
        <v>1</v>
      </c>
      <c r="BH13" t="e">
        <f>AND([1]Labo!B4,"AAAAAB/3vzs=")</f>
        <v>#VALUE!</v>
      </c>
      <c r="BI13" t="e">
        <f>AND([1]Labo!C4,"AAAAAB/3vzw=")</f>
        <v>#VALUE!</v>
      </c>
      <c r="BJ13" t="b">
        <f>AND([1]Labo!M4,"AAAAAB/3vz0=")</f>
        <v>1</v>
      </c>
      <c r="BK13" t="e">
        <f>AND([1]Labo!N4,"AAAAAB/3vz4=")</f>
        <v>#VALUE!</v>
      </c>
      <c r="BL13">
        <f>IF([1]Labo!$A5:$AMJ5,"AAAAAB/3vz8=",0)</f>
        <v>0</v>
      </c>
      <c r="BM13" t="b">
        <f>AND([1]Labo!A5,"AAAAAB/3v0A=")</f>
        <v>1</v>
      </c>
      <c r="BN13" t="e">
        <f>AND([1]Labo!B5,"AAAAAB/3v0E=")</f>
        <v>#VALUE!</v>
      </c>
      <c r="BO13" t="e">
        <f>AND([1]Labo!C5,"AAAAAB/3v0I=")</f>
        <v>#VALUE!</v>
      </c>
      <c r="BP13" t="b">
        <f>AND([1]Labo!M5,"AAAAAB/3v0M=")</f>
        <v>1</v>
      </c>
      <c r="BQ13" t="e">
        <f>AND([1]Labo!N5,"AAAAAB/3v0Q=")</f>
        <v>#VALUE!</v>
      </c>
      <c r="BR13">
        <f>IF([1]Labo!$A6:$AMJ6,"AAAAAB/3v0U=",0)</f>
        <v>0</v>
      </c>
      <c r="BS13" t="b">
        <f>AND([1]Labo!A6,"AAAAAB/3v0Y=")</f>
        <v>1</v>
      </c>
      <c r="BT13" t="e">
        <f>AND([1]Labo!B6,"AAAAAB/3v0c=")</f>
        <v>#VALUE!</v>
      </c>
      <c r="BU13" t="e">
        <f>AND([1]Labo!C6,"AAAAAB/3v0g=")</f>
        <v>#VALUE!</v>
      </c>
      <c r="BV13" t="b">
        <f>AND([1]Labo!M6,"AAAAAB/3v0k=")</f>
        <v>1</v>
      </c>
      <c r="BW13" t="e">
        <f>AND([1]Labo!N6,"AAAAAB/3v0o=")</f>
        <v>#VALUE!</v>
      </c>
      <c r="BX13">
        <f>IF([1]Labo!$A7:$AMJ7,"AAAAAB/3v0s=",0)</f>
        <v>0</v>
      </c>
      <c r="BY13" t="b">
        <f>AND([1]Labo!A7,"AAAAAB/3v0w=")</f>
        <v>1</v>
      </c>
      <c r="BZ13" t="e">
        <f>AND([1]Labo!B7,"AAAAAB/3v00=")</f>
        <v>#VALUE!</v>
      </c>
      <c r="CA13" t="e">
        <f>AND([1]Labo!C7,"AAAAAB/3v04=")</f>
        <v>#VALUE!</v>
      </c>
      <c r="CB13" t="e">
        <f>AND([1]Labo!#REF!,"AAAAAB/3v08=")</f>
        <v>#REF!</v>
      </c>
      <c r="CC13" t="e">
        <f>AND([1]Labo!#REF!,"AAAAAB/3v1A=")</f>
        <v>#REF!</v>
      </c>
      <c r="CD13">
        <f>IF([1]Labo!$A8:$AMJ8,"AAAAAB/3v1E=",0)</f>
        <v>0</v>
      </c>
      <c r="CE13" t="e">
        <f>AND([1]Labo!#REF!,"AAAAAB/3v1I=")</f>
        <v>#REF!</v>
      </c>
      <c r="CF13" t="e">
        <f>AND([1]Labo!#REF!,"AAAAAB/3v1M=")</f>
        <v>#REF!</v>
      </c>
      <c r="CG13" t="e">
        <f>AND([1]Labo!C8,"AAAAAB/3v1Q=")</f>
        <v>#VALUE!</v>
      </c>
      <c r="CH13" t="b">
        <f>AND([1]Labo!M7,"AAAAAB/3v1U=")</f>
        <v>1</v>
      </c>
      <c r="CI13" t="e">
        <f>AND([1]Labo!N7,"AAAAAB/3v1Y=")</f>
        <v>#VALUE!</v>
      </c>
      <c r="CJ13">
        <f>IF([1]Labo!$A9:$AMJ9,"AAAAAB/3v1c=",0)</f>
        <v>0</v>
      </c>
      <c r="CK13" t="b">
        <f>AND([1]Labo!A8,"AAAAAB/3v1g=")</f>
        <v>1</v>
      </c>
      <c r="CL13" t="e">
        <f>AND([1]Labo!B8,"AAAAAB/3v1k=")</f>
        <v>#VALUE!</v>
      </c>
      <c r="CM13" t="e">
        <f>AND([1]Labo!C9,"AAAAAB/3v1o=")</f>
        <v>#VALUE!</v>
      </c>
      <c r="CN13" t="b">
        <f>AND([1]Labo!M8,"AAAAAB/3v1s=")</f>
        <v>1</v>
      </c>
      <c r="CO13" t="e">
        <f>AND([1]Labo!N8,"AAAAAB/3v1w=")</f>
        <v>#VALUE!</v>
      </c>
      <c r="CP13">
        <f>IF([1]Labo!$A10:$AMJ10,"AAAAAB/3v10=",0)</f>
        <v>0</v>
      </c>
      <c r="CQ13" t="b">
        <f>AND([1]Labo!A9,"AAAAAB/3v14=")</f>
        <v>1</v>
      </c>
      <c r="CR13" t="e">
        <f>AND([1]Labo!B9,"AAAAAB/3v18=")</f>
        <v>#VALUE!</v>
      </c>
      <c r="CS13" t="e">
        <f>AND([1]Labo!C10,"AAAAAB/3v2A=")</f>
        <v>#VALUE!</v>
      </c>
      <c r="CT13" t="b">
        <f>AND([1]Labo!M9,"AAAAAB/3v2E=")</f>
        <v>1</v>
      </c>
      <c r="CU13" t="e">
        <f>AND([1]Labo!N9,"AAAAAB/3v2I=")</f>
        <v>#VALUE!</v>
      </c>
      <c r="CV13">
        <f>IF([1]Labo!$A11:$AMJ11,"AAAAAB/3v2M=",0)</f>
        <v>0</v>
      </c>
      <c r="CW13" t="e">
        <f>AND([1]Labo!#REF!,"AAAAAB/3v2Q=")</f>
        <v>#REF!</v>
      </c>
      <c r="CX13" t="e">
        <f>AND([1]Labo!#REF!,"AAAAAB/3v2U=")</f>
        <v>#REF!</v>
      </c>
      <c r="CY13" t="e">
        <f>AND([1]Labo!C11,"AAAAAB/3v2Y=")</f>
        <v>#VALUE!</v>
      </c>
      <c r="CZ13" t="e">
        <f>AND([1]Labo!#REF!,"AAAAAB/3v2c=")</f>
        <v>#REF!</v>
      </c>
      <c r="DA13" t="e">
        <f>AND([1]Labo!#REF!,"AAAAAB/3v2g=")</f>
        <v>#REF!</v>
      </c>
      <c r="DB13">
        <f>IF([1]Labo!$A12:$AMJ12,"AAAAAB/3v2k=",0)</f>
        <v>0</v>
      </c>
      <c r="DC13" t="e">
        <f>AND([1]Labo!#REF!,"AAAAAB/3v2o=")</f>
        <v>#REF!</v>
      </c>
      <c r="DD13" t="e">
        <f>AND([1]Labo!#REF!,"AAAAAB/3v2s=")</f>
        <v>#REF!</v>
      </c>
      <c r="DE13" t="e">
        <f>AND([1]Labo!C12,"AAAAAB/3v2w=")</f>
        <v>#VALUE!</v>
      </c>
      <c r="DF13" t="e">
        <f>AND([1]Labo!#REF!,"AAAAAB/3v20=")</f>
        <v>#REF!</v>
      </c>
      <c r="DG13" t="e">
        <f>AND([1]Labo!#REF!,"AAAAAB/3v24=")</f>
        <v>#REF!</v>
      </c>
      <c r="DH13">
        <f>IF([1]Labo!$A13:$AMJ13,"AAAAAB/3v28=",0)</f>
        <v>0</v>
      </c>
      <c r="DI13" t="b">
        <f>AND([1]Labo!A10,"AAAAAB/3v3A=")</f>
        <v>1</v>
      </c>
      <c r="DJ13" t="e">
        <f>AND([1]Labo!B10,"AAAAAB/3v3E=")</f>
        <v>#VALUE!</v>
      </c>
      <c r="DK13" t="e">
        <f>AND([1]Labo!C13,"AAAAAB/3v3I=")</f>
        <v>#VALUE!</v>
      </c>
      <c r="DL13" t="e">
        <f>AND([1]Labo!#REF!,"AAAAAB/3v3M=")</f>
        <v>#REF!</v>
      </c>
      <c r="DM13" t="e">
        <f>AND([1]Labo!#REF!,"AAAAAB/3v3Q=")</f>
        <v>#REF!</v>
      </c>
      <c r="DN13">
        <f>IF([1]Labo!$A14:$AMJ14,"AAAAAB/3v3U=",0)</f>
        <v>0</v>
      </c>
      <c r="DO13" t="e">
        <f>AND([1]Labo!#REF!,"AAAAAB/3v3Y=")</f>
        <v>#REF!</v>
      </c>
      <c r="DP13" t="e">
        <f>AND([1]Labo!#REF!,"AAAAAB/3v3c=")</f>
        <v>#REF!</v>
      </c>
      <c r="DQ13" t="e">
        <f>AND([1]Labo!C14,"AAAAAB/3v3g=")</f>
        <v>#VALUE!</v>
      </c>
      <c r="DR13" t="b">
        <f>AND([1]Labo!M10,"AAAAAB/3v3k=")</f>
        <v>1</v>
      </c>
      <c r="DS13" t="e">
        <f>AND([1]Labo!N10,"AAAAAB/3v3o=")</f>
        <v>#VALUE!</v>
      </c>
      <c r="DT13">
        <f>IF([1]Labo!$A15:$AMJ15,"AAAAAB/3v3s=",0)</f>
        <v>0</v>
      </c>
      <c r="DU13" t="e">
        <f>AND([1]Labo!#REF!,"AAAAAB/3v3w=")</f>
        <v>#REF!</v>
      </c>
      <c r="DV13" t="e">
        <f>AND([1]Labo!#REF!,"AAAAAB/3v30=")</f>
        <v>#REF!</v>
      </c>
      <c r="DW13" t="e">
        <f>AND([1]Labo!C15,"AAAAAB/3v34=")</f>
        <v>#VALUE!</v>
      </c>
      <c r="DX13" t="b">
        <f>AND([1]Labo!M11,"AAAAAB/3v38=")</f>
        <v>1</v>
      </c>
      <c r="DY13" t="e">
        <f>AND([1]Labo!N11,"AAAAAB/3v4A=")</f>
        <v>#VALUE!</v>
      </c>
      <c r="DZ13">
        <f>IF([1]Labo!$A16:$AMJ16,"AAAAAB/3v4E=",0)</f>
        <v>0</v>
      </c>
      <c r="EA13" t="b">
        <f>AND([1]Labo!A11,"AAAAAB/3v4I=")</f>
        <v>1</v>
      </c>
      <c r="EB13" t="e">
        <f>AND([1]Labo!B11,"AAAAAB/3v4M=")</f>
        <v>#VALUE!</v>
      </c>
      <c r="EC13" t="e">
        <f>AND([1]Labo!C16,"AAAAAB/3v4Q=")</f>
        <v>#VALUE!</v>
      </c>
      <c r="ED13" t="b">
        <f>AND([1]Labo!M12,"AAAAAB/3v4U=")</f>
        <v>1</v>
      </c>
      <c r="EE13" t="e">
        <f>AND([1]Labo!N12,"AAAAAB/3v4Y=")</f>
        <v>#VALUE!</v>
      </c>
      <c r="EF13">
        <f>IF([1]Labo!$A17:$AMJ17,"AAAAAB/3v4c=",0)</f>
        <v>0</v>
      </c>
      <c r="EG13" t="b">
        <f>AND([1]Labo!A12,"AAAAAB/3v4g=")</f>
        <v>1</v>
      </c>
      <c r="EH13" t="e">
        <f>AND([1]Labo!B12,"AAAAAB/3v4k=")</f>
        <v>#VALUE!</v>
      </c>
      <c r="EI13" t="e">
        <f>AND([1]Labo!C17,"AAAAAB/3v4o=")</f>
        <v>#VALUE!</v>
      </c>
      <c r="EJ13" t="b">
        <f>AND([1]Labo!M13,"AAAAAB/3v4s=")</f>
        <v>1</v>
      </c>
      <c r="EK13" t="e">
        <f>AND([1]Labo!N13,"AAAAAB/3v4w=")</f>
        <v>#VALUE!</v>
      </c>
      <c r="EL13">
        <f>IF([1]Labo!$A18:$AMJ18,"AAAAAB/3v40=",0)</f>
        <v>0</v>
      </c>
      <c r="EM13" t="b">
        <f>AND([1]Labo!A13,"AAAAAB/3v44=")</f>
        <v>1</v>
      </c>
      <c r="EN13" t="e">
        <f>AND([1]Labo!B13,"AAAAAB/3v48=")</f>
        <v>#VALUE!</v>
      </c>
      <c r="EO13" t="e">
        <f>AND([1]Labo!C18,"AAAAAB/3v5A=")</f>
        <v>#VALUE!</v>
      </c>
      <c r="EP13" t="b">
        <f>AND([1]Labo!M14,"AAAAAB/3v5E=")</f>
        <v>1</v>
      </c>
      <c r="EQ13" t="e">
        <f>AND([1]Labo!N14,"AAAAAB/3v5I=")</f>
        <v>#VALUE!</v>
      </c>
      <c r="ER13">
        <f>IF([1]Labo!$A19:$AMJ19,"AAAAAB/3v5M=",0)</f>
        <v>0</v>
      </c>
      <c r="ES13" t="b">
        <f>AND([1]Labo!A14,"AAAAAB/3v5Q=")</f>
        <v>1</v>
      </c>
      <c r="ET13" t="e">
        <f>AND([1]Labo!B14,"AAAAAB/3v5U=")</f>
        <v>#VALUE!</v>
      </c>
      <c r="EU13" t="e">
        <f>AND([1]Labo!C19,"AAAAAB/3v5Y=")</f>
        <v>#VALUE!</v>
      </c>
      <c r="EV13" t="e">
        <f>AND([1]Labo!#REF!,"AAAAAB/3v5c=")</f>
        <v>#REF!</v>
      </c>
      <c r="EW13" t="e">
        <f>AND([1]Labo!#REF!,"AAAAAB/3v5g=")</f>
        <v>#REF!</v>
      </c>
      <c r="EX13">
        <f>IF([1]Labo!$A20:$AMJ20,"AAAAAB/3v5k=",0)</f>
        <v>0</v>
      </c>
      <c r="EY13" t="b">
        <f>AND([1]Labo!A15,"AAAAAB/3v5o=")</f>
        <v>1</v>
      </c>
      <c r="EZ13" t="e">
        <f>AND([1]Labo!B15,"AAAAAB/3v5s=")</f>
        <v>#VALUE!</v>
      </c>
      <c r="FA13" t="e">
        <f>AND([1]Labo!C20,"AAAAAB/3v5w=")</f>
        <v>#VALUE!</v>
      </c>
      <c r="FB13" t="b">
        <f>AND([1]Labo!M15,"AAAAAB/3v50=")</f>
        <v>1</v>
      </c>
      <c r="FC13" t="e">
        <f>AND([1]Labo!N15,"AAAAAB/3v54=")</f>
        <v>#VALUE!</v>
      </c>
      <c r="FD13">
        <f>IF([1]Labo!$A21:$AMJ21,"AAAAAB/3v58=",0)</f>
        <v>0</v>
      </c>
      <c r="FE13" t="e">
        <f>AND([1]Labo!#REF!,"AAAAAB/3v6A=")</f>
        <v>#REF!</v>
      </c>
      <c r="FF13" t="e">
        <f>AND([1]Labo!#REF!,"AAAAAB/3v6E=")</f>
        <v>#REF!</v>
      </c>
      <c r="FG13" t="e">
        <f>AND([1]Labo!C21,"AAAAAB/3v6I=")</f>
        <v>#VALUE!</v>
      </c>
      <c r="FH13" t="e">
        <f>AND([1]Labo!#REF!,"AAAAAB/3v6M=")</f>
        <v>#REF!</v>
      </c>
      <c r="FI13" t="e">
        <f>AND([1]Labo!#REF!,"AAAAAB/3v6Q=")</f>
        <v>#REF!</v>
      </c>
      <c r="FJ13">
        <f>IF([1]Labo!$A22:$AMJ22,"AAAAAB/3v6U=",0)</f>
        <v>0</v>
      </c>
      <c r="FK13" t="b">
        <f>AND([1]Labo!A16,"AAAAAB/3v6Y=")</f>
        <v>1</v>
      </c>
      <c r="FL13" t="e">
        <f>AND([1]Labo!B16,"AAAAAB/3v6c=")</f>
        <v>#VALUE!</v>
      </c>
      <c r="FM13" t="e">
        <f>AND([1]Labo!C22,"AAAAAB/3v6g=")</f>
        <v>#VALUE!</v>
      </c>
      <c r="FN13" t="b">
        <f>AND([1]Labo!M22,"AAAAAB/3v6k=")</f>
        <v>1</v>
      </c>
      <c r="FO13" t="e">
        <f>AND([1]Labo!N17,"AAAAAB/3v6o=")</f>
        <v>#VALUE!</v>
      </c>
      <c r="FP13">
        <f>IF([1]Labo!$A23:$AMJ23,"AAAAAB/3v6s=",0)</f>
        <v>0</v>
      </c>
      <c r="FQ13" t="b">
        <f>AND([1]Labo!A17,"AAAAAB/3v6w=")</f>
        <v>1</v>
      </c>
      <c r="FR13" t="e">
        <f>AND([1]Labo!B17,"AAAAAB/3v60=")</f>
        <v>#VALUE!</v>
      </c>
      <c r="FS13" t="e">
        <f>AND([1]Labo!C23,"AAAAAB/3v64=")</f>
        <v>#VALUE!</v>
      </c>
      <c r="FT13" t="b">
        <f>AND([1]Labo!M20,"AAAAAB/3v68=")</f>
        <v>1</v>
      </c>
      <c r="FU13" t="e">
        <f>AND([1]Labo!N20,"AAAAAB/3v7A=")</f>
        <v>#VALUE!</v>
      </c>
      <c r="FV13">
        <f>IF([1]Labo!$A24:$AMJ24,"AAAAAB/3v7E=",0)</f>
        <v>0</v>
      </c>
      <c r="FW13" t="e">
        <f>AND([1]Labo!#REF!,"AAAAAB/3v7I=")</f>
        <v>#REF!</v>
      </c>
      <c r="FX13" t="e">
        <f>AND([1]Labo!#REF!,"AAAAAB/3v7M=")</f>
        <v>#REF!</v>
      </c>
      <c r="FY13" t="e">
        <f>AND([1]Labo!C24,"AAAAAB/3v7Q=")</f>
        <v>#VALUE!</v>
      </c>
      <c r="FZ13" t="b">
        <f>AND([1]Labo!M18,"AAAAAB/3v7U=")</f>
        <v>1</v>
      </c>
      <c r="GA13" t="e">
        <f>AND([1]Labo!N22,"AAAAAB/3v7Y=")</f>
        <v>#VALUE!</v>
      </c>
      <c r="GB13">
        <f>IF([1]Labo!$A25:$AMJ25,"AAAAAB/3v7c=",0)</f>
        <v>0</v>
      </c>
      <c r="GC13" t="b">
        <f>AND([1]Labo!A18,"AAAAAB/3v7g=")</f>
        <v>1</v>
      </c>
      <c r="GD13" t="e">
        <f>AND([1]Labo!#REF!,"AAAAAB/3v7k=")</f>
        <v>#REF!</v>
      </c>
      <c r="GE13" t="e">
        <f>AND([1]Labo!C25,"AAAAAB/3v7o=")</f>
        <v>#VALUE!</v>
      </c>
      <c r="GF13" t="b">
        <f>AND([1]Labo!M17,"AAAAAB/3v7s=")</f>
        <v>1</v>
      </c>
      <c r="GG13" t="e">
        <f>AND([1]Labo!N16,"AAAAAB/3v7w=")</f>
        <v>#VALUE!</v>
      </c>
      <c r="GH13">
        <f>IF([1]Labo!$A26:$AMJ26,"AAAAAB/3v70=",0)</f>
        <v>0</v>
      </c>
      <c r="GI13" t="b">
        <f>AND([1]Labo!A19,"AAAAAB/3v74=")</f>
        <v>1</v>
      </c>
      <c r="GJ13" t="e">
        <f>AND([1]Labo!B18,"AAAAAB/3v78=")</f>
        <v>#VALUE!</v>
      </c>
      <c r="GK13" t="e">
        <f>AND([1]Labo!C26,"AAAAAB/3v8A=")</f>
        <v>#VALUE!</v>
      </c>
      <c r="GL13" t="b">
        <f>AND([1]Labo!M16,"AAAAAB/3v8E=")</f>
        <v>1</v>
      </c>
      <c r="GM13" t="e">
        <f>AND([1]Labo!N18,"AAAAAB/3v8I=")</f>
        <v>#VALUE!</v>
      </c>
      <c r="GN13" t="str">
        <f>IF([1]Labo!A:A,"AAAAAB/3v8M=",0)</f>
        <v>AAAAAB/3v8M=</v>
      </c>
      <c r="GO13" t="e">
        <f>IF([1]Labo!B:B,"AAAAAB/3v8Q=",0)</f>
        <v>#VALUE!</v>
      </c>
      <c r="GP13">
        <f>IF([1]Labo!C:C,"AAAAAB/3v8U=",0)</f>
        <v>0</v>
      </c>
      <c r="GQ13" t="str">
        <f>IF([1]Labo!M:M,"AAAAAB/3v8Y=",0)</f>
        <v>AAAAAB/3v8Y=</v>
      </c>
      <c r="GR13" t="e">
        <f>IF([1]Labo!N:N,"AAAAAB/3v8c=",0)</f>
        <v>#VALUE!</v>
      </c>
      <c r="GS13" t="s">
        <v>2077</v>
      </c>
    </row>
    <row r="14" spans="1:256">
      <c r="A14" t="b">
        <f>AND('Golden 20'!K11,"AAAAADNF/wA=")</f>
        <v>1</v>
      </c>
      <c r="B14" t="b">
        <f>AND('Golden 20'!K12,"AAAAADNF/wE=")</f>
        <v>1</v>
      </c>
      <c r="C14" t="e">
        <f>AND('Golden 20'!L12,"AAAAADNF/wI=")</f>
        <v>#VALUE!</v>
      </c>
      <c r="D14" t="e">
        <f>AND('Golden 20'!L6,"AAAAADNF/wM=")</f>
        <v>#VALUE!</v>
      </c>
      <c r="E14" t="e">
        <f>AND('WORLD CHAMP DWF-MUN 10'!#REF!,"AAAAADNF/wQ=")</f>
        <v>#REF!</v>
      </c>
      <c r="F14" t="e">
        <f>AND('WORLD CHAMP DWF-MUN 10'!#REF!,"AAAAADNF/wU=")</f>
        <v>#REF!</v>
      </c>
      <c r="G14" t="e">
        <f>AND('WORLD CHAMP DWF-MUN 10'!#REF!,"AAAAADNF/wY=")</f>
        <v>#REF!</v>
      </c>
      <c r="H14" t="e">
        <f>AND('WORLD CHAMP DWF-MUN 10'!#REF!,"AAAAADNF/wc=")</f>
        <v>#REF!</v>
      </c>
      <c r="I14" t="e">
        <f>AND(#REF!,"AAAAADNF/wg=")</f>
        <v>#REF!</v>
      </c>
      <c r="J14" t="e">
        <f>AND(#REF!,"AAAAADNF/wk=")</f>
        <v>#REF!</v>
      </c>
      <c r="K14" t="e">
        <f>AND(#REF!,"AAAAADNF/wo=")</f>
        <v>#REF!</v>
      </c>
      <c r="L14" t="e">
        <f>AND(#REF!,"AAAAADNF/ws=")</f>
        <v>#REF!</v>
      </c>
      <c r="M14" t="e">
        <f>AND(#REF!,"AAAAADNF/ww=")</f>
        <v>#REF!</v>
      </c>
      <c r="N14" t="e">
        <f>AND(#REF!,"AAAAADNF/w0=")</f>
        <v>#REF!</v>
      </c>
      <c r="O14" t="e">
        <f>AND(#REF!,"AAAAADNF/w4=")</f>
        <v>#REF!</v>
      </c>
      <c r="P14" t="e">
        <f>AND(#REF!,"AAAAADNF/w8=")</f>
        <v>#REF!</v>
      </c>
      <c r="Q14" t="e">
        <f>AND(#REF!,"AAAAADNF/xA=")</f>
        <v>#REF!</v>
      </c>
      <c r="R14" t="e">
        <f>AND(#REF!,"AAAAADNF/xE=")</f>
        <v>#REF!</v>
      </c>
      <c r="S14" t="e">
        <f>AND(#REF!,"AAAAADNF/xI=")</f>
        <v>#REF!</v>
      </c>
      <c r="T14" t="e">
        <f>AND(#REF!,"AAAAADNF/xM=")</f>
        <v>#REF!</v>
      </c>
      <c r="U14" t="e">
        <f>AND(#REF!,"AAAAADNF/xQ=")</f>
        <v>#REF!</v>
      </c>
      <c r="V14" t="e">
        <f>AND(#REF!,"AAAAADNF/xU=")</f>
        <v>#REF!</v>
      </c>
      <c r="W14" t="e">
        <f>AND(#REF!,"AAAAADNF/xY=")</f>
        <v>#REF!</v>
      </c>
      <c r="X14" t="e">
        <f>AND(#REF!,"AAAAADNF/xc=")</f>
        <v>#REF!</v>
      </c>
      <c r="Y14" t="e">
        <f>AND(#REF!,"AAAAADNF/xg=")</f>
        <v>#REF!</v>
      </c>
      <c r="Z14" t="e">
        <f>AND(#REF!,"AAAAADNF/xk=")</f>
        <v>#REF!</v>
      </c>
      <c r="AA14" t="e">
        <f>AND(#REF!,"AAAAADNF/xo=")</f>
        <v>#REF!</v>
      </c>
      <c r="AB14" t="e">
        <f>AND(#REF!,"AAAAADNF/xs=")</f>
        <v>#REF!</v>
      </c>
      <c r="AC14" t="e">
        <f>AND(#REF!,"AAAAADNF/xw=")</f>
        <v>#REF!</v>
      </c>
      <c r="AD14" t="e">
        <f>AND(#REF!,"AAAAADNF/x0=")</f>
        <v>#REF!</v>
      </c>
      <c r="AE14" t="e">
        <f>AND(#REF!,"AAAAADNF/x4=")</f>
        <v>#REF!</v>
      </c>
      <c r="AF14" t="e">
        <f>AND(#REF!,"AAAAADNF/x8=")</f>
        <v>#REF!</v>
      </c>
      <c r="AG14" t="e">
        <f>AND(#REF!,"AAAAADNF/yA=")</f>
        <v>#REF!</v>
      </c>
      <c r="AH14" t="e">
        <f>AND(#REF!,"AAAAADNF/yE=")</f>
        <v>#REF!</v>
      </c>
      <c r="AI14" t="e">
        <f>AND(#REF!,"AAAAADNF/yI=")</f>
        <v>#REF!</v>
      </c>
      <c r="AJ14" t="e">
        <f>AND(#REF!,"AAAAADNF/yM=")</f>
        <v>#REF!</v>
      </c>
      <c r="AK14" t="e">
        <f>AND(#REF!,"AAAAADNF/yQ=")</f>
        <v>#REF!</v>
      </c>
      <c r="AL14" t="e">
        <f>AND(#REF!,"AAAAADNF/yU=")</f>
        <v>#REF!</v>
      </c>
      <c r="AM14" t="e">
        <f>AND(#REF!,"AAAAADNF/yY=")</f>
        <v>#REF!</v>
      </c>
      <c r="AN14" t="e">
        <f>AND(#REF!,"AAAAADNF/yc=")</f>
        <v>#REF!</v>
      </c>
      <c r="AO14" t="e">
        <f>AND(#REF!,"AAAAADNF/yg=")</f>
        <v>#REF!</v>
      </c>
      <c r="AP14" t="e">
        <f>AND(#REF!,"AAAAADNF/yk=")</f>
        <v>#REF!</v>
      </c>
      <c r="AQ14" t="e">
        <f>AND(#REF!,"AAAAADNF/yo=")</f>
        <v>#REF!</v>
      </c>
      <c r="AR14" t="e">
        <f>AND(#REF!,"AAAAADNF/ys=")</f>
        <v>#REF!</v>
      </c>
      <c r="AS14" t="e">
        <f>AND(#REF!,"AAAAADNF/yw=")</f>
        <v>#REF!</v>
      </c>
      <c r="AT14" t="e">
        <f>AND(#REF!,"AAAAADNF/y0=")</f>
        <v>#REF!</v>
      </c>
      <c r="AU14" t="e">
        <f>AND(#REF!,"AAAAADNF/y4=")</f>
        <v>#REF!</v>
      </c>
      <c r="AV14" t="e">
        <f>AND(#REF!,"AAAAADNF/y8=")</f>
        <v>#REF!</v>
      </c>
      <c r="AW14" t="e">
        <f>AND(#REF!,"AAAAADNF/zA=")</f>
        <v>#REF!</v>
      </c>
      <c r="AX14" t="e">
        <f>AND(#REF!,"AAAAADNF/zE=")</f>
        <v>#REF!</v>
      </c>
      <c r="AY14" t="e">
        <f>AND(#REF!,"AAAAADNF/zI=")</f>
        <v>#REF!</v>
      </c>
      <c r="AZ14" t="e">
        <f>AND(#REF!,"AAAAADNF/zM=")</f>
        <v>#REF!</v>
      </c>
      <c r="BA14" t="e">
        <f>AND(#REF!,"AAAAADNF/zQ=")</f>
        <v>#REF!</v>
      </c>
      <c r="BB14" t="e">
        <f>AND(#REF!,"AAAAADNF/zU=")</f>
        <v>#REF!</v>
      </c>
      <c r="BC14" t="e">
        <f>AND(#REF!,"AAAAADNF/zY=")</f>
        <v>#REF!</v>
      </c>
      <c r="BD14" t="e">
        <f>AND(#REF!,"AAAAADNF/zc=")</f>
        <v>#REF!</v>
      </c>
      <c r="BE14" t="e">
        <f>AND(#REF!,"AAAAADNF/zg=")</f>
        <v>#REF!</v>
      </c>
      <c r="BF14" t="e">
        <f>AND(#REF!,"AAAAADNF/zk=")</f>
        <v>#REF!</v>
      </c>
      <c r="BG14" t="e">
        <f>AND(#REF!,"AAAAADNF/zo=")</f>
        <v>#REF!</v>
      </c>
      <c r="BH14" t="e">
        <f>AND(#REF!,"AAAAADNF/zs=")</f>
        <v>#REF!</v>
      </c>
      <c r="BI14" t="e">
        <f>AND(#REF!,"AAAAADNF/zw=")</f>
        <v>#REF!</v>
      </c>
      <c r="BJ14" t="e">
        <f>AND(#REF!,"AAAAADNF/z0=")</f>
        <v>#REF!</v>
      </c>
      <c r="BK14" t="e">
        <f>AND(#REF!,"AAAAADNF/z4=")</f>
        <v>#REF!</v>
      </c>
      <c r="BL14" t="e">
        <f>AND(#REF!,"AAAAADNF/z8=")</f>
        <v>#REF!</v>
      </c>
      <c r="BM14" t="e">
        <f>AND(#REF!,"AAAAADNF/0A=")</f>
        <v>#REF!</v>
      </c>
      <c r="BN14" t="e">
        <f>AND(#REF!,"AAAAADNF/0E=")</f>
        <v>#REF!</v>
      </c>
      <c r="BO14" t="e">
        <f>AND(#REF!,"AAAAADNF/0I=")</f>
        <v>#REF!</v>
      </c>
      <c r="BP14" t="e">
        <f>AND(#REF!,"AAAAADNF/0M=")</f>
        <v>#REF!</v>
      </c>
      <c r="BQ14" t="e">
        <f>AND(#REF!,"AAAAADNF/0Q=")</f>
        <v>#REF!</v>
      </c>
      <c r="BR14" t="e">
        <f>AND(#REF!,"AAAAADNF/0U=")</f>
        <v>#REF!</v>
      </c>
      <c r="BS14" t="e">
        <f>AND(#REF!,"AAAAADNF/0Y=")</f>
        <v>#REF!</v>
      </c>
      <c r="BT14" t="e">
        <f>AND(#REF!,"AAAAADNF/0c=")</f>
        <v>#REF!</v>
      </c>
      <c r="BU14" t="e">
        <f>AND(#REF!,"AAAAADNF/0g=")</f>
        <v>#REF!</v>
      </c>
      <c r="BV14" t="e">
        <f>AND(#REF!,"AAAAADNF/0k=")</f>
        <v>#REF!</v>
      </c>
      <c r="BW14" t="e">
        <f>AND(#REF!,"AAAAADNF/0o=")</f>
        <v>#REF!</v>
      </c>
      <c r="BX14" t="e">
        <f>AND(#REF!,"AAAAADNF/0s=")</f>
        <v>#REF!</v>
      </c>
      <c r="BY14" t="e">
        <f>AND(#REF!,"AAAAADNF/0w=")</f>
        <v>#REF!</v>
      </c>
      <c r="BZ14" t="e">
        <f>AND(#REF!,"AAAAADNF/00=")</f>
        <v>#REF!</v>
      </c>
      <c r="CA14" t="e">
        <f>AND(#REF!,"AAAAADNF/04=")</f>
        <v>#REF!</v>
      </c>
      <c r="CB14" t="e">
        <f>AND(#REF!,"AAAAADNF/08=")</f>
        <v>#REF!</v>
      </c>
      <c r="CC14" t="e">
        <f>AND(#REF!,"AAAAADNF/1A=")</f>
        <v>#REF!</v>
      </c>
      <c r="CD14" t="e">
        <f>AND(#REF!,"AAAAADNF/1E=")</f>
        <v>#REF!</v>
      </c>
      <c r="CE14" t="e">
        <f>AND(#REF!,"AAAAADNF/1I=")</f>
        <v>#REF!</v>
      </c>
      <c r="CF14" t="e">
        <f>AND(#REF!,"AAAAADNF/1M=")</f>
        <v>#REF!</v>
      </c>
      <c r="CG14" t="e">
        <f>IF(#REF!,"AAAAADNF/1Q=",0)</f>
        <v>#REF!</v>
      </c>
      <c r="CH14" t="e">
        <f>IF(#REF!,"AAAAADNF/1U=",0)</f>
        <v>#REF!</v>
      </c>
      <c r="CI14" t="e">
        <f>AND(#REF!,"AAAAADNF/1Y=")</f>
        <v>#REF!</v>
      </c>
      <c r="CJ14" t="e">
        <f>AND(#REF!,"AAAAADNF/1c=")</f>
        <v>#REF!</v>
      </c>
      <c r="CK14" t="e">
        <f>AND(#REF!,"AAAAADNF/1g=")</f>
        <v>#REF!</v>
      </c>
      <c r="CL14" t="e">
        <f>AND(#REF!,"AAAAADNF/1k=")</f>
        <v>#REF!</v>
      </c>
      <c r="CM14" t="e">
        <f>AND(#REF!,"AAAAADNF/1o=")</f>
        <v>#REF!</v>
      </c>
      <c r="CN14" t="e">
        <f>AND(#REF!,"AAAAADNF/1s=")</f>
        <v>#REF!</v>
      </c>
      <c r="CO14" t="e">
        <f>AND(#REF!,"AAAAADNF/1w=")</f>
        <v>#REF!</v>
      </c>
      <c r="CP14" t="e">
        <f>AND(#REF!,"AAAAADNF/10=")</f>
        <v>#REF!</v>
      </c>
      <c r="CQ14" t="e">
        <f>AND(#REF!,"AAAAADNF/14=")</f>
        <v>#REF!</v>
      </c>
      <c r="CR14" t="e">
        <f>AND(#REF!,"AAAAADNF/18=")</f>
        <v>#REF!</v>
      </c>
      <c r="CS14" t="e">
        <f>AND(#REF!,"AAAAADNF/2A=")</f>
        <v>#REF!</v>
      </c>
      <c r="CT14" t="e">
        <f>AND(#REF!,"AAAAADNF/2E=")</f>
        <v>#REF!</v>
      </c>
      <c r="CU14" t="e">
        <f>AND(#REF!,"AAAAADNF/2I=")</f>
        <v>#REF!</v>
      </c>
      <c r="CV14" t="e">
        <f>AND(#REF!,"AAAAADNF/2M=")</f>
        <v>#REF!</v>
      </c>
      <c r="CW14" t="e">
        <f>AND(#REF!,"AAAAADNF/2Q=")</f>
        <v>#REF!</v>
      </c>
      <c r="CX14" t="e">
        <f>AND(#REF!,"AAAAADNF/2U=")</f>
        <v>#REF!</v>
      </c>
      <c r="CY14" t="e">
        <f>AND(#REF!,"AAAAADNF/2Y=")</f>
        <v>#REF!</v>
      </c>
      <c r="CZ14" t="e">
        <f>AND(#REF!,"AAAAADNF/2c=")</f>
        <v>#REF!</v>
      </c>
      <c r="DA14" t="e">
        <f>AND(#REF!,"AAAAADNF/2g=")</f>
        <v>#REF!</v>
      </c>
      <c r="DB14" t="e">
        <f>AND(#REF!,"AAAAADNF/2k=")</f>
        <v>#REF!</v>
      </c>
      <c r="DC14" t="e">
        <f>AND(#REF!,"AAAAADNF/2o=")</f>
        <v>#REF!</v>
      </c>
      <c r="DD14" t="e">
        <f>AND(#REF!,"AAAAADNF/2s=")</f>
        <v>#REF!</v>
      </c>
      <c r="DE14" t="e">
        <f>AND(#REF!,"AAAAADNF/2w=")</f>
        <v>#REF!</v>
      </c>
      <c r="DF14" t="e">
        <f>AND(#REF!,"AAAAADNF/20=")</f>
        <v>#REF!</v>
      </c>
      <c r="DG14" t="e">
        <f>AND(#REF!,"AAAAADNF/24=")</f>
        <v>#REF!</v>
      </c>
      <c r="DH14" t="e">
        <f>AND(#REF!,"AAAAADNF/28=")</f>
        <v>#REF!</v>
      </c>
      <c r="DI14" t="e">
        <f>AND(#REF!,"AAAAADNF/3A=")</f>
        <v>#REF!</v>
      </c>
      <c r="DJ14" t="e">
        <f>AND(#REF!,"AAAAADNF/3E=")</f>
        <v>#REF!</v>
      </c>
      <c r="DK14" t="e">
        <f>AND(#REF!,"AAAAADNF/3I=")</f>
        <v>#REF!</v>
      </c>
      <c r="DL14" t="e">
        <f>AND(#REF!,"AAAAADNF/3M=")</f>
        <v>#REF!</v>
      </c>
      <c r="DM14" t="e">
        <f>AND(#REF!,"AAAAADNF/3Q=")</f>
        <v>#REF!</v>
      </c>
      <c r="DN14" t="e">
        <f>AND(#REF!,"AAAAADNF/3U=")</f>
        <v>#REF!</v>
      </c>
      <c r="DO14" t="e">
        <f>AND(#REF!,"AAAAADNF/3Y=")</f>
        <v>#REF!</v>
      </c>
      <c r="DP14" t="e">
        <f>AND(#REF!,"AAAAADNF/3c=")</f>
        <v>#REF!</v>
      </c>
      <c r="DQ14" t="e">
        <f>AND(#REF!,"AAAAADNF/3g=")</f>
        <v>#REF!</v>
      </c>
      <c r="DR14" t="e">
        <f>AND(#REF!,"AAAAADNF/3k=")</f>
        <v>#REF!</v>
      </c>
      <c r="DS14" t="e">
        <f>AND(#REF!,"AAAAADNF/3o=")</f>
        <v>#REF!</v>
      </c>
      <c r="DT14" t="e">
        <f>AND(#REF!,"AAAAADNF/3s=")</f>
        <v>#REF!</v>
      </c>
      <c r="DU14" t="e">
        <f>AND(#REF!,"AAAAADNF/3w=")</f>
        <v>#REF!</v>
      </c>
      <c r="DV14" t="e">
        <f>AND(#REF!,"AAAAADNF/30=")</f>
        <v>#REF!</v>
      </c>
      <c r="DW14" t="e">
        <f>AND(#REF!,"AAAAADNF/34=")</f>
        <v>#REF!</v>
      </c>
      <c r="DX14" t="e">
        <f>AND(#REF!,"AAAAADNF/38=")</f>
        <v>#REF!</v>
      </c>
      <c r="DY14" t="e">
        <f>AND(#REF!,"AAAAADNF/4A=")</f>
        <v>#REF!</v>
      </c>
      <c r="DZ14" t="e">
        <f>AND(#REF!,"AAAAADNF/4E=")</f>
        <v>#REF!</v>
      </c>
      <c r="EA14" t="e">
        <f>AND(#REF!,"AAAAADNF/4I=")</f>
        <v>#REF!</v>
      </c>
      <c r="EB14" t="e">
        <f>AND(#REF!,"AAAAADNF/4M=")</f>
        <v>#REF!</v>
      </c>
      <c r="EC14" t="e">
        <f>AND(#REF!,"AAAAADNF/4Q=")</f>
        <v>#REF!</v>
      </c>
      <c r="ED14" t="e">
        <f>AND(#REF!,"AAAAADNF/4U=")</f>
        <v>#REF!</v>
      </c>
      <c r="EE14" t="e">
        <f>IF(#REF!,"AAAAADNF/4Y=",0)</f>
        <v>#REF!</v>
      </c>
      <c r="EF14" t="e">
        <f>IF(#REF!,"AAAAADNF/4c=",0)</f>
        <v>#REF!</v>
      </c>
      <c r="EG14" t="e">
        <f>IF(#REF!,"AAAAADNF/4g=",0)</f>
        <v>#REF!</v>
      </c>
      <c r="EH14" t="e">
        <f>AND(#REF!,"AAAAADNF/4k=")</f>
        <v>#REF!</v>
      </c>
      <c r="EI14" t="e">
        <f>AND(#REF!,"AAAAADNF/4o=")</f>
        <v>#REF!</v>
      </c>
      <c r="EJ14" t="e">
        <f>AND(#REF!,"AAAAADNF/4s=")</f>
        <v>#REF!</v>
      </c>
      <c r="EK14" t="e">
        <f>AND(#REF!,"AAAAADNF/4w=")</f>
        <v>#REF!</v>
      </c>
      <c r="EL14" t="e">
        <f>AND(#REF!,"AAAAADNF/40=")</f>
        <v>#REF!</v>
      </c>
      <c r="EM14" t="e">
        <f>AND(#REF!,"AAAAADNF/44=")</f>
        <v>#REF!</v>
      </c>
      <c r="EN14" t="e">
        <f>AND(#REF!,"AAAAADNF/48=")</f>
        <v>#REF!</v>
      </c>
      <c r="EO14" t="e">
        <f>AND(#REF!,"AAAAADNF/5A=")</f>
        <v>#REF!</v>
      </c>
      <c r="EP14" t="e">
        <f>AND(#REF!,"AAAAADNF/5E=")</f>
        <v>#REF!</v>
      </c>
      <c r="EQ14" t="e">
        <f>AND(#REF!,"AAAAADNF/5I=")</f>
        <v>#REF!</v>
      </c>
      <c r="ER14" t="e">
        <f>AND(#REF!,"AAAAADNF/5M=")</f>
        <v>#REF!</v>
      </c>
      <c r="ES14" t="e">
        <f>AND(#REF!,"AAAAADNF/5Q=")</f>
        <v>#REF!</v>
      </c>
      <c r="ET14" t="e">
        <f>AND(#REF!,"AAAAADNF/5U=")</f>
        <v>#REF!</v>
      </c>
      <c r="EU14" t="e">
        <f>AND(#REF!,"AAAAADNF/5Y=")</f>
        <v>#REF!</v>
      </c>
      <c r="EV14" t="e">
        <f>IF(#REF!,"AAAAADNF/5c=",0)</f>
        <v>#REF!</v>
      </c>
      <c r="EW14" t="e">
        <f>AND(#REF!,"AAAAADNF/5g=")</f>
        <v>#REF!</v>
      </c>
      <c r="EX14" t="e">
        <f>AND(#REF!,"AAAAADNF/5k=")</f>
        <v>#REF!</v>
      </c>
      <c r="EY14" t="e">
        <f>AND(#REF!,"AAAAADNF/5o=")</f>
        <v>#REF!</v>
      </c>
      <c r="EZ14" t="e">
        <f>AND(#REF!,"AAAAADNF/5s=")</f>
        <v>#REF!</v>
      </c>
      <c r="FA14" t="e">
        <f>AND(#REF!,"AAAAADNF/5w=")</f>
        <v>#REF!</v>
      </c>
      <c r="FB14" t="e">
        <f>AND(#REF!,"AAAAADNF/50=")</f>
        <v>#REF!</v>
      </c>
      <c r="FC14" t="e">
        <f>AND(#REF!,"AAAAADNF/54=")</f>
        <v>#REF!</v>
      </c>
      <c r="FD14" t="e">
        <f>AND(#REF!,"AAAAADNF/58=")</f>
        <v>#REF!</v>
      </c>
      <c r="FE14" t="e">
        <f>AND(#REF!,"AAAAADNF/6A=")</f>
        <v>#REF!</v>
      </c>
      <c r="FF14" t="e">
        <f>AND(#REF!,"AAAAADNF/6E=")</f>
        <v>#REF!</v>
      </c>
      <c r="FG14" t="e">
        <f>AND(#REF!,"AAAAADNF/6I=")</f>
        <v>#REF!</v>
      </c>
      <c r="FH14" t="e">
        <f>AND(#REF!,"AAAAADNF/6M=")</f>
        <v>#REF!</v>
      </c>
      <c r="FI14" t="e">
        <f>AND(#REF!,"AAAAADNF/6Q=")</f>
        <v>#REF!</v>
      </c>
      <c r="FJ14" t="e">
        <f>AND(#REF!,"AAAAADNF/6U=")</f>
        <v>#REF!</v>
      </c>
      <c r="FK14" t="e">
        <f>IF(#REF!,"AAAAADNF/6Y=",0)</f>
        <v>#REF!</v>
      </c>
      <c r="FL14" t="e">
        <f>AND(#REF!,"AAAAADNF/6c=")</f>
        <v>#REF!</v>
      </c>
      <c r="FM14" t="e">
        <f>AND(#REF!,"AAAAADNF/6g=")</f>
        <v>#REF!</v>
      </c>
      <c r="FN14" t="e">
        <f>AND(#REF!,"AAAAADNF/6k=")</f>
        <v>#REF!</v>
      </c>
      <c r="FO14" t="e">
        <f>AND(#REF!,"AAAAADNF/6o=")</f>
        <v>#REF!</v>
      </c>
      <c r="FP14" t="e">
        <f>AND(#REF!,"AAAAADNF/6s=")</f>
        <v>#REF!</v>
      </c>
      <c r="FQ14" t="e">
        <f>AND(#REF!,"AAAAADNF/6w=")</f>
        <v>#REF!</v>
      </c>
      <c r="FR14" t="e">
        <f>AND(#REF!,"AAAAADNF/60=")</f>
        <v>#REF!</v>
      </c>
      <c r="FS14" t="e">
        <f>AND(#REF!,"AAAAADNF/64=")</f>
        <v>#REF!</v>
      </c>
      <c r="FT14" t="e">
        <f>AND(#REF!,"AAAAADNF/68=")</f>
        <v>#REF!</v>
      </c>
      <c r="FU14" t="e">
        <f>AND(#REF!,"AAAAADNF/7A=")</f>
        <v>#REF!</v>
      </c>
      <c r="FV14" t="e">
        <f>AND(#REF!,"AAAAADNF/7E=")</f>
        <v>#REF!</v>
      </c>
      <c r="FW14" t="e">
        <f>AND(#REF!,"AAAAADNF/7I=")</f>
        <v>#REF!</v>
      </c>
      <c r="FX14" t="e">
        <f>AND(#REF!,"AAAAADNF/7M=")</f>
        <v>#REF!</v>
      </c>
      <c r="FY14" t="e">
        <f>AND(#REF!,"AAAAADNF/7Q=")</f>
        <v>#REF!</v>
      </c>
      <c r="FZ14" t="e">
        <f>IF(#REF!,"AAAAADNF/7U=",0)</f>
        <v>#REF!</v>
      </c>
      <c r="GA14" t="e">
        <f>AND(#REF!,"AAAAADNF/7Y=")</f>
        <v>#REF!</v>
      </c>
      <c r="GB14" t="e">
        <f>AND(#REF!,"AAAAADNF/7c=")</f>
        <v>#REF!</v>
      </c>
      <c r="GC14" t="e">
        <f>AND(#REF!,"AAAAADNF/7g=")</f>
        <v>#REF!</v>
      </c>
      <c r="GD14" t="e">
        <f>AND(#REF!,"AAAAADNF/7k=")</f>
        <v>#REF!</v>
      </c>
      <c r="GE14" t="e">
        <f>AND(#REF!,"AAAAADNF/7o=")</f>
        <v>#REF!</v>
      </c>
      <c r="GF14" t="e">
        <f>AND(#REF!,"AAAAADNF/7s=")</f>
        <v>#REF!</v>
      </c>
      <c r="GG14" t="e">
        <f>AND(#REF!,"AAAAADNF/7w=")</f>
        <v>#REF!</v>
      </c>
      <c r="GH14" t="e">
        <f>AND(#REF!,"AAAAADNF/70=")</f>
        <v>#REF!</v>
      </c>
      <c r="GI14" t="e">
        <f>AND(#REF!,"AAAAADNF/74=")</f>
        <v>#REF!</v>
      </c>
      <c r="GJ14" t="e">
        <f>AND(#REF!,"AAAAADNF/78=")</f>
        <v>#REF!</v>
      </c>
      <c r="GK14" t="e">
        <f>AND(#REF!,"AAAAADNF/8A=")</f>
        <v>#REF!</v>
      </c>
      <c r="GL14" t="e">
        <f>AND(#REF!,"AAAAADNF/8E=")</f>
        <v>#REF!</v>
      </c>
      <c r="GM14" t="e">
        <f>AND(#REF!,"AAAAADNF/8I=")</f>
        <v>#REF!</v>
      </c>
      <c r="GN14" t="e">
        <f>AND(#REF!,"AAAAADNF/8M=")</f>
        <v>#REF!</v>
      </c>
      <c r="GO14" t="e">
        <f>IF(#REF!,"AAAAADNF/8Q=",0)</f>
        <v>#REF!</v>
      </c>
      <c r="GP14" t="e">
        <f>AND(#REF!,"AAAAADNF/8U=")</f>
        <v>#REF!</v>
      </c>
      <c r="GQ14" t="e">
        <f>AND(#REF!,"AAAAADNF/8Y=")</f>
        <v>#REF!</v>
      </c>
      <c r="GR14" t="e">
        <f>AND(#REF!,"AAAAADNF/8c=")</f>
        <v>#REF!</v>
      </c>
      <c r="GS14" t="e">
        <f>AND(#REF!,"AAAAADNF/8g=")</f>
        <v>#REF!</v>
      </c>
      <c r="GT14" t="e">
        <f>AND(#REF!,"AAAAADNF/8k=")</f>
        <v>#REF!</v>
      </c>
      <c r="GU14" t="e">
        <f>AND(#REF!,"AAAAADNF/8o=")</f>
        <v>#REF!</v>
      </c>
      <c r="GV14" t="e">
        <f>AND(#REF!,"AAAAADNF/8s=")</f>
        <v>#REF!</v>
      </c>
      <c r="GW14" t="e">
        <f>AND(#REF!,"AAAAADNF/8w=")</f>
        <v>#REF!</v>
      </c>
      <c r="GX14" t="e">
        <f>AND(#REF!,"AAAAADNF/80=")</f>
        <v>#REF!</v>
      </c>
      <c r="GY14" t="e">
        <f>AND(#REF!,"AAAAADNF/84=")</f>
        <v>#REF!</v>
      </c>
      <c r="GZ14" t="e">
        <f>AND(#REF!,"AAAAADNF/88=")</f>
        <v>#REF!</v>
      </c>
      <c r="HA14" t="e">
        <f>AND(#REF!,"AAAAADNF/9A=")</f>
        <v>#REF!</v>
      </c>
      <c r="HB14" t="e">
        <f>AND(#REF!,"AAAAADNF/9E=")</f>
        <v>#REF!</v>
      </c>
      <c r="HC14" t="e">
        <f>AND(#REF!,"AAAAADNF/9I=")</f>
        <v>#REF!</v>
      </c>
      <c r="HD14" t="e">
        <f>IF(#REF!,"AAAAADNF/9M=",0)</f>
        <v>#REF!</v>
      </c>
      <c r="HE14" t="e">
        <f>AND(#REF!,"AAAAADNF/9Q=")</f>
        <v>#REF!</v>
      </c>
      <c r="HF14" t="e">
        <f>AND(#REF!,"AAAAADNF/9U=")</f>
        <v>#REF!</v>
      </c>
      <c r="HG14" t="e">
        <f>AND(#REF!,"AAAAADNF/9Y=")</f>
        <v>#REF!</v>
      </c>
      <c r="HH14" t="e">
        <f>AND(#REF!,"AAAAADNF/9c=")</f>
        <v>#REF!</v>
      </c>
      <c r="HI14" t="e">
        <f>AND(#REF!,"AAAAADNF/9g=")</f>
        <v>#REF!</v>
      </c>
      <c r="HJ14" t="e">
        <f>AND(#REF!,"AAAAADNF/9k=")</f>
        <v>#REF!</v>
      </c>
      <c r="HK14" t="e">
        <f>AND(#REF!,"AAAAADNF/9o=")</f>
        <v>#REF!</v>
      </c>
      <c r="HL14" t="e">
        <f>AND(#REF!,"AAAAADNF/9s=")</f>
        <v>#REF!</v>
      </c>
      <c r="HM14" t="e">
        <f>AND(#REF!,"AAAAADNF/9w=")</f>
        <v>#REF!</v>
      </c>
      <c r="HN14" t="e">
        <f>AND(#REF!,"AAAAADNF/90=")</f>
        <v>#REF!</v>
      </c>
      <c r="HO14" t="e">
        <f>AND(#REF!,"AAAAADNF/94=")</f>
        <v>#REF!</v>
      </c>
      <c r="HP14" t="e">
        <f>AND(#REF!,"AAAAADNF/98=")</f>
        <v>#REF!</v>
      </c>
      <c r="HQ14" t="e">
        <f>AND(#REF!,"AAAAADNF/+A=")</f>
        <v>#REF!</v>
      </c>
      <c r="HR14" t="e">
        <f>AND(#REF!,"AAAAADNF/+E=")</f>
        <v>#REF!</v>
      </c>
      <c r="HS14" t="e">
        <f>IF(#REF!,"AAAAADNF/+I=",0)</f>
        <v>#REF!</v>
      </c>
      <c r="HT14" t="e">
        <f>AND(#REF!,"AAAAADNF/+M=")</f>
        <v>#REF!</v>
      </c>
      <c r="HU14" t="e">
        <f>AND(#REF!,"AAAAADNF/+Q=")</f>
        <v>#REF!</v>
      </c>
      <c r="HV14" t="e">
        <f>AND(#REF!,"AAAAADNF/+U=")</f>
        <v>#REF!</v>
      </c>
      <c r="HW14" t="e">
        <f>AND(#REF!,"AAAAADNF/+Y=")</f>
        <v>#REF!</v>
      </c>
      <c r="HX14" t="e">
        <f>AND(#REF!,"AAAAADNF/+c=")</f>
        <v>#REF!</v>
      </c>
      <c r="HY14" t="e">
        <f>AND(#REF!,"AAAAADNF/+g=")</f>
        <v>#REF!</v>
      </c>
      <c r="HZ14" t="e">
        <f>AND(#REF!,"AAAAADNF/+k=")</f>
        <v>#REF!</v>
      </c>
      <c r="IA14" t="e">
        <f>AND(#REF!,"AAAAADNF/+o=")</f>
        <v>#REF!</v>
      </c>
      <c r="IB14" t="e">
        <f>AND(#REF!,"AAAAADNF/+s=")</f>
        <v>#REF!</v>
      </c>
      <c r="IC14" t="e">
        <f>AND(#REF!,"AAAAADNF/+w=")</f>
        <v>#REF!</v>
      </c>
      <c r="ID14" t="e">
        <f>AND(#REF!,"AAAAADNF/+0=")</f>
        <v>#REF!</v>
      </c>
      <c r="IE14" t="e">
        <f>AND(#REF!,"AAAAADNF/+4=")</f>
        <v>#REF!</v>
      </c>
      <c r="IF14" t="e">
        <f>AND(#REF!,"AAAAADNF/+8=")</f>
        <v>#REF!</v>
      </c>
      <c r="IG14" t="e">
        <f>AND(#REF!,"AAAAADNF//A=")</f>
        <v>#REF!</v>
      </c>
      <c r="IH14" t="e">
        <f>IF(#REF!,"AAAAADNF//E=",0)</f>
        <v>#REF!</v>
      </c>
      <c r="II14" t="e">
        <f>AND(#REF!,"AAAAADNF//I=")</f>
        <v>#REF!</v>
      </c>
      <c r="IJ14" t="e">
        <f>AND(#REF!,"AAAAADNF//M=")</f>
        <v>#REF!</v>
      </c>
      <c r="IK14" t="e">
        <f>AND(#REF!,"AAAAADNF//Q=")</f>
        <v>#REF!</v>
      </c>
      <c r="IL14" t="e">
        <f>AND(#REF!,"AAAAADNF//U=")</f>
        <v>#REF!</v>
      </c>
      <c r="IM14" t="e">
        <f>AND(#REF!,"AAAAADNF//Y=")</f>
        <v>#REF!</v>
      </c>
      <c r="IN14" t="e">
        <f>AND(#REF!,"AAAAADNF//c=")</f>
        <v>#REF!</v>
      </c>
      <c r="IO14" t="e">
        <f>AND(#REF!,"AAAAADNF//g=")</f>
        <v>#REF!</v>
      </c>
      <c r="IP14" t="e">
        <f>AND(#REF!,"AAAAADNF//k=")</f>
        <v>#REF!</v>
      </c>
      <c r="IQ14" t="e">
        <f>AND(#REF!,"AAAAADNF//o=")</f>
        <v>#REF!</v>
      </c>
      <c r="IR14" t="e">
        <f>AND(#REF!,"AAAAADNF//s=")</f>
        <v>#REF!</v>
      </c>
      <c r="IS14" t="e">
        <f>AND(#REF!,"AAAAADNF//w=")</f>
        <v>#REF!</v>
      </c>
      <c r="IT14" t="e">
        <f>AND(#REF!,"AAAAADNF//0=")</f>
        <v>#REF!</v>
      </c>
      <c r="IU14" t="e">
        <f>AND(#REF!,"AAAAADNF//4=")</f>
        <v>#REF!</v>
      </c>
      <c r="IV14" t="e">
        <f>AND(#REF!,"AAAAADNF//8=")</f>
        <v>#REF!</v>
      </c>
    </row>
    <row r="15" spans="1:256">
      <c r="A15" t="e">
        <f>IF(#REF!,"AAAAAG7yWwA=",0)</f>
        <v>#REF!</v>
      </c>
      <c r="B15" t="e">
        <f>AND(#REF!,"AAAAAG7yWwE=")</f>
        <v>#REF!</v>
      </c>
      <c r="C15" t="e">
        <f>AND(#REF!,"AAAAAG7yWwI=")</f>
        <v>#REF!</v>
      </c>
      <c r="D15" t="e">
        <f>AND(#REF!,"AAAAAG7yWwM=")</f>
        <v>#REF!</v>
      </c>
      <c r="E15" t="e">
        <f>AND(#REF!,"AAAAAG7yWwQ=")</f>
        <v>#REF!</v>
      </c>
      <c r="F15" t="e">
        <f>AND(#REF!,"AAAAAG7yWwU=")</f>
        <v>#REF!</v>
      </c>
      <c r="G15" t="e">
        <f>AND(#REF!,"AAAAAG7yWwY=")</f>
        <v>#REF!</v>
      </c>
      <c r="H15" t="e">
        <f>AND(#REF!,"AAAAAG7yWwc=")</f>
        <v>#REF!</v>
      </c>
      <c r="I15" t="e">
        <f>AND(#REF!,"AAAAAG7yWwg=")</f>
        <v>#REF!</v>
      </c>
      <c r="J15" t="e">
        <f>AND(#REF!,"AAAAAG7yWwk=")</f>
        <v>#REF!</v>
      </c>
      <c r="K15" t="e">
        <f>AND(#REF!,"AAAAAG7yWwo=")</f>
        <v>#REF!</v>
      </c>
      <c r="L15" t="e">
        <f>AND(#REF!,"AAAAAG7yWws=")</f>
        <v>#REF!</v>
      </c>
      <c r="M15" t="e">
        <f>AND(#REF!,"AAAAAG7yWww=")</f>
        <v>#REF!</v>
      </c>
      <c r="N15" t="e">
        <f>AND(#REF!,"AAAAAG7yWw0=")</f>
        <v>#REF!</v>
      </c>
      <c r="O15" t="e">
        <f>AND(#REF!,"AAAAAG7yWw4=")</f>
        <v>#REF!</v>
      </c>
      <c r="P15" t="e">
        <f>IF(#REF!,"AAAAAG7yWw8=",0)</f>
        <v>#REF!</v>
      </c>
      <c r="Q15" t="e">
        <f>AND(#REF!,"AAAAAG7yWxA=")</f>
        <v>#REF!</v>
      </c>
      <c r="R15" t="e">
        <f>AND(#REF!,"AAAAAG7yWxE=")</f>
        <v>#REF!</v>
      </c>
      <c r="S15" t="e">
        <f>AND(#REF!,"AAAAAG7yWxI=")</f>
        <v>#REF!</v>
      </c>
      <c r="T15" t="e">
        <f>AND(#REF!,"AAAAAG7yWxM=")</f>
        <v>#REF!</v>
      </c>
      <c r="U15" t="e">
        <f>AND(#REF!,"AAAAAG7yWxQ=")</f>
        <v>#REF!</v>
      </c>
      <c r="V15" t="e">
        <f>AND(#REF!,"AAAAAG7yWxU=")</f>
        <v>#REF!</v>
      </c>
      <c r="W15" t="e">
        <f>AND(#REF!,"AAAAAG7yWxY=")</f>
        <v>#REF!</v>
      </c>
      <c r="X15" t="e">
        <f>AND(#REF!,"AAAAAG7yWxc=")</f>
        <v>#REF!</v>
      </c>
      <c r="Y15" t="e">
        <f>AND(#REF!,"AAAAAG7yWxg=")</f>
        <v>#REF!</v>
      </c>
      <c r="Z15" t="e">
        <f>AND(#REF!,"AAAAAG7yWxk=")</f>
        <v>#REF!</v>
      </c>
      <c r="AA15" t="e">
        <f>AND(#REF!,"AAAAAG7yWxo=")</f>
        <v>#REF!</v>
      </c>
      <c r="AB15" t="e">
        <f>AND(#REF!,"AAAAAG7yWxs=")</f>
        <v>#REF!</v>
      </c>
      <c r="AC15" t="e">
        <f>AND(#REF!,"AAAAAG7yWxw=")</f>
        <v>#REF!</v>
      </c>
      <c r="AD15" t="e">
        <f>AND(#REF!,"AAAAAG7yWx0=")</f>
        <v>#REF!</v>
      </c>
      <c r="AE15" t="e">
        <f>IF(#REF!,"AAAAAG7yWx4=",0)</f>
        <v>#REF!</v>
      </c>
      <c r="AF15" t="e">
        <f>AND(#REF!,"AAAAAG7yWx8=")</f>
        <v>#REF!</v>
      </c>
      <c r="AG15" t="e">
        <f>AND(#REF!,"AAAAAG7yWyA=")</f>
        <v>#REF!</v>
      </c>
      <c r="AH15" t="e">
        <f>AND(#REF!,"AAAAAG7yWyE=")</f>
        <v>#REF!</v>
      </c>
      <c r="AI15" t="e">
        <f>AND(#REF!,"AAAAAG7yWyI=")</f>
        <v>#REF!</v>
      </c>
      <c r="AJ15" t="e">
        <f>AND(#REF!,"AAAAAG7yWyM=")</f>
        <v>#REF!</v>
      </c>
      <c r="AK15" t="e">
        <f>AND(#REF!,"AAAAAG7yWyQ=")</f>
        <v>#REF!</v>
      </c>
      <c r="AL15" t="e">
        <f>AND(#REF!,"AAAAAG7yWyU=")</f>
        <v>#REF!</v>
      </c>
      <c r="AM15" t="e">
        <f>AND(#REF!,"AAAAAG7yWyY=")</f>
        <v>#REF!</v>
      </c>
      <c r="AN15" t="e">
        <f>AND(#REF!,"AAAAAG7yWyc=")</f>
        <v>#REF!</v>
      </c>
      <c r="AO15" t="e">
        <f>AND(#REF!,"AAAAAG7yWyg=")</f>
        <v>#REF!</v>
      </c>
      <c r="AP15" t="e">
        <f>AND(#REF!,"AAAAAG7yWyk=")</f>
        <v>#REF!</v>
      </c>
      <c r="AQ15" t="e">
        <f>AND(#REF!,"AAAAAG7yWyo=")</f>
        <v>#REF!</v>
      </c>
      <c r="AR15" t="e">
        <f>AND(#REF!,"AAAAAG7yWys=")</f>
        <v>#REF!</v>
      </c>
      <c r="AS15" t="e">
        <f>AND(#REF!,"AAAAAG7yWyw=")</f>
        <v>#REF!</v>
      </c>
      <c r="AT15" t="e">
        <f>IF(#REF!,"AAAAAG7yWy0=",0)</f>
        <v>#REF!</v>
      </c>
      <c r="AU15" t="e">
        <f>AND(#REF!,"AAAAAG7yWy4=")</f>
        <v>#REF!</v>
      </c>
      <c r="AV15" t="e">
        <f>AND(#REF!,"AAAAAG7yWy8=")</f>
        <v>#REF!</v>
      </c>
      <c r="AW15" t="e">
        <f>AND(#REF!,"AAAAAG7yWzA=")</f>
        <v>#REF!</v>
      </c>
      <c r="AX15" t="e">
        <f>AND(#REF!,"AAAAAG7yWzE=")</f>
        <v>#REF!</v>
      </c>
      <c r="AY15" t="e">
        <f>AND(#REF!,"AAAAAG7yWzI=")</f>
        <v>#REF!</v>
      </c>
      <c r="AZ15" t="e">
        <f>AND(#REF!,"AAAAAG7yWzM=")</f>
        <v>#REF!</v>
      </c>
      <c r="BA15" t="e">
        <f>AND(#REF!,"AAAAAG7yWzQ=")</f>
        <v>#REF!</v>
      </c>
      <c r="BB15" t="e">
        <f>AND(#REF!,"AAAAAG7yWzU=")</f>
        <v>#REF!</v>
      </c>
      <c r="BC15" t="e">
        <f>AND(#REF!,"AAAAAG7yWzY=")</f>
        <v>#REF!</v>
      </c>
      <c r="BD15" t="e">
        <f>AND(#REF!,"AAAAAG7yWzc=")</f>
        <v>#REF!</v>
      </c>
      <c r="BE15" t="e">
        <f>AND(#REF!,"AAAAAG7yWzg=")</f>
        <v>#REF!</v>
      </c>
      <c r="BF15" t="e">
        <f>AND(#REF!,"AAAAAG7yWzk=")</f>
        <v>#REF!</v>
      </c>
      <c r="BG15" t="e">
        <f>AND(#REF!,"AAAAAG7yWzo=")</f>
        <v>#REF!</v>
      </c>
      <c r="BH15" t="e">
        <f>AND(#REF!,"AAAAAG7yWzs=")</f>
        <v>#REF!</v>
      </c>
      <c r="BI15" t="e">
        <f>IF(#REF!,"AAAAAG7yWzw=",0)</f>
        <v>#REF!</v>
      </c>
      <c r="BJ15" t="e">
        <f>AND(#REF!,"AAAAAG7yWz0=")</f>
        <v>#REF!</v>
      </c>
      <c r="BK15" t="e">
        <f>AND(#REF!,"AAAAAG7yWz4=")</f>
        <v>#REF!</v>
      </c>
      <c r="BL15" t="e">
        <f>AND(#REF!,"AAAAAG7yWz8=")</f>
        <v>#REF!</v>
      </c>
      <c r="BM15" t="e">
        <f>AND(#REF!,"AAAAAG7yW0A=")</f>
        <v>#REF!</v>
      </c>
      <c r="BN15" t="e">
        <f>AND(#REF!,"AAAAAG7yW0E=")</f>
        <v>#REF!</v>
      </c>
      <c r="BO15" t="e">
        <f>AND(#REF!,"AAAAAG7yW0I=")</f>
        <v>#REF!</v>
      </c>
      <c r="BP15" t="e">
        <f>AND(#REF!,"AAAAAG7yW0M=")</f>
        <v>#REF!</v>
      </c>
      <c r="BQ15" t="e">
        <f>AND(#REF!,"AAAAAG7yW0Q=")</f>
        <v>#REF!</v>
      </c>
      <c r="BR15" t="e">
        <f>AND(#REF!,"AAAAAG7yW0U=")</f>
        <v>#REF!</v>
      </c>
      <c r="BS15" t="e">
        <f>AND(#REF!,"AAAAAG7yW0Y=")</f>
        <v>#REF!</v>
      </c>
      <c r="BT15" t="e">
        <f>AND(#REF!,"AAAAAG7yW0c=")</f>
        <v>#REF!</v>
      </c>
      <c r="BU15" t="e">
        <f>AND(#REF!,"AAAAAG7yW0g=")</f>
        <v>#REF!</v>
      </c>
      <c r="BV15" t="e">
        <f>AND(#REF!,"AAAAAG7yW0k=")</f>
        <v>#REF!</v>
      </c>
      <c r="BW15" t="e">
        <f>AND(#REF!,"AAAAAG7yW0o=")</f>
        <v>#REF!</v>
      </c>
      <c r="BX15" t="e">
        <f>IF(#REF!,"AAAAAG7yW0s=",0)</f>
        <v>#REF!</v>
      </c>
      <c r="BY15" t="e">
        <f>AND(#REF!,"AAAAAG7yW0w=")</f>
        <v>#REF!</v>
      </c>
      <c r="BZ15" t="e">
        <f>AND(#REF!,"AAAAAG7yW00=")</f>
        <v>#REF!</v>
      </c>
      <c r="CA15" t="e">
        <f>AND(#REF!,"AAAAAG7yW04=")</f>
        <v>#REF!</v>
      </c>
      <c r="CB15" t="e">
        <f>AND(#REF!,"AAAAAG7yW08=")</f>
        <v>#REF!</v>
      </c>
      <c r="CC15" t="e">
        <f>AND(#REF!,"AAAAAG7yW1A=")</f>
        <v>#REF!</v>
      </c>
      <c r="CD15" t="e">
        <f>AND(#REF!,"AAAAAG7yW1E=")</f>
        <v>#REF!</v>
      </c>
      <c r="CE15" t="e">
        <f>AND(#REF!,"AAAAAG7yW1I=")</f>
        <v>#REF!</v>
      </c>
      <c r="CF15" t="e">
        <f>AND(#REF!,"AAAAAG7yW1M=")</f>
        <v>#REF!</v>
      </c>
      <c r="CG15" t="e">
        <f>AND(#REF!,"AAAAAG7yW1Q=")</f>
        <v>#REF!</v>
      </c>
      <c r="CH15" t="e">
        <f>AND(#REF!,"AAAAAG7yW1U=")</f>
        <v>#REF!</v>
      </c>
      <c r="CI15" t="e">
        <f>AND(#REF!,"AAAAAG7yW1Y=")</f>
        <v>#REF!</v>
      </c>
      <c r="CJ15" t="e">
        <f>AND(#REF!,"AAAAAG7yW1c=")</f>
        <v>#REF!</v>
      </c>
      <c r="CK15" t="e">
        <f>AND(#REF!,"AAAAAG7yW1g=")</f>
        <v>#REF!</v>
      </c>
      <c r="CL15" t="e">
        <f>AND(#REF!,"AAAAAG7yW1k=")</f>
        <v>#REF!</v>
      </c>
      <c r="CM15" t="e">
        <f>IF(#REF!,"AAAAAG7yW1o=",0)</f>
        <v>#REF!</v>
      </c>
      <c r="CN15" t="e">
        <f>AND(#REF!,"AAAAAG7yW1s=")</f>
        <v>#REF!</v>
      </c>
      <c r="CO15" t="e">
        <f>AND(#REF!,"AAAAAG7yW1w=")</f>
        <v>#REF!</v>
      </c>
      <c r="CP15" t="e">
        <f>AND(#REF!,"AAAAAG7yW10=")</f>
        <v>#REF!</v>
      </c>
      <c r="CQ15" t="e">
        <f>AND(#REF!,"AAAAAG7yW14=")</f>
        <v>#REF!</v>
      </c>
      <c r="CR15" t="e">
        <f>AND(#REF!,"AAAAAG7yW18=")</f>
        <v>#REF!</v>
      </c>
      <c r="CS15" t="e">
        <f>AND(#REF!,"AAAAAG7yW2A=")</f>
        <v>#REF!</v>
      </c>
      <c r="CT15" t="e">
        <f>AND(#REF!,"AAAAAG7yW2E=")</f>
        <v>#REF!</v>
      </c>
      <c r="CU15" t="e">
        <f>AND(#REF!,"AAAAAG7yW2I=")</f>
        <v>#REF!</v>
      </c>
      <c r="CV15" t="e">
        <f>AND(#REF!,"AAAAAG7yW2M=")</f>
        <v>#REF!</v>
      </c>
      <c r="CW15" t="e">
        <f>AND(#REF!,"AAAAAG7yW2Q=")</f>
        <v>#REF!</v>
      </c>
      <c r="CX15" t="e">
        <f>AND(#REF!,"AAAAAG7yW2U=")</f>
        <v>#REF!</v>
      </c>
      <c r="CY15" t="e">
        <f>AND(#REF!,"AAAAAG7yW2Y=")</f>
        <v>#REF!</v>
      </c>
      <c r="CZ15" t="e">
        <f>AND(#REF!,"AAAAAG7yW2c=")</f>
        <v>#REF!</v>
      </c>
      <c r="DA15" t="e">
        <f>AND(#REF!,"AAAAAG7yW2g=")</f>
        <v>#REF!</v>
      </c>
      <c r="DB15" t="e">
        <f>IF(#REF!,"AAAAAG7yW2k=",0)</f>
        <v>#REF!</v>
      </c>
      <c r="DC15" t="e">
        <f>AND(#REF!,"AAAAAG7yW2o=")</f>
        <v>#REF!</v>
      </c>
      <c r="DD15" t="e">
        <f>AND(#REF!,"AAAAAG7yW2s=")</f>
        <v>#REF!</v>
      </c>
      <c r="DE15" t="e">
        <f>AND(#REF!,"AAAAAG7yW2w=")</f>
        <v>#REF!</v>
      </c>
      <c r="DF15" t="e">
        <f>AND(#REF!,"AAAAAG7yW20=")</f>
        <v>#REF!</v>
      </c>
      <c r="DG15" t="e">
        <f>AND(#REF!,"AAAAAG7yW24=")</f>
        <v>#REF!</v>
      </c>
      <c r="DH15" t="e">
        <f>AND(#REF!,"AAAAAG7yW28=")</f>
        <v>#REF!</v>
      </c>
      <c r="DI15" t="e">
        <f>AND(#REF!,"AAAAAG7yW3A=")</f>
        <v>#REF!</v>
      </c>
      <c r="DJ15" t="e">
        <f>AND(#REF!,"AAAAAG7yW3E=")</f>
        <v>#REF!</v>
      </c>
      <c r="DK15" t="e">
        <f>AND(#REF!,"AAAAAG7yW3I=")</f>
        <v>#REF!</v>
      </c>
      <c r="DL15" t="e">
        <f>AND(#REF!,"AAAAAG7yW3M=")</f>
        <v>#REF!</v>
      </c>
      <c r="DM15" t="e">
        <f>AND(#REF!,"AAAAAG7yW3Q=")</f>
        <v>#REF!</v>
      </c>
      <c r="DN15" t="e">
        <f>AND(#REF!,"AAAAAG7yW3U=")</f>
        <v>#REF!</v>
      </c>
      <c r="DO15" t="e">
        <f>AND(#REF!,"AAAAAG7yW3Y=")</f>
        <v>#REF!</v>
      </c>
      <c r="DP15" t="e">
        <f>AND(#REF!,"AAAAAG7yW3c=")</f>
        <v>#REF!</v>
      </c>
      <c r="DQ15" t="e">
        <f>IF(#REF!,"AAAAAG7yW3g=",0)</f>
        <v>#REF!</v>
      </c>
      <c r="DR15" t="e">
        <f>AND(#REF!,"AAAAAG7yW3k=")</f>
        <v>#REF!</v>
      </c>
      <c r="DS15" t="e">
        <f>AND(#REF!,"AAAAAG7yW3o=")</f>
        <v>#REF!</v>
      </c>
      <c r="DT15" t="e">
        <f>AND(#REF!,"AAAAAG7yW3s=")</f>
        <v>#REF!</v>
      </c>
      <c r="DU15" t="e">
        <f>AND(#REF!,"AAAAAG7yW3w=")</f>
        <v>#REF!</v>
      </c>
      <c r="DV15" t="e">
        <f>AND(#REF!,"AAAAAG7yW30=")</f>
        <v>#REF!</v>
      </c>
      <c r="DW15" t="e">
        <f>AND(#REF!,"AAAAAG7yW34=")</f>
        <v>#REF!</v>
      </c>
      <c r="DX15" t="e">
        <f>AND(#REF!,"AAAAAG7yW38=")</f>
        <v>#REF!</v>
      </c>
      <c r="DY15" t="e">
        <f>AND(#REF!,"AAAAAG7yW4A=")</f>
        <v>#REF!</v>
      </c>
      <c r="DZ15" t="e">
        <f>AND(#REF!,"AAAAAG7yW4E=")</f>
        <v>#REF!</v>
      </c>
      <c r="EA15" t="e">
        <f>AND(#REF!,"AAAAAG7yW4I=")</f>
        <v>#REF!</v>
      </c>
      <c r="EB15" t="e">
        <f>AND(#REF!,"AAAAAG7yW4M=")</f>
        <v>#REF!</v>
      </c>
      <c r="EC15" t="e">
        <f>AND(#REF!,"AAAAAG7yW4Q=")</f>
        <v>#REF!</v>
      </c>
      <c r="ED15" t="e">
        <f>AND(#REF!,"AAAAAG7yW4U=")</f>
        <v>#REF!</v>
      </c>
      <c r="EE15" t="e">
        <f>AND(#REF!,"AAAAAG7yW4Y=")</f>
        <v>#REF!</v>
      </c>
      <c r="EF15" t="e">
        <f>IF(#REF!,"AAAAAG7yW4c=",0)</f>
        <v>#REF!</v>
      </c>
      <c r="EG15" t="e">
        <f>AND(#REF!,"AAAAAG7yW4g=")</f>
        <v>#REF!</v>
      </c>
      <c r="EH15" t="e">
        <f>AND(#REF!,"AAAAAG7yW4k=")</f>
        <v>#REF!</v>
      </c>
      <c r="EI15" t="e">
        <f>AND(#REF!,"AAAAAG7yW4o=")</f>
        <v>#REF!</v>
      </c>
      <c r="EJ15" t="e">
        <f>AND(#REF!,"AAAAAG7yW4s=")</f>
        <v>#REF!</v>
      </c>
      <c r="EK15" t="e">
        <f>AND(#REF!,"AAAAAG7yW4w=")</f>
        <v>#REF!</v>
      </c>
      <c r="EL15" t="e">
        <f>AND(#REF!,"AAAAAG7yW40=")</f>
        <v>#REF!</v>
      </c>
      <c r="EM15" t="e">
        <f>AND(#REF!,"AAAAAG7yW44=")</f>
        <v>#REF!</v>
      </c>
      <c r="EN15" t="e">
        <f>AND(#REF!,"AAAAAG7yW48=")</f>
        <v>#REF!</v>
      </c>
      <c r="EO15" t="e">
        <f>AND(#REF!,"AAAAAG7yW5A=")</f>
        <v>#REF!</v>
      </c>
      <c r="EP15" t="e">
        <f>AND(#REF!,"AAAAAG7yW5E=")</f>
        <v>#REF!</v>
      </c>
      <c r="EQ15" t="e">
        <f>AND(#REF!,"AAAAAG7yW5I=")</f>
        <v>#REF!</v>
      </c>
      <c r="ER15" t="e">
        <f>AND(#REF!,"AAAAAG7yW5M=")</f>
        <v>#REF!</v>
      </c>
      <c r="ES15" t="e">
        <f>AND(#REF!,"AAAAAG7yW5Q=")</f>
        <v>#REF!</v>
      </c>
      <c r="ET15" t="e">
        <f>AND(#REF!,"AAAAAG7yW5U=")</f>
        <v>#REF!</v>
      </c>
      <c r="EU15" t="e">
        <f>IF(#REF!,"AAAAAG7yW5Y=",0)</f>
        <v>#REF!</v>
      </c>
      <c r="EV15" t="e">
        <f>AND(#REF!,"AAAAAG7yW5c=")</f>
        <v>#REF!</v>
      </c>
      <c r="EW15" t="e">
        <f>AND(#REF!,"AAAAAG7yW5g=")</f>
        <v>#REF!</v>
      </c>
      <c r="EX15" t="e">
        <f>AND(#REF!,"AAAAAG7yW5k=")</f>
        <v>#REF!</v>
      </c>
      <c r="EY15" t="e">
        <f>AND(#REF!,"AAAAAG7yW5o=")</f>
        <v>#REF!</v>
      </c>
      <c r="EZ15" t="e">
        <f>AND(#REF!,"AAAAAG7yW5s=")</f>
        <v>#REF!</v>
      </c>
      <c r="FA15" t="e">
        <f>AND(#REF!,"AAAAAG7yW5w=")</f>
        <v>#REF!</v>
      </c>
      <c r="FB15" t="e">
        <f>AND(#REF!,"AAAAAG7yW50=")</f>
        <v>#REF!</v>
      </c>
      <c r="FC15" t="e">
        <f>AND(#REF!,"AAAAAG7yW54=")</f>
        <v>#REF!</v>
      </c>
      <c r="FD15" t="e">
        <f>AND(#REF!,"AAAAAG7yW58=")</f>
        <v>#REF!</v>
      </c>
      <c r="FE15" t="e">
        <f>AND(#REF!,"AAAAAG7yW6A=")</f>
        <v>#REF!</v>
      </c>
      <c r="FF15" t="e">
        <f>AND(#REF!,"AAAAAG7yW6E=")</f>
        <v>#REF!</v>
      </c>
      <c r="FG15" t="e">
        <f>AND(#REF!,"AAAAAG7yW6I=")</f>
        <v>#REF!</v>
      </c>
      <c r="FH15" t="e">
        <f>AND(#REF!,"AAAAAG7yW6M=")</f>
        <v>#REF!</v>
      </c>
      <c r="FI15" t="e">
        <f>AND(#REF!,"AAAAAG7yW6Q=")</f>
        <v>#REF!</v>
      </c>
      <c r="FJ15" t="e">
        <f>IF(#REF!,"AAAAAG7yW6U=",0)</f>
        <v>#REF!</v>
      </c>
      <c r="FK15" t="e">
        <f>AND(#REF!,"AAAAAG7yW6Y=")</f>
        <v>#REF!</v>
      </c>
      <c r="FL15" t="e">
        <f>AND(#REF!,"AAAAAG7yW6c=")</f>
        <v>#REF!</v>
      </c>
      <c r="FM15" t="e">
        <f>AND(#REF!,"AAAAAG7yW6g=")</f>
        <v>#REF!</v>
      </c>
      <c r="FN15" t="e">
        <f>AND(#REF!,"AAAAAG7yW6k=")</f>
        <v>#REF!</v>
      </c>
      <c r="FO15" t="e">
        <f>AND(#REF!,"AAAAAG7yW6o=")</f>
        <v>#REF!</v>
      </c>
      <c r="FP15" t="e">
        <f>AND(#REF!,"AAAAAG7yW6s=")</f>
        <v>#REF!</v>
      </c>
      <c r="FQ15" t="e">
        <f>AND(#REF!,"AAAAAG7yW6w=")</f>
        <v>#REF!</v>
      </c>
      <c r="FR15" t="e">
        <f>AND(#REF!,"AAAAAG7yW60=")</f>
        <v>#REF!</v>
      </c>
      <c r="FS15" t="e">
        <f>AND(#REF!,"AAAAAG7yW64=")</f>
        <v>#REF!</v>
      </c>
      <c r="FT15" t="e">
        <f>AND(#REF!,"AAAAAG7yW68=")</f>
        <v>#REF!</v>
      </c>
      <c r="FU15" t="e">
        <f>AND(#REF!,"AAAAAG7yW7A=")</f>
        <v>#REF!</v>
      </c>
      <c r="FV15" t="e">
        <f>AND(#REF!,"AAAAAG7yW7E=")</f>
        <v>#REF!</v>
      </c>
      <c r="FW15" t="e">
        <f>AND(#REF!,"AAAAAG7yW7I=")</f>
        <v>#REF!</v>
      </c>
      <c r="FX15" t="e">
        <f>AND(#REF!,"AAAAAG7yW7M=")</f>
        <v>#REF!</v>
      </c>
      <c r="FY15" t="e">
        <f>IF(#REF!,"AAAAAG7yW7Q=",0)</f>
        <v>#REF!</v>
      </c>
      <c r="FZ15" t="e">
        <f>AND(#REF!,"AAAAAG7yW7U=")</f>
        <v>#REF!</v>
      </c>
      <c r="GA15" t="e">
        <f>AND(#REF!,"AAAAAG7yW7Y=")</f>
        <v>#REF!</v>
      </c>
      <c r="GB15" t="e">
        <f>AND(#REF!,"AAAAAG7yW7c=")</f>
        <v>#REF!</v>
      </c>
      <c r="GC15" t="e">
        <f>AND(#REF!,"AAAAAG7yW7g=")</f>
        <v>#REF!</v>
      </c>
      <c r="GD15" t="e">
        <f>AND(#REF!,"AAAAAG7yW7k=")</f>
        <v>#REF!</v>
      </c>
      <c r="GE15" t="e">
        <f>AND(#REF!,"AAAAAG7yW7o=")</f>
        <v>#REF!</v>
      </c>
      <c r="GF15" t="e">
        <f>AND(#REF!,"AAAAAG7yW7s=")</f>
        <v>#REF!</v>
      </c>
      <c r="GG15" t="e">
        <f>AND(#REF!,"AAAAAG7yW7w=")</f>
        <v>#REF!</v>
      </c>
      <c r="GH15" t="e">
        <f>AND(#REF!,"AAAAAG7yW70=")</f>
        <v>#REF!</v>
      </c>
      <c r="GI15" t="e">
        <f>AND(#REF!,"AAAAAG7yW74=")</f>
        <v>#REF!</v>
      </c>
      <c r="GJ15" t="e">
        <f>AND(#REF!,"AAAAAG7yW78=")</f>
        <v>#REF!</v>
      </c>
      <c r="GK15" t="e">
        <f>AND(#REF!,"AAAAAG7yW8A=")</f>
        <v>#REF!</v>
      </c>
      <c r="GL15" t="e">
        <f>AND(#REF!,"AAAAAG7yW8E=")</f>
        <v>#REF!</v>
      </c>
      <c r="GM15" t="e">
        <f>AND(#REF!,"AAAAAG7yW8I=")</f>
        <v>#REF!</v>
      </c>
      <c r="GN15" t="e">
        <f>IF(#REF!,"AAAAAG7yW8M=",0)</f>
        <v>#REF!</v>
      </c>
      <c r="GO15" t="e">
        <f>AND(#REF!,"AAAAAG7yW8Q=")</f>
        <v>#REF!</v>
      </c>
      <c r="GP15" t="e">
        <f>AND(#REF!,"AAAAAG7yW8U=")</f>
        <v>#REF!</v>
      </c>
      <c r="GQ15" t="e">
        <f>AND(#REF!,"AAAAAG7yW8Y=")</f>
        <v>#REF!</v>
      </c>
      <c r="GR15" t="e">
        <f>AND(#REF!,"AAAAAG7yW8c=")</f>
        <v>#REF!</v>
      </c>
      <c r="GS15" t="e">
        <f>AND(#REF!,"AAAAAG7yW8g=")</f>
        <v>#REF!</v>
      </c>
      <c r="GT15" t="e">
        <f>AND(#REF!,"AAAAAG7yW8k=")</f>
        <v>#REF!</v>
      </c>
      <c r="GU15" t="e">
        <f>AND(#REF!,"AAAAAG7yW8o=")</f>
        <v>#REF!</v>
      </c>
      <c r="GV15" t="e">
        <f>AND(#REF!,"AAAAAG7yW8s=")</f>
        <v>#REF!</v>
      </c>
      <c r="GW15" t="e">
        <f>AND(#REF!,"AAAAAG7yW8w=")</f>
        <v>#REF!</v>
      </c>
      <c r="GX15" t="e">
        <f>AND(#REF!,"AAAAAG7yW80=")</f>
        <v>#REF!</v>
      </c>
      <c r="GY15" t="e">
        <f>AND(#REF!,"AAAAAG7yW84=")</f>
        <v>#REF!</v>
      </c>
      <c r="GZ15" t="e">
        <f>AND(#REF!,"AAAAAG7yW88=")</f>
        <v>#REF!</v>
      </c>
      <c r="HA15" t="e">
        <f>AND(#REF!,"AAAAAG7yW9A=")</f>
        <v>#REF!</v>
      </c>
      <c r="HB15" t="e">
        <f>AND(#REF!,"AAAAAG7yW9E=")</f>
        <v>#REF!</v>
      </c>
      <c r="HC15" t="e">
        <f>IF(#REF!,"AAAAAG7yW9I=",0)</f>
        <v>#REF!</v>
      </c>
      <c r="HD15" t="e">
        <f>AND(#REF!,"AAAAAG7yW9M=")</f>
        <v>#REF!</v>
      </c>
      <c r="HE15" t="e">
        <f>AND(#REF!,"AAAAAG7yW9Q=")</f>
        <v>#REF!</v>
      </c>
      <c r="HF15" t="e">
        <f>AND(#REF!,"AAAAAG7yW9U=")</f>
        <v>#REF!</v>
      </c>
      <c r="HG15" t="e">
        <f>AND(#REF!,"AAAAAG7yW9Y=")</f>
        <v>#REF!</v>
      </c>
      <c r="HH15" t="e">
        <f>AND(#REF!,"AAAAAG7yW9c=")</f>
        <v>#REF!</v>
      </c>
      <c r="HI15" t="e">
        <f>AND(#REF!,"AAAAAG7yW9g=")</f>
        <v>#REF!</v>
      </c>
      <c r="HJ15" t="e">
        <f>AND(#REF!,"AAAAAG7yW9k=")</f>
        <v>#REF!</v>
      </c>
      <c r="HK15" t="e">
        <f>AND(#REF!,"AAAAAG7yW9o=")</f>
        <v>#REF!</v>
      </c>
      <c r="HL15" t="e">
        <f>AND(#REF!,"AAAAAG7yW9s=")</f>
        <v>#REF!</v>
      </c>
      <c r="HM15" t="e">
        <f>AND(#REF!,"AAAAAG7yW9w=")</f>
        <v>#REF!</v>
      </c>
      <c r="HN15" t="e">
        <f>AND(#REF!,"AAAAAG7yW90=")</f>
        <v>#REF!</v>
      </c>
      <c r="HO15" t="e">
        <f>AND(#REF!,"AAAAAG7yW94=")</f>
        <v>#REF!</v>
      </c>
      <c r="HP15" t="e">
        <f>AND(#REF!,"AAAAAG7yW98=")</f>
        <v>#REF!</v>
      </c>
      <c r="HQ15" t="e">
        <f>AND(#REF!,"AAAAAG7yW+A=")</f>
        <v>#REF!</v>
      </c>
      <c r="HR15" t="e">
        <f>IF(#REF!,"AAAAAG7yW+E=",0)</f>
        <v>#REF!</v>
      </c>
      <c r="HS15" t="e">
        <f>AND(#REF!,"AAAAAG7yW+I=")</f>
        <v>#REF!</v>
      </c>
      <c r="HT15" t="e">
        <f>AND(#REF!,"AAAAAG7yW+M=")</f>
        <v>#REF!</v>
      </c>
      <c r="HU15" t="e">
        <f>AND(#REF!,"AAAAAG7yW+Q=")</f>
        <v>#REF!</v>
      </c>
      <c r="HV15" t="e">
        <f>AND(#REF!,"AAAAAG7yW+U=")</f>
        <v>#REF!</v>
      </c>
      <c r="HW15" t="e">
        <f>AND(#REF!,"AAAAAG7yW+Y=")</f>
        <v>#REF!</v>
      </c>
      <c r="HX15" t="e">
        <f>AND(#REF!,"AAAAAG7yW+c=")</f>
        <v>#REF!</v>
      </c>
      <c r="HY15" t="e">
        <f>AND(#REF!,"AAAAAG7yW+g=")</f>
        <v>#REF!</v>
      </c>
      <c r="HZ15" t="e">
        <f>AND(#REF!,"AAAAAG7yW+k=")</f>
        <v>#REF!</v>
      </c>
      <c r="IA15" t="e">
        <f>AND(#REF!,"AAAAAG7yW+o=")</f>
        <v>#REF!</v>
      </c>
      <c r="IB15" t="e">
        <f>AND(#REF!,"AAAAAG7yW+s=")</f>
        <v>#REF!</v>
      </c>
      <c r="IC15" t="e">
        <f>AND(#REF!,"AAAAAG7yW+w=")</f>
        <v>#REF!</v>
      </c>
      <c r="ID15" t="e">
        <f>AND(#REF!,"AAAAAG7yW+0=")</f>
        <v>#REF!</v>
      </c>
      <c r="IE15" t="e">
        <f>AND(#REF!,"AAAAAG7yW+4=")</f>
        <v>#REF!</v>
      </c>
      <c r="IF15" t="e">
        <f>AND(#REF!,"AAAAAG7yW+8=")</f>
        <v>#REF!</v>
      </c>
      <c r="IG15" t="e">
        <f>IF(#REF!,"AAAAAG7yW/A=",0)</f>
        <v>#REF!</v>
      </c>
      <c r="IH15" t="e">
        <f>AND(#REF!,"AAAAAG7yW/E=")</f>
        <v>#REF!</v>
      </c>
      <c r="II15" t="e">
        <f>AND(#REF!,"AAAAAG7yW/I=")</f>
        <v>#REF!</v>
      </c>
      <c r="IJ15" t="e">
        <f>AND(#REF!,"AAAAAG7yW/M=")</f>
        <v>#REF!</v>
      </c>
      <c r="IK15" t="e">
        <f>AND(#REF!,"AAAAAG7yW/Q=")</f>
        <v>#REF!</v>
      </c>
      <c r="IL15" t="e">
        <f>AND(#REF!,"AAAAAG7yW/U=")</f>
        <v>#REF!</v>
      </c>
      <c r="IM15" t="e">
        <f>AND(#REF!,"AAAAAG7yW/Y=")</f>
        <v>#REF!</v>
      </c>
      <c r="IN15" t="e">
        <f>AND(#REF!,"AAAAAG7yW/c=")</f>
        <v>#REF!</v>
      </c>
      <c r="IO15" t="e">
        <f>AND(#REF!,"AAAAAG7yW/g=")</f>
        <v>#REF!</v>
      </c>
      <c r="IP15" t="e">
        <f>AND(#REF!,"AAAAAG7yW/k=")</f>
        <v>#REF!</v>
      </c>
      <c r="IQ15" t="e">
        <f>AND(#REF!,"AAAAAG7yW/o=")</f>
        <v>#REF!</v>
      </c>
      <c r="IR15" t="e">
        <f>AND(#REF!,"AAAAAG7yW/s=")</f>
        <v>#REF!</v>
      </c>
      <c r="IS15" t="e">
        <f>AND(#REF!,"AAAAAG7yW/w=")</f>
        <v>#REF!</v>
      </c>
      <c r="IT15" t="e">
        <f>AND(#REF!,"AAAAAG7yW/0=")</f>
        <v>#REF!</v>
      </c>
      <c r="IU15" t="e">
        <f>AND(#REF!,"AAAAAG7yW/4=")</f>
        <v>#REF!</v>
      </c>
      <c r="IV15" t="e">
        <f>IF(#REF!,"AAAAAG7yW/8=",0)</f>
        <v>#REF!</v>
      </c>
    </row>
    <row r="16" spans="1:256">
      <c r="A16" t="e">
        <f>AND(#REF!,"AAAAAF+v9QA=")</f>
        <v>#REF!</v>
      </c>
      <c r="B16" t="e">
        <f>AND(#REF!,"AAAAAF+v9QE=")</f>
        <v>#REF!</v>
      </c>
      <c r="C16" t="e">
        <f>AND(#REF!,"AAAAAF+v9QI=")</f>
        <v>#REF!</v>
      </c>
      <c r="D16" t="e">
        <f>AND(#REF!,"AAAAAF+v9QM=")</f>
        <v>#REF!</v>
      </c>
      <c r="E16" t="e">
        <f>AND(#REF!,"AAAAAF+v9QQ=")</f>
        <v>#REF!</v>
      </c>
      <c r="F16" t="e">
        <f>AND(#REF!,"AAAAAF+v9QU=")</f>
        <v>#REF!</v>
      </c>
      <c r="G16" t="e">
        <f>AND(#REF!,"AAAAAF+v9QY=")</f>
        <v>#REF!</v>
      </c>
      <c r="H16" t="e">
        <f>AND(#REF!,"AAAAAF+v9Qc=")</f>
        <v>#REF!</v>
      </c>
      <c r="I16" t="e">
        <f>AND(#REF!,"AAAAAF+v9Qg=")</f>
        <v>#REF!</v>
      </c>
      <c r="J16" t="e">
        <f>AND(#REF!,"AAAAAF+v9Qk=")</f>
        <v>#REF!</v>
      </c>
      <c r="K16" t="e">
        <f>AND(#REF!,"AAAAAF+v9Qo=")</f>
        <v>#REF!</v>
      </c>
      <c r="L16" t="e">
        <f>AND(#REF!,"AAAAAF+v9Qs=")</f>
        <v>#REF!</v>
      </c>
      <c r="M16" t="e">
        <f>AND(#REF!,"AAAAAF+v9Qw=")</f>
        <v>#REF!</v>
      </c>
      <c r="N16" t="e">
        <f>AND(#REF!,"AAAAAF+v9Q0=")</f>
        <v>#REF!</v>
      </c>
      <c r="O16" t="e">
        <f>IF(#REF!,"AAAAAF+v9Q4=",0)</f>
        <v>#REF!</v>
      </c>
      <c r="P16" t="e">
        <f>AND(#REF!,"AAAAAF+v9Q8=")</f>
        <v>#REF!</v>
      </c>
      <c r="Q16" t="e">
        <f>AND(#REF!,"AAAAAF+v9RA=")</f>
        <v>#REF!</v>
      </c>
      <c r="R16" t="e">
        <f>AND(#REF!,"AAAAAF+v9RE=")</f>
        <v>#REF!</v>
      </c>
      <c r="S16" t="e">
        <f>AND(#REF!,"AAAAAF+v9RI=")</f>
        <v>#REF!</v>
      </c>
      <c r="T16" t="e">
        <f>AND(#REF!,"AAAAAF+v9RM=")</f>
        <v>#REF!</v>
      </c>
      <c r="U16" t="e">
        <f>AND(#REF!,"AAAAAF+v9RQ=")</f>
        <v>#REF!</v>
      </c>
      <c r="V16" t="e">
        <f>AND(#REF!,"AAAAAF+v9RU=")</f>
        <v>#REF!</v>
      </c>
      <c r="W16" t="e">
        <f>AND(#REF!,"AAAAAF+v9RY=")</f>
        <v>#REF!</v>
      </c>
      <c r="X16" t="e">
        <f>AND(#REF!,"AAAAAF+v9Rc=")</f>
        <v>#REF!</v>
      </c>
      <c r="Y16" t="e">
        <f>AND(#REF!,"AAAAAF+v9Rg=")</f>
        <v>#REF!</v>
      </c>
      <c r="Z16" t="e">
        <f>AND(#REF!,"AAAAAF+v9Rk=")</f>
        <v>#REF!</v>
      </c>
      <c r="AA16" t="e">
        <f>AND(#REF!,"AAAAAF+v9Ro=")</f>
        <v>#REF!</v>
      </c>
      <c r="AB16" t="e">
        <f>AND(#REF!,"AAAAAF+v9Rs=")</f>
        <v>#REF!</v>
      </c>
      <c r="AC16" t="e">
        <f>AND(#REF!,"AAAAAF+v9Rw=")</f>
        <v>#REF!</v>
      </c>
      <c r="AD16" t="e">
        <f>IF(#REF!,"AAAAAF+v9R0=",0)</f>
        <v>#REF!</v>
      </c>
      <c r="AE16" t="e">
        <f>AND(#REF!,"AAAAAF+v9R4=")</f>
        <v>#REF!</v>
      </c>
      <c r="AF16" t="e">
        <f>AND(#REF!,"AAAAAF+v9R8=")</f>
        <v>#REF!</v>
      </c>
      <c r="AG16" t="e">
        <f>AND(#REF!,"AAAAAF+v9SA=")</f>
        <v>#REF!</v>
      </c>
      <c r="AH16" t="e">
        <f>AND(#REF!,"AAAAAF+v9SE=")</f>
        <v>#REF!</v>
      </c>
      <c r="AI16" t="e">
        <f>AND(#REF!,"AAAAAF+v9SI=")</f>
        <v>#REF!</v>
      </c>
      <c r="AJ16" t="e">
        <f>AND(#REF!,"AAAAAF+v9SM=")</f>
        <v>#REF!</v>
      </c>
      <c r="AK16" t="e">
        <f>AND(#REF!,"AAAAAF+v9SQ=")</f>
        <v>#REF!</v>
      </c>
      <c r="AL16" t="e">
        <f>AND(#REF!,"AAAAAF+v9SU=")</f>
        <v>#REF!</v>
      </c>
      <c r="AM16" t="e">
        <f>AND(#REF!,"AAAAAF+v9SY=")</f>
        <v>#REF!</v>
      </c>
      <c r="AN16" t="e">
        <f>AND(#REF!,"AAAAAF+v9Sc=")</f>
        <v>#REF!</v>
      </c>
      <c r="AO16" t="e">
        <f>AND(#REF!,"AAAAAF+v9Sg=")</f>
        <v>#REF!</v>
      </c>
      <c r="AP16" t="e">
        <f>AND(#REF!,"AAAAAF+v9Sk=")</f>
        <v>#REF!</v>
      </c>
      <c r="AQ16" t="e">
        <f>AND(#REF!,"AAAAAF+v9So=")</f>
        <v>#REF!</v>
      </c>
      <c r="AR16" t="e">
        <f>AND(#REF!,"AAAAAF+v9Ss=")</f>
        <v>#REF!</v>
      </c>
      <c r="AS16" t="e">
        <f>IF(#REF!,"AAAAAF+v9Sw=",0)</f>
        <v>#REF!</v>
      </c>
      <c r="AT16" t="e">
        <f>AND(#REF!,"AAAAAF+v9S0=")</f>
        <v>#REF!</v>
      </c>
      <c r="AU16" t="e">
        <f>AND(#REF!,"AAAAAF+v9S4=")</f>
        <v>#REF!</v>
      </c>
      <c r="AV16" t="e">
        <f>AND(#REF!,"AAAAAF+v9S8=")</f>
        <v>#REF!</v>
      </c>
      <c r="AW16" t="e">
        <f>AND(#REF!,"AAAAAF+v9TA=")</f>
        <v>#REF!</v>
      </c>
      <c r="AX16" t="e">
        <f>AND(#REF!,"AAAAAF+v9TE=")</f>
        <v>#REF!</v>
      </c>
      <c r="AY16" t="e">
        <f>AND(#REF!,"AAAAAF+v9TI=")</f>
        <v>#REF!</v>
      </c>
      <c r="AZ16" t="e">
        <f>AND(#REF!,"AAAAAF+v9TM=")</f>
        <v>#REF!</v>
      </c>
      <c r="BA16" t="e">
        <f>AND(#REF!,"AAAAAF+v9TQ=")</f>
        <v>#REF!</v>
      </c>
      <c r="BB16" t="e">
        <f>AND(#REF!,"AAAAAF+v9TU=")</f>
        <v>#REF!</v>
      </c>
      <c r="BC16" t="e">
        <f>AND(#REF!,"AAAAAF+v9TY=")</f>
        <v>#REF!</v>
      </c>
      <c r="BD16" t="e">
        <f>AND(#REF!,"AAAAAF+v9Tc=")</f>
        <v>#REF!</v>
      </c>
      <c r="BE16" t="e">
        <f>AND(#REF!,"AAAAAF+v9Tg=")</f>
        <v>#REF!</v>
      </c>
      <c r="BF16" t="e">
        <f>AND(#REF!,"AAAAAF+v9Tk=")</f>
        <v>#REF!</v>
      </c>
      <c r="BG16" t="e">
        <f>AND(#REF!,"AAAAAF+v9To=")</f>
        <v>#REF!</v>
      </c>
      <c r="BH16" t="e">
        <f>IF(#REF!,"AAAAAF+v9Ts=",0)</f>
        <v>#REF!</v>
      </c>
      <c r="BI16" t="e">
        <f>AND(#REF!,"AAAAAF+v9Tw=")</f>
        <v>#REF!</v>
      </c>
      <c r="BJ16" t="e">
        <f>AND(#REF!,"AAAAAF+v9T0=")</f>
        <v>#REF!</v>
      </c>
      <c r="BK16" t="e">
        <f>AND(#REF!,"AAAAAF+v9T4=")</f>
        <v>#REF!</v>
      </c>
      <c r="BL16" t="e">
        <f>AND(#REF!,"AAAAAF+v9T8=")</f>
        <v>#REF!</v>
      </c>
      <c r="BM16" t="e">
        <f>AND(#REF!,"AAAAAF+v9UA=")</f>
        <v>#REF!</v>
      </c>
      <c r="BN16" t="e">
        <f>AND(#REF!,"AAAAAF+v9UE=")</f>
        <v>#REF!</v>
      </c>
      <c r="BO16" t="e">
        <f>AND(#REF!,"AAAAAF+v9UI=")</f>
        <v>#REF!</v>
      </c>
      <c r="BP16" t="e">
        <f>AND(#REF!,"AAAAAF+v9UM=")</f>
        <v>#REF!</v>
      </c>
      <c r="BQ16" t="e">
        <f>AND(#REF!,"AAAAAF+v9UQ=")</f>
        <v>#REF!</v>
      </c>
      <c r="BR16" t="e">
        <f>AND(#REF!,"AAAAAF+v9UU=")</f>
        <v>#REF!</v>
      </c>
      <c r="BS16" t="e">
        <f>AND(#REF!,"AAAAAF+v9UY=")</f>
        <v>#REF!</v>
      </c>
      <c r="BT16" t="e">
        <f>AND(#REF!,"AAAAAF+v9Uc=")</f>
        <v>#REF!</v>
      </c>
      <c r="BU16" t="e">
        <f>AND(#REF!,"AAAAAF+v9Ug=")</f>
        <v>#REF!</v>
      </c>
      <c r="BV16" t="e">
        <f>AND(#REF!,"AAAAAF+v9Uk=")</f>
        <v>#REF!</v>
      </c>
      <c r="BW16" t="e">
        <f>IF(#REF!,"AAAAAF+v9Uo=",0)</f>
        <v>#REF!</v>
      </c>
      <c r="BX16" t="e">
        <f>AND(#REF!,"AAAAAF+v9Us=")</f>
        <v>#REF!</v>
      </c>
      <c r="BY16" t="e">
        <f>AND(#REF!,"AAAAAF+v9Uw=")</f>
        <v>#REF!</v>
      </c>
      <c r="BZ16" t="e">
        <f>AND(#REF!,"AAAAAF+v9U0=")</f>
        <v>#REF!</v>
      </c>
      <c r="CA16" t="e">
        <f>AND(#REF!,"AAAAAF+v9U4=")</f>
        <v>#REF!</v>
      </c>
      <c r="CB16" t="e">
        <f>AND(#REF!,"AAAAAF+v9U8=")</f>
        <v>#REF!</v>
      </c>
      <c r="CC16" t="e">
        <f>AND(#REF!,"AAAAAF+v9VA=")</f>
        <v>#REF!</v>
      </c>
      <c r="CD16" t="e">
        <f>AND(#REF!,"AAAAAF+v9VE=")</f>
        <v>#REF!</v>
      </c>
      <c r="CE16" t="e">
        <f>AND(#REF!,"AAAAAF+v9VI=")</f>
        <v>#REF!</v>
      </c>
      <c r="CF16" t="e">
        <f>AND(#REF!,"AAAAAF+v9VM=")</f>
        <v>#REF!</v>
      </c>
      <c r="CG16" t="e">
        <f>AND(#REF!,"AAAAAF+v9VQ=")</f>
        <v>#REF!</v>
      </c>
      <c r="CH16" t="e">
        <f>AND(#REF!,"AAAAAF+v9VU=")</f>
        <v>#REF!</v>
      </c>
      <c r="CI16" t="e">
        <f>AND(#REF!,"AAAAAF+v9VY=")</f>
        <v>#REF!</v>
      </c>
      <c r="CJ16" t="e">
        <f>AND(#REF!,"AAAAAF+v9Vc=")</f>
        <v>#REF!</v>
      </c>
      <c r="CK16" t="e">
        <f>AND(#REF!,"AAAAAF+v9Vg=")</f>
        <v>#REF!</v>
      </c>
      <c r="CL16" t="e">
        <f>IF(#REF!,"AAAAAF+v9Vk=",0)</f>
        <v>#REF!</v>
      </c>
      <c r="CM16" t="e">
        <f>AND(#REF!,"AAAAAF+v9Vo=")</f>
        <v>#REF!</v>
      </c>
      <c r="CN16" t="e">
        <f>AND(#REF!,"AAAAAF+v9Vs=")</f>
        <v>#REF!</v>
      </c>
      <c r="CO16" t="e">
        <f>AND(#REF!,"AAAAAF+v9Vw=")</f>
        <v>#REF!</v>
      </c>
      <c r="CP16" t="e">
        <f>AND(#REF!,"AAAAAF+v9V0=")</f>
        <v>#REF!</v>
      </c>
      <c r="CQ16" t="e">
        <f>AND(#REF!,"AAAAAF+v9V4=")</f>
        <v>#REF!</v>
      </c>
      <c r="CR16" t="e">
        <f>AND(#REF!,"AAAAAF+v9V8=")</f>
        <v>#REF!</v>
      </c>
      <c r="CS16" t="e">
        <f>AND(#REF!,"AAAAAF+v9WA=")</f>
        <v>#REF!</v>
      </c>
      <c r="CT16" t="e">
        <f>AND(#REF!,"AAAAAF+v9WE=")</f>
        <v>#REF!</v>
      </c>
      <c r="CU16" t="e">
        <f>AND(#REF!,"AAAAAF+v9WI=")</f>
        <v>#REF!</v>
      </c>
      <c r="CV16" t="e">
        <f>AND(#REF!,"AAAAAF+v9WM=")</f>
        <v>#REF!</v>
      </c>
      <c r="CW16" t="e">
        <f>AND(#REF!,"AAAAAF+v9WQ=")</f>
        <v>#REF!</v>
      </c>
      <c r="CX16" t="e">
        <f>AND(#REF!,"AAAAAF+v9WU=")</f>
        <v>#REF!</v>
      </c>
      <c r="CY16" t="e">
        <f>AND(#REF!,"AAAAAF+v9WY=")</f>
        <v>#REF!</v>
      </c>
      <c r="CZ16" t="e">
        <f>AND(#REF!,"AAAAAF+v9Wc=")</f>
        <v>#REF!</v>
      </c>
      <c r="DA16" t="e">
        <f>IF(#REF!,"AAAAAF+v9Wg=",0)</f>
        <v>#REF!</v>
      </c>
      <c r="DB16" t="e">
        <f>IF(#REF!,"AAAAAF+v9Wk=",0)</f>
        <v>#REF!</v>
      </c>
      <c r="DC16" t="e">
        <f>IF(#REF!,"AAAAAF+v9Wo=",0)</f>
        <v>#REF!</v>
      </c>
      <c r="DD16" t="e">
        <f>IF(#REF!,"AAAAAF+v9Ws=",0)</f>
        <v>#REF!</v>
      </c>
      <c r="DE16" t="e">
        <f>IF(#REF!,"AAAAAF+v9Ww=",0)</f>
        <v>#REF!</v>
      </c>
      <c r="DF16" t="e">
        <f>IF(#REF!,"AAAAAF+v9W0=",0)</f>
        <v>#REF!</v>
      </c>
      <c r="DG16" t="e">
        <f>IF(#REF!,"AAAAAF+v9W4=",0)</f>
        <v>#REF!</v>
      </c>
      <c r="DH16" t="e">
        <f>IF(#REF!,"AAAAAF+v9W8=",0)</f>
        <v>#REF!</v>
      </c>
      <c r="DI16" t="e">
        <f>IF(#REF!,"AAAAAF+v9XA=",0)</f>
        <v>#REF!</v>
      </c>
      <c r="DJ16" t="e">
        <f>IF(#REF!,"AAAAAF+v9XE=",0)</f>
        <v>#REF!</v>
      </c>
      <c r="DK16" t="e">
        <f>IF(#REF!,"AAAAAF+v9XI=",0)</f>
        <v>#REF!</v>
      </c>
      <c r="DL16" t="e">
        <f>IF(#REF!,"AAAAAF+v9XM=",0)</f>
        <v>#REF!</v>
      </c>
      <c r="DM16" t="e">
        <f>IF(#REF!,"AAAAAF+v9XQ=",0)</f>
        <v>#REF!</v>
      </c>
      <c r="DN16" t="e">
        <f>IF(#REF!,"AAAAAF+v9XU=",0)</f>
        <v>#REF!</v>
      </c>
      <c r="DO16">
        <f>IF('MvsD 8'!1:1,"AAAAAF+v9XY=",0)</f>
        <v>0</v>
      </c>
      <c r="DP16" t="e">
        <f>AND('MvsD 8'!#REF!,"AAAAAF+v9Xc=")</f>
        <v>#REF!</v>
      </c>
      <c r="DQ16" t="e">
        <f>AND('MvsD 8'!#REF!,"AAAAAF+v9Xg=")</f>
        <v>#REF!</v>
      </c>
      <c r="DR16" t="e">
        <f>AND('MvsD 8'!A1,"AAAAAF+v9Xk=")</f>
        <v>#VALUE!</v>
      </c>
      <c r="DS16" t="e">
        <f>AND('MvsD 8'!B1,"AAAAAF+v9Xo=")</f>
        <v>#VALUE!</v>
      </c>
      <c r="DT16" t="e">
        <f>AND('MvsD 8'!C1,"AAAAAF+v9Xs=")</f>
        <v>#VALUE!</v>
      </c>
      <c r="DU16" t="e">
        <f>AND('MvsD 8'!D1,"AAAAAF+v9Xw=")</f>
        <v>#VALUE!</v>
      </c>
      <c r="DV16" t="e">
        <f>AND('MvsD 8'!E1,"AAAAAF+v9X0=")</f>
        <v>#VALUE!</v>
      </c>
      <c r="DW16" t="e">
        <f>AND('MvsD 8'!F1,"AAAAAF+v9X4=")</f>
        <v>#VALUE!</v>
      </c>
      <c r="DX16" t="e">
        <f>AND('MvsD 8'!#REF!,"AAAAAF+v9X8=")</f>
        <v>#REF!</v>
      </c>
      <c r="DY16" t="e">
        <f>AND('MvsD 8'!#REF!,"AAAAAF+v9YA=")</f>
        <v>#REF!</v>
      </c>
      <c r="DZ16" t="e">
        <f>AND('MvsD 8'!I1,"AAAAAF+v9YE=")</f>
        <v>#VALUE!</v>
      </c>
      <c r="EA16" t="e">
        <f>AND('MvsD 8'!J1,"AAAAAF+v9YI=")</f>
        <v>#VALUE!</v>
      </c>
      <c r="EB16" t="e">
        <f>AND('MvsD 8'!K1,"AAAAAF+v9YM=")</f>
        <v>#VALUE!</v>
      </c>
      <c r="EC16" t="e">
        <f>AND('MvsD 8'!L1,"AAAAAF+v9YQ=")</f>
        <v>#VALUE!</v>
      </c>
      <c r="ED16">
        <f>IF('MvsD 8'!2:2,"AAAAAF+v9YU=",0)</f>
        <v>0</v>
      </c>
      <c r="EE16" t="b">
        <f>AND('King Saga 36'!BG1,"AAAAAF+v9YY=")</f>
        <v>1</v>
      </c>
      <c r="EF16" t="e">
        <f>AND('King Saga 36'!BH1,"AAAAAF+v9Yc=")</f>
        <v>#VALUE!</v>
      </c>
      <c r="EG16" t="b">
        <f>AND('MvsD 8'!A2,"AAAAAF+v9Yg=")</f>
        <v>1</v>
      </c>
      <c r="EH16" t="e">
        <f>AND('MvsD 8'!B2,"AAAAAF+v9Yk=")</f>
        <v>#VALUE!</v>
      </c>
      <c r="EI16" t="b">
        <f>AND('MvsD 8'!C2,"AAAAAF+v9Yo=")</f>
        <v>1</v>
      </c>
      <c r="EJ16" t="e">
        <f>AND('MvsD 8'!D2,"AAAAAF+v9Ys=")</f>
        <v>#VALUE!</v>
      </c>
      <c r="EK16" t="b">
        <f>AND('MvsD 8'!E2,"AAAAAF+v9Yw=")</f>
        <v>1</v>
      </c>
      <c r="EL16" t="e">
        <f>AND('MvsD 8'!F2,"AAAAAF+v9Y0=")</f>
        <v>#VALUE!</v>
      </c>
      <c r="EM16" t="e">
        <f>AND('MvsD 8'!#REF!,"AAAAAF+v9Y4=")</f>
        <v>#REF!</v>
      </c>
      <c r="EN16" t="e">
        <f>AND('MvsD 8'!#REF!,"AAAAAF+v9Y8=")</f>
        <v>#REF!</v>
      </c>
      <c r="EO16" t="b">
        <f>AND('MvsD 8'!I2,"AAAAAF+v9ZA=")</f>
        <v>1</v>
      </c>
      <c r="EP16" t="e">
        <f>AND('MvsD 8'!J2,"AAAAAF+v9ZE=")</f>
        <v>#VALUE!</v>
      </c>
      <c r="EQ16" t="e">
        <f>AND('MvsD 8'!#REF!,"AAAAAF+v9ZI=")</f>
        <v>#REF!</v>
      </c>
      <c r="ER16" t="e">
        <f>AND('MvsD 8'!#REF!,"AAAAAF+v9ZM=")</f>
        <v>#REF!</v>
      </c>
      <c r="ES16">
        <f>IF('MvsD 8'!3:3,"AAAAAF+v9ZQ=",0)</f>
        <v>0</v>
      </c>
      <c r="ET16" t="b">
        <f>AND('King Saga 36'!BG2,"AAAAAF+v9ZU=")</f>
        <v>1</v>
      </c>
      <c r="EU16" t="e">
        <f>AND('King Saga 36'!BH2,"AAAAAF+v9ZY=")</f>
        <v>#VALUE!</v>
      </c>
      <c r="EV16" t="b">
        <f>AND('MvsD 8'!A3,"AAAAAF+v9Zc=")</f>
        <v>1</v>
      </c>
      <c r="EW16" t="e">
        <f>AND('MvsD 8'!B3,"AAAAAF+v9Zg=")</f>
        <v>#VALUE!</v>
      </c>
      <c r="EX16" t="b">
        <f>AND('MvsD 8'!C3,"AAAAAF+v9Zk=")</f>
        <v>1</v>
      </c>
      <c r="EY16" t="e">
        <f>AND('MvsD 8'!D3,"AAAAAF+v9Zo=")</f>
        <v>#VALUE!</v>
      </c>
      <c r="EZ16" t="b">
        <f>AND('MvsD 8'!E3,"AAAAAF+v9Zs=")</f>
        <v>1</v>
      </c>
      <c r="FA16" t="e">
        <f>AND('MvsD 8'!F3,"AAAAAF+v9Zw=")</f>
        <v>#VALUE!</v>
      </c>
      <c r="FB16" t="e">
        <f>AND('MvsD 8'!#REF!,"AAAAAF+v9Z0=")</f>
        <v>#REF!</v>
      </c>
      <c r="FC16" t="e">
        <f>AND('MvsD 8'!#REF!,"AAAAAF+v9Z4=")</f>
        <v>#REF!</v>
      </c>
      <c r="FD16" t="e">
        <f>AND('MvsD 8'!#REF!,"AAAAAF+v9Z8=")</f>
        <v>#REF!</v>
      </c>
      <c r="FE16" t="e">
        <f>AND('MvsD 8'!#REF!,"AAAAAF+v9aA=")</f>
        <v>#REF!</v>
      </c>
      <c r="FF16" t="e">
        <f>AND('MvsD 8'!#REF!,"AAAAAF+v9aE=")</f>
        <v>#REF!</v>
      </c>
      <c r="FG16" t="e">
        <f>AND('MvsD 8'!#REF!,"AAAAAF+v9aI=")</f>
        <v>#REF!</v>
      </c>
      <c r="FH16">
        <f>IF('MvsD 8'!4:4,"AAAAAF+v9aM=",0)</f>
        <v>0</v>
      </c>
      <c r="FI16" t="e">
        <f>AND('King Saga 36'!#REF!,"AAAAAF+v9aQ=")</f>
        <v>#REF!</v>
      </c>
      <c r="FJ16" t="e">
        <f>AND('King Saga 36'!BH7,"AAAAAF+v9aU=")</f>
        <v>#VALUE!</v>
      </c>
      <c r="FK16" t="b">
        <f>AND('MvsD 8'!A4,"AAAAAF+v9aY=")</f>
        <v>1</v>
      </c>
      <c r="FL16" t="e">
        <f>AND('MvsD 8'!B4,"AAAAAF+v9ac=")</f>
        <v>#VALUE!</v>
      </c>
      <c r="FM16" t="b">
        <f>AND('MvsD 8'!C4,"AAAAAF+v9ag=")</f>
        <v>1</v>
      </c>
      <c r="FN16" t="e">
        <f>AND('MvsD 8'!D4,"AAAAAF+v9ak=")</f>
        <v>#VALUE!</v>
      </c>
      <c r="FO16" t="b">
        <f>AND('MvsD 8'!E4,"AAAAAF+v9ao=")</f>
        <v>1</v>
      </c>
      <c r="FP16" t="e">
        <f>AND('MvsD 8'!F4,"AAAAAF+v9as=")</f>
        <v>#VALUE!</v>
      </c>
      <c r="FQ16" t="e">
        <f>AND('MvsD 8'!#REF!,"AAAAAF+v9aw=")</f>
        <v>#REF!</v>
      </c>
      <c r="FR16" t="e">
        <f>AND('MvsD 8'!#REF!,"AAAAAF+v9a0=")</f>
        <v>#REF!</v>
      </c>
      <c r="FS16" t="b">
        <f>AND('MvsD 8'!I3,"AAAAAF+v9a4=")</f>
        <v>1</v>
      </c>
      <c r="FT16" t="e">
        <f>AND('MvsD 8'!J3,"AAAAAF+v9a8=")</f>
        <v>#VALUE!</v>
      </c>
      <c r="FU16" t="e">
        <f>AND('MvsD 8'!#REF!,"AAAAAF+v9bA=")</f>
        <v>#REF!</v>
      </c>
      <c r="FV16" t="e">
        <f>AND('MvsD 8'!#REF!,"AAAAAF+v9bE=")</f>
        <v>#REF!</v>
      </c>
      <c r="FW16">
        <f>IF('MvsD 8'!5:5,"AAAAAF+v9bI=",0)</f>
        <v>0</v>
      </c>
      <c r="FX16" t="b">
        <f>AND('King Saga 36'!BG4,"AAAAAF+v9bM=")</f>
        <v>1</v>
      </c>
      <c r="FY16" t="e">
        <f>AND('King Saga 36'!BH4,"AAAAAF+v9bQ=")</f>
        <v>#VALUE!</v>
      </c>
      <c r="FZ16" t="b">
        <f>AND('MvsD 8'!A5,"AAAAAF+v9bU=")</f>
        <v>1</v>
      </c>
      <c r="GA16" t="e">
        <f>AND('MvsD 8'!B5,"AAAAAF+v9bY=")</f>
        <v>#VALUE!</v>
      </c>
      <c r="GB16" t="b">
        <f>AND('MvsD 8'!C5,"AAAAAF+v9bc=")</f>
        <v>1</v>
      </c>
      <c r="GC16" t="e">
        <f>AND('MvsD 8'!D5,"AAAAAF+v9bg=")</f>
        <v>#VALUE!</v>
      </c>
      <c r="GD16" t="b">
        <f>AND('MvsD 8'!E5,"AAAAAF+v9bk=")</f>
        <v>1</v>
      </c>
      <c r="GE16" t="e">
        <f>AND('MvsD 8'!F5,"AAAAAF+v9bo=")</f>
        <v>#VALUE!</v>
      </c>
      <c r="GF16" t="e">
        <f>AND('MvsD 8'!#REF!,"AAAAAF+v9bs=")</f>
        <v>#REF!</v>
      </c>
      <c r="GG16" t="e">
        <f>AND('MvsD 8'!#REF!,"AAAAAF+v9bw=")</f>
        <v>#REF!</v>
      </c>
      <c r="GH16" t="e">
        <f>AND('MvsD 8'!#REF!,"AAAAAF+v9b0=")</f>
        <v>#REF!</v>
      </c>
      <c r="GI16" t="e">
        <f>AND('MvsD 8'!#REF!,"AAAAAF+v9b4=")</f>
        <v>#REF!</v>
      </c>
      <c r="GJ16" t="e">
        <f>AND('MvsD 8'!#REF!,"AAAAAF+v9b8=")</f>
        <v>#REF!</v>
      </c>
      <c r="GK16" t="e">
        <f>AND('MvsD 8'!#REF!,"AAAAAF+v9cA=")</f>
        <v>#REF!</v>
      </c>
      <c r="GL16">
        <f>IF('MvsD 8'!6:6,"AAAAAF+v9cE=",0)</f>
        <v>0</v>
      </c>
      <c r="GM16" t="b">
        <f>AND('King Saga 36'!BG5,"AAAAAF+v9cI=")</f>
        <v>1</v>
      </c>
      <c r="GN16" t="e">
        <f>AND('King Saga 36'!BH5,"AAAAAF+v9cM=")</f>
        <v>#VALUE!</v>
      </c>
      <c r="GO16" t="b">
        <f>AND('MvsD 8'!A6,"AAAAAF+v9cQ=")</f>
        <v>1</v>
      </c>
      <c r="GP16" t="e">
        <f>AND('MvsD 8'!B6,"AAAAAF+v9cU=")</f>
        <v>#VALUE!</v>
      </c>
      <c r="GQ16" t="b">
        <f>AND('MvsD 8'!C13,"AAAAAF+v9cY=")</f>
        <v>1</v>
      </c>
      <c r="GR16" t="e">
        <f>AND('MvsD 8'!D13,"AAAAAF+v9cc=")</f>
        <v>#VALUE!</v>
      </c>
      <c r="GS16" t="b">
        <f>AND('MvsD 8'!E6,"AAAAAF+v9cg=")</f>
        <v>1</v>
      </c>
      <c r="GT16" t="e">
        <f>AND('MvsD 8'!F6,"AAAAAF+v9ck=")</f>
        <v>#VALUE!</v>
      </c>
      <c r="GU16" t="e">
        <f>AND('MvsD 8'!#REF!,"AAAAAF+v9co=")</f>
        <v>#REF!</v>
      </c>
      <c r="GV16" t="e">
        <f>AND('MvsD 8'!#REF!,"AAAAAF+v9cs=")</f>
        <v>#REF!</v>
      </c>
      <c r="GW16" t="b">
        <f>AND('MvsD 8'!I6,"AAAAAF+v9cw=")</f>
        <v>1</v>
      </c>
      <c r="GX16" t="e">
        <f>AND('MvsD 8'!#REF!,"AAAAAF+v9c0=")</f>
        <v>#REF!</v>
      </c>
      <c r="GY16" t="e">
        <f>AND('MvsD 8'!#REF!,"AAAAAF+v9c4=")</f>
        <v>#REF!</v>
      </c>
      <c r="GZ16" t="e">
        <f>AND('MvsD 8'!#REF!,"AAAAAF+v9c8=")</f>
        <v>#REF!</v>
      </c>
      <c r="HA16">
        <f>IF('MvsD 8'!7:7,"AAAAAF+v9dA=",0)</f>
        <v>0</v>
      </c>
      <c r="HB16" t="b">
        <f>AND('King Saga 36'!BG6,"AAAAAF+v9dE=")</f>
        <v>1</v>
      </c>
      <c r="HC16" t="e">
        <f>AND('King Saga 36'!BH3,"AAAAAF+v9dI=")</f>
        <v>#VALUE!</v>
      </c>
      <c r="HD16" t="b">
        <f>AND('MvsD 8'!A7,"AAAAAF+v9dM=")</f>
        <v>1</v>
      </c>
      <c r="HE16" t="e">
        <f>AND('MvsD 8'!B7,"AAAAAF+v9dQ=")</f>
        <v>#VALUE!</v>
      </c>
      <c r="HF16" t="b">
        <f>AND('MvsD 8'!C6,"AAAAAF+v9dU=")</f>
        <v>1</v>
      </c>
      <c r="HG16" t="e">
        <f>AND('MvsD 8'!D6,"AAAAAF+v9dY=")</f>
        <v>#VALUE!</v>
      </c>
      <c r="HH16" t="b">
        <f>AND('MvsD 8'!E7,"AAAAAF+v9dc=")</f>
        <v>1</v>
      </c>
      <c r="HI16" t="e">
        <f>AND('MvsD 8'!F7,"AAAAAF+v9dg=")</f>
        <v>#VALUE!</v>
      </c>
      <c r="HJ16" t="e">
        <f>AND('MvsD 8'!#REF!,"AAAAAF+v9dk=")</f>
        <v>#REF!</v>
      </c>
      <c r="HK16" t="e">
        <f>AND('MvsD 8'!#REF!,"AAAAAF+v9do=")</f>
        <v>#REF!</v>
      </c>
      <c r="HL16" t="b">
        <f>AND('MvsD 8'!I7,"AAAAAF+v9ds=")</f>
        <v>1</v>
      </c>
      <c r="HM16" t="e">
        <f>AND('MvsD 8'!#REF!,"AAAAAF+v9dw=")</f>
        <v>#REF!</v>
      </c>
      <c r="HN16" t="e">
        <f>AND('MvsD 8'!#REF!,"AAAAAF+v9d0=")</f>
        <v>#REF!</v>
      </c>
      <c r="HO16" t="e">
        <f>AND('MvsD 8'!#REF!,"AAAAAF+v9d4=")</f>
        <v>#REF!</v>
      </c>
      <c r="HP16">
        <f>IF('MvsD 8'!8:8,"AAAAAF+v9d8=",0)</f>
        <v>0</v>
      </c>
      <c r="HQ16" t="b">
        <f>AND('King Saga 36'!BG13,"AAAAAF+v9eA=")</f>
        <v>1</v>
      </c>
      <c r="HR16" t="e">
        <f>AND('King Saga 36'!BH13,"AAAAAF+v9eE=")</f>
        <v>#VALUE!</v>
      </c>
      <c r="HS16" t="b">
        <f>AND('MvsD 8'!A9,"AAAAAF+v9eI=")</f>
        <v>1</v>
      </c>
      <c r="HT16" t="e">
        <f>AND('MvsD 8'!B9,"AAAAAF+v9eM=")</f>
        <v>#VALUE!</v>
      </c>
      <c r="HU16" t="e">
        <f>AND('MvsD 8'!#REF!,"AAAAAF+v9eQ=")</f>
        <v>#REF!</v>
      </c>
      <c r="HV16" t="e">
        <f>AND('MvsD 8'!#REF!,"AAAAAF+v9eU=")</f>
        <v>#REF!</v>
      </c>
      <c r="HW16" t="b">
        <f>AND('MvsD 8'!E8,"AAAAAF+v9eY=")</f>
        <v>1</v>
      </c>
      <c r="HX16" t="e">
        <f>AND('MvsD 8'!F8,"AAAAAF+v9ec=")</f>
        <v>#VALUE!</v>
      </c>
      <c r="HY16" t="e">
        <f>AND('MvsD 8'!#REF!,"AAAAAF+v9eg=")</f>
        <v>#REF!</v>
      </c>
      <c r="HZ16" t="e">
        <f>AND('MvsD 8'!#REF!,"AAAAAF+v9ek=")</f>
        <v>#REF!</v>
      </c>
      <c r="IA16" t="e">
        <f>AND('MvsD 8'!#REF!,"AAAAAF+v9eo=")</f>
        <v>#REF!</v>
      </c>
      <c r="IB16" t="e">
        <f>AND('MvsD 8'!#REF!,"AAAAAF+v9es=")</f>
        <v>#REF!</v>
      </c>
      <c r="IC16" t="e">
        <f>AND('MvsD 8'!#REF!,"AAAAAF+v9ew=")</f>
        <v>#REF!</v>
      </c>
      <c r="ID16" t="e">
        <f>AND('MvsD 8'!#REF!,"AAAAAF+v9e0=")</f>
        <v>#REF!</v>
      </c>
      <c r="IE16">
        <f>IF('MvsD 8'!9:9,"AAAAAF+v9e4=",0)</f>
        <v>0</v>
      </c>
      <c r="IF16" t="b">
        <f>AND('King Saga 36'!BG8,"AAAAAF+v9e8=")</f>
        <v>1</v>
      </c>
      <c r="IG16" t="e">
        <f>AND('King Saga 36'!BH8,"AAAAAF+v9fA=")</f>
        <v>#VALUE!</v>
      </c>
      <c r="IH16" t="b">
        <f>AND('MvsD 8'!A10,"AAAAAF+v9fE=")</f>
        <v>1</v>
      </c>
      <c r="II16" t="e">
        <f>AND('MvsD 8'!B10,"AAAAAF+v9fI=")</f>
        <v>#VALUE!</v>
      </c>
      <c r="IJ16" t="b">
        <f>AND('MvsD 8'!C9,"AAAAAF+v9fM=")</f>
        <v>1</v>
      </c>
      <c r="IK16" t="e">
        <f>AND('MvsD 8'!D9,"AAAAAF+v9fQ=")</f>
        <v>#VALUE!</v>
      </c>
      <c r="IL16" t="b">
        <f>AND('MvsD 8'!E10,"AAAAAF+v9fU=")</f>
        <v>1</v>
      </c>
      <c r="IM16" t="e">
        <f>AND('MvsD 8'!F10,"AAAAAF+v9fY=")</f>
        <v>#VALUE!</v>
      </c>
      <c r="IN16" t="e">
        <f>AND('MvsD 8'!#REF!,"AAAAAF+v9fc=")</f>
        <v>#REF!</v>
      </c>
      <c r="IO16" t="e">
        <f>AND('MvsD 8'!#REF!,"AAAAAF+v9fg=")</f>
        <v>#REF!</v>
      </c>
      <c r="IP16" t="e">
        <f>AND('MvsD 8'!#REF!,"AAAAAF+v9fk=")</f>
        <v>#REF!</v>
      </c>
      <c r="IQ16" t="e">
        <f>AND('MvsD 8'!#REF!,"AAAAAF+v9fo=")</f>
        <v>#REF!</v>
      </c>
      <c r="IR16" t="e">
        <f>AND('MvsD 8'!#REF!,"AAAAAF+v9fs=")</f>
        <v>#REF!</v>
      </c>
      <c r="IS16" t="e">
        <f>AND('MvsD 8'!#REF!,"AAAAAF+v9fw=")</f>
        <v>#REF!</v>
      </c>
      <c r="IT16">
        <f>IF('MvsD 8'!10:10,"AAAAAF+v9f0=",0)</f>
        <v>0</v>
      </c>
      <c r="IU16" t="b">
        <f>AND('King Saga 36'!BG9,"AAAAAF+v9f4=")</f>
        <v>1</v>
      </c>
      <c r="IV16" t="e">
        <f>AND('King Saga 36'!BH9,"AAAAAF+v9f8=")</f>
        <v>#VALUE!</v>
      </c>
    </row>
    <row r="17" spans="1:256">
      <c r="A17" t="b">
        <f>AND('MvsD 8'!A11,"AAAAADfL9wA=")</f>
        <v>1</v>
      </c>
      <c r="B17" t="e">
        <f>AND('MvsD 8'!B11,"AAAAADfL9wE=")</f>
        <v>#VALUE!</v>
      </c>
      <c r="C17" t="b">
        <f>AND('MvsD 8'!C10,"AAAAADfL9wI=")</f>
        <v>1</v>
      </c>
      <c r="D17" t="e">
        <f>AND('MvsD 8'!D10,"AAAAADfL9wM=")</f>
        <v>#VALUE!</v>
      </c>
      <c r="E17" t="b">
        <f>AND('MvsD 8'!E11,"AAAAADfL9wQ=")</f>
        <v>1</v>
      </c>
      <c r="F17" t="e">
        <f>AND('MvsD 8'!F11,"AAAAADfL9wU=")</f>
        <v>#VALUE!</v>
      </c>
      <c r="G17" t="e">
        <f>AND('MvsD 8'!#REF!,"AAAAADfL9wY=")</f>
        <v>#REF!</v>
      </c>
      <c r="H17" t="e">
        <f>AND('MvsD 8'!#REF!,"AAAAADfL9wc=")</f>
        <v>#REF!</v>
      </c>
      <c r="I17" t="e">
        <f>AND('MvsD 8'!#REF!,"AAAAADfL9wg=")</f>
        <v>#REF!</v>
      </c>
      <c r="J17" t="e">
        <f>AND('MvsD 8'!#REF!,"AAAAADfL9wk=")</f>
        <v>#REF!</v>
      </c>
      <c r="K17" t="e">
        <f>AND('MvsD 8'!#REF!,"AAAAADfL9wo=")</f>
        <v>#REF!</v>
      </c>
      <c r="L17" t="e">
        <f>AND('MvsD 8'!#REF!,"AAAAADfL9ws=")</f>
        <v>#REF!</v>
      </c>
      <c r="M17" t="str">
        <f>IF('MvsD 8'!11:11,"AAAAADfL9ww=",0)</f>
        <v>AAAAADfL9ww=</v>
      </c>
      <c r="N17" t="b">
        <f>AND('King Saga 36'!BG10,"AAAAADfL9w0=")</f>
        <v>1</v>
      </c>
      <c r="O17" t="e">
        <f>AND('King Saga 36'!BH10,"AAAAADfL9w4=")</f>
        <v>#VALUE!</v>
      </c>
      <c r="P17" t="b">
        <f>AND('MvsD 8'!A12,"AAAAADfL9w8=")</f>
        <v>1</v>
      </c>
      <c r="Q17" t="e">
        <f>AND('MvsD 8'!B12,"AAAAADfL9xA=")</f>
        <v>#VALUE!</v>
      </c>
      <c r="R17" t="e">
        <f>AND('MvsD 8'!#REF!,"AAAAADfL9xE=")</f>
        <v>#REF!</v>
      </c>
      <c r="S17" t="e">
        <f>AND('MvsD 8'!#REF!,"AAAAADfL9xI=")</f>
        <v>#REF!</v>
      </c>
      <c r="T17" t="b">
        <f>AND('MvsD 8'!E12,"AAAAADfL9xM=")</f>
        <v>1</v>
      </c>
      <c r="U17" t="e">
        <f>AND('MvsD 8'!F12,"AAAAADfL9xQ=")</f>
        <v>#VALUE!</v>
      </c>
      <c r="V17" t="e">
        <f>AND('MvsD 8'!#REF!,"AAAAADfL9xU=")</f>
        <v>#REF!</v>
      </c>
      <c r="W17" t="e">
        <f>AND('MvsD 8'!#REF!,"AAAAADfL9xY=")</f>
        <v>#REF!</v>
      </c>
      <c r="X17" t="b">
        <f>AND('MvsD 8'!I16,"AAAAADfL9xc=")</f>
        <v>1</v>
      </c>
      <c r="Y17" t="e">
        <f>AND('MvsD 8'!#REF!,"AAAAADfL9xg=")</f>
        <v>#REF!</v>
      </c>
      <c r="Z17" t="e">
        <f>AND('MvsD 8'!#REF!,"AAAAADfL9xk=")</f>
        <v>#REF!</v>
      </c>
      <c r="AA17" t="e">
        <f>AND('MvsD 8'!#REF!,"AAAAADfL9xo=")</f>
        <v>#REF!</v>
      </c>
      <c r="AB17">
        <f>IF('MvsD 8'!12:12,"AAAAADfL9xs=",0)</f>
        <v>0</v>
      </c>
      <c r="AC17" t="e">
        <f>AND('King Saga 36'!#REF!,"AAAAADfL9xw=")</f>
        <v>#REF!</v>
      </c>
      <c r="AD17" t="e">
        <f>AND('King Saga 36'!BH12,"AAAAADfL9x0=")</f>
        <v>#VALUE!</v>
      </c>
      <c r="AE17" t="b">
        <f>AND('MvsD 8'!A13,"AAAAADfL9x4=")</f>
        <v>1</v>
      </c>
      <c r="AF17" t="e">
        <f>AND('MvsD 8'!B13,"AAAAADfL9x8=")</f>
        <v>#VALUE!</v>
      </c>
      <c r="AG17" t="e">
        <f>AND('MvsD 8'!#REF!,"AAAAADfL9yA=")</f>
        <v>#REF!</v>
      </c>
      <c r="AH17" t="e">
        <f>AND('MvsD 8'!#REF!,"AAAAADfL9yE=")</f>
        <v>#REF!</v>
      </c>
      <c r="AI17" t="b">
        <f>AND('MvsD 8'!E13,"AAAAADfL9yI=")</f>
        <v>1</v>
      </c>
      <c r="AJ17" t="e">
        <f>AND('MvsD 8'!F13,"AAAAADfL9yM=")</f>
        <v>#VALUE!</v>
      </c>
      <c r="AK17" t="e">
        <f>AND('MvsD 8'!#REF!,"AAAAADfL9yQ=")</f>
        <v>#REF!</v>
      </c>
      <c r="AL17" t="e">
        <f>AND('MvsD 8'!#REF!,"AAAAADfL9yU=")</f>
        <v>#REF!</v>
      </c>
      <c r="AM17" t="e">
        <f>AND('MvsD 8'!#REF!,"AAAAADfL9yY=")</f>
        <v>#REF!</v>
      </c>
      <c r="AN17" t="e">
        <f>AND('MvsD 8'!#REF!,"AAAAADfL9yc=")</f>
        <v>#REF!</v>
      </c>
      <c r="AO17" t="e">
        <f>AND('MvsD 8'!#REF!,"AAAAADfL9yg=")</f>
        <v>#REF!</v>
      </c>
      <c r="AP17" t="e">
        <f>AND('MvsD 8'!#REF!,"AAAAADfL9yk=")</f>
        <v>#REF!</v>
      </c>
      <c r="AQ17">
        <f>IF('MvsD 8'!13:13,"AAAAADfL9yo=",0)</f>
        <v>0</v>
      </c>
      <c r="AR17" t="e">
        <f>AND('King Saga 36'!#REF!,"AAAAADfL9ys=")</f>
        <v>#REF!</v>
      </c>
      <c r="AS17" t="e">
        <f>AND('King Saga 36'!#REF!,"AAAAADfL9yw=")</f>
        <v>#REF!</v>
      </c>
      <c r="AT17" t="b">
        <f>AND('MvsD 8'!A14,"AAAAADfL9y0=")</f>
        <v>1</v>
      </c>
      <c r="AU17" t="e">
        <f>AND('MvsD 8'!B14,"AAAAADfL9y4=")</f>
        <v>#VALUE!</v>
      </c>
      <c r="AV17" t="e">
        <f>AND('MvsD 8'!#REF!,"AAAAADfL9y8=")</f>
        <v>#REF!</v>
      </c>
      <c r="AW17" t="e">
        <f>AND('MvsD 8'!#REF!,"AAAAADfL9zA=")</f>
        <v>#REF!</v>
      </c>
      <c r="AX17" t="b">
        <f>AND('MvsD 8'!E14,"AAAAADfL9zE=")</f>
        <v>1</v>
      </c>
      <c r="AY17" t="e">
        <f>AND('MvsD 8'!F14,"AAAAADfL9zI=")</f>
        <v>#VALUE!</v>
      </c>
      <c r="AZ17" t="e">
        <f>AND('MvsD 8'!#REF!,"AAAAADfL9zM=")</f>
        <v>#REF!</v>
      </c>
      <c r="BA17" t="e">
        <f>AND('MvsD 8'!#REF!,"AAAAADfL9zQ=")</f>
        <v>#REF!</v>
      </c>
      <c r="BB17" t="e">
        <f>AND('MvsD 8'!#REF!,"AAAAADfL9zU=")</f>
        <v>#REF!</v>
      </c>
      <c r="BC17" t="e">
        <f>AND('MvsD 8'!#REF!,"AAAAADfL9zY=")</f>
        <v>#REF!</v>
      </c>
      <c r="BD17" t="e">
        <f>AND('MvsD 8'!#REF!,"AAAAADfL9zc=")</f>
        <v>#REF!</v>
      </c>
      <c r="BE17" t="e">
        <f>AND('MvsD 8'!#REF!,"AAAAADfL9zg=")</f>
        <v>#REF!</v>
      </c>
      <c r="BF17">
        <f>IF('MvsD 8'!14:14,"AAAAADfL9zk=",0)</f>
        <v>0</v>
      </c>
      <c r="BG17" t="e">
        <f>AND('MvsD 8'!#REF!,"AAAAADfL9zo=")</f>
        <v>#REF!</v>
      </c>
      <c r="BH17" t="e">
        <f>AND('MvsD 8'!#REF!,"AAAAADfL9zs=")</f>
        <v>#REF!</v>
      </c>
      <c r="BI17" t="b">
        <f>AND('MvsD 8'!A15,"AAAAADfL9zw=")</f>
        <v>1</v>
      </c>
      <c r="BJ17" t="e">
        <f>AND('MvsD 8'!B15,"AAAAADfL9z0=")</f>
        <v>#VALUE!</v>
      </c>
      <c r="BK17" t="b">
        <f>AND('MvsD 8'!C12,"AAAAADfL9z4=")</f>
        <v>1</v>
      </c>
      <c r="BL17" t="e">
        <f>AND('MvsD 8'!D12,"AAAAADfL9z8=")</f>
        <v>#VALUE!</v>
      </c>
      <c r="BM17" t="b">
        <f>AND('MvsD 8'!E15,"AAAAADfL90A=")</f>
        <v>1</v>
      </c>
      <c r="BN17" t="e">
        <f>AND('MvsD 8'!F15,"AAAAADfL90E=")</f>
        <v>#VALUE!</v>
      </c>
      <c r="BO17" t="e">
        <f>AND('MvsD 8'!#REF!,"AAAAADfL90I=")</f>
        <v>#REF!</v>
      </c>
      <c r="BP17" t="e">
        <f>AND('MvsD 8'!#REF!,"AAAAADfL90M=")</f>
        <v>#REF!</v>
      </c>
      <c r="BQ17" t="e">
        <f>AND('MvsD 8'!#REF!,"AAAAADfL90Q=")</f>
        <v>#REF!</v>
      </c>
      <c r="BR17" t="e">
        <f>AND('MvsD 8'!#REF!,"AAAAADfL90U=")</f>
        <v>#REF!</v>
      </c>
      <c r="BS17" t="e">
        <f>AND('MvsD 8'!#REF!,"AAAAADfL90Y=")</f>
        <v>#REF!</v>
      </c>
      <c r="BT17" t="e">
        <f>AND('MvsD 8'!#REF!,"AAAAADfL90c=")</f>
        <v>#REF!</v>
      </c>
      <c r="BU17">
        <f>IF('MvsD 8'!15:15,"AAAAADfL90g=",0)</f>
        <v>0</v>
      </c>
      <c r="BV17" t="e">
        <f>AND('MvsD 8'!#REF!,"AAAAADfL90k=")</f>
        <v>#REF!</v>
      </c>
      <c r="BW17" t="e">
        <f>AND('MvsD 8'!#REF!,"AAAAADfL90o=")</f>
        <v>#REF!</v>
      </c>
      <c r="BX17" t="b">
        <f>AND('MvsD 8'!A16,"AAAAADfL90s=")</f>
        <v>1</v>
      </c>
      <c r="BY17" t="e">
        <f>AND('MvsD 8'!B16,"AAAAADfL90w=")</f>
        <v>#VALUE!</v>
      </c>
      <c r="BZ17" t="e">
        <f>AND('MvsD 8'!#REF!,"AAAAADfL900=")</f>
        <v>#REF!</v>
      </c>
      <c r="CA17" t="e">
        <f>AND('MvsD 8'!#REF!,"AAAAADfL904=")</f>
        <v>#REF!</v>
      </c>
      <c r="CB17" t="b">
        <f>AND('MvsD 8'!E16,"AAAAADfL908=")</f>
        <v>1</v>
      </c>
      <c r="CC17" t="e">
        <f>AND('MvsD 8'!F16,"AAAAADfL91A=")</f>
        <v>#VALUE!</v>
      </c>
      <c r="CD17" t="e">
        <f>AND('MvsD 8'!#REF!,"AAAAADfL91E=")</f>
        <v>#REF!</v>
      </c>
      <c r="CE17" t="e">
        <f>AND('MvsD 8'!#REF!,"AAAAADfL91I=")</f>
        <v>#REF!</v>
      </c>
      <c r="CF17" t="e">
        <f>AND('MvsD 8'!#REF!,"AAAAADfL91M=")</f>
        <v>#REF!</v>
      </c>
      <c r="CG17" t="e">
        <f>AND('MvsD 8'!#REF!,"AAAAADfL91Q=")</f>
        <v>#REF!</v>
      </c>
      <c r="CH17" t="e">
        <f>AND('MvsD 8'!#REF!,"AAAAADfL91U=")</f>
        <v>#REF!</v>
      </c>
      <c r="CI17" t="e">
        <f>AND('MvsD 8'!#REF!,"AAAAADfL91Y=")</f>
        <v>#REF!</v>
      </c>
      <c r="CJ17">
        <f>IF('MvsD 8'!16:16,"AAAAADfL91c=",0)</f>
        <v>0</v>
      </c>
      <c r="CK17" t="b">
        <f>AND('King Saga 36'!BG15,"AAAAADfL91g=")</f>
        <v>1</v>
      </c>
      <c r="CL17" t="e">
        <f>AND('King Saga 36'!BH15,"AAAAADfL91k=")</f>
        <v>#VALUE!</v>
      </c>
      <c r="CM17" t="b">
        <f>AND('MvsD 8'!A17,"AAAAADfL91o=")</f>
        <v>1</v>
      </c>
      <c r="CN17" t="e">
        <f>AND('MvsD 8'!B17,"AAAAADfL91s=")</f>
        <v>#VALUE!</v>
      </c>
      <c r="CO17" t="b">
        <f>AND('MvsD 8'!C14,"AAAAADfL91w=")</f>
        <v>1</v>
      </c>
      <c r="CP17" t="e">
        <f>AND('MvsD 8'!D14,"AAAAADfL910=")</f>
        <v>#VALUE!</v>
      </c>
      <c r="CQ17" t="b">
        <f>AND('MvsD 8'!E17,"AAAAADfL914=")</f>
        <v>1</v>
      </c>
      <c r="CR17" t="e">
        <f>AND('MvsD 8'!F17,"AAAAADfL918=")</f>
        <v>#VALUE!</v>
      </c>
      <c r="CS17" t="e">
        <f>AND('MvsD 8'!#REF!,"AAAAADfL92A=")</f>
        <v>#REF!</v>
      </c>
      <c r="CT17" t="e">
        <f>AND('MvsD 8'!#REF!,"AAAAADfL92E=")</f>
        <v>#REF!</v>
      </c>
      <c r="CU17" t="b">
        <f>AND('MvsD 8'!I19,"AAAAADfL92I=")</f>
        <v>1</v>
      </c>
      <c r="CV17" t="e">
        <f>AND('MvsD 8'!#REF!,"AAAAADfL92M=")</f>
        <v>#REF!</v>
      </c>
      <c r="CW17" t="e">
        <f>AND('MvsD 8'!#REF!,"AAAAADfL92Q=")</f>
        <v>#REF!</v>
      </c>
      <c r="CX17" t="e">
        <f>AND('MvsD 8'!#REF!,"AAAAADfL92U=")</f>
        <v>#REF!</v>
      </c>
      <c r="CY17">
        <f>IF('MvsD 8'!17:17,"AAAAADfL92Y=",0)</f>
        <v>0</v>
      </c>
      <c r="CZ17" t="b">
        <f>AND('King Saga 36'!BG16,"AAAAADfL92c=")</f>
        <v>1</v>
      </c>
      <c r="DA17" t="e">
        <f>AND('King Saga 36'!BH16,"AAAAADfL92g=")</f>
        <v>#VALUE!</v>
      </c>
      <c r="DB17" t="b">
        <f>AND('MvsD 8'!A18,"AAAAADfL92k=")</f>
        <v>1</v>
      </c>
      <c r="DC17" t="e">
        <f>AND('MvsD 8'!B18,"AAAAADfL92o=")</f>
        <v>#VALUE!</v>
      </c>
      <c r="DD17" t="b">
        <f>AND('MvsD 8'!C14,"AAAAADfL92s=")</f>
        <v>1</v>
      </c>
      <c r="DE17" t="e">
        <f>AND('MvsD 8'!D14,"AAAAADfL92w=")</f>
        <v>#VALUE!</v>
      </c>
      <c r="DF17" t="b">
        <f>AND('MvsD 8'!E17,"AAAAADfL920=")</f>
        <v>1</v>
      </c>
      <c r="DG17" t="e">
        <f>AND('MvsD 8'!F17,"AAAAADfL924=")</f>
        <v>#VALUE!</v>
      </c>
      <c r="DH17" t="e">
        <f>AND('MvsD 8'!#REF!,"AAAAADfL928=")</f>
        <v>#REF!</v>
      </c>
      <c r="DI17" t="e">
        <f>AND('MvsD 8'!#REF!,"AAAAADfL93A=")</f>
        <v>#REF!</v>
      </c>
      <c r="DJ17" t="b">
        <f>AND('MvsD 8'!I19,"AAAAADfL93E=")</f>
        <v>1</v>
      </c>
      <c r="DK17" t="e">
        <f>AND('MvsD 8'!#REF!,"AAAAADfL93I=")</f>
        <v>#REF!</v>
      </c>
      <c r="DL17" t="e">
        <f>AND('MvsD 8'!#REF!,"AAAAADfL93M=")</f>
        <v>#REF!</v>
      </c>
      <c r="DM17" t="e">
        <f>AND('MvsD 8'!#REF!,"AAAAADfL93Q=")</f>
        <v>#REF!</v>
      </c>
      <c r="DN17">
        <f>IF('MvsD 8'!18:18,"AAAAADfL93U=",0)</f>
        <v>0</v>
      </c>
      <c r="DO17" t="b">
        <f>AND('King Saga 36'!BG17,"AAAAADfL93Y=")</f>
        <v>1</v>
      </c>
      <c r="DP17" t="e">
        <f>AND('King Saga 36'!BH17,"AAAAADfL93c=")</f>
        <v>#VALUE!</v>
      </c>
      <c r="DQ17" t="b">
        <f>AND('MvsD 8'!A19,"AAAAADfL93g=")</f>
        <v>1</v>
      </c>
      <c r="DR17" t="e">
        <f>AND('MvsD 8'!B19,"AAAAADfL93k=")</f>
        <v>#VALUE!</v>
      </c>
      <c r="DS17" t="b">
        <f>AND('MvsD 8'!C15,"AAAAADfL93o=")</f>
        <v>1</v>
      </c>
      <c r="DT17" t="e">
        <f>AND('MvsD 8'!D15,"AAAAADfL93s=")</f>
        <v>#VALUE!</v>
      </c>
      <c r="DU17" t="b">
        <f>AND('MvsD 8'!E17,"AAAAADfL93w=")</f>
        <v>1</v>
      </c>
      <c r="DV17" t="e">
        <f>AND('MvsD 8'!F17,"AAAAADfL930=")</f>
        <v>#VALUE!</v>
      </c>
      <c r="DW17" t="e">
        <f>AND('MvsD 8'!#REF!,"AAAAADfL934=")</f>
        <v>#REF!</v>
      </c>
      <c r="DX17" t="e">
        <f>AND('MvsD 8'!#REF!,"AAAAADfL938=")</f>
        <v>#REF!</v>
      </c>
      <c r="DY17" t="b">
        <f>AND('MvsD 8'!I20,"AAAAADfL94A=")</f>
        <v>1</v>
      </c>
      <c r="DZ17" t="e">
        <f>AND('MvsD 8'!#REF!,"AAAAADfL94E=")</f>
        <v>#REF!</v>
      </c>
      <c r="EA17" t="e">
        <f>AND('MvsD 8'!#REF!,"AAAAADfL94I=")</f>
        <v>#REF!</v>
      </c>
      <c r="EB17" t="e">
        <f>AND('MvsD 8'!#REF!,"AAAAADfL94M=")</f>
        <v>#REF!</v>
      </c>
      <c r="EC17">
        <f>IF('MvsD 8'!19:19,"AAAAADfL94Q=",0)</f>
        <v>0</v>
      </c>
      <c r="ED17" t="b">
        <f>AND('King Saga 36'!BG18,"AAAAADfL94U=")</f>
        <v>1</v>
      </c>
      <c r="EE17" t="e">
        <f>AND('King Saga 36'!BH18,"AAAAADfL94Y=")</f>
        <v>#VALUE!</v>
      </c>
      <c r="EF17" t="e">
        <f>AND('MvsD 8'!#REF!,"AAAAADfL94c=")</f>
        <v>#REF!</v>
      </c>
      <c r="EG17" t="e">
        <f>AND('MvsD 8'!#REF!,"AAAAADfL94g=")</f>
        <v>#REF!</v>
      </c>
      <c r="EH17" t="b">
        <f>AND('MvsD 8'!C16,"AAAAADfL94k=")</f>
        <v>1</v>
      </c>
      <c r="EI17" t="e">
        <f>AND('MvsD 8'!D16,"AAAAADfL94o=")</f>
        <v>#VALUE!</v>
      </c>
      <c r="EJ17" t="e">
        <f>AND('MvsD 8'!E18,"AAAAADfL94s=")</f>
        <v>#VALUE!</v>
      </c>
      <c r="EK17" t="e">
        <f>AND('MvsD 8'!F18,"AAAAADfL94w=")</f>
        <v>#VALUE!</v>
      </c>
      <c r="EL17" t="e">
        <f>AND('MvsD 8'!#REF!,"AAAAADfL940=")</f>
        <v>#REF!</v>
      </c>
      <c r="EM17" t="e">
        <f>AND('MvsD 8'!#REF!,"AAAAADfL944=")</f>
        <v>#REF!</v>
      </c>
      <c r="EN17" t="e">
        <f>AND('MvsD 8'!#REF!,"AAAAADfL948=")</f>
        <v>#REF!</v>
      </c>
      <c r="EO17" t="e">
        <f>AND('MvsD 8'!#REF!,"AAAAADfL95A=")</f>
        <v>#REF!</v>
      </c>
      <c r="EP17" t="e">
        <f>AND('MvsD 8'!#REF!,"AAAAADfL95E=")</f>
        <v>#REF!</v>
      </c>
      <c r="EQ17" t="e">
        <f>AND('MvsD 8'!#REF!,"AAAAADfL95I=")</f>
        <v>#REF!</v>
      </c>
      <c r="ER17">
        <f>IF('MvsD 8'!20:20,"AAAAADfL95M=",0)</f>
        <v>0</v>
      </c>
      <c r="ES17" t="b">
        <f>AND('King Saga 36'!BG19,"AAAAADfL95Q=")</f>
        <v>1</v>
      </c>
      <c r="ET17" t="e">
        <f>AND('King Saga 36'!BH19,"AAAAADfL95U=")</f>
        <v>#VALUE!</v>
      </c>
      <c r="EU17" t="b">
        <f>AND('MvsD 8'!A21,"AAAAADfL95Y=")</f>
        <v>1</v>
      </c>
      <c r="EV17" t="e">
        <f>AND('MvsD 8'!B21,"AAAAADfL95c=")</f>
        <v>#VALUE!</v>
      </c>
      <c r="EW17" t="b">
        <f>AND('MvsD 8'!C17,"AAAAADfL95g=")</f>
        <v>1</v>
      </c>
      <c r="EX17" t="e">
        <f>AND('MvsD 8'!D17,"AAAAADfL95k=")</f>
        <v>#VALUE!</v>
      </c>
      <c r="EY17" t="e">
        <f>AND('MvsD 8'!E20,"AAAAADfL95o=")</f>
        <v>#VALUE!</v>
      </c>
      <c r="EZ17" t="e">
        <f>AND('MvsD 8'!F20,"AAAAADfL95s=")</f>
        <v>#VALUE!</v>
      </c>
      <c r="FA17" t="e">
        <f>AND('MvsD 8'!#REF!,"AAAAADfL95w=")</f>
        <v>#REF!</v>
      </c>
      <c r="FB17" t="e">
        <f>AND('MvsD 8'!#REF!,"AAAAADfL950=")</f>
        <v>#REF!</v>
      </c>
      <c r="FC17" t="b">
        <f>AND('MvsD 8'!I21,"AAAAADfL954=")</f>
        <v>1</v>
      </c>
      <c r="FD17" t="e">
        <f>AND('MvsD 8'!J14,"AAAAADfL958=")</f>
        <v>#VALUE!</v>
      </c>
      <c r="FE17" t="e">
        <f>AND('MvsD 8'!#REF!,"AAAAADfL96A=")</f>
        <v>#REF!</v>
      </c>
      <c r="FF17" t="e">
        <f>AND('MvsD 8'!#REF!,"AAAAADfL96E=")</f>
        <v>#REF!</v>
      </c>
      <c r="FG17">
        <f>IF('MvsD 8'!21:21,"AAAAADfL96I=",0)</f>
        <v>0</v>
      </c>
      <c r="FH17" t="b">
        <f>AND('King Saga 36'!BG20,"AAAAADfL96M=")</f>
        <v>1</v>
      </c>
      <c r="FI17" t="e">
        <f>AND('King Saga 36'!BH20,"AAAAADfL96Q=")</f>
        <v>#VALUE!</v>
      </c>
      <c r="FJ17" t="b">
        <f>AND('MvsD 8'!A22,"AAAAADfL96U=")</f>
        <v>1</v>
      </c>
      <c r="FK17" t="e">
        <f>AND('MvsD 8'!B22,"AAAAADfL96Y=")</f>
        <v>#VALUE!</v>
      </c>
      <c r="FL17" t="e">
        <f>AND('MvsD 8'!#REF!,"AAAAADfL96c=")</f>
        <v>#REF!</v>
      </c>
      <c r="FM17" t="e">
        <f>AND('MvsD 8'!#REF!,"AAAAADfL96g=")</f>
        <v>#REF!</v>
      </c>
      <c r="FN17" t="e">
        <f>AND('MvsD 8'!E21,"AAAAADfL96k=")</f>
        <v>#VALUE!</v>
      </c>
      <c r="FO17" t="e">
        <f>AND('MvsD 8'!F21,"AAAAADfL96o=")</f>
        <v>#VALUE!</v>
      </c>
      <c r="FP17" t="e">
        <f>AND('MvsD 8'!#REF!,"AAAAADfL96s=")</f>
        <v>#REF!</v>
      </c>
      <c r="FQ17" t="e">
        <f>AND('MvsD 8'!#REF!,"AAAAADfL96w=")</f>
        <v>#REF!</v>
      </c>
      <c r="FR17" t="b">
        <f>AND('MvsD 8'!I29,"AAAAADfL960=")</f>
        <v>1</v>
      </c>
      <c r="FS17" t="e">
        <f>AND('MvsD 8'!#REF!,"AAAAADfL964=")</f>
        <v>#REF!</v>
      </c>
      <c r="FT17" t="e">
        <f>AND('MvsD 8'!#REF!,"AAAAADfL968=")</f>
        <v>#REF!</v>
      </c>
      <c r="FU17" t="e">
        <f>AND('MvsD 8'!#REF!,"AAAAADfL97A=")</f>
        <v>#REF!</v>
      </c>
      <c r="FV17">
        <f>IF('MvsD 8'!22:22,"AAAAADfL97E=",0)</f>
        <v>0</v>
      </c>
      <c r="FW17" t="b">
        <f>AND('King Saga 36'!BG21,"AAAAADfL97I=")</f>
        <v>1</v>
      </c>
      <c r="FX17" t="e">
        <f>AND('King Saga 36'!BH21,"AAAAADfL97M=")</f>
        <v>#VALUE!</v>
      </c>
      <c r="FY17" t="b">
        <f>AND('MvsD 8'!A8,"AAAAADfL97Q=")</f>
        <v>1</v>
      </c>
      <c r="FZ17" t="e">
        <f>AND('MvsD 8'!B8,"AAAAADfL97U=")</f>
        <v>#VALUE!</v>
      </c>
      <c r="GA17" t="b">
        <f>AND('MvsD 8'!C18,"AAAAADfL97Y=")</f>
        <v>1</v>
      </c>
      <c r="GB17" t="e">
        <f>AND('MvsD 8'!D18,"AAAAADfL97c=")</f>
        <v>#VALUE!</v>
      </c>
      <c r="GC17" t="e">
        <f>AND('MvsD 8'!E22,"AAAAADfL97g=")</f>
        <v>#VALUE!</v>
      </c>
      <c r="GD17" t="e">
        <f>AND('MvsD 8'!F22,"AAAAADfL97k=")</f>
        <v>#VALUE!</v>
      </c>
      <c r="GE17" t="e">
        <f>AND('MvsD 8'!#REF!,"AAAAADfL97o=")</f>
        <v>#REF!</v>
      </c>
      <c r="GF17" t="e">
        <f>AND('MvsD 8'!#REF!,"AAAAADfL97s=")</f>
        <v>#REF!</v>
      </c>
      <c r="GG17" t="b">
        <f>AND('MvsD 8'!I29,"AAAAADfL97w=")</f>
        <v>1</v>
      </c>
      <c r="GH17" t="e">
        <f>AND('MvsD 8'!#REF!,"AAAAADfL970=")</f>
        <v>#REF!</v>
      </c>
      <c r="GI17" t="e">
        <f>AND('MvsD 8'!#REF!,"AAAAADfL974=")</f>
        <v>#REF!</v>
      </c>
      <c r="GJ17" t="e">
        <f>AND('MvsD 8'!#REF!,"AAAAADfL978=")</f>
        <v>#REF!</v>
      </c>
      <c r="GK17">
        <f>IF('MvsD 8'!23:23,"AAAAADfL98A=",0)</f>
        <v>0</v>
      </c>
      <c r="GL17" t="b">
        <f>AND('King Saga 36'!BG22,"AAAAADfL98E=")</f>
        <v>1</v>
      </c>
      <c r="GM17" t="e">
        <f>AND('King Saga 36'!BH22,"AAAAADfL98I=")</f>
        <v>#VALUE!</v>
      </c>
      <c r="GN17" t="e">
        <f>AND('MvsD 8'!#REF!,"AAAAADfL98M=")</f>
        <v>#REF!</v>
      </c>
      <c r="GO17" t="e">
        <f>AND('MvsD 8'!#REF!,"AAAAADfL98Q=")</f>
        <v>#REF!</v>
      </c>
      <c r="GP17" t="b">
        <f>AND('MvsD 8'!C19,"AAAAADfL98U=")</f>
        <v>1</v>
      </c>
      <c r="GQ17" t="e">
        <f>AND('MvsD 8'!D19,"AAAAADfL98Y=")</f>
        <v>#VALUE!</v>
      </c>
      <c r="GR17" t="e">
        <f>AND('MvsD 8'!E23,"AAAAADfL98c=")</f>
        <v>#VALUE!</v>
      </c>
      <c r="GS17" t="e">
        <f>AND('MvsD 8'!F23,"AAAAADfL98g=")</f>
        <v>#VALUE!</v>
      </c>
      <c r="GT17" t="e">
        <f>AND('MvsD 8'!#REF!,"AAAAADfL98k=")</f>
        <v>#REF!</v>
      </c>
      <c r="GU17" t="e">
        <f>AND('MvsD 8'!#REF!,"AAAAADfL98o=")</f>
        <v>#REF!</v>
      </c>
      <c r="GV17" t="b">
        <f>AND('MvsD 8'!I30,"AAAAADfL98s=")</f>
        <v>1</v>
      </c>
      <c r="GW17" t="e">
        <f>AND('MvsD 8'!J17,"AAAAADfL98w=")</f>
        <v>#VALUE!</v>
      </c>
      <c r="GX17" t="e">
        <f>AND('MvsD 8'!#REF!,"AAAAADfL980=")</f>
        <v>#REF!</v>
      </c>
      <c r="GY17" t="e">
        <f>AND('MvsD 8'!#REF!,"AAAAADfL984=")</f>
        <v>#REF!</v>
      </c>
      <c r="GZ17">
        <f>IF('MvsD 8'!24:24,"AAAAADfL988=",0)</f>
        <v>0</v>
      </c>
      <c r="HA17" t="b">
        <f>AND('King Saga 36'!BG23,"AAAAADfL99A=")</f>
        <v>1</v>
      </c>
      <c r="HB17" t="e">
        <f>AND('King Saga 36'!BH23,"AAAAADfL99E=")</f>
        <v>#VALUE!</v>
      </c>
      <c r="HC17" t="e">
        <f>AND('MvsD 8'!#REF!,"AAAAADfL99I=")</f>
        <v>#REF!</v>
      </c>
      <c r="HD17" t="e">
        <f>AND('MvsD 8'!#REF!,"AAAAADfL99M=")</f>
        <v>#REF!</v>
      </c>
      <c r="HE17" t="e">
        <f>AND('MvsD 8'!#REF!,"AAAAADfL99Q=")</f>
        <v>#REF!</v>
      </c>
      <c r="HF17" t="e">
        <f>AND('MvsD 8'!#REF!,"AAAAADfL99U=")</f>
        <v>#REF!</v>
      </c>
      <c r="HG17" t="e">
        <f>AND('MvsD 8'!E24,"AAAAADfL99Y=")</f>
        <v>#VALUE!</v>
      </c>
      <c r="HH17" t="e">
        <f>AND('MvsD 8'!F24,"AAAAADfL99c=")</f>
        <v>#VALUE!</v>
      </c>
      <c r="HI17" t="e">
        <f>AND('MvsD 8'!#REF!,"AAAAADfL99g=")</f>
        <v>#REF!</v>
      </c>
      <c r="HJ17" t="e">
        <f>AND('MvsD 8'!#REF!,"AAAAADfL99k=")</f>
        <v>#REF!</v>
      </c>
      <c r="HK17" t="e">
        <f>AND('MvsD 8'!#REF!,"AAAAADfL99o=")</f>
        <v>#REF!</v>
      </c>
      <c r="HL17" t="e">
        <f>AND('MvsD 8'!J18,"AAAAADfL99s=")</f>
        <v>#VALUE!</v>
      </c>
      <c r="HM17" t="e">
        <f>AND('MvsD 8'!#REF!,"AAAAADfL99w=")</f>
        <v>#REF!</v>
      </c>
      <c r="HN17" t="e">
        <f>AND('MvsD 8'!#REF!,"AAAAADfL990=")</f>
        <v>#REF!</v>
      </c>
      <c r="HO17">
        <f>IF('MvsD 8'!25:25,"AAAAADfL994=",0)</f>
        <v>0</v>
      </c>
      <c r="HP17" t="b">
        <f>AND('King Saga 36'!BG25,"AAAAADfL998=")</f>
        <v>1</v>
      </c>
      <c r="HQ17" t="e">
        <f>AND('King Saga 36'!BH25,"AAAAADfL9+A=")</f>
        <v>#VALUE!</v>
      </c>
      <c r="HR17" t="b">
        <f>AND('MvsD 8'!A20,"AAAAADfL9+E=")</f>
        <v>1</v>
      </c>
      <c r="HS17" t="e">
        <f>AND('MvsD 8'!B20,"AAAAADfL9+I=")</f>
        <v>#VALUE!</v>
      </c>
      <c r="HT17" t="b">
        <f>AND('MvsD 8'!C20,"AAAAADfL9+M=")</f>
        <v>1</v>
      </c>
      <c r="HU17" t="e">
        <f>AND('MvsD 8'!D20,"AAAAADfL9+Q=")</f>
        <v>#VALUE!</v>
      </c>
      <c r="HV17" t="b">
        <f>AND('MvsD 8'!E17,"AAAAADfL9+U=")</f>
        <v>1</v>
      </c>
      <c r="HW17" t="e">
        <f>AND('MvsD 8'!F17,"AAAAADfL9+Y=")</f>
        <v>#VALUE!</v>
      </c>
      <c r="HX17" t="e">
        <f>AND('MvsD 8'!#REF!,"AAAAADfL9+c=")</f>
        <v>#REF!</v>
      </c>
      <c r="HY17" t="e">
        <f>AND('MvsD 8'!#REF!,"AAAAADfL9+g=")</f>
        <v>#REF!</v>
      </c>
      <c r="HZ17" t="e">
        <f>AND('MvsD 8'!#REF!,"AAAAADfL9+k=")</f>
        <v>#REF!</v>
      </c>
      <c r="IA17" t="e">
        <f>AND('MvsD 8'!J19,"AAAAADfL9+o=")</f>
        <v>#VALUE!</v>
      </c>
      <c r="IB17" t="e">
        <f>AND('MvsD 8'!#REF!,"AAAAADfL9+s=")</f>
        <v>#REF!</v>
      </c>
      <c r="IC17" t="e">
        <f>AND('MvsD 8'!#REF!,"AAAAADfL9+w=")</f>
        <v>#REF!</v>
      </c>
      <c r="ID17">
        <f>IF('MvsD 8'!26:26,"AAAAADfL9+0=",0)</f>
        <v>0</v>
      </c>
      <c r="IE17" t="b">
        <f>AND('King Saga 36'!BG26,"AAAAADfL9+4=")</f>
        <v>1</v>
      </c>
      <c r="IF17" t="e">
        <f>AND('King Saga 36'!BH26,"AAAAADfL9+8=")</f>
        <v>#VALUE!</v>
      </c>
      <c r="IG17" t="e">
        <f>AND('MvsD 8'!#REF!,"AAAAADfL9/A=")</f>
        <v>#REF!</v>
      </c>
      <c r="IH17" t="e">
        <f>AND('MvsD 8'!#REF!,"AAAAADfL9/E=")</f>
        <v>#REF!</v>
      </c>
      <c r="II17" t="b">
        <f>AND('MvsD 8'!C21,"AAAAADfL9/I=")</f>
        <v>1</v>
      </c>
      <c r="IJ17" t="e">
        <f>AND('MvsD 8'!D21,"AAAAADfL9/M=")</f>
        <v>#VALUE!</v>
      </c>
      <c r="IK17" t="e">
        <f>AND('MvsD 8'!#REF!,"AAAAADfL9/Q=")</f>
        <v>#REF!</v>
      </c>
      <c r="IL17" t="e">
        <f>AND('MvsD 8'!#REF!,"AAAAADfL9/U=")</f>
        <v>#REF!</v>
      </c>
      <c r="IM17" t="e">
        <f>AND('MvsD 8'!#REF!,"AAAAADfL9/Y=")</f>
        <v>#REF!</v>
      </c>
      <c r="IN17" t="e">
        <f>AND('MvsD 8'!#REF!,"AAAAADfL9/c=")</f>
        <v>#REF!</v>
      </c>
      <c r="IO17" t="e">
        <f>AND('MvsD 8'!#REF!,"AAAAADfL9/g=")</f>
        <v>#REF!</v>
      </c>
      <c r="IP17" t="e">
        <f>AND('MvsD 8'!J19,"AAAAADfL9/k=")</f>
        <v>#VALUE!</v>
      </c>
      <c r="IQ17" t="e">
        <f>AND('MvsD 8'!#REF!,"AAAAADfL9/o=")</f>
        <v>#REF!</v>
      </c>
      <c r="IR17" t="e">
        <f>AND('MvsD 8'!#REF!,"AAAAADfL9/s=")</f>
        <v>#REF!</v>
      </c>
      <c r="IS17">
        <f>IF('MvsD 8'!27:27,"AAAAADfL9/w=",0)</f>
        <v>0</v>
      </c>
      <c r="IT17" t="b">
        <f>AND('King Saga 36'!BG27,"AAAAADfL9/0=")</f>
        <v>1</v>
      </c>
      <c r="IU17" t="e">
        <f>AND('King Saga 36'!BH27,"AAAAADfL9/4=")</f>
        <v>#VALUE!</v>
      </c>
      <c r="IV17" t="e">
        <f>AND('MvsD 8'!#REF!,"AAAAADfL9/8=")</f>
        <v>#REF!</v>
      </c>
    </row>
    <row r="18" spans="1:256">
      <c r="A18" t="e">
        <f>AND('MvsD 8'!#REF!,"AAAAAHr5/gA=")</f>
        <v>#REF!</v>
      </c>
      <c r="B18" t="b">
        <f>AND('MvsD 8'!C22,"AAAAAHr5/gE=")</f>
        <v>1</v>
      </c>
      <c r="C18" t="e">
        <f>AND('MvsD 8'!D22,"AAAAAHr5/gI=")</f>
        <v>#VALUE!</v>
      </c>
      <c r="D18" t="e">
        <f>AND('MvsD 8'!E20,"AAAAAHr5/gM=")</f>
        <v>#VALUE!</v>
      </c>
      <c r="E18" t="e">
        <f>AND('MvsD 8'!F20,"AAAAAHr5/gQ=")</f>
        <v>#VALUE!</v>
      </c>
      <c r="F18" t="e">
        <f>AND('MvsD 8'!#REF!,"AAAAAHr5/gU=")</f>
        <v>#REF!</v>
      </c>
      <c r="G18" t="e">
        <f>AND('MvsD 8'!#REF!,"AAAAAHr5/gY=")</f>
        <v>#REF!</v>
      </c>
      <c r="H18" t="e">
        <f>AND('MvsD 8'!#REF!,"AAAAAHr5/gc=")</f>
        <v>#REF!</v>
      </c>
      <c r="I18" t="e">
        <f>AND('MvsD 8'!J19,"AAAAAHr5/gg=")</f>
        <v>#VALUE!</v>
      </c>
      <c r="J18" t="e">
        <f>AND('MvsD 8'!#REF!,"AAAAAHr5/gk=")</f>
        <v>#REF!</v>
      </c>
      <c r="K18" t="e">
        <f>AND('MvsD 8'!#REF!,"AAAAAHr5/go=")</f>
        <v>#REF!</v>
      </c>
      <c r="L18">
        <f>IF('MvsD 8'!28:28,"AAAAAHr5/gs=",0)</f>
        <v>0</v>
      </c>
      <c r="M18" t="b">
        <f>AND('King Saga 36'!BG28,"AAAAAHr5/gw=")</f>
        <v>1</v>
      </c>
      <c r="N18" t="e">
        <f>AND('King Saga 36'!BH28,"AAAAAHr5/g0=")</f>
        <v>#VALUE!</v>
      </c>
      <c r="O18" t="e">
        <f>AND('MvsD 8'!#REF!,"AAAAAHr5/g4=")</f>
        <v>#REF!</v>
      </c>
      <c r="P18" t="e">
        <f>AND('MvsD 8'!#REF!,"AAAAAHr5/g8=")</f>
        <v>#REF!</v>
      </c>
      <c r="Q18" t="b">
        <f>AND('MvsD 8'!C23,"AAAAAHr5/hA=")</f>
        <v>1</v>
      </c>
      <c r="R18" t="e">
        <f>AND('MvsD 8'!D23,"AAAAAHr5/hE=")</f>
        <v>#VALUE!</v>
      </c>
      <c r="S18" t="e">
        <f>AND('MvsD 8'!#REF!,"AAAAAHr5/hI=")</f>
        <v>#REF!</v>
      </c>
      <c r="T18" t="e">
        <f>AND('MvsD 8'!#REF!,"AAAAAHr5/hM=")</f>
        <v>#REF!</v>
      </c>
      <c r="U18" t="e">
        <f>AND('MvsD 8'!#REF!,"AAAAAHr5/hQ=")</f>
        <v>#REF!</v>
      </c>
      <c r="V18" t="e">
        <f>AND('MvsD 8'!#REF!,"AAAAAHr5/hU=")</f>
        <v>#REF!</v>
      </c>
      <c r="W18" t="e">
        <f>AND('MvsD 8'!#REF!,"AAAAAHr5/hY=")</f>
        <v>#REF!</v>
      </c>
      <c r="X18" t="e">
        <f>AND('MvsD 8'!J19,"AAAAAHr5/hc=")</f>
        <v>#VALUE!</v>
      </c>
      <c r="Y18" t="e">
        <f>AND('MvsD 8'!#REF!,"AAAAAHr5/hg=")</f>
        <v>#REF!</v>
      </c>
      <c r="Z18" t="e">
        <f>AND('MvsD 8'!#REF!,"AAAAAHr5/hk=")</f>
        <v>#REF!</v>
      </c>
      <c r="AA18">
        <f>IF('MvsD 8'!29:29,"AAAAAHr5/ho=",0)</f>
        <v>0</v>
      </c>
      <c r="AB18" t="b">
        <f>AND('King Saga 36'!BG29,"AAAAAHr5/hs=")</f>
        <v>1</v>
      </c>
      <c r="AC18" t="e">
        <f>AND('King Saga 36'!BH29,"AAAAAHr5/hw=")</f>
        <v>#VALUE!</v>
      </c>
      <c r="AD18" t="e">
        <f>AND('MvsD 8'!#REF!,"AAAAAHr5/h0=")</f>
        <v>#REF!</v>
      </c>
      <c r="AE18" t="e">
        <f>AND('MvsD 8'!#REF!,"AAAAAHr5/h4=")</f>
        <v>#REF!</v>
      </c>
      <c r="AF18" t="b">
        <f>AND('MvsD 8'!C25,"AAAAAHr5/h8=")</f>
        <v>1</v>
      </c>
      <c r="AG18" t="e">
        <f>AND('MvsD 8'!D25,"AAAAAHr5/iA=")</f>
        <v>#VALUE!</v>
      </c>
      <c r="AH18" t="e">
        <f>AND('MvsD 8'!#REF!,"AAAAAHr5/iE=")</f>
        <v>#REF!</v>
      </c>
      <c r="AI18" t="e">
        <f>AND('MvsD 8'!#REF!,"AAAAAHr5/iI=")</f>
        <v>#REF!</v>
      </c>
      <c r="AJ18" t="e">
        <f>AND('MvsD 8'!#REF!,"AAAAAHr5/iM=")</f>
        <v>#REF!</v>
      </c>
      <c r="AK18" t="e">
        <f>AND('MvsD 8'!#REF!,"AAAAAHr5/iQ=")</f>
        <v>#REF!</v>
      </c>
      <c r="AL18" t="e">
        <f>AND('MvsD 8'!#REF!,"AAAAAHr5/iU=")</f>
        <v>#REF!</v>
      </c>
      <c r="AM18" t="e">
        <f>AND('MvsD 8'!J19,"AAAAAHr5/iY=")</f>
        <v>#VALUE!</v>
      </c>
      <c r="AN18" t="e">
        <f>AND('MvsD 8'!#REF!,"AAAAAHr5/ic=")</f>
        <v>#REF!</v>
      </c>
      <c r="AO18" t="e">
        <f>AND('MvsD 8'!#REF!,"AAAAAHr5/ig=")</f>
        <v>#REF!</v>
      </c>
      <c r="AP18">
        <f>IF('MvsD 8'!30:30,"AAAAAHr5/ik=",0)</f>
        <v>0</v>
      </c>
      <c r="AQ18" t="b">
        <f>AND('King Saga 36'!BG30,"AAAAAHr5/io=")</f>
        <v>1</v>
      </c>
      <c r="AR18" t="e">
        <f>AND('King Saga 36'!BH30,"AAAAAHr5/is=")</f>
        <v>#VALUE!</v>
      </c>
      <c r="AS18" t="e">
        <f>AND('MvsD 8'!A30,"AAAAAHr5/iw=")</f>
        <v>#VALUE!</v>
      </c>
      <c r="AT18" t="e">
        <f>AND('MvsD 8'!B30,"AAAAAHr5/i0=")</f>
        <v>#VALUE!</v>
      </c>
      <c r="AU18" t="b">
        <f>AND('MvsD 8'!C26,"AAAAAHr5/i4=")</f>
        <v>1</v>
      </c>
      <c r="AV18" t="e">
        <f>AND('MvsD 8'!D26,"AAAAAHr5/i8=")</f>
        <v>#VALUE!</v>
      </c>
      <c r="AW18" t="e">
        <f>AND('MvsD 8'!E23,"AAAAAHr5/jA=")</f>
        <v>#VALUE!</v>
      </c>
      <c r="AX18" t="e">
        <f>AND('MvsD 8'!F23,"AAAAAHr5/jE=")</f>
        <v>#VALUE!</v>
      </c>
      <c r="AY18" t="e">
        <f>AND('MvsD 8'!#REF!,"AAAAAHr5/jI=")</f>
        <v>#REF!</v>
      </c>
      <c r="AZ18" t="e">
        <f>AND('MvsD 8'!#REF!,"AAAAAHr5/jM=")</f>
        <v>#REF!</v>
      </c>
      <c r="BA18" t="e">
        <f>AND('MvsD 8'!#REF!,"AAAAAHr5/jQ=")</f>
        <v>#REF!</v>
      </c>
      <c r="BB18" t="e">
        <f>AND('MvsD 8'!J19,"AAAAAHr5/jU=")</f>
        <v>#VALUE!</v>
      </c>
      <c r="BC18" t="e">
        <f>AND('MvsD 8'!#REF!,"AAAAAHr5/jY=")</f>
        <v>#REF!</v>
      </c>
      <c r="BD18" t="e">
        <f>AND('MvsD 8'!#REF!,"AAAAAHr5/jc=")</f>
        <v>#REF!</v>
      </c>
      <c r="BE18">
        <f>IF('MvsD 8'!31:31,"AAAAAHr5/jg=",0)</f>
        <v>0</v>
      </c>
      <c r="BF18" t="e">
        <f>AND('MvsD 8'!#REF!,"AAAAAHr5/jk=")</f>
        <v>#REF!</v>
      </c>
      <c r="BG18" t="e">
        <f>AND('MvsD 8'!#REF!,"AAAAAHr5/jo=")</f>
        <v>#REF!</v>
      </c>
      <c r="BH18" t="e">
        <f>AND('MvsD 8'!#REF!,"AAAAAHr5/js=")</f>
        <v>#REF!</v>
      </c>
      <c r="BI18" t="e">
        <f>AND('MvsD 8'!B31,"AAAAAHr5/jw=")</f>
        <v>#VALUE!</v>
      </c>
      <c r="BJ18" t="b">
        <f>AND('MvsD 8'!C27,"AAAAAHr5/j0=")</f>
        <v>1</v>
      </c>
      <c r="BK18" t="e">
        <f>AND('MvsD 8'!D27,"AAAAAHr5/j4=")</f>
        <v>#VALUE!</v>
      </c>
      <c r="BL18" t="e">
        <f>AND('MvsD 8'!E24,"AAAAAHr5/j8=")</f>
        <v>#VALUE!</v>
      </c>
      <c r="BM18" t="e">
        <f>AND('MvsD 8'!F24,"AAAAAHr5/kA=")</f>
        <v>#VALUE!</v>
      </c>
      <c r="BN18" t="e">
        <f>AND('MvsD 8'!#REF!,"AAAAAHr5/kE=")</f>
        <v>#REF!</v>
      </c>
      <c r="BO18" t="e">
        <f>AND('MvsD 8'!#REF!,"AAAAAHr5/kI=")</f>
        <v>#REF!</v>
      </c>
      <c r="BP18" t="e">
        <f>AND('MvsD 8'!#REF!,"AAAAAHr5/kM=")</f>
        <v>#REF!</v>
      </c>
      <c r="BQ18" t="e">
        <f>AND('MvsD 8'!J19,"AAAAAHr5/kQ=")</f>
        <v>#VALUE!</v>
      </c>
      <c r="BR18" t="e">
        <f>AND('MvsD 8'!#REF!,"AAAAAHr5/kU=")</f>
        <v>#REF!</v>
      </c>
      <c r="BS18" t="e">
        <f>AND('MvsD 8'!#REF!,"AAAAAHr5/kY=")</f>
        <v>#REF!</v>
      </c>
      <c r="BT18">
        <f>IF('MvsD 8'!32:32,"AAAAAHr5/kc=",0)</f>
        <v>0</v>
      </c>
      <c r="BU18" t="e">
        <f>AND('MvsD 8'!#REF!,"AAAAAHr5/kg=")</f>
        <v>#REF!</v>
      </c>
      <c r="BV18" t="e">
        <f>AND('MvsD 8'!#REF!,"AAAAAHr5/kk=")</f>
        <v>#REF!</v>
      </c>
      <c r="BW18" t="e">
        <f>AND('MvsD 8'!A32,"AAAAAHr5/ko=")</f>
        <v>#VALUE!</v>
      </c>
      <c r="BX18" t="e">
        <f>AND('MvsD 8'!B32,"AAAAAHr5/ks=")</f>
        <v>#VALUE!</v>
      </c>
      <c r="BY18" t="b">
        <f>AND('MvsD 8'!C28,"AAAAAHr5/kw=")</f>
        <v>1</v>
      </c>
      <c r="BZ18" t="e">
        <f>AND('MvsD 8'!D28,"AAAAAHr5/k0=")</f>
        <v>#VALUE!</v>
      </c>
      <c r="CA18" t="e">
        <f>AND('MvsD 8'!E25,"AAAAAHr5/k4=")</f>
        <v>#VALUE!</v>
      </c>
      <c r="CB18" t="e">
        <f>AND('MvsD 8'!F25,"AAAAAHr5/k8=")</f>
        <v>#VALUE!</v>
      </c>
      <c r="CC18" t="e">
        <f>AND('MvsD 8'!#REF!,"AAAAAHr5/lA=")</f>
        <v>#REF!</v>
      </c>
      <c r="CD18" t="e">
        <f>AND('MvsD 8'!#REF!,"AAAAAHr5/lE=")</f>
        <v>#REF!</v>
      </c>
      <c r="CE18" t="e">
        <f>AND('MvsD 8'!#REF!,"AAAAAHr5/lI=")</f>
        <v>#REF!</v>
      </c>
      <c r="CF18" t="e">
        <f>AND('MvsD 8'!J19,"AAAAAHr5/lM=")</f>
        <v>#VALUE!</v>
      </c>
      <c r="CG18" t="e">
        <f>AND('MvsD 8'!#REF!,"AAAAAHr5/lQ=")</f>
        <v>#REF!</v>
      </c>
      <c r="CH18" t="e">
        <f>AND('MvsD 8'!#REF!,"AAAAAHr5/lU=")</f>
        <v>#REF!</v>
      </c>
      <c r="CI18">
        <f>IF('MvsD 8'!33:33,"AAAAAHr5/lY=",0)</f>
        <v>0</v>
      </c>
      <c r="CJ18" t="e">
        <f>AND('MvsD 8'!#REF!,"AAAAAHr5/lc=")</f>
        <v>#REF!</v>
      </c>
      <c r="CK18" t="e">
        <f>AND('MvsD 8'!#REF!,"AAAAAHr5/lg=")</f>
        <v>#REF!</v>
      </c>
      <c r="CL18" t="e">
        <f>AND('MvsD 8'!A33,"AAAAAHr5/lk=")</f>
        <v>#VALUE!</v>
      </c>
      <c r="CM18" t="e">
        <f>AND('MvsD 8'!B33,"AAAAAHr5/lo=")</f>
        <v>#VALUE!</v>
      </c>
      <c r="CN18" t="b">
        <f>AND('MvsD 8'!C29,"AAAAAHr5/ls=")</f>
        <v>1</v>
      </c>
      <c r="CO18" t="e">
        <f>AND('MvsD 8'!D29,"AAAAAHr5/lw=")</f>
        <v>#VALUE!</v>
      </c>
      <c r="CP18" t="e">
        <f>AND('MvsD 8'!E26,"AAAAAHr5/l0=")</f>
        <v>#VALUE!</v>
      </c>
      <c r="CQ18" t="e">
        <f>AND('MvsD 8'!F26,"AAAAAHr5/l4=")</f>
        <v>#VALUE!</v>
      </c>
      <c r="CR18" t="e">
        <f>AND('MvsD 8'!#REF!,"AAAAAHr5/l8=")</f>
        <v>#REF!</v>
      </c>
      <c r="CS18" t="e">
        <f>AND('MvsD 8'!#REF!,"AAAAAHr5/mA=")</f>
        <v>#REF!</v>
      </c>
      <c r="CT18" t="e">
        <f>AND('MvsD 8'!#REF!,"AAAAAHr5/mE=")</f>
        <v>#REF!</v>
      </c>
      <c r="CU18" t="e">
        <f>AND('MvsD 8'!#REF!,"AAAAAHr5/mI=")</f>
        <v>#REF!</v>
      </c>
      <c r="CV18" t="e">
        <f>AND('MvsD 8'!#REF!,"AAAAAHr5/mM=")</f>
        <v>#REF!</v>
      </c>
      <c r="CW18" t="e">
        <f>AND('MvsD 8'!#REF!,"AAAAAHr5/mQ=")</f>
        <v>#REF!</v>
      </c>
      <c r="CX18">
        <f>IF('MvsD 8'!34:34,"AAAAAHr5/mU=",0)</f>
        <v>0</v>
      </c>
      <c r="CY18">
        <f>IF('MvsD 8'!35:35,"AAAAAHr5/mY=",0)</f>
        <v>0</v>
      </c>
      <c r="CZ18">
        <f>IF('MvsD 8'!36:36,"AAAAAHr5/mc=",0)</f>
        <v>0</v>
      </c>
      <c r="DA18">
        <f>IF('MvsD 8'!37:37,"AAAAAHr5/mg=",0)</f>
        <v>0</v>
      </c>
      <c r="DB18">
        <f>IF('MvsD 8'!38:38,"AAAAAHr5/mk=",0)</f>
        <v>0</v>
      </c>
      <c r="DC18">
        <f>IF('MvsD 8'!39:39,"AAAAAHr5/mo=",0)</f>
        <v>0</v>
      </c>
      <c r="DD18" t="e">
        <f>IF('MvsD 8'!#REF!,"AAAAAHr5/ms=",0)</f>
        <v>#REF!</v>
      </c>
      <c r="DE18" t="e">
        <f>IF('MvsD 8'!#REF!,"AAAAAHr5/mw=",0)</f>
        <v>#REF!</v>
      </c>
      <c r="DF18" t="str">
        <f>IF('MvsD 8'!A:A,"AAAAAHr5/m0=",0)</f>
        <v>AAAAAHr5/m0=</v>
      </c>
      <c r="DG18" t="e">
        <f>IF('MvsD 8'!B:B,"AAAAAHr5/m4=",0)</f>
        <v>#VALUE!</v>
      </c>
      <c r="DH18" t="str">
        <f>IF('MvsD 8'!C:C,"AAAAAHr5/m8=",0)</f>
        <v>AAAAAHr5/m8=</v>
      </c>
      <c r="DI18" t="e">
        <f>IF('MvsD 8'!D:D,"AAAAAHr5/nA=",0)</f>
        <v>#VALUE!</v>
      </c>
      <c r="DJ18">
        <f>IF('MvsD 8'!E:E,"AAAAAHr5/nE=",0)</f>
        <v>0</v>
      </c>
      <c r="DK18">
        <f>IF('MvsD 8'!F:F,"AAAAAHr5/nI=",0)</f>
        <v>0</v>
      </c>
      <c r="DL18" t="e">
        <f>IF('MvsD 8'!#REF!,"AAAAAHr5/nM=",0)</f>
        <v>#REF!</v>
      </c>
      <c r="DM18" t="e">
        <f>IF('MvsD 8'!#REF!,"AAAAAHr5/nQ=",0)</f>
        <v>#REF!</v>
      </c>
      <c r="DN18" t="str">
        <f>IF('MvsD 8'!I:I,"AAAAAHr5/nU=",0)</f>
        <v>AAAAAHr5/nU=</v>
      </c>
      <c r="DO18" t="e">
        <f>IF('MvsD 8'!J:J,"AAAAAHr5/nY=",0)</f>
        <v>#VALUE!</v>
      </c>
      <c r="DP18" t="str">
        <f>IF('MvsD 8'!K:K,"AAAAAHr5/nc=",0)</f>
        <v>AAAAAHr5/nc=</v>
      </c>
      <c r="DQ18" t="e">
        <f>IF('MvsD 8'!L:L,"AAAAAHr5/ng=",0)</f>
        <v>#VALUE!</v>
      </c>
      <c r="DR18" t="e">
        <f>AND([1]Labo!#REF!,"AAAAAHr5/nk=")</f>
        <v>#REF!</v>
      </c>
      <c r="DS18" t="e">
        <f>AND([1]Labo!#REF!,"AAAAAHr5/no=")</f>
        <v>#REF!</v>
      </c>
      <c r="DT18" t="e">
        <f>AND([1]Labo!#REF!,"AAAAAHr5/ns=")</f>
        <v>#REF!</v>
      </c>
      <c r="DU18" t="e">
        <f>AND([1]Labo!#REF!,"AAAAAHr5/nw=")</f>
        <v>#REF!</v>
      </c>
      <c r="DV18" t="e">
        <f>AND([1]Labo!#REF!,"AAAAAHr5/n0=")</f>
        <v>#REF!</v>
      </c>
      <c r="DW18" t="e">
        <f>AND([1]Labo!#REF!,"AAAAAHr5/n4=")</f>
        <v>#REF!</v>
      </c>
      <c r="DX18" t="e">
        <f>AND([1]Labo!#REF!,"AAAAAHr5/n8=")</f>
        <v>#REF!</v>
      </c>
      <c r="DY18" t="e">
        <f>AND([1]Labo!#REF!,"AAAAAHr5/oA=")</f>
        <v>#REF!</v>
      </c>
      <c r="DZ18" t="e">
        <f>AND([1]Labo!#REF!,"AAAAAHr5/oE=")</f>
        <v>#REF!</v>
      </c>
      <c r="EA18" t="e">
        <f>AND([1]Labo!#REF!,"AAAAAHr5/oI=")</f>
        <v>#REF!</v>
      </c>
      <c r="EB18" t="e">
        <f>AND([1]Labo!#REF!,"AAAAAHr5/oM=")</f>
        <v>#REF!</v>
      </c>
      <c r="EC18" t="e">
        <f>AND([1]Labo!#REF!,"AAAAAHr5/oQ=")</f>
        <v>#REF!</v>
      </c>
      <c r="ED18" t="e">
        <f>AND([1]Labo!#REF!,"AAAAAHr5/oU=")</f>
        <v>#REF!</v>
      </c>
      <c r="EE18" t="e">
        <f>AND([1]Labo!#REF!,"AAAAAHr5/oY=")</f>
        <v>#REF!</v>
      </c>
      <c r="EF18" t="e">
        <f>AND([1]Labo!#REF!,"AAAAAHr5/oc=")</f>
        <v>#REF!</v>
      </c>
      <c r="EG18" t="e">
        <f>AND([1]Labo!#REF!,"AAAAAHr5/og=")</f>
        <v>#REF!</v>
      </c>
      <c r="EH18" t="e">
        <f>AND([1]Labo!#REF!,"AAAAAHr5/ok=")</f>
        <v>#REF!</v>
      </c>
      <c r="EI18" t="e">
        <f>AND([1]Labo!#REF!,"AAAAAHr5/oo=")</f>
        <v>#REF!</v>
      </c>
      <c r="EJ18" t="e">
        <f>AND([1]Labo!#REF!,"AAAAAHr5/os=")</f>
        <v>#REF!</v>
      </c>
      <c r="EK18" t="e">
        <f>AND([1]Labo!#REF!,"AAAAAHr5/ow=")</f>
        <v>#REF!</v>
      </c>
      <c r="EL18" t="e">
        <f>AND([1]Labo!#REF!,"AAAAAHr5/o0=")</f>
        <v>#REF!</v>
      </c>
      <c r="EM18" t="e">
        <f>AND([1]Labo!#REF!,"AAAAAHr5/o4=")</f>
        <v>#REF!</v>
      </c>
      <c r="EN18" t="e">
        <f>AND([1]Labo!#REF!,"AAAAAHr5/o8=")</f>
        <v>#REF!</v>
      </c>
      <c r="EO18" t="e">
        <f>AND([1]Labo!#REF!,"AAAAAHr5/pA=")</f>
        <v>#REF!</v>
      </c>
      <c r="EP18" t="e">
        <f>AND([1]Labo!#REF!,"AAAAAHr5/pE=")</f>
        <v>#REF!</v>
      </c>
      <c r="EQ18" t="e">
        <f>AND([1]Labo!#REF!,"AAAAAHr5/pI=")</f>
        <v>#REF!</v>
      </c>
      <c r="ER18" t="e">
        <f>AND([1]Labo!#REF!,"AAAAAHr5/pM=")</f>
        <v>#REF!</v>
      </c>
      <c r="ES18" t="e">
        <f>AND([1]Labo!#REF!,"AAAAAHr5/pQ=")</f>
        <v>#REF!</v>
      </c>
      <c r="ET18" t="e">
        <f>AND([1]Labo!#REF!,"AAAAAHr5/pU=")</f>
        <v>#REF!</v>
      </c>
      <c r="EU18" t="e">
        <f>AND([1]Labo!#REF!,"AAAAAHr5/pY=")</f>
        <v>#REF!</v>
      </c>
      <c r="EV18" t="e">
        <f>AND([1]Labo!#REF!,"AAAAAHr5/pc=")</f>
        <v>#REF!</v>
      </c>
      <c r="EW18" t="e">
        <f>AND([1]Labo!#REF!,"AAAAAHr5/pg=")</f>
        <v>#REF!</v>
      </c>
      <c r="EX18" t="e">
        <f>AND([1]Labo!#REF!,"AAAAAHr5/pk=")</f>
        <v>#REF!</v>
      </c>
      <c r="EY18" t="e">
        <f>AND([1]Labo!#REF!,"AAAAAHr5/po=")</f>
        <v>#REF!</v>
      </c>
      <c r="EZ18" t="e">
        <f>AND([1]Labo!#REF!,"AAAAAHr5/ps=")</f>
        <v>#REF!</v>
      </c>
      <c r="FA18" t="e">
        <f>AND([1]Labo!#REF!,"AAAAAHr5/pw=")</f>
        <v>#REF!</v>
      </c>
      <c r="FB18" t="e">
        <f>AND([1]Labo!#REF!,"AAAAAHr5/p0=")</f>
        <v>#REF!</v>
      </c>
      <c r="FC18" t="e">
        <f>AND([1]Labo!#REF!,"AAAAAHr5/p4=")</f>
        <v>#REF!</v>
      </c>
      <c r="FD18" t="e">
        <f>AND([1]Labo!#REF!,"AAAAAHr5/p8=")</f>
        <v>#REF!</v>
      </c>
      <c r="FE18" t="e">
        <f>AND([1]Labo!#REF!,"AAAAAHr5/qA=")</f>
        <v>#REF!</v>
      </c>
      <c r="FF18" t="e">
        <f>AND([1]Labo!#REF!,"AAAAAHr5/qE=")</f>
        <v>#REF!</v>
      </c>
      <c r="FG18" t="e">
        <f>AND([1]Labo!#REF!,"AAAAAHr5/qI=")</f>
        <v>#REF!</v>
      </c>
      <c r="FH18" t="e">
        <f>AND([1]Labo!#REF!,"AAAAAHr5/qM=")</f>
        <v>#REF!</v>
      </c>
      <c r="FI18" t="e">
        <f>AND([1]Labo!#REF!,"AAAAAHr5/qQ=")</f>
        <v>#REF!</v>
      </c>
      <c r="FJ18" t="e">
        <f>AND([1]Labo!#REF!,"AAAAAHr5/qU=")</f>
        <v>#REF!</v>
      </c>
      <c r="FK18" t="e">
        <f>AND([1]Labo!#REF!,"AAAAAHr5/qY=")</f>
        <v>#REF!</v>
      </c>
      <c r="FL18" t="e">
        <f>AND([1]Labo!#REF!,"AAAAAHr5/qc=")</f>
        <v>#REF!</v>
      </c>
      <c r="FM18" t="e">
        <f>AND([1]Labo!#REF!,"AAAAAHr5/qg=")</f>
        <v>#REF!</v>
      </c>
      <c r="FN18" t="e">
        <f>AND([1]Labo!#REF!,"AAAAAHr5/qk=")</f>
        <v>#REF!</v>
      </c>
      <c r="FO18" t="e">
        <f>AND([1]Labo!#REF!,"AAAAAHr5/qo=")</f>
        <v>#REF!</v>
      </c>
      <c r="FP18" t="e">
        <f>AND([1]Labo!#REF!,"AAAAAHr5/qs=")</f>
        <v>#REF!</v>
      </c>
      <c r="FQ18" t="e">
        <f>AND([1]Labo!#REF!,"AAAAAHr5/qw=")</f>
        <v>#REF!</v>
      </c>
      <c r="FR18" t="e">
        <f>AND([1]Labo!#REF!,"AAAAAHr5/q0=")</f>
        <v>#REF!</v>
      </c>
      <c r="FS18" t="e">
        <f>AND([1]Labo!#REF!,"AAAAAHr5/q4=")</f>
        <v>#REF!</v>
      </c>
      <c r="FT18" t="e">
        <f>AND([1]Labo!#REF!,"AAAAAHr5/q8=")</f>
        <v>#REF!</v>
      </c>
      <c r="FU18" t="e">
        <f>AND([1]Labo!#REF!,"AAAAAHr5/rA=")</f>
        <v>#REF!</v>
      </c>
      <c r="FV18" t="e">
        <f>AND([1]Labo!#REF!,"AAAAAHr5/rE=")</f>
        <v>#REF!</v>
      </c>
      <c r="FW18" t="e">
        <f>AND([1]Labo!#REF!,"AAAAAHr5/rI=")</f>
        <v>#REF!</v>
      </c>
      <c r="FX18" t="e">
        <f>AND([1]Labo!#REF!,"AAAAAHr5/rM=")</f>
        <v>#REF!</v>
      </c>
      <c r="FY18" t="e">
        <f>AND([1]Labo!#REF!,"AAAAAHr5/rQ=")</f>
        <v>#REF!</v>
      </c>
      <c r="FZ18" t="e">
        <f>AND([1]Labo!#REF!,"AAAAAHr5/rU=")</f>
        <v>#REF!</v>
      </c>
      <c r="GA18" t="e">
        <f>AND([1]Labo!#REF!,"AAAAAHr5/rY=")</f>
        <v>#REF!</v>
      </c>
      <c r="GB18" t="e">
        <f>AND([1]Labo!#REF!,"AAAAAHr5/rc=")</f>
        <v>#REF!</v>
      </c>
      <c r="GC18" t="e">
        <f>AND([1]Labo!#REF!,"AAAAAHr5/rg=")</f>
        <v>#REF!</v>
      </c>
      <c r="GD18" t="e">
        <f>AND([1]Labo!#REF!,"AAAAAHr5/rk=")</f>
        <v>#REF!</v>
      </c>
      <c r="GE18" t="e">
        <f>AND([1]Labo!#REF!,"AAAAAHr5/ro=")</f>
        <v>#REF!</v>
      </c>
      <c r="GF18" t="e">
        <f>AND([1]Labo!#REF!,"AAAAAHr5/rs=")</f>
        <v>#REF!</v>
      </c>
      <c r="GG18" t="e">
        <f>AND([1]Labo!#REF!,"AAAAAHr5/rw=")</f>
        <v>#REF!</v>
      </c>
      <c r="GH18" t="e">
        <f>AND([1]Labo!#REF!,"AAAAAHr5/r0=")</f>
        <v>#REF!</v>
      </c>
      <c r="GI18" t="e">
        <f>AND([1]Labo!#REF!,"AAAAAHr5/r4=")</f>
        <v>#REF!</v>
      </c>
      <c r="GJ18" t="e">
        <f>AND([1]Labo!#REF!,"AAAAAHr5/r8=")</f>
        <v>#REF!</v>
      </c>
      <c r="GK18" t="e">
        <f>AND([1]Labo!#REF!,"AAAAAHr5/sA=")</f>
        <v>#REF!</v>
      </c>
      <c r="GL18" t="e">
        <f>AND([1]Labo!#REF!,"AAAAAHr5/sE=")</f>
        <v>#REF!</v>
      </c>
      <c r="GM18" t="e">
        <f>AND([1]Labo!#REF!,"AAAAAHr5/sI=")</f>
        <v>#REF!</v>
      </c>
      <c r="GN18" t="e">
        <f>AND([1]Labo!#REF!,"AAAAAHr5/sM=")</f>
        <v>#REF!</v>
      </c>
      <c r="GO18" t="e">
        <f>AND([1]Labo!#REF!,"AAAAAHr5/sQ=")</f>
        <v>#REF!</v>
      </c>
      <c r="GP18" t="e">
        <f>AND([1]Labo!#REF!,"AAAAAHr5/sU=")</f>
        <v>#REF!</v>
      </c>
      <c r="GQ18" t="e">
        <f>AND([1]Labo!#REF!,"AAAAAHr5/sY=")</f>
        <v>#REF!</v>
      </c>
      <c r="GR18" t="e">
        <f>AND([1]Labo!#REF!,"AAAAAHr5/sc=")</f>
        <v>#REF!</v>
      </c>
      <c r="GS18" t="e">
        <f>AND([1]Labo!#REF!,"AAAAAHr5/sg=")</f>
        <v>#REF!</v>
      </c>
      <c r="GT18" t="e">
        <f>AND([1]Labo!#REF!,"AAAAAHr5/sk=")</f>
        <v>#REF!</v>
      </c>
      <c r="GU18" t="e">
        <f>AND([1]Labo!#REF!,"AAAAAHr5/so=")</f>
        <v>#REF!</v>
      </c>
      <c r="GV18" t="e">
        <f>AND([1]Labo!#REF!,"AAAAAHr5/ss=")</f>
        <v>#REF!</v>
      </c>
      <c r="GW18" t="e">
        <f>AND([1]Labo!#REF!,"AAAAAHr5/sw=")</f>
        <v>#REF!</v>
      </c>
      <c r="GX18" t="e">
        <f>AND([1]Labo!#REF!,"AAAAAHr5/s0=")</f>
        <v>#REF!</v>
      </c>
      <c r="GY18" t="e">
        <f>AND([1]Labo!#REF!,"AAAAAHr5/s4=")</f>
        <v>#REF!</v>
      </c>
      <c r="GZ18" t="e">
        <f>AND([1]Labo!#REF!,"AAAAAHr5/s8=")</f>
        <v>#REF!</v>
      </c>
      <c r="HA18" t="e">
        <f>AND([1]Labo!#REF!,"AAAAAHr5/tA=")</f>
        <v>#REF!</v>
      </c>
      <c r="HB18" t="e">
        <f>AND([1]Labo!#REF!,"AAAAAHr5/tE=")</f>
        <v>#REF!</v>
      </c>
      <c r="HC18" t="e">
        <f>AND([1]Labo!#REF!,"AAAAAHr5/tI=")</f>
        <v>#REF!</v>
      </c>
      <c r="HD18" t="e">
        <f>AND([1]Labo!#REF!,"AAAAAHr5/tM=")</f>
        <v>#REF!</v>
      </c>
      <c r="HE18" t="e">
        <f>AND([1]Labo!#REF!,"AAAAAHr5/tQ=")</f>
        <v>#REF!</v>
      </c>
      <c r="HF18" t="e">
        <f>AND([1]Labo!#REF!,"AAAAAHr5/tU=")</f>
        <v>#REF!</v>
      </c>
      <c r="HG18" t="e">
        <f>AND([1]Labo!#REF!,"AAAAAHr5/tY=")</f>
        <v>#REF!</v>
      </c>
      <c r="HH18" t="e">
        <f>AND([1]Labo!#REF!,"AAAAAHr5/tc=")</f>
        <v>#REF!</v>
      </c>
      <c r="HI18" t="e">
        <f>AND([1]Labo!#REF!,"AAAAAHr5/tg=")</f>
        <v>#REF!</v>
      </c>
      <c r="HJ18" t="e">
        <f>AND([1]Labo!#REF!,"AAAAAHr5/tk=")</f>
        <v>#REF!</v>
      </c>
      <c r="HK18" t="e">
        <f>AND([1]Labo!#REF!,"AAAAAHr5/to=")</f>
        <v>#REF!</v>
      </c>
      <c r="HL18" t="e">
        <f>AND([1]Labo!#REF!,"AAAAAHr5/ts=")</f>
        <v>#REF!</v>
      </c>
      <c r="HM18" t="e">
        <f>AND([1]Labo!#REF!,"AAAAAHr5/tw=")</f>
        <v>#REF!</v>
      </c>
      <c r="HN18" t="e">
        <f>AND([1]Labo!#REF!,"AAAAAHr5/t0=")</f>
        <v>#REF!</v>
      </c>
      <c r="HO18" t="e">
        <f>AND([1]Labo!#REF!,"AAAAAHr5/t4=")</f>
        <v>#REF!</v>
      </c>
      <c r="HP18" t="e">
        <f>AND([1]Labo!#REF!,"AAAAAHr5/t8=")</f>
        <v>#REF!</v>
      </c>
      <c r="HQ18" t="e">
        <f>AND([1]Labo!#REF!,"AAAAAHr5/uA=")</f>
        <v>#REF!</v>
      </c>
      <c r="HR18" t="e">
        <f>AND([1]Labo!#REF!,"AAAAAHr5/uE=")</f>
        <v>#REF!</v>
      </c>
      <c r="HS18" t="e">
        <f>AND([1]Labo!#REF!,"AAAAAHr5/uI=")</f>
        <v>#REF!</v>
      </c>
      <c r="HT18" t="e">
        <f>AND([1]Labo!#REF!,"AAAAAHr5/uM=")</f>
        <v>#REF!</v>
      </c>
      <c r="HU18" t="e">
        <f>AND([1]Labo!#REF!,"AAAAAHr5/uQ=")</f>
        <v>#REF!</v>
      </c>
      <c r="HV18" t="e">
        <f>AND([1]Labo!#REF!,"AAAAAHr5/uU=")</f>
        <v>#REF!</v>
      </c>
      <c r="HW18" t="e">
        <f>AND([1]Labo!#REF!,"AAAAAHr5/uY=")</f>
        <v>#REF!</v>
      </c>
      <c r="HX18" t="e">
        <f>AND([1]Labo!#REF!,"AAAAAHr5/uc=")</f>
        <v>#REF!</v>
      </c>
      <c r="HY18" t="e">
        <f>AND([1]Labo!#REF!,"AAAAAHr5/ug=")</f>
        <v>#REF!</v>
      </c>
      <c r="HZ18" t="e">
        <f>AND([1]Labo!#REF!,"AAAAAHr5/uk=")</f>
        <v>#REF!</v>
      </c>
      <c r="IA18" t="e">
        <f>AND([1]Labo!#REF!,"AAAAAHr5/uo=")</f>
        <v>#REF!</v>
      </c>
      <c r="IB18" t="e">
        <f>AND([1]Labo!#REF!,"AAAAAHr5/us=")</f>
        <v>#REF!</v>
      </c>
      <c r="IC18" t="e">
        <f>AND([1]Labo!#REF!,"AAAAAHr5/uw=")</f>
        <v>#REF!</v>
      </c>
      <c r="ID18" t="e">
        <f>AND([1]Labo!#REF!,"AAAAAHr5/u0=")</f>
        <v>#REF!</v>
      </c>
      <c r="IE18" t="e">
        <f>AND([1]Labo!#REF!,"AAAAAHr5/u4=")</f>
        <v>#REF!</v>
      </c>
      <c r="IF18" t="e">
        <f>AND([1]Labo!#REF!,"AAAAAHr5/u8=")</f>
        <v>#REF!</v>
      </c>
      <c r="IG18" t="e">
        <f>AND([1]Labo!#REF!,"AAAAAHr5/vA=")</f>
        <v>#REF!</v>
      </c>
      <c r="IH18" t="e">
        <f>AND([1]Labo!#REF!,"AAAAAHr5/vE=")</f>
        <v>#REF!</v>
      </c>
      <c r="II18" t="e">
        <f>AND([1]Labo!#REF!,"AAAAAHr5/vI=")</f>
        <v>#REF!</v>
      </c>
      <c r="IJ18" t="e">
        <f>AND([1]Labo!#REF!,"AAAAAHr5/vM=")</f>
        <v>#REF!</v>
      </c>
      <c r="IK18" t="e">
        <f>AND([1]Labo!#REF!,"AAAAAHr5/vQ=")</f>
        <v>#REF!</v>
      </c>
      <c r="IL18" t="e">
        <f>AND([1]Labo!#REF!,"AAAAAHr5/vU=")</f>
        <v>#REF!</v>
      </c>
      <c r="IM18" t="e">
        <f>AND([1]Labo!#REF!,"AAAAAHr5/vY=")</f>
        <v>#REF!</v>
      </c>
      <c r="IN18" t="e">
        <f>AND([1]Labo!#REF!,"AAAAAHr5/vc=")</f>
        <v>#REF!</v>
      </c>
      <c r="IO18" t="e">
        <f>AND([1]Labo!#REF!,"AAAAAHr5/vg=")</f>
        <v>#REF!</v>
      </c>
      <c r="IP18" t="e">
        <f>AND([1]Labo!#REF!,"AAAAAHr5/vk=")</f>
        <v>#REF!</v>
      </c>
      <c r="IQ18" t="e">
        <f>AND([1]Labo!#REF!,"AAAAAHr5/vo=")</f>
        <v>#REF!</v>
      </c>
      <c r="IR18" t="e">
        <f>AND([1]Labo!#REF!,"AAAAAHr5/vs=")</f>
        <v>#REF!</v>
      </c>
      <c r="IS18" t="e">
        <f>AND([1]Labo!#REF!,"AAAAAHr5/vw=")</f>
        <v>#REF!</v>
      </c>
      <c r="IT18" t="e">
        <f>AND([1]Labo!#REF!,"AAAAAHr5/v0=")</f>
        <v>#REF!</v>
      </c>
      <c r="IU18" t="e">
        <f>AND([1]Labo!#REF!,"AAAAAHr5/v4=")</f>
        <v>#REF!</v>
      </c>
      <c r="IV18" t="e">
        <f>AND([1]Labo!#REF!,"AAAAAHr5/v8=")</f>
        <v>#REF!</v>
      </c>
    </row>
    <row r="19" spans="1:256">
      <c r="A19" t="e">
        <f>AND([1]Labo!#REF!,"AAAAAHZ9vwA=")</f>
        <v>#REF!</v>
      </c>
      <c r="B19" t="e">
        <f>AND([1]Labo!#REF!,"AAAAAHZ9vwE=")</f>
        <v>#REF!</v>
      </c>
      <c r="C19" t="e">
        <f>AND([1]Labo!#REF!,"AAAAAHZ9vwI=")</f>
        <v>#REF!</v>
      </c>
      <c r="D19" t="e">
        <f>AND([1]Labo!#REF!,"AAAAAHZ9vwM=")</f>
        <v>#REF!</v>
      </c>
      <c r="E19" t="e">
        <f>AND([1]Labo!#REF!,"AAAAAHZ9vwQ=")</f>
        <v>#REF!</v>
      </c>
      <c r="F19" t="e">
        <f>AND([1]Labo!#REF!,"AAAAAHZ9vwU=")</f>
        <v>#REF!</v>
      </c>
      <c r="G19" t="e">
        <f>AND([1]Labo!#REF!,"AAAAAHZ9vwY=")</f>
        <v>#REF!</v>
      </c>
      <c r="H19" t="e">
        <f>AND([1]Labo!#REF!,"AAAAAHZ9vwc=")</f>
        <v>#REF!</v>
      </c>
      <c r="I19" t="e">
        <f>AND([1]Labo!#REF!,"AAAAAHZ9vwg=")</f>
        <v>#REF!</v>
      </c>
      <c r="J19" t="e">
        <f>AND([1]Labo!#REF!,"AAAAAHZ9vwk=")</f>
        <v>#REF!</v>
      </c>
      <c r="K19" t="e">
        <f>AND([1]Labo!#REF!,"AAAAAHZ9vwo=")</f>
        <v>#REF!</v>
      </c>
      <c r="L19" t="e">
        <f>AND([1]Labo!#REF!,"AAAAAHZ9vws=")</f>
        <v>#REF!</v>
      </c>
      <c r="M19" t="e">
        <f>AND([1]Labo!#REF!,"AAAAAHZ9vww=")</f>
        <v>#REF!</v>
      </c>
      <c r="N19" t="e">
        <f>AND([1]Labo!#REF!,"AAAAAHZ9vw0=")</f>
        <v>#REF!</v>
      </c>
      <c r="O19" t="e">
        <f>AND([1]Labo!#REF!,"AAAAAHZ9vw4=")</f>
        <v>#REF!</v>
      </c>
      <c r="P19" t="e">
        <f>AND([1]Labo!#REF!,"AAAAAHZ9vw8=")</f>
        <v>#REF!</v>
      </c>
      <c r="Q19" t="e">
        <f>AND([1]Labo!#REF!,"AAAAAHZ9vxA=")</f>
        <v>#REF!</v>
      </c>
      <c r="R19" t="e">
        <f>AND([1]Labo!#REF!,"AAAAAHZ9vxE=")</f>
        <v>#REF!</v>
      </c>
      <c r="S19" t="e">
        <f>AND([1]Labo!#REF!,"AAAAAHZ9vxI=")</f>
        <v>#REF!</v>
      </c>
      <c r="T19" t="e">
        <f>AND([1]Labo!#REF!,"AAAAAHZ9vxM=")</f>
        <v>#REF!</v>
      </c>
      <c r="U19" t="e">
        <f>AND([1]Labo!#REF!,"AAAAAHZ9vxQ=")</f>
        <v>#REF!</v>
      </c>
      <c r="V19" t="e">
        <f>AND([1]Labo!#REF!,"AAAAAHZ9vxU=")</f>
        <v>#REF!</v>
      </c>
      <c r="W19" t="e">
        <f>AND([1]Labo!#REF!,"AAAAAHZ9vxY=")</f>
        <v>#REF!</v>
      </c>
      <c r="X19" t="e">
        <f>AND([1]Labo!#REF!,"AAAAAHZ9vxc=")</f>
        <v>#REF!</v>
      </c>
      <c r="Y19" t="e">
        <f>AND([1]Labo!#REF!,"AAAAAHZ9vxg=")</f>
        <v>#REF!</v>
      </c>
      <c r="Z19" t="e">
        <f>AND([1]Labo!#REF!,"AAAAAHZ9vxk=")</f>
        <v>#REF!</v>
      </c>
      <c r="AA19" t="e">
        <f>AND([1]Labo!#REF!,"AAAAAHZ9vxo=")</f>
        <v>#REF!</v>
      </c>
      <c r="AB19" t="e">
        <f>AND([1]Labo!#REF!,"AAAAAHZ9vxs=")</f>
        <v>#REF!</v>
      </c>
      <c r="AC19" t="e">
        <f>AND([1]Labo!#REF!,"AAAAAHZ9vxw=")</f>
        <v>#REF!</v>
      </c>
      <c r="AD19" t="e">
        <f>AND([1]Labo!#REF!,"AAAAAHZ9vx0=")</f>
        <v>#REF!</v>
      </c>
      <c r="AE19" t="e">
        <f>AND([1]Labo!#REF!,"AAAAAHZ9vx4=")</f>
        <v>#REF!</v>
      </c>
      <c r="AF19" t="e">
        <f>AND([1]Labo!#REF!,"AAAAAHZ9vx8=")</f>
        <v>#REF!</v>
      </c>
      <c r="AG19" t="e">
        <f>AND([1]Labo!#REF!,"AAAAAHZ9vyA=")</f>
        <v>#REF!</v>
      </c>
      <c r="AH19" t="e">
        <f>AND([1]Labo!#REF!,"AAAAAHZ9vyE=")</f>
        <v>#REF!</v>
      </c>
      <c r="AI19" t="e">
        <f>AND([1]Labo!#REF!,"AAAAAHZ9vyI=")</f>
        <v>#REF!</v>
      </c>
      <c r="AJ19" t="e">
        <f>AND([1]Labo!#REF!,"AAAAAHZ9vyM=")</f>
        <v>#REF!</v>
      </c>
      <c r="AK19" t="e">
        <f>AND([1]Labo!#REF!,"AAAAAHZ9vyQ=")</f>
        <v>#REF!</v>
      </c>
      <c r="AL19" t="e">
        <f>AND([1]Labo!#REF!,"AAAAAHZ9vyU=")</f>
        <v>#REF!</v>
      </c>
      <c r="AM19" t="e">
        <f>AND([1]Labo!#REF!,"AAAAAHZ9vyY=")</f>
        <v>#REF!</v>
      </c>
      <c r="AN19" t="e">
        <f>AND([1]Labo!#REF!,"AAAAAHZ9vyc=")</f>
        <v>#REF!</v>
      </c>
      <c r="AO19" t="e">
        <f>AND([1]Labo!#REF!,"AAAAAHZ9vyg=")</f>
        <v>#REF!</v>
      </c>
      <c r="AP19" t="e">
        <f>AND([1]Labo!#REF!,"AAAAAHZ9vyk=")</f>
        <v>#REF!</v>
      </c>
      <c r="AQ19" t="e">
        <f>AND([1]Labo!#REF!,"AAAAAHZ9vyo=")</f>
        <v>#REF!</v>
      </c>
      <c r="AR19" t="e">
        <f>AND([1]Labo!#REF!,"AAAAAHZ9vys=")</f>
        <v>#REF!</v>
      </c>
      <c r="AS19" t="e">
        <f>AND([1]Labo!#REF!,"AAAAAHZ9vyw=")</f>
        <v>#REF!</v>
      </c>
      <c r="AT19" t="e">
        <f>AND([1]Labo!#REF!,"AAAAAHZ9vy0=")</f>
        <v>#REF!</v>
      </c>
      <c r="AU19" t="e">
        <f>AND([1]Labo!#REF!,"AAAAAHZ9vy4=")</f>
        <v>#REF!</v>
      </c>
      <c r="AV19" t="e">
        <f>AND([1]Labo!#REF!,"AAAAAHZ9vy8=")</f>
        <v>#REF!</v>
      </c>
      <c r="AW19" t="e">
        <f>AND([1]Labo!#REF!,"AAAAAHZ9vzA=")</f>
        <v>#REF!</v>
      </c>
      <c r="AX19" t="e">
        <f>AND([1]Labo!#REF!,"AAAAAHZ9vzE=")</f>
        <v>#REF!</v>
      </c>
      <c r="AY19" t="e">
        <f>AND([1]Labo!#REF!,"AAAAAHZ9vzI=")</f>
        <v>#REF!</v>
      </c>
      <c r="AZ19" t="e">
        <f>AND([1]Labo!#REF!,"AAAAAHZ9vzM=")</f>
        <v>#REF!</v>
      </c>
      <c r="BA19" t="e">
        <f>AND([1]Labo!#REF!,"AAAAAHZ9vzQ=")</f>
        <v>#REF!</v>
      </c>
      <c r="BB19" t="e">
        <f>AND([1]Labo!#REF!,"AAAAAHZ9vzU=")</f>
        <v>#REF!</v>
      </c>
      <c r="BC19" t="e">
        <f>AND([1]Labo!#REF!,"AAAAAHZ9vzY=")</f>
        <v>#REF!</v>
      </c>
      <c r="BD19" t="e">
        <f>AND([1]Labo!#REF!,"AAAAAHZ9vzc=")</f>
        <v>#REF!</v>
      </c>
      <c r="BE19" t="e">
        <f>AND([1]Labo!#REF!,"AAAAAHZ9vzg=")</f>
        <v>#REF!</v>
      </c>
      <c r="BF19" t="e">
        <f>AND([1]Labo!#REF!,"AAAAAHZ9vzk=")</f>
        <v>#REF!</v>
      </c>
      <c r="BG19" t="e">
        <f>AND([1]Labo!#REF!,"AAAAAHZ9vzo=")</f>
        <v>#REF!</v>
      </c>
      <c r="BH19" t="e">
        <f>AND([1]Labo!#REF!,"AAAAAHZ9vzs=")</f>
        <v>#REF!</v>
      </c>
      <c r="BI19" t="e">
        <f>AND([1]Labo!#REF!,"AAAAAHZ9vzw=")</f>
        <v>#REF!</v>
      </c>
      <c r="BJ19" t="e">
        <f>AND([1]Labo!#REF!,"AAAAAHZ9vz0=")</f>
        <v>#REF!</v>
      </c>
      <c r="BK19" t="e">
        <f>AND([1]Labo!#REF!,"AAAAAHZ9vz4=")</f>
        <v>#REF!</v>
      </c>
      <c r="BL19" t="e">
        <f>AND([1]Labo!#REF!,"AAAAAHZ9vz8=")</f>
        <v>#REF!</v>
      </c>
      <c r="BM19" t="e">
        <f>AND([1]Labo!#REF!,"AAAAAHZ9v0A=")</f>
        <v>#REF!</v>
      </c>
      <c r="BN19" t="e">
        <f>AND([1]Labo!#REF!,"AAAAAHZ9v0E=")</f>
        <v>#REF!</v>
      </c>
      <c r="BO19" t="e">
        <f>AND([1]Labo!#REF!,"AAAAAHZ9v0I=")</f>
        <v>#REF!</v>
      </c>
      <c r="BP19" t="e">
        <f>AND([1]Labo!#REF!,"AAAAAHZ9v0M=")</f>
        <v>#REF!</v>
      </c>
      <c r="BQ19" t="e">
        <f>AND([1]Labo!#REF!,"AAAAAHZ9v0Q=")</f>
        <v>#REF!</v>
      </c>
      <c r="BR19" t="e">
        <f>AND([1]Labo!#REF!,"AAAAAHZ9v0U=")</f>
        <v>#REF!</v>
      </c>
      <c r="BS19" t="e">
        <f>AND([1]Labo!#REF!,"AAAAAHZ9v0Y=")</f>
        <v>#REF!</v>
      </c>
      <c r="BT19" t="e">
        <f>AND([1]Labo!#REF!,"AAAAAHZ9v0c=")</f>
        <v>#REF!</v>
      </c>
      <c r="BU19" t="e">
        <f>AND([1]Labo!#REF!,"AAAAAHZ9v0g=")</f>
        <v>#REF!</v>
      </c>
      <c r="BV19">
        <f>IF([1]Labo!$A27:$AMJ27,"AAAAAHZ9v0k=",0)</f>
        <v>0</v>
      </c>
      <c r="BW19" t="b">
        <f>AND([1]Labo!A24,"AAAAAHZ9v0o=")</f>
        <v>1</v>
      </c>
      <c r="BX19" t="e">
        <f>AND([1]Labo!B24,"AAAAAHZ9v0s=")</f>
        <v>#VALUE!</v>
      </c>
      <c r="BY19" t="e">
        <f>AND([1]Labo!C27,"AAAAAHZ9v0w=")</f>
        <v>#VALUE!</v>
      </c>
      <c r="BZ19" t="e">
        <f>AND([1]Labo!#REF!,"AAAAAHZ9v00=")</f>
        <v>#REF!</v>
      </c>
      <c r="CA19" t="e">
        <f>AND([1]Labo!#REF!,"AAAAAHZ9v04=")</f>
        <v>#REF!</v>
      </c>
      <c r="CB19" t="e">
        <f>AND([1]Labo!#REF!,"AAAAAHZ9v08=")</f>
        <v>#REF!</v>
      </c>
      <c r="CC19" t="e">
        <f>AND([1]Labo!#REF!,"AAAAAHZ9v1A=")</f>
        <v>#REF!</v>
      </c>
      <c r="CD19" t="e">
        <f>AND([1]Labo!#REF!,"AAAAAHZ9v1E=")</f>
        <v>#REF!</v>
      </c>
      <c r="CE19" t="e">
        <f>AND([1]Labo!#REF!,"AAAAAHZ9v1I=")</f>
        <v>#REF!</v>
      </c>
      <c r="CF19" t="e">
        <f>AND([1]Labo!#REF!,"AAAAAHZ9v1M=")</f>
        <v>#REF!</v>
      </c>
      <c r="CG19" t="e">
        <f>AND([1]Labo!#REF!,"AAAAAHZ9v1Q=")</f>
        <v>#REF!</v>
      </c>
      <c r="CH19" t="e">
        <f>AND([1]Labo!#REF!,"AAAAAHZ9v1U=")</f>
        <v>#REF!</v>
      </c>
      <c r="CI19" t="e">
        <f>AND([1]Labo!#REF!,"AAAAAHZ9v1Y=")</f>
        <v>#REF!</v>
      </c>
      <c r="CJ19">
        <f>IF([1]Labo!$A28:$AMJ28,"AAAAAHZ9v1c=",0)</f>
        <v>0</v>
      </c>
      <c r="CK19" t="b">
        <f>AND([1]Labo!A25,"AAAAAHZ9v1g=")</f>
        <v>1</v>
      </c>
      <c r="CL19" t="e">
        <f>AND([1]Labo!B25,"AAAAAHZ9v1k=")</f>
        <v>#VALUE!</v>
      </c>
      <c r="CM19" t="e">
        <f>AND([1]Labo!C28,"AAAAAHZ9v1o=")</f>
        <v>#VALUE!</v>
      </c>
      <c r="CN19" t="e">
        <f>AND([1]Labo!#REF!,"AAAAAHZ9v1s=")</f>
        <v>#REF!</v>
      </c>
      <c r="CO19" t="e">
        <f>AND([1]Labo!#REF!,"AAAAAHZ9v1w=")</f>
        <v>#REF!</v>
      </c>
      <c r="CP19" t="e">
        <f>AND([1]Labo!#REF!,"AAAAAHZ9v10=")</f>
        <v>#REF!</v>
      </c>
      <c r="CQ19" t="e">
        <f>AND([1]Labo!#REF!,"AAAAAHZ9v14=")</f>
        <v>#REF!</v>
      </c>
      <c r="CR19" t="e">
        <f>AND([1]Labo!#REF!,"AAAAAHZ9v18=")</f>
        <v>#REF!</v>
      </c>
      <c r="CS19" t="e">
        <f>AND([1]Labo!#REF!,"AAAAAHZ9v2A=")</f>
        <v>#REF!</v>
      </c>
      <c r="CT19" t="e">
        <f>AND([1]Labo!#REF!,"AAAAAHZ9v2E=")</f>
        <v>#REF!</v>
      </c>
      <c r="CU19" t="e">
        <f>AND([1]Labo!#REF!,"AAAAAHZ9v2I=")</f>
        <v>#REF!</v>
      </c>
      <c r="CV19" t="e">
        <f>AND([1]Labo!#REF!,"AAAAAHZ9v2M=")</f>
        <v>#REF!</v>
      </c>
      <c r="CW19" t="e">
        <f>AND([1]Labo!#REF!,"AAAAAHZ9v2Q=")</f>
        <v>#REF!</v>
      </c>
      <c r="CX19">
        <f>IF([1]Labo!$A29:$AMJ29,"AAAAAHZ9v2U=",0)</f>
        <v>0</v>
      </c>
      <c r="CY19" t="b">
        <f>AND([1]Labo!A43,"AAAAAHZ9v2Y=")</f>
        <v>1</v>
      </c>
      <c r="CZ19" t="e">
        <f>AND([1]Labo!B44,"AAAAAHZ9v2c=")</f>
        <v>#VALUE!</v>
      </c>
      <c r="DA19" t="e">
        <f>AND([1]Labo!C29,"AAAAAHZ9v2g=")</f>
        <v>#VALUE!</v>
      </c>
      <c r="DB19" t="e">
        <f>AND([1]Labo!#REF!,"AAAAAHZ9v2k=")</f>
        <v>#REF!</v>
      </c>
      <c r="DC19" t="e">
        <f>AND([1]Labo!#REF!,"AAAAAHZ9v2o=")</f>
        <v>#REF!</v>
      </c>
      <c r="DD19" t="e">
        <f>AND([1]Labo!#REF!,"AAAAAHZ9v2s=")</f>
        <v>#REF!</v>
      </c>
      <c r="DE19" t="e">
        <f>AND([1]Labo!#REF!,"AAAAAHZ9v2w=")</f>
        <v>#REF!</v>
      </c>
      <c r="DF19" t="e">
        <f>AND([1]Labo!#REF!,"AAAAAHZ9v20=")</f>
        <v>#REF!</v>
      </c>
      <c r="DG19" t="e">
        <f>AND([1]Labo!#REF!,"AAAAAHZ9v24=")</f>
        <v>#REF!</v>
      </c>
      <c r="DH19" t="e">
        <f>AND([1]Labo!#REF!,"AAAAAHZ9v28=")</f>
        <v>#REF!</v>
      </c>
      <c r="DI19" t="e">
        <f>AND([1]Labo!#REF!,"AAAAAHZ9v3A=")</f>
        <v>#REF!</v>
      </c>
      <c r="DJ19" t="e">
        <f>AND([1]Labo!#REF!,"AAAAAHZ9v3E=")</f>
        <v>#REF!</v>
      </c>
      <c r="DK19" t="e">
        <f>AND([1]Labo!#REF!,"AAAAAHZ9v3I=")</f>
        <v>#REF!</v>
      </c>
      <c r="DL19">
        <f>IF([1]Labo!$A30:$AMJ30,"AAAAAHZ9v3M=",0)</f>
        <v>0</v>
      </c>
      <c r="DM19" t="e">
        <f>AND([1]Labo!#REF!,"AAAAAHZ9v3Q=")</f>
        <v>#REF!</v>
      </c>
      <c r="DN19" t="e">
        <f>AND([1]Labo!#REF!,"AAAAAHZ9v3U=")</f>
        <v>#REF!</v>
      </c>
      <c r="DO19" t="e">
        <f>AND([1]Labo!C30,"AAAAAHZ9v3Y=")</f>
        <v>#VALUE!</v>
      </c>
      <c r="DP19" t="e">
        <f>AND([1]Labo!#REF!,"AAAAAHZ9v3c=")</f>
        <v>#REF!</v>
      </c>
      <c r="DQ19" t="e">
        <f>AND([1]Labo!E28,"AAAAAHZ9v3g=")</f>
        <v>#VALUE!</v>
      </c>
      <c r="DR19" t="e">
        <f>AND([1]Labo!#REF!,"AAAAAHZ9v3k=")</f>
        <v>#REF!</v>
      </c>
      <c r="DS19" t="e">
        <f>AND([1]Labo!#REF!,"AAAAAHZ9v3o=")</f>
        <v>#REF!</v>
      </c>
      <c r="DT19" t="e">
        <f>AND([1]Labo!#REF!,"AAAAAHZ9v3s=")</f>
        <v>#REF!</v>
      </c>
      <c r="DU19" t="e">
        <f>AND([1]Labo!#REF!,"AAAAAHZ9v3w=")</f>
        <v>#REF!</v>
      </c>
      <c r="DV19" t="e">
        <f>AND([1]Labo!#REF!,"AAAAAHZ9v30=")</f>
        <v>#REF!</v>
      </c>
      <c r="DW19" t="e">
        <f>AND([1]Labo!#REF!,"AAAAAHZ9v34=")</f>
        <v>#REF!</v>
      </c>
      <c r="DX19" t="e">
        <f>AND([1]Labo!#REF!,"AAAAAHZ9v38=")</f>
        <v>#REF!</v>
      </c>
      <c r="DY19" t="e">
        <f>AND([1]Labo!#REF!,"AAAAAHZ9v4A=")</f>
        <v>#REF!</v>
      </c>
      <c r="DZ19" t="e">
        <f>IF([1]Labo!#REF!,"AAAAAHZ9v4E=",0)</f>
        <v>#REF!</v>
      </c>
      <c r="EA19" t="e">
        <f>IF([1]Labo!#REF!,"AAAAAHZ9v4I=",0)</f>
        <v>#REF!</v>
      </c>
      <c r="EB19" t="e">
        <f>IF([1]Labo!#REF!,"AAAAAHZ9v4M=",0)</f>
        <v>#REF!</v>
      </c>
      <c r="EC19" t="e">
        <f>IF([1]Labo!#REF!,"AAAAAHZ9v4Q=",0)</f>
        <v>#REF!</v>
      </c>
      <c r="ED19" t="e">
        <f>IF([1]Labo!#REF!,"AAAAAHZ9v4U=",0)</f>
        <v>#REF!</v>
      </c>
      <c r="EE19" t="e">
        <f>IF([1]Labo!#REF!,"AAAAAHZ9v4Y=",0)</f>
        <v>#REF!</v>
      </c>
      <c r="EF19" t="e">
        <f>IF([1]Labo!#REF!,"AAAAAHZ9v4c=",0)</f>
        <v>#REF!</v>
      </c>
      <c r="EG19" t="e">
        <f>IF([1]Labo!#REF!,"AAAAAHZ9v4g=",0)</f>
        <v>#REF!</v>
      </c>
    </row>
    <row r="20" spans="1:256">
      <c r="A20" t="e">
        <f>AND(#REF!,"AAAAAD7/nwA=")</f>
        <v>#REF!</v>
      </c>
      <c r="B20" t="e">
        <f>AND(#REF!,"AAAAAD7/nwE=")</f>
        <v>#REF!</v>
      </c>
      <c r="C20" t="e">
        <f>AND(#REF!,"AAAAAD7/nwI=")</f>
        <v>#REF!</v>
      </c>
      <c r="D20" t="e">
        <f>AND(#REF!,"AAAAAD7/nwM=")</f>
        <v>#REF!</v>
      </c>
      <c r="E20" t="e">
        <f>AND(#REF!,"AAAAAD7/nwQ=")</f>
        <v>#REF!</v>
      </c>
      <c r="F20" t="e">
        <f>AND(#REF!,"AAAAAD7/nwU=")</f>
        <v>#REF!</v>
      </c>
      <c r="G20" t="e">
        <f>AND(#REF!,"AAAAAD7/nwY=")</f>
        <v>#REF!</v>
      </c>
      <c r="H20" t="e">
        <f>AND(#REF!,"AAAAAD7/nwc=")</f>
        <v>#REF!</v>
      </c>
      <c r="I20" t="e">
        <f>AND(#REF!,"AAAAAD7/nwg=")</f>
        <v>#REF!</v>
      </c>
      <c r="J20" t="e">
        <f>AND(#REF!,"AAAAAD7/nwk=")</f>
        <v>#REF!</v>
      </c>
      <c r="K20" t="e">
        <f>AND(#REF!,"AAAAAD7/nwo=")</f>
        <v>#REF!</v>
      </c>
      <c r="L20" t="e">
        <f>AND(#REF!,"AAAAAD7/nws=")</f>
        <v>#REF!</v>
      </c>
      <c r="M20" t="e">
        <f>AND(#REF!,"AAAAAD7/nww=")</f>
        <v>#REF!</v>
      </c>
      <c r="N20" t="e">
        <f>AND(#REF!,"AAAAAD7/nw0=")</f>
        <v>#REF!</v>
      </c>
      <c r="O20" t="e">
        <f>AND(#REF!,"AAAAAD7/nw4=")</f>
        <v>#REF!</v>
      </c>
      <c r="P20" t="e">
        <f>AND(#REF!,"AAAAAD7/nw8=")</f>
        <v>#REF!</v>
      </c>
      <c r="Q20" t="e">
        <f>AND(#REF!,"AAAAAD7/nxA=")</f>
        <v>#REF!</v>
      </c>
      <c r="R20" t="e">
        <f>AND(#REF!,"AAAAAD7/nxE=")</f>
        <v>#REF!</v>
      </c>
      <c r="S20" t="e">
        <f>AND(#REF!,"AAAAAD7/nxI=")</f>
        <v>#REF!</v>
      </c>
      <c r="T20" t="e">
        <f>AND(#REF!,"AAAAAD7/nxM=")</f>
        <v>#REF!</v>
      </c>
      <c r="U20" t="e">
        <f>AND(#REF!,"AAAAAD7/nxQ=")</f>
        <v>#REF!</v>
      </c>
      <c r="V20" t="e">
        <f>AND(#REF!,"AAAAAD7/nxU=")</f>
        <v>#REF!</v>
      </c>
      <c r="W20" t="e">
        <f>AND(#REF!,"AAAAAD7/nxY=")</f>
        <v>#REF!</v>
      </c>
      <c r="X20" t="e">
        <f>AND(#REF!,"AAAAAD7/nxc=")</f>
        <v>#REF!</v>
      </c>
      <c r="Y20" t="e">
        <f>AND(#REF!,"AAAAAD7/nxg=")</f>
        <v>#REF!</v>
      </c>
      <c r="Z20" t="e">
        <f>AND(#REF!,"AAAAAD7/nxk=")</f>
        <v>#REF!</v>
      </c>
      <c r="AA20" t="e">
        <f>AND(#REF!,"AAAAAD7/nxo=")</f>
        <v>#REF!</v>
      </c>
      <c r="AB20" t="e">
        <f>AND(#REF!,"AAAAAD7/nxs=")</f>
        <v>#REF!</v>
      </c>
      <c r="AC20" t="e">
        <f>AND(#REF!,"AAAAAD7/nxw=")</f>
        <v>#REF!</v>
      </c>
      <c r="AD20" t="e">
        <f>AND(#REF!,"AAAAAD7/nx0=")</f>
        <v>#REF!</v>
      </c>
      <c r="AE20" t="e">
        <f>AND(#REF!,"AAAAAD7/nx4=")</f>
        <v>#REF!</v>
      </c>
      <c r="AF20" t="e">
        <f>AND(#REF!,"AAAAAD7/nx8=")</f>
        <v>#REF!</v>
      </c>
      <c r="AG20" t="e">
        <f>AND(#REF!,"AAAAAD7/nyA=")</f>
        <v>#REF!</v>
      </c>
      <c r="AH20" t="e">
        <f>AND(#REF!,"AAAAAD7/nyE=")</f>
        <v>#REF!</v>
      </c>
      <c r="AI20" t="e">
        <f>AND(#REF!,"AAAAAD7/nyI=")</f>
        <v>#REF!</v>
      </c>
      <c r="AJ20" t="e">
        <f>AND(#REF!,"AAAAAD7/nyM=")</f>
        <v>#REF!</v>
      </c>
      <c r="AK20" t="e">
        <f>AND(#REF!,"AAAAAD7/nyQ=")</f>
        <v>#REF!</v>
      </c>
      <c r="AL20" t="e">
        <f>AND(#REF!,"AAAAAD7/nyU=")</f>
        <v>#REF!</v>
      </c>
      <c r="AM20" t="e">
        <f>AND(#REF!,"AAAAAD7/nyY=")</f>
        <v>#REF!</v>
      </c>
      <c r="AN20" t="e">
        <f>AND(#REF!,"AAAAAD7/nyc=")</f>
        <v>#REF!</v>
      </c>
      <c r="AO20" t="e">
        <f>AND(#REF!,"AAAAAD7/nyg=")</f>
        <v>#REF!</v>
      </c>
      <c r="AP20" t="e">
        <f>AND(#REF!,"AAAAAD7/nyk=")</f>
        <v>#REF!</v>
      </c>
      <c r="AQ20" t="e">
        <f>AND(#REF!,"AAAAAD7/nyo=")</f>
        <v>#REF!</v>
      </c>
      <c r="AR20" t="e">
        <f>AND(#REF!,"AAAAAD7/nys=")</f>
        <v>#REF!</v>
      </c>
      <c r="AS20" t="e">
        <f>AND(#REF!,"AAAAAD7/nyw=")</f>
        <v>#REF!</v>
      </c>
      <c r="AT20" t="e">
        <f>AND(#REF!,"AAAAAD7/ny0=")</f>
        <v>#REF!</v>
      </c>
      <c r="AU20" t="e">
        <f>AND(#REF!,"AAAAAD7/ny4=")</f>
        <v>#REF!</v>
      </c>
      <c r="AV20" t="e">
        <f>AND(#REF!,"AAAAAD7/ny8=")</f>
        <v>#REF!</v>
      </c>
      <c r="AW20" t="e">
        <f>AND(#REF!,"AAAAAD7/nzA=")</f>
        <v>#REF!</v>
      </c>
      <c r="AX20" t="e">
        <f>AND(#REF!,"AAAAAD7/nzE=")</f>
        <v>#REF!</v>
      </c>
      <c r="AY20" t="e">
        <f>AND(#REF!,"AAAAAD7/nzI=")</f>
        <v>#REF!</v>
      </c>
      <c r="AZ20" t="e">
        <f>AND(#REF!,"AAAAAD7/nzM=")</f>
        <v>#REF!</v>
      </c>
      <c r="BA20" t="e">
        <f>AND(#REF!,"AAAAAD7/nzQ=")</f>
        <v>#REF!</v>
      </c>
      <c r="BB20" t="e">
        <f>AND(#REF!,"AAAAAD7/nzU=")</f>
        <v>#REF!</v>
      </c>
      <c r="BC20" t="e">
        <f>AND(#REF!,"AAAAAD7/nzY=")</f>
        <v>#REF!</v>
      </c>
      <c r="BD20" t="e">
        <f>AND(#REF!,"AAAAAD7/nzc=")</f>
        <v>#REF!</v>
      </c>
      <c r="BE20" t="e">
        <f>AND(#REF!,"AAAAAD7/nzg=")</f>
        <v>#REF!</v>
      </c>
      <c r="BF20" t="e">
        <f>AND(#REF!,"AAAAAD7/nzk=")</f>
        <v>#REF!</v>
      </c>
      <c r="BG20" t="e">
        <f>AND(#REF!,"AAAAAD7/nzo=")</f>
        <v>#REF!</v>
      </c>
      <c r="BH20" t="e">
        <f>AND(#REF!,"AAAAAD7/nzs=")</f>
        <v>#REF!</v>
      </c>
      <c r="BI20" t="e">
        <f>AND(#REF!,"AAAAAD7/nzw=")</f>
        <v>#REF!</v>
      </c>
      <c r="BJ20" t="e">
        <f>AND(#REF!,"AAAAAD7/nz0=")</f>
        <v>#REF!</v>
      </c>
      <c r="BK20" t="e">
        <f>AND(#REF!,"AAAAAD7/nz4=")</f>
        <v>#REF!</v>
      </c>
      <c r="BL20" t="e">
        <f>AND(#REF!,"AAAAAD7/nz8=")</f>
        <v>#REF!</v>
      </c>
      <c r="BM20" t="e">
        <f>AND(#REF!,"AAAAAD7/n0A=")</f>
        <v>#REF!</v>
      </c>
      <c r="BN20" t="e">
        <f>AND(#REF!,"AAAAAD7/n0E=")</f>
        <v>#REF!</v>
      </c>
      <c r="BO20" t="e">
        <f>AND(#REF!,"AAAAAD7/n0I=")</f>
        <v>#REF!</v>
      </c>
      <c r="BP20" t="e">
        <f>AND(#REF!,"AAAAAD7/n0M=")</f>
        <v>#REF!</v>
      </c>
      <c r="BQ20" t="e">
        <f>AND(#REF!,"AAAAAD7/n0Q=")</f>
        <v>#REF!</v>
      </c>
      <c r="BR20" t="e">
        <f>AND(#REF!,"AAAAAD7/n0U=")</f>
        <v>#REF!</v>
      </c>
      <c r="BS20" t="e">
        <f>AND(#REF!,"AAAAAD7/n0Y=")</f>
        <v>#REF!</v>
      </c>
      <c r="BT20" t="e">
        <f>AND(#REF!,"AAAAAD7/n0c=")</f>
        <v>#REF!</v>
      </c>
      <c r="BU20" t="e">
        <f>AND(#REF!,"AAAAAD7/n0g=")</f>
        <v>#REF!</v>
      </c>
      <c r="BV20" t="e">
        <f>AND(#REF!,"AAAAAD7/n0k=")</f>
        <v>#REF!</v>
      </c>
      <c r="BW20" t="e">
        <f>AND(#REF!,"AAAAAD7/n0o=")</f>
        <v>#REF!</v>
      </c>
      <c r="BX20" t="e">
        <f>AND(#REF!,"AAAAAD7/n0s=")</f>
        <v>#REF!</v>
      </c>
      <c r="BY20" t="e">
        <f>AND(#REF!,"AAAAAD7/n0w=")</f>
        <v>#REF!</v>
      </c>
      <c r="BZ20" t="e">
        <f>AND(#REF!,"AAAAAD7/n00=")</f>
        <v>#REF!</v>
      </c>
      <c r="CA20" t="e">
        <f>AND(#REF!,"AAAAAD7/n04=")</f>
        <v>#REF!</v>
      </c>
      <c r="CB20" t="e">
        <f>AND(#REF!,"AAAAAD7/n08=")</f>
        <v>#REF!</v>
      </c>
      <c r="CC20" t="e">
        <f>AND(#REF!,"AAAAAD7/n1A=")</f>
        <v>#REF!</v>
      </c>
      <c r="CD20" t="e">
        <f>AND(#REF!,"AAAAAD7/n1E=")</f>
        <v>#REF!</v>
      </c>
      <c r="CE20" t="e">
        <f>AND(#REF!,"AAAAAD7/n1I=")</f>
        <v>#REF!</v>
      </c>
      <c r="CF20" t="e">
        <f>AND(#REF!,"AAAAAD7/n1M=")</f>
        <v>#REF!</v>
      </c>
      <c r="CG20" t="e">
        <f>AND(#REF!,"AAAAAD7/n1Q=")</f>
        <v>#REF!</v>
      </c>
      <c r="CH20" t="e">
        <f>AND(#REF!,"AAAAAD7/n1U=")</f>
        <v>#REF!</v>
      </c>
      <c r="CI20" t="e">
        <f>AND(#REF!,"AAAAAD7/n1Y=")</f>
        <v>#REF!</v>
      </c>
      <c r="CJ20" t="e">
        <f>AND(#REF!,"AAAAAD7/n1c=")</f>
        <v>#REF!</v>
      </c>
      <c r="CK20" t="e">
        <f>AND(#REF!,"AAAAAD7/n1g=")</f>
        <v>#REF!</v>
      </c>
      <c r="CL20" t="e">
        <f>AND(#REF!,"AAAAAD7/n1k=")</f>
        <v>#REF!</v>
      </c>
      <c r="CM20" t="e">
        <f>AND(#REF!,"AAAAAD7/n1o=")</f>
        <v>#REF!</v>
      </c>
      <c r="CN20" t="e">
        <f>AND(#REF!,"AAAAAD7/n1s=")</f>
        <v>#REF!</v>
      </c>
      <c r="CO20" t="e">
        <f>AND(#REF!,"AAAAAD7/n1w=")</f>
        <v>#REF!</v>
      </c>
      <c r="CP20" t="e">
        <f>AND(#REF!,"AAAAAD7/n10=")</f>
        <v>#REF!</v>
      </c>
      <c r="CQ20" t="e">
        <f>AND(#REF!,"AAAAAD7/n14=")</f>
        <v>#REF!</v>
      </c>
      <c r="CR20" t="e">
        <f>AND(#REF!,"AAAAAD7/n18=")</f>
        <v>#REF!</v>
      </c>
      <c r="CS20" t="e">
        <f>AND(#REF!,"AAAAAD7/n2A=")</f>
        <v>#REF!</v>
      </c>
      <c r="CT20" t="e">
        <f>AND(#REF!,"AAAAAD7/n2E=")</f>
        <v>#REF!</v>
      </c>
      <c r="CU20" t="e">
        <f>AND(#REF!,"AAAAAD7/n2I=")</f>
        <v>#REF!</v>
      </c>
      <c r="CV20" t="e">
        <f>AND(#REF!,"AAAAAD7/n2M=")</f>
        <v>#REF!</v>
      </c>
      <c r="CW20" t="e">
        <f>AND(#REF!,"AAAAAD7/n2Q=")</f>
        <v>#REF!</v>
      </c>
      <c r="CX20" t="e">
        <f>AND(#REF!,"AAAAAD7/n2U=")</f>
        <v>#REF!</v>
      </c>
      <c r="CY20" t="e">
        <f>AND(#REF!,"AAAAAD7/n2Y=")</f>
        <v>#REF!</v>
      </c>
      <c r="CZ20" t="e">
        <f>AND(#REF!,"AAAAAD7/n2c=")</f>
        <v>#REF!</v>
      </c>
      <c r="DA20" t="e">
        <f>AND(#REF!,"AAAAAD7/n2g=")</f>
        <v>#REF!</v>
      </c>
      <c r="DB20" t="e">
        <f>AND(#REF!,"AAAAAD7/n2k=")</f>
        <v>#REF!</v>
      </c>
      <c r="DC20" t="e">
        <f>AND(#REF!,"AAAAAD7/n2o=")</f>
        <v>#REF!</v>
      </c>
      <c r="DD20" t="e">
        <f>AND(#REF!,"AAAAAD7/n2s=")</f>
        <v>#REF!</v>
      </c>
      <c r="DE20" t="e">
        <f>AND(#REF!,"AAAAAD7/n2w=")</f>
        <v>#REF!</v>
      </c>
      <c r="DF20" t="e">
        <f>AND(#REF!,"AAAAAD7/n20=")</f>
        <v>#REF!</v>
      </c>
      <c r="DG20" t="e">
        <f>AND(#REF!,"AAAAAD7/n24=")</f>
        <v>#REF!</v>
      </c>
      <c r="DH20" t="e">
        <f>AND(#REF!,"AAAAAD7/n28=")</f>
        <v>#REF!</v>
      </c>
      <c r="DI20" t="e">
        <f>AND(#REF!,"AAAAAD7/n3A=")</f>
        <v>#REF!</v>
      </c>
      <c r="DJ20" t="e">
        <f>AND(#REF!,"AAAAAD7/n3E=")</f>
        <v>#REF!</v>
      </c>
      <c r="DK20" t="e">
        <f>AND(#REF!,"AAAAAD7/n3I=")</f>
        <v>#REF!</v>
      </c>
      <c r="DL20" t="e">
        <f>AND(#REF!,"AAAAAD7/n3M=")</f>
        <v>#REF!</v>
      </c>
      <c r="DM20" t="e">
        <f>AND(#REF!,"AAAAAD7/n3Q=")</f>
        <v>#REF!</v>
      </c>
      <c r="DN20" t="e">
        <f>AND(#REF!,"AAAAAD7/n3U=")</f>
        <v>#REF!</v>
      </c>
      <c r="DO20" t="e">
        <f>AND(#REF!,"AAAAAD7/n3Y=")</f>
        <v>#REF!</v>
      </c>
      <c r="DP20" t="e">
        <f>AND(#REF!,"AAAAAD7/n3c=")</f>
        <v>#REF!</v>
      </c>
      <c r="DQ20" t="e">
        <f>AND(#REF!,"AAAAAD7/n3g=")</f>
        <v>#REF!</v>
      </c>
      <c r="DR20" t="e">
        <f>AND(#REF!,"AAAAAD7/n3k=")</f>
        <v>#REF!</v>
      </c>
      <c r="DS20" t="e">
        <f>AND(#REF!,"AAAAAD7/n3o=")</f>
        <v>#REF!</v>
      </c>
      <c r="DT20" t="e">
        <f>AND(#REF!,"AAAAAD7/n3s=")</f>
        <v>#REF!</v>
      </c>
      <c r="DU20" t="e">
        <f>AND(#REF!,"AAAAAD7/n3w=")</f>
        <v>#REF!</v>
      </c>
      <c r="DV20" t="e">
        <f>AND(#REF!,"AAAAAD7/n30=")</f>
        <v>#REF!</v>
      </c>
      <c r="DW20" t="e">
        <f>AND(#REF!,"AAAAAD7/n34=")</f>
        <v>#REF!</v>
      </c>
      <c r="DX20" t="e">
        <f>AND(#REF!,"AAAAAD7/n38=")</f>
        <v>#REF!</v>
      </c>
      <c r="DY20" t="e">
        <f>AND(#REF!,"AAAAAD7/n4A=")</f>
        <v>#REF!</v>
      </c>
      <c r="DZ20" t="e">
        <f>AND(#REF!,"AAAAAD7/n4E=")</f>
        <v>#REF!</v>
      </c>
      <c r="EA20" t="e">
        <f>AND(#REF!,"AAAAAD7/n4I=")</f>
        <v>#REF!</v>
      </c>
      <c r="EB20" t="e">
        <f>AND(#REF!,"AAAAAD7/n4M=")</f>
        <v>#REF!</v>
      </c>
      <c r="EC20" t="e">
        <f>AND(#REF!,"AAAAAD7/n4Q=")</f>
        <v>#REF!</v>
      </c>
      <c r="ED20" t="e">
        <f>AND(#REF!,"AAAAAD7/n4U=")</f>
        <v>#REF!</v>
      </c>
      <c r="EE20" t="e">
        <f>AND(#REF!,"AAAAAD7/n4Y=")</f>
        <v>#REF!</v>
      </c>
      <c r="EF20" t="e">
        <f>AND(#REF!,"AAAAAD7/n4c=")</f>
        <v>#REF!</v>
      </c>
      <c r="EG20" t="e">
        <f>AND(#REF!,"AAAAAD7/n4g=")</f>
        <v>#REF!</v>
      </c>
      <c r="EH20" t="e">
        <f>AND(#REF!,"AAAAAD7/n4k=")</f>
        <v>#REF!</v>
      </c>
      <c r="EI20" t="e">
        <f>AND(#REF!,"AAAAAD7/n4o=")</f>
        <v>#REF!</v>
      </c>
      <c r="EJ20" t="e">
        <f>AND(#REF!,"AAAAAD7/n4s=")</f>
        <v>#REF!</v>
      </c>
      <c r="EK20" t="e">
        <f>AND(#REF!,"AAAAAD7/n4w=")</f>
        <v>#REF!</v>
      </c>
      <c r="EL20" t="e">
        <f>AND(#REF!,"AAAAAD7/n40=")</f>
        <v>#REF!</v>
      </c>
      <c r="EM20" t="e">
        <f>AND(#REF!,"AAAAAD7/n44=")</f>
        <v>#REF!</v>
      </c>
      <c r="EN20" t="e">
        <f>AND(#REF!,"AAAAAD7/n48=")</f>
        <v>#REF!</v>
      </c>
      <c r="EO20" t="e">
        <f>AND(#REF!,"AAAAAD7/n5A=")</f>
        <v>#REF!</v>
      </c>
      <c r="EP20" t="e">
        <f>AND(#REF!,"AAAAAD7/n5E=")</f>
        <v>#REF!</v>
      </c>
      <c r="EQ20" t="e">
        <f>IF(#REF!,"AAAAAD7/n5I=",0)</f>
        <v>#REF!</v>
      </c>
      <c r="ER20" t="e">
        <f>AND(#REF!,"AAAAAD7/n5M=")</f>
        <v>#REF!</v>
      </c>
      <c r="ES20" t="e">
        <f>AND(#REF!,"AAAAAD7/n5Q=")</f>
        <v>#REF!</v>
      </c>
      <c r="ET20" t="e">
        <f>AND(#REF!,"AAAAAD7/n5U=")</f>
        <v>#REF!</v>
      </c>
      <c r="EU20" t="e">
        <f>AND(#REF!,"AAAAAD7/n5Y=")</f>
        <v>#REF!</v>
      </c>
      <c r="EV20" t="e">
        <f>AND(#REF!,"AAAAAD7/n5c=")</f>
        <v>#REF!</v>
      </c>
      <c r="EW20" t="e">
        <f>AND(#REF!,"AAAAAD7/n5g=")</f>
        <v>#REF!</v>
      </c>
      <c r="EX20" t="e">
        <f>AND(#REF!,"AAAAAD7/n5k=")</f>
        <v>#REF!</v>
      </c>
      <c r="EY20" t="e">
        <f>AND(#REF!,"AAAAAD7/n5o=")</f>
        <v>#REF!</v>
      </c>
      <c r="EZ20" t="e">
        <f>AND(#REF!,"AAAAAD7/n5s=")</f>
        <v>#REF!</v>
      </c>
      <c r="FA20" t="e">
        <f>AND(#REF!,"AAAAAD7/n5w=")</f>
        <v>#REF!</v>
      </c>
      <c r="FB20" t="e">
        <f>AND(#REF!,"AAAAAD7/n50=")</f>
        <v>#REF!</v>
      </c>
      <c r="FC20" t="e">
        <f>AND(#REF!,"AAAAAD7/n54=")</f>
        <v>#REF!</v>
      </c>
      <c r="FD20" t="e">
        <f>AND(#REF!,"AAAAAD7/n58=")</f>
        <v>#REF!</v>
      </c>
      <c r="FE20" t="e">
        <f>AND(#REF!,"AAAAAD7/n6A=")</f>
        <v>#REF!</v>
      </c>
      <c r="FF20" t="e">
        <f>IF(#REF!,"AAAAAD7/n6E=",0)</f>
        <v>#REF!</v>
      </c>
      <c r="FG20" t="e">
        <f>AND(#REF!,"AAAAAD7/n6I=")</f>
        <v>#REF!</v>
      </c>
      <c r="FH20" t="e">
        <f>AND(#REF!,"AAAAAD7/n6M=")</f>
        <v>#REF!</v>
      </c>
      <c r="FI20" t="e">
        <f>AND(#REF!,"AAAAAD7/n6Q=")</f>
        <v>#REF!</v>
      </c>
      <c r="FJ20" t="e">
        <f>AND(#REF!,"AAAAAD7/n6U=")</f>
        <v>#REF!</v>
      </c>
      <c r="FK20" t="e">
        <f>AND(#REF!,"AAAAAD7/n6Y=")</f>
        <v>#REF!</v>
      </c>
      <c r="FL20" t="e">
        <f>AND(#REF!,"AAAAAD7/n6c=")</f>
        <v>#REF!</v>
      </c>
      <c r="FM20" t="e">
        <f>AND(#REF!,"AAAAAD7/n6g=")</f>
        <v>#REF!</v>
      </c>
      <c r="FN20" t="e">
        <f>AND(#REF!,"AAAAAD7/n6k=")</f>
        <v>#REF!</v>
      </c>
      <c r="FO20" t="e">
        <f>AND(#REF!,"AAAAAD7/n6o=")</f>
        <v>#REF!</v>
      </c>
      <c r="FP20" t="e">
        <f>AND(#REF!,"AAAAAD7/n6s=")</f>
        <v>#REF!</v>
      </c>
      <c r="FQ20" t="e">
        <f>AND(#REF!,"AAAAAD7/n6w=")</f>
        <v>#REF!</v>
      </c>
      <c r="FR20" t="e">
        <f>AND(#REF!,"AAAAAD7/n60=")</f>
        <v>#REF!</v>
      </c>
      <c r="FS20" t="e">
        <f>AND(#REF!,"AAAAAD7/n64=")</f>
        <v>#REF!</v>
      </c>
      <c r="FT20" t="e">
        <f>AND(#REF!,"AAAAAD7/n68=")</f>
        <v>#REF!</v>
      </c>
      <c r="FU20" t="e">
        <f>IF(#REF!,"AAAAAD7/n7A=",0)</f>
        <v>#REF!</v>
      </c>
      <c r="FV20" t="e">
        <f>AND(#REF!,"AAAAAD7/n7E=")</f>
        <v>#REF!</v>
      </c>
      <c r="FW20" t="e">
        <f>AND(#REF!,"AAAAAD7/n7I=")</f>
        <v>#REF!</v>
      </c>
      <c r="FX20" t="e">
        <f>AND(#REF!,"AAAAAD7/n7M=")</f>
        <v>#REF!</v>
      </c>
      <c r="FY20" t="e">
        <f>AND(#REF!,"AAAAAD7/n7Q=")</f>
        <v>#REF!</v>
      </c>
      <c r="FZ20" t="e">
        <f>AND(#REF!,"AAAAAD7/n7U=")</f>
        <v>#REF!</v>
      </c>
      <c r="GA20" t="e">
        <f>AND(#REF!,"AAAAAD7/n7Y=")</f>
        <v>#REF!</v>
      </c>
      <c r="GB20" t="e">
        <f>IF(#REF!,"AAAAAD7/n7c=",0)</f>
        <v>#REF!</v>
      </c>
      <c r="GC20" t="e">
        <f>IF(#REF!,"AAAAAD7/n7g=",0)</f>
        <v>#REF!</v>
      </c>
      <c r="GD20" t="e">
        <f>IF(#REF!,"AAAAAD7/n7k=",0)</f>
        <v>#REF!</v>
      </c>
      <c r="GE20" t="e">
        <f>IF(#REF!,"AAAAAD7/n7o=",0)</f>
        <v>#REF!</v>
      </c>
      <c r="GF20" t="e">
        <f>IF(#REF!,"AAAAAD7/n7s=",0)</f>
        <v>#REF!</v>
      </c>
      <c r="GG20" t="e">
        <f>IF(#REF!,"AAAAAD7/n7w=",0)</f>
        <v>#REF!</v>
      </c>
      <c r="GH20" t="e">
        <f>AND('MvsD 8'!#REF!,"AAAAAD7/n70=")</f>
        <v>#REF!</v>
      </c>
      <c r="GI20" t="e">
        <f>AND('MvsD 8'!#REF!,"AAAAAD7/n74=")</f>
        <v>#REF!</v>
      </c>
      <c r="GJ20" t="e">
        <f>AND('MvsD 8'!#REF!,"AAAAAD7/n78=")</f>
        <v>#REF!</v>
      </c>
      <c r="GK20" t="e">
        <f>AND('MvsD 8'!#REF!,"AAAAAD7/n8A=")</f>
        <v>#REF!</v>
      </c>
      <c r="GL20" t="b">
        <f>AND('MvsD 8'!I28,"AAAAAD7/n8E=")</f>
        <v>1</v>
      </c>
      <c r="GM20" t="e">
        <f>AND('MvsD 8'!#REF!,"AAAAAD7/n8I=")</f>
        <v>#REF!</v>
      </c>
      <c r="GN20" t="e">
        <f>AND('MvsD 8'!#REF!,"AAAAAD7/n8M=")</f>
        <v>#REF!</v>
      </c>
      <c r="GO20" t="e">
        <f>AND('MvsD 8'!J16,"AAAAAD7/n8Q=")</f>
        <v>#VALUE!</v>
      </c>
      <c r="GP20" t="e">
        <f>AND('MvsD 8'!#REF!,"AAAAAD7/n8U=")</f>
        <v>#REF!</v>
      </c>
      <c r="GQ20" t="e">
        <f>AND('MvsD 8'!#REF!,"AAAAAD7/n8Y=")</f>
        <v>#REF!</v>
      </c>
      <c r="GR20" t="e">
        <f>AND('MvsD 8'!#REF!,"AAAAAD7/n8c=")</f>
        <v>#REF!</v>
      </c>
      <c r="GS20" t="e">
        <f>AND('MvsD 8'!#REF!,"AAAAAD7/n8g=")</f>
        <v>#REF!</v>
      </c>
    </row>
    <row r="21" spans="1:256">
      <c r="A21" t="e">
        <f>IF(#REF!,"AAAAAH75yQA=",0)</f>
        <v>#REF!</v>
      </c>
      <c r="B21" t="e">
        <f>AND(#REF!,"AAAAAH75yQE=")</f>
        <v>#REF!</v>
      </c>
      <c r="C21" t="e">
        <f>AND(#REF!,"AAAAAH75yQI=")</f>
        <v>#REF!</v>
      </c>
      <c r="D21" t="e">
        <f>AND(#REF!,"AAAAAH75yQM=")</f>
        <v>#REF!</v>
      </c>
      <c r="E21" t="e">
        <f>AND(#REF!,"AAAAAH75yQQ=")</f>
        <v>#REF!</v>
      </c>
      <c r="F21" t="e">
        <f>AND(#REF!,"AAAAAH75yQU=")</f>
        <v>#REF!</v>
      </c>
      <c r="G21" t="e">
        <f>AND(#REF!,"AAAAAH75yQY=")</f>
        <v>#REF!</v>
      </c>
      <c r="H21" t="e">
        <f>IF(#REF!,"AAAAAH75yQc=",0)</f>
        <v>#REF!</v>
      </c>
      <c r="I21" t="e">
        <f>AND(#REF!,"AAAAAH75yQg=")</f>
        <v>#REF!</v>
      </c>
      <c r="J21" t="e">
        <f>AND(#REF!,"AAAAAH75yQk=")</f>
        <v>#REF!</v>
      </c>
      <c r="K21" t="e">
        <f>AND(#REF!,"AAAAAH75yQo=")</f>
        <v>#REF!</v>
      </c>
      <c r="L21" t="e">
        <f>AND(#REF!,"AAAAAH75yQs=")</f>
        <v>#REF!</v>
      </c>
      <c r="M21" t="e">
        <f>AND(#REF!,"AAAAAH75yQw=")</f>
        <v>#REF!</v>
      </c>
      <c r="N21" t="e">
        <f>AND(#REF!,"AAAAAH75yQ0=")</f>
        <v>#REF!</v>
      </c>
    </row>
    <row r="22" spans="1:256">
      <c r="A22" t="e">
        <f>AND(#REF!,"AAAAAB7P7gA=")</f>
        <v>#REF!</v>
      </c>
      <c r="B22" t="e">
        <f>AND(#REF!,"AAAAAB7P7gE=")</f>
        <v>#REF!</v>
      </c>
      <c r="C22" t="e">
        <f>AND(#REF!,"AAAAAB7P7gI=")</f>
        <v>#REF!</v>
      </c>
      <c r="D22" t="e">
        <f>AND(#REF!,"AAAAAB7P7gM=")</f>
        <v>#REF!</v>
      </c>
      <c r="E22" t="e">
        <f>AND(#REF!,"AAAAAB7P7gQ=")</f>
        <v>#REF!</v>
      </c>
      <c r="F22" t="e">
        <f>AND(#REF!,"AAAAAB7P7gU=")</f>
        <v>#REF!</v>
      </c>
      <c r="G22" t="e">
        <f>AND(#REF!,"AAAAAB7P7gY=")</f>
        <v>#REF!</v>
      </c>
      <c r="H22" t="e">
        <f>AND(#REF!,"AAAAAB7P7gc=")</f>
        <v>#REF!</v>
      </c>
      <c r="I22" t="e">
        <f>AND(#REF!,"AAAAAB7P7gg=")</f>
        <v>#REF!</v>
      </c>
      <c r="J22" t="e">
        <f>AND(#REF!,"AAAAAB7P7gk=")</f>
        <v>#REF!</v>
      </c>
      <c r="K22" t="e">
        <f>AND(#REF!,"AAAAAB7P7go=")</f>
        <v>#REF!</v>
      </c>
      <c r="L22" t="e">
        <f>AND(#REF!,"AAAAAB7P7gs=")</f>
        <v>#REF!</v>
      </c>
      <c r="M22" t="e">
        <f>AND(#REF!,"AAAAAB7P7gw=")</f>
        <v>#REF!</v>
      </c>
      <c r="N22" t="e">
        <f>AND(#REF!,"AAAAAB7P7g0=")</f>
        <v>#REF!</v>
      </c>
      <c r="O22" t="e">
        <f>AND(#REF!,"AAAAAB7P7g4=")</f>
        <v>#REF!</v>
      </c>
      <c r="P22" t="e">
        <f>AND(#REF!,"AAAAAB7P7g8=")</f>
        <v>#REF!</v>
      </c>
      <c r="Q22" t="e">
        <f>AND(#REF!,"AAAAAB7P7hA=")</f>
        <v>#REF!</v>
      </c>
      <c r="R22" t="e">
        <f>AND(#REF!,"AAAAAB7P7hE=")</f>
        <v>#REF!</v>
      </c>
      <c r="S22" t="e">
        <f>AND(#REF!,"AAAAAB7P7hI=")</f>
        <v>#REF!</v>
      </c>
      <c r="T22" t="e">
        <f>AND(#REF!,"AAAAAB7P7hM=")</f>
        <v>#REF!</v>
      </c>
      <c r="U22" t="e">
        <f>AND(#REF!,"AAAAAB7P7hQ=")</f>
        <v>#REF!</v>
      </c>
      <c r="V22" t="e">
        <f>AND(#REF!,"AAAAAB7P7hU=")</f>
        <v>#REF!</v>
      </c>
      <c r="W22" t="e">
        <f>AND(#REF!,"AAAAAB7P7hY=")</f>
        <v>#REF!</v>
      </c>
      <c r="X22" t="e">
        <f>AND(#REF!,"AAAAAB7P7hc=")</f>
        <v>#REF!</v>
      </c>
      <c r="Y22" t="e">
        <f>IF(#REF!,"AAAAAB7P7hg=",0)</f>
        <v>#REF!</v>
      </c>
      <c r="Z22" t="e">
        <f>AND(#REF!,"AAAAAB7P7hk=")</f>
        <v>#REF!</v>
      </c>
      <c r="AA22" t="e">
        <f>AND(#REF!,"AAAAAB7P7ho=")</f>
        <v>#REF!</v>
      </c>
      <c r="AB22" t="e">
        <f>AND(#REF!,"AAAAAB7P7hs=")</f>
        <v>#REF!</v>
      </c>
      <c r="AC22" t="e">
        <f>AND(#REF!,"AAAAAB7P7hw=")</f>
        <v>#REF!</v>
      </c>
      <c r="AD22" t="e">
        <f>AND(#REF!,"AAAAAB7P7h0=")</f>
        <v>#REF!</v>
      </c>
      <c r="AE22" t="e">
        <f>AND(#REF!,"AAAAAB7P7h4=")</f>
        <v>#REF!</v>
      </c>
      <c r="AF22" t="e">
        <f>AND(#REF!,"AAAAAB7P7h8=")</f>
        <v>#REF!</v>
      </c>
      <c r="AG22" t="e">
        <f>AND(#REF!,"AAAAAB7P7iA=")</f>
        <v>#REF!</v>
      </c>
      <c r="AH22" t="e">
        <f>AND(#REF!,"AAAAAB7P7iE=")</f>
        <v>#REF!</v>
      </c>
      <c r="AI22" t="e">
        <f>AND(#REF!,"AAAAAB7P7iI=")</f>
        <v>#REF!</v>
      </c>
      <c r="AJ22" t="e">
        <f>AND(#REF!,"AAAAAB7P7iM=")</f>
        <v>#REF!</v>
      </c>
      <c r="AK22" t="e">
        <f>AND(#REF!,"AAAAAB7P7iQ=")</f>
        <v>#REF!</v>
      </c>
      <c r="AL22" t="e">
        <f>AND(#REF!,"AAAAAB7P7iU=")</f>
        <v>#REF!</v>
      </c>
      <c r="AM22" t="e">
        <f>AND(#REF!,"AAAAAB7P7iY=")</f>
        <v>#REF!</v>
      </c>
      <c r="AN22" t="e">
        <f>IF(#REF!,"AAAAAB7P7ic=",0)</f>
        <v>#REF!</v>
      </c>
      <c r="AO22" t="e">
        <f>AND(#REF!,"AAAAAB7P7ig=")</f>
        <v>#REF!</v>
      </c>
      <c r="AP22" t="e">
        <f>AND(#REF!,"AAAAAB7P7ik=")</f>
        <v>#REF!</v>
      </c>
      <c r="AQ22" t="e">
        <f>AND(#REF!,"AAAAAB7P7io=")</f>
        <v>#REF!</v>
      </c>
      <c r="AR22" t="e">
        <f>AND(#REF!,"AAAAAB7P7is=")</f>
        <v>#REF!</v>
      </c>
      <c r="AS22" t="e">
        <f>AND(#REF!,"AAAAAB7P7iw=")</f>
        <v>#REF!</v>
      </c>
      <c r="AT22" t="e">
        <f>AND(#REF!,"AAAAAB7P7i0=")</f>
        <v>#REF!</v>
      </c>
      <c r="AU22" t="e">
        <f>IF(#REF!,"AAAAAB7P7i4=",0)</f>
        <v>#REF!</v>
      </c>
      <c r="AV22" t="e">
        <f>AND(#REF!,"AAAAAB7P7i8=")</f>
        <v>#REF!</v>
      </c>
      <c r="AW22" t="e">
        <f>AND(#REF!,"AAAAAB7P7jA=")</f>
        <v>#REF!</v>
      </c>
      <c r="AX22" t="e">
        <f>AND(#REF!,"AAAAAB7P7jE=")</f>
        <v>#REF!</v>
      </c>
      <c r="AY22" t="e">
        <f>AND(#REF!,"AAAAAB7P7jI=")</f>
        <v>#REF!</v>
      </c>
      <c r="AZ22" t="e">
        <f>AND(#REF!,"AAAAAB7P7jM=")</f>
        <v>#REF!</v>
      </c>
      <c r="BA22" t="e">
        <f>AND(#REF!,"AAAAAB7P7jQ=")</f>
        <v>#REF!</v>
      </c>
      <c r="BB22" t="e">
        <f>IF(#REF!,"AAAAAB7P7jU=",0)</f>
        <v>#REF!</v>
      </c>
      <c r="BC22" t="e">
        <f>AND(#REF!,"AAAAAB7P7jY=")</f>
        <v>#REF!</v>
      </c>
      <c r="BD22" t="e">
        <f>AND(#REF!,"AAAAAB7P7jc=")</f>
        <v>#REF!</v>
      </c>
      <c r="BE22" t="e">
        <f>AND(#REF!,"AAAAAB7P7jg=")</f>
        <v>#REF!</v>
      </c>
      <c r="BF22" t="e">
        <f>AND(#REF!,"AAAAAB7P7jk=")</f>
        <v>#REF!</v>
      </c>
      <c r="BG22" t="e">
        <f>AND(#REF!,"AAAAAB7P7jo=")</f>
        <v>#REF!</v>
      </c>
      <c r="BH22" t="e">
        <f>AND(#REF!,"AAAAAB7P7js=")</f>
        <v>#REF!</v>
      </c>
      <c r="BI22" t="e">
        <f>IF(#REF!,"AAAAAB7P7jw=",0)</f>
        <v>#REF!</v>
      </c>
      <c r="BJ22" t="e">
        <f>AND(#REF!,"AAAAAB7P7j0=")</f>
        <v>#REF!</v>
      </c>
      <c r="BK22" t="e">
        <f>AND(#REF!,"AAAAAB7P7j4=")</f>
        <v>#REF!</v>
      </c>
      <c r="BL22" t="e">
        <f>AND(#REF!,"AAAAAB7P7j8=")</f>
        <v>#REF!</v>
      </c>
      <c r="BM22" t="e">
        <f>AND(#REF!,"AAAAAB7P7kA=")</f>
        <v>#REF!</v>
      </c>
      <c r="BN22" t="e">
        <f>AND(#REF!,"AAAAAB7P7kE=")</f>
        <v>#REF!</v>
      </c>
      <c r="BO22" t="e">
        <f>AND(#REF!,"AAAAAB7P7kI=")</f>
        <v>#REF!</v>
      </c>
      <c r="BP22" t="e">
        <f>AND('MvsD 8'!#REF!,"AAAAAB7P7kM=")</f>
        <v>#REF!</v>
      </c>
      <c r="BQ22" t="e">
        <f>AND('MvsD 8'!#REF!,"AAAAAB7P7kQ=")</f>
        <v>#REF!</v>
      </c>
      <c r="BR22" t="e">
        <f>AND('MvsD 8'!A34,"AAAAAB7P7kU=")</f>
        <v>#VALUE!</v>
      </c>
      <c r="BS22" t="e">
        <f>AND('MvsD 8'!B34,"AAAAAB7P7kY=")</f>
        <v>#VALUE!</v>
      </c>
      <c r="BT22" t="b">
        <f>AND('MvsD 8'!C11,"AAAAAB7P7kc=")</f>
        <v>1</v>
      </c>
      <c r="BU22" t="e">
        <f>AND('MvsD 8'!D11,"AAAAAB7P7kg=")</f>
        <v>#VALUE!</v>
      </c>
      <c r="BV22" t="e">
        <f>AND('MvsD 8'!E27,"AAAAAB7P7kk=")</f>
        <v>#VALUE!</v>
      </c>
      <c r="BW22" t="e">
        <f>AND('MvsD 8'!F27,"AAAAAB7P7ko=")</f>
        <v>#VALUE!</v>
      </c>
      <c r="BX22" t="e">
        <f>AND('MvsD 8'!#REF!,"AAAAAB7P7ks=")</f>
        <v>#REF!</v>
      </c>
      <c r="BY22" t="e">
        <f>AND('MvsD 8'!#REF!,"AAAAAB7P7kw=")</f>
        <v>#REF!</v>
      </c>
      <c r="BZ22" t="e">
        <f>AND('MvsD 8'!#REF!,"AAAAAB7P7k0=")</f>
        <v>#REF!</v>
      </c>
      <c r="CA22" t="e">
        <f>AND('MvsD 8'!#REF!,"AAAAAB7P7k4=")</f>
        <v>#REF!</v>
      </c>
      <c r="CB22" t="e">
        <f>AND('MvsD 8'!#REF!,"AAAAAB7P7k8=")</f>
        <v>#REF!</v>
      </c>
      <c r="CC22" t="e">
        <f>AND('MvsD 8'!#REF!,"AAAAAB7P7lA=")</f>
        <v>#REF!</v>
      </c>
      <c r="CD22" t="e">
        <f>AND('MvsD 8'!#REF!,"AAAAAB7P7lE=")</f>
        <v>#REF!</v>
      </c>
      <c r="CE22" t="e">
        <f>AND('MvsD 8'!#REF!,"AAAAAB7P7lI=")</f>
        <v>#REF!</v>
      </c>
      <c r="CF22" t="e">
        <f>AND('MvsD 8'!A35,"AAAAAB7P7lM=")</f>
        <v>#VALUE!</v>
      </c>
      <c r="CG22" t="e">
        <f>AND('MvsD 8'!B35,"AAAAAB7P7lQ=")</f>
        <v>#VALUE!</v>
      </c>
      <c r="CH22" t="b">
        <f>AND('MvsD 8'!C24,"AAAAAB7P7lU=")</f>
        <v>1</v>
      </c>
      <c r="CI22" t="e">
        <f>AND('MvsD 8'!D24,"AAAAAB7P7lY=")</f>
        <v>#VALUE!</v>
      </c>
      <c r="CJ22" t="e">
        <f>AND('MvsD 8'!E35,"AAAAAB7P7lc=")</f>
        <v>#VALUE!</v>
      </c>
      <c r="CK22" t="e">
        <f>AND('MvsD 8'!F35,"AAAAAB7P7lg=")</f>
        <v>#VALUE!</v>
      </c>
      <c r="CL22" t="e">
        <f>AND('MvsD 8'!#REF!,"AAAAAB7P7lk=")</f>
        <v>#REF!</v>
      </c>
      <c r="CM22" t="e">
        <f>AND('MvsD 8'!#REF!,"AAAAAB7P7lo=")</f>
        <v>#REF!</v>
      </c>
      <c r="CN22" t="e">
        <f>AND('MvsD 8'!#REF!,"AAAAAB7P7ls=")</f>
        <v>#REF!</v>
      </c>
      <c r="CO22" t="e">
        <f>AND('MvsD 8'!#REF!,"AAAAAB7P7lw=")</f>
        <v>#REF!</v>
      </c>
      <c r="CP22" t="e">
        <f>AND('MvsD 8'!#REF!,"AAAAAB7P7l0=")</f>
        <v>#REF!</v>
      </c>
      <c r="CQ22" t="e">
        <f>AND('MvsD 8'!#REF!,"AAAAAB7P7l4=")</f>
        <v>#REF!</v>
      </c>
    </row>
    <row r="23" spans="1:256">
      <c r="A23" t="e">
        <f>AND(#REF!,"AAAAAGj//wA=")</f>
        <v>#REF!</v>
      </c>
      <c r="B23" t="e">
        <f>AND(#REF!,"AAAAAGj//wE=")</f>
        <v>#REF!</v>
      </c>
      <c r="C23" t="e">
        <f>AND(#REF!,"AAAAAGj//wI=")</f>
        <v>#REF!</v>
      </c>
      <c r="D23" t="e">
        <f>AND(#REF!,"AAAAAGj//wM=")</f>
        <v>#REF!</v>
      </c>
      <c r="E23" t="e">
        <f>AND(#REF!,"AAAAAGj//wQ=")</f>
        <v>#REF!</v>
      </c>
      <c r="F23" t="e">
        <f>AND(#REF!,"AAAAAGj//wU=")</f>
        <v>#REF!</v>
      </c>
      <c r="G23" t="e">
        <f>AND(#REF!,"AAAAAGj//wY=")</f>
        <v>#REF!</v>
      </c>
      <c r="H23" t="e">
        <f>AND(#REF!,"AAAAAGj//wc=")</f>
        <v>#REF!</v>
      </c>
      <c r="I23" t="e">
        <f>AND(#REF!,"AAAAAGj//wg=")</f>
        <v>#REF!</v>
      </c>
      <c r="J23" t="e">
        <f>AND(#REF!,"AAAAAGj//wk=")</f>
        <v>#REF!</v>
      </c>
      <c r="K23" t="e">
        <f>AND(#REF!,"AAAAAGj//wo=")</f>
        <v>#REF!</v>
      </c>
      <c r="L23" t="e">
        <f>AND(#REF!,"AAAAAGj//ws=")</f>
        <v>#REF!</v>
      </c>
      <c r="M23" t="e">
        <f>AND(#REF!,"AAAAAGj//ww=")</f>
        <v>#REF!</v>
      </c>
      <c r="N23" t="e">
        <f>AND(#REF!,"AAAAAGj//w0=")</f>
        <v>#REF!</v>
      </c>
      <c r="O23" t="e">
        <f>AND(#REF!,"AAAAAGj//w4=")</f>
        <v>#REF!</v>
      </c>
      <c r="P23" t="e">
        <f>AND(#REF!,"AAAAAGj//w8=")</f>
        <v>#REF!</v>
      </c>
      <c r="Q23" t="e">
        <f>AND(#REF!,"AAAAAGj//xA=")</f>
        <v>#REF!</v>
      </c>
      <c r="R23" t="e">
        <f>AND(#REF!,"AAAAAGj//xE=")</f>
        <v>#REF!</v>
      </c>
      <c r="S23" t="e">
        <f>AND(#REF!,"AAAAAGj//xI=")</f>
        <v>#REF!</v>
      </c>
      <c r="T23" t="e">
        <f>AND(#REF!,"AAAAAGj//xM=")</f>
        <v>#REF!</v>
      </c>
      <c r="U23" t="e">
        <f>AND(#REF!,"AAAAAGj//xQ=")</f>
        <v>#REF!</v>
      </c>
      <c r="V23" t="e">
        <f>AND(#REF!,"AAAAAGj//xU=")</f>
        <v>#REF!</v>
      </c>
      <c r="W23" t="e">
        <f>AND(#REF!,"AAAAAGj//xY=")</f>
        <v>#REF!</v>
      </c>
      <c r="X23" t="e">
        <f>AND(#REF!,"AAAAAGj//xc=")</f>
        <v>#REF!</v>
      </c>
      <c r="Y23" t="e">
        <f>AND(#REF!,"AAAAAGj//xg=")</f>
        <v>#REF!</v>
      </c>
      <c r="Z23" t="e">
        <f>AND(#REF!,"AAAAAGj//xk=")</f>
        <v>#REF!</v>
      </c>
      <c r="AA23" t="e">
        <f>AND(#REF!,"AAAAAGj//xo=")</f>
        <v>#REF!</v>
      </c>
      <c r="AB23" t="e">
        <f>AND(#REF!,"AAAAAGj//xs=")</f>
        <v>#REF!</v>
      </c>
      <c r="AC23" t="e">
        <f>AND(#REF!,"AAAAAGj//xw=")</f>
        <v>#REF!</v>
      </c>
      <c r="AD23" t="e">
        <f>AND(#REF!,"AAAAAGj//x0=")</f>
        <v>#REF!</v>
      </c>
      <c r="AE23" t="e">
        <f>AND(#REF!,"AAAAAGj//x4=")</f>
        <v>#REF!</v>
      </c>
      <c r="AF23" t="e">
        <f>AND(#REF!,"AAAAAGj//x8=")</f>
        <v>#REF!</v>
      </c>
      <c r="AG23" t="e">
        <f>AND(#REF!,"AAAAAGj//yA=")</f>
        <v>#REF!</v>
      </c>
      <c r="AH23" t="e">
        <f>AND(#REF!,"AAAAAGj//yE=")</f>
        <v>#REF!</v>
      </c>
      <c r="AI23" t="e">
        <f>AND(#REF!,"AAAAAGj//yI=")</f>
        <v>#REF!</v>
      </c>
      <c r="AJ23" t="e">
        <f>AND(#REF!,"AAAAAGj//yM=")</f>
        <v>#REF!</v>
      </c>
      <c r="AK23" t="e">
        <f>AND(#REF!,"AAAAAGj//yQ=")</f>
        <v>#REF!</v>
      </c>
      <c r="AL23" t="e">
        <f>AND(#REF!,"AAAAAGj//yU=")</f>
        <v>#REF!</v>
      </c>
      <c r="AM23" t="e">
        <f>AND(#REF!,"AAAAAGj//yY=")</f>
        <v>#REF!</v>
      </c>
      <c r="AN23" t="e">
        <f>AND(#REF!,"AAAAAGj//yc=")</f>
        <v>#REF!</v>
      </c>
      <c r="AO23" t="e">
        <f>AND(#REF!,"AAAAAGj//yg=")</f>
        <v>#REF!</v>
      </c>
      <c r="AP23" t="e">
        <f>AND(#REF!,"AAAAAGj//yk=")</f>
        <v>#REF!</v>
      </c>
      <c r="AQ23" t="e">
        <f>AND(#REF!,"AAAAAGj//yo=")</f>
        <v>#REF!</v>
      </c>
      <c r="AR23" t="e">
        <f>AND(#REF!,"AAAAAGj//ys=")</f>
        <v>#REF!</v>
      </c>
      <c r="AS23" t="e">
        <f>AND(#REF!,"AAAAAGj//yw=")</f>
        <v>#REF!</v>
      </c>
      <c r="AT23" t="e">
        <f>AND(#REF!,"AAAAAGj//y0=")</f>
        <v>#REF!</v>
      </c>
      <c r="AU23" t="e">
        <f>AND(#REF!,"AAAAAGj//y4=")</f>
        <v>#REF!</v>
      </c>
      <c r="AV23" t="e">
        <f>AND(#REF!,"AAAAAGj//y8=")</f>
        <v>#REF!</v>
      </c>
      <c r="AW23" t="e">
        <f>AND(#REF!,"AAAAAGj//zA=")</f>
        <v>#REF!</v>
      </c>
      <c r="AX23" t="e">
        <f>AND(#REF!,"AAAAAGj//zE=")</f>
        <v>#REF!</v>
      </c>
      <c r="AY23" t="e">
        <f>AND(#REF!,"AAAAAGj//zI=")</f>
        <v>#REF!</v>
      </c>
      <c r="AZ23" t="e">
        <f>AND(#REF!,"AAAAAGj//zM=")</f>
        <v>#REF!</v>
      </c>
      <c r="BA23" t="e">
        <f>AND(#REF!,"AAAAAGj//zQ=")</f>
        <v>#REF!</v>
      </c>
      <c r="BB23" t="e">
        <f>AND(#REF!,"AAAAAGj//zU=")</f>
        <v>#REF!</v>
      </c>
      <c r="BC23" t="e">
        <f>AND(#REF!,"AAAAAGj//zY=")</f>
        <v>#REF!</v>
      </c>
      <c r="BD23" t="e">
        <f>AND(#REF!,"AAAAAGj//zc=")</f>
        <v>#REF!</v>
      </c>
      <c r="BE23" t="e">
        <f>AND(#REF!,"AAAAAGj//zg=")</f>
        <v>#REF!</v>
      </c>
      <c r="BF23" t="e">
        <f>AND(#REF!,"AAAAAGj//zk=")</f>
        <v>#REF!</v>
      </c>
      <c r="BG23" t="e">
        <f>AND(#REF!,"AAAAAGj//zo=")</f>
        <v>#REF!</v>
      </c>
      <c r="BH23" t="e">
        <f>AND(#REF!,"AAAAAGj//zs=")</f>
        <v>#REF!</v>
      </c>
      <c r="BI23" t="e">
        <f>AND(#REF!,"AAAAAGj//zw=")</f>
        <v>#REF!</v>
      </c>
      <c r="BJ23" t="e">
        <f>AND(#REF!,"AAAAAGj//z0=")</f>
        <v>#REF!</v>
      </c>
      <c r="BK23" t="e">
        <f>AND(#REF!,"AAAAAGj//z4=")</f>
        <v>#REF!</v>
      </c>
      <c r="BL23" t="e">
        <f>AND(#REF!,"AAAAAGj//z8=")</f>
        <v>#REF!</v>
      </c>
      <c r="BM23" t="e">
        <f>AND(#REF!,"AAAAAGj//0A=")</f>
        <v>#REF!</v>
      </c>
      <c r="BN23" t="e">
        <f>AND(#REF!,"AAAAAGj//0E=")</f>
        <v>#REF!</v>
      </c>
      <c r="BO23" t="e">
        <f>AND(#REF!,"AAAAAGj//0I=")</f>
        <v>#REF!</v>
      </c>
      <c r="BP23" t="e">
        <f>AND(#REF!,"AAAAAGj//0M=")</f>
        <v>#REF!</v>
      </c>
      <c r="BQ23" t="e">
        <f>AND(#REF!,"AAAAAGj//0Q=")</f>
        <v>#REF!</v>
      </c>
      <c r="BR23" t="e">
        <f>AND(#REF!,"AAAAAGj//0U=")</f>
        <v>#REF!</v>
      </c>
      <c r="BS23" t="e">
        <f>AND(#REF!,"AAAAAGj//0Y=")</f>
        <v>#REF!</v>
      </c>
      <c r="BT23" t="e">
        <f>AND(#REF!,"AAAAAGj//0c=")</f>
        <v>#REF!</v>
      </c>
      <c r="BU23" t="e">
        <f>AND(#REF!,"AAAAAGj//0g=")</f>
        <v>#REF!</v>
      </c>
      <c r="BV23" t="e">
        <f>AND(#REF!,"AAAAAGj//0k=")</f>
        <v>#REF!</v>
      </c>
      <c r="BW23" t="e">
        <f>AND(#REF!,"AAAAAGj//0o=")</f>
        <v>#REF!</v>
      </c>
      <c r="BX23" t="e">
        <f>AND(#REF!,"AAAAAGj//0s=")</f>
        <v>#REF!</v>
      </c>
      <c r="BY23" t="e">
        <f>AND(#REF!,"AAAAAGj//0w=")</f>
        <v>#REF!</v>
      </c>
      <c r="BZ23" t="e">
        <f>AND(#REF!,"AAAAAGj//00=")</f>
        <v>#REF!</v>
      </c>
      <c r="CA23" t="e">
        <f>AND(#REF!,"AAAAAGj//04=")</f>
        <v>#REF!</v>
      </c>
      <c r="CB23" t="e">
        <f>AND(#REF!,"AAAAAGj//08=")</f>
        <v>#REF!</v>
      </c>
      <c r="CC23" t="e">
        <f>AND(#REF!,"AAAAAGj//1A=")</f>
        <v>#REF!</v>
      </c>
      <c r="CD23" t="e">
        <f>AND(#REF!,"AAAAAGj//1E=")</f>
        <v>#REF!</v>
      </c>
      <c r="CE23" t="e">
        <f>AND(#REF!,"AAAAAGj//1I=")</f>
        <v>#REF!</v>
      </c>
      <c r="CF23" t="e">
        <f>AND(#REF!,"AAAAAGj//1M=")</f>
        <v>#REF!</v>
      </c>
      <c r="CG23" t="e">
        <f>AND(#REF!,"AAAAAGj//1Q=")</f>
        <v>#REF!</v>
      </c>
      <c r="CH23" t="e">
        <f>AND(#REF!,"AAAAAGj//1U=")</f>
        <v>#REF!</v>
      </c>
      <c r="CI23" t="e">
        <f>AND(#REF!,"AAAAAGj//1Y=")</f>
        <v>#REF!</v>
      </c>
      <c r="CJ23" t="e">
        <f>AND(#REF!,"AAAAAGj//1c=")</f>
        <v>#REF!</v>
      </c>
      <c r="CK23" t="e">
        <f>AND(#REF!,"AAAAAGj//1g=")</f>
        <v>#REF!</v>
      </c>
      <c r="CL23" t="e">
        <f>AND(#REF!,"AAAAAGj//1k=")</f>
        <v>#REF!</v>
      </c>
      <c r="CM23" t="e">
        <f>AND(#REF!,"AAAAAGj//1o=")</f>
        <v>#REF!</v>
      </c>
      <c r="CN23" t="e">
        <f>AND(#REF!,"AAAAAGj//1s=")</f>
        <v>#REF!</v>
      </c>
      <c r="CO23" t="e">
        <f>AND(#REF!,"AAAAAGj//1w=")</f>
        <v>#REF!</v>
      </c>
      <c r="CP23" t="e">
        <f>AND(#REF!,"AAAAAGj//10=")</f>
        <v>#REF!</v>
      </c>
      <c r="CQ23" t="e">
        <f>AND(#REF!,"AAAAAGj//14=")</f>
        <v>#REF!</v>
      </c>
      <c r="CR23" t="e">
        <f>AND(#REF!,"AAAAAGj//18=")</f>
        <v>#REF!</v>
      </c>
      <c r="CS23" t="e">
        <f>AND(#REF!,"AAAAAGj//2A=")</f>
        <v>#REF!</v>
      </c>
      <c r="CT23" t="e">
        <f>AND(#REF!,"AAAAAGj//2E=")</f>
        <v>#REF!</v>
      </c>
      <c r="CU23" t="e">
        <f>AND(#REF!,"AAAAAGj//2I=")</f>
        <v>#REF!</v>
      </c>
      <c r="CV23" t="e">
        <f>AND(#REF!,"AAAAAGj//2M=")</f>
        <v>#REF!</v>
      </c>
      <c r="CW23" t="e">
        <f>AND(#REF!,"AAAAAGj//2Q=")</f>
        <v>#REF!</v>
      </c>
      <c r="CX23" t="e">
        <f>AND(#REF!,"AAAAAGj//2U=")</f>
        <v>#REF!</v>
      </c>
      <c r="CY23" t="e">
        <f>AND(#REF!,"AAAAAGj//2Y=")</f>
        <v>#REF!</v>
      </c>
      <c r="CZ23" t="e">
        <f>AND(#REF!,"AAAAAGj//2c=")</f>
        <v>#REF!</v>
      </c>
      <c r="DA23" t="e">
        <f>AND(#REF!,"AAAAAGj//2g=")</f>
        <v>#REF!</v>
      </c>
      <c r="DB23" t="e">
        <f>AND(#REF!,"AAAAAGj//2k=")</f>
        <v>#REF!</v>
      </c>
      <c r="DC23" t="e">
        <f>AND(#REF!,"AAAAAGj//2o=")</f>
        <v>#REF!</v>
      </c>
      <c r="DD23" t="e">
        <f>AND(#REF!,"AAAAAGj//2s=")</f>
        <v>#REF!</v>
      </c>
      <c r="DE23" t="e">
        <f>AND(#REF!,"AAAAAGj//2w=")</f>
        <v>#REF!</v>
      </c>
      <c r="DF23" t="e">
        <f>AND(#REF!,"AAAAAGj//20=")</f>
        <v>#REF!</v>
      </c>
      <c r="DG23" t="e">
        <f>AND(#REF!,"AAAAAGj//24=")</f>
        <v>#REF!</v>
      </c>
      <c r="DH23" t="e">
        <f>AND(#REF!,"AAAAAGj//28=")</f>
        <v>#REF!</v>
      </c>
      <c r="DI23" t="e">
        <f>AND(#REF!,"AAAAAGj//3A=")</f>
        <v>#REF!</v>
      </c>
      <c r="DJ23" t="e">
        <f>AND(#REF!,"AAAAAGj//3E=")</f>
        <v>#REF!</v>
      </c>
      <c r="DK23" t="e">
        <f>AND(#REF!,"AAAAAGj//3I=")</f>
        <v>#REF!</v>
      </c>
      <c r="DL23" t="e">
        <f>AND(#REF!,"AAAAAGj//3M=")</f>
        <v>#REF!</v>
      </c>
      <c r="DM23" t="e">
        <f>AND(#REF!,"AAAAAGj//3Q=")</f>
        <v>#REF!</v>
      </c>
      <c r="DN23" t="e">
        <f>AND(#REF!,"AAAAAGj//3U=")</f>
        <v>#REF!</v>
      </c>
      <c r="DO23" t="e">
        <f>AND(#REF!,"AAAAAGj//3Y=")</f>
        <v>#REF!</v>
      </c>
      <c r="DP23" t="e">
        <f>AND(#REF!,"AAAAAGj//3c=")</f>
        <v>#REF!</v>
      </c>
      <c r="DQ23" t="e">
        <f>AND(#REF!,"AAAAAGj//3g=")</f>
        <v>#REF!</v>
      </c>
      <c r="DR23" t="e">
        <f>AND(#REF!,"AAAAAGj//3k=")</f>
        <v>#REF!</v>
      </c>
      <c r="DS23" t="e">
        <f>IF(#REF!,"AAAAAGj//3o=",0)</f>
        <v>#REF!</v>
      </c>
      <c r="DT23" t="e">
        <f>IF(#REF!,"AAAAAGj//3s=",0)</f>
        <v>#REF!</v>
      </c>
      <c r="DU23" t="e">
        <f>IF(#REF!,"AAAAAGj//3w=",0)</f>
        <v>#REF!</v>
      </c>
      <c r="DV23" t="e">
        <f>IF(#REF!,"AAAAAGj//30=",0)</f>
        <v>#REF!</v>
      </c>
    </row>
    <row r="24" spans="1:256">
      <c r="A24" t="e">
        <f>AND(#REF!,"AAAAAF3b/gA=")</f>
        <v>#REF!</v>
      </c>
      <c r="B24" t="e">
        <f>AND(#REF!,"AAAAAF3b/gE=")</f>
        <v>#REF!</v>
      </c>
      <c r="C24" t="e">
        <f>AND(#REF!,"AAAAAF3b/gI=")</f>
        <v>#REF!</v>
      </c>
      <c r="D24" t="e">
        <f>AND(#REF!,"AAAAAF3b/gM=")</f>
        <v>#REF!</v>
      </c>
      <c r="E24" t="e">
        <f>AND(#REF!,"AAAAAF3b/gQ=")</f>
        <v>#REF!</v>
      </c>
      <c r="F24" t="e">
        <f>AND(#REF!,"AAAAAF3b/gU=")</f>
        <v>#REF!</v>
      </c>
      <c r="G24" t="e">
        <f>AND(#REF!,"AAAAAF3b/gY=")</f>
        <v>#REF!</v>
      </c>
      <c r="H24" t="e">
        <f>AND(#REF!,"AAAAAF3b/gc=")</f>
        <v>#REF!</v>
      </c>
      <c r="I24" t="e">
        <f>AND(#REF!,"AAAAAF3b/gg=")</f>
        <v>#REF!</v>
      </c>
      <c r="J24" t="e">
        <f>AND(#REF!,"AAAAAF3b/gk=")</f>
        <v>#REF!</v>
      </c>
      <c r="K24" t="e">
        <f>AND(#REF!,"AAAAAF3b/go=")</f>
        <v>#REF!</v>
      </c>
      <c r="L24" t="e">
        <f>AND(#REF!,"AAAAAF3b/gs=")</f>
        <v>#REF!</v>
      </c>
      <c r="M24" t="e">
        <f>AND(#REF!,"AAAAAF3b/gw=")</f>
        <v>#REF!</v>
      </c>
      <c r="N24" t="e">
        <f>AND(#REF!,"AAAAAF3b/g0=")</f>
        <v>#REF!</v>
      </c>
      <c r="O24" t="e">
        <f>AND(#REF!,"AAAAAF3b/g4=")</f>
        <v>#REF!</v>
      </c>
      <c r="P24" t="e">
        <f>AND(#REF!,"AAAAAF3b/g8=")</f>
        <v>#REF!</v>
      </c>
      <c r="Q24" t="e">
        <f>AND(#REF!,"AAAAAF3b/hA=")</f>
        <v>#REF!</v>
      </c>
      <c r="R24" t="e">
        <f>AND(#REF!,"AAAAAF3b/hE=")</f>
        <v>#REF!</v>
      </c>
      <c r="S24" t="e">
        <f>AND(#REF!,"AAAAAF3b/hI=")</f>
        <v>#REF!</v>
      </c>
      <c r="T24" t="e">
        <f>AND(#REF!,"AAAAAF3b/hM=")</f>
        <v>#REF!</v>
      </c>
      <c r="U24" t="e">
        <f>AND(#REF!,"AAAAAF3b/hQ=")</f>
        <v>#REF!</v>
      </c>
      <c r="V24" t="e">
        <f>AND(#REF!,"AAAAAF3b/hU=")</f>
        <v>#REF!</v>
      </c>
      <c r="W24" t="e">
        <f>AND(#REF!,"AAAAAF3b/hY=")</f>
        <v>#REF!</v>
      </c>
      <c r="X24" t="e">
        <f>AND(#REF!,"AAAAAF3b/hc=")</f>
        <v>#REF!</v>
      </c>
      <c r="Y24" t="e">
        <f>AND(#REF!,"AAAAAF3b/hg=")</f>
        <v>#REF!</v>
      </c>
      <c r="Z24" t="e">
        <f>AND(#REF!,"AAAAAF3b/hk=")</f>
        <v>#REF!</v>
      </c>
      <c r="AA24" t="e">
        <f>AND(#REF!,"AAAAAF3b/ho=")</f>
        <v>#REF!</v>
      </c>
      <c r="AB24" t="e">
        <f>AND(#REF!,"AAAAAF3b/hs=")</f>
        <v>#REF!</v>
      </c>
      <c r="AC24" t="e">
        <f>AND(#REF!,"AAAAAF3b/hw=")</f>
        <v>#REF!</v>
      </c>
      <c r="AD24" t="e">
        <f>AND(#REF!,"AAAAAF3b/h0=")</f>
        <v>#REF!</v>
      </c>
      <c r="AE24" t="e">
        <f>AND(#REF!,"AAAAAF3b/h4=")</f>
        <v>#REF!</v>
      </c>
      <c r="AF24" t="e">
        <f>AND(#REF!,"AAAAAF3b/h8=")</f>
        <v>#REF!</v>
      </c>
      <c r="AG24" t="e">
        <f>AND(#REF!,"AAAAAF3b/iA=")</f>
        <v>#REF!</v>
      </c>
      <c r="AH24" t="e">
        <f>AND(#REF!,"AAAAAF3b/iE=")</f>
        <v>#REF!</v>
      </c>
      <c r="AI24" t="e">
        <f>AND(#REF!,"AAAAAF3b/iI=")</f>
        <v>#REF!</v>
      </c>
      <c r="AJ24" t="e">
        <f>AND(#REF!,"AAAAAF3b/iM=")</f>
        <v>#REF!</v>
      </c>
      <c r="AK24" t="e">
        <f>AND(#REF!,"AAAAAF3b/iQ=")</f>
        <v>#REF!</v>
      </c>
      <c r="AL24" t="e">
        <f>AND(#REF!,"AAAAAF3b/iU=")</f>
        <v>#REF!</v>
      </c>
      <c r="AM24" t="e">
        <f>AND(#REF!,"AAAAAF3b/iY=")</f>
        <v>#REF!</v>
      </c>
      <c r="AN24" t="e">
        <f>AND(#REF!,"AAAAAF3b/ic=")</f>
        <v>#REF!</v>
      </c>
      <c r="AO24" t="e">
        <f>AND(#REF!,"AAAAAF3b/ig=")</f>
        <v>#REF!</v>
      </c>
      <c r="AP24" t="e">
        <f>AND(#REF!,"AAAAAF3b/ik=")</f>
        <v>#REF!</v>
      </c>
      <c r="AQ24" t="e">
        <f>AND(#REF!,"AAAAAF3b/io=")</f>
        <v>#REF!</v>
      </c>
      <c r="AR24" t="e">
        <f>AND(#REF!,"AAAAAF3b/is=")</f>
        <v>#REF!</v>
      </c>
      <c r="AS24" t="e">
        <f>AND(#REF!,"AAAAAF3b/iw=")</f>
        <v>#REF!</v>
      </c>
      <c r="AT24" t="e">
        <f>AND(#REF!,"AAAAAF3b/i0=")</f>
        <v>#REF!</v>
      </c>
      <c r="AU24" t="e">
        <f>AND(#REF!,"AAAAAF3b/i4=")</f>
        <v>#REF!</v>
      </c>
      <c r="AV24" t="e">
        <f>AND(#REF!,"AAAAAF3b/i8=")</f>
        <v>#REF!</v>
      </c>
      <c r="AW24" t="e">
        <f>AND(#REF!,"AAAAAF3b/jA=")</f>
        <v>#REF!</v>
      </c>
      <c r="AX24" t="e">
        <f>AND(#REF!,"AAAAAF3b/jE=")</f>
        <v>#REF!</v>
      </c>
      <c r="AY24" t="e">
        <f>AND(#REF!,"AAAAAF3b/jI=")</f>
        <v>#REF!</v>
      </c>
      <c r="AZ24" t="e">
        <f>AND(#REF!,"AAAAAF3b/jM=")</f>
        <v>#REF!</v>
      </c>
      <c r="BA24" t="e">
        <f>AND(#REF!,"AAAAAF3b/jQ=")</f>
        <v>#REF!</v>
      </c>
      <c r="BB24" t="e">
        <f>AND(#REF!,"AAAAAF3b/jU=")</f>
        <v>#REF!</v>
      </c>
      <c r="BC24" t="e">
        <f>AND(#REF!,"AAAAAF3b/jY=")</f>
        <v>#REF!</v>
      </c>
      <c r="BD24" t="e">
        <f>AND(#REF!,"AAAAAF3b/jc=")</f>
        <v>#REF!</v>
      </c>
      <c r="BE24" t="e">
        <f>AND(#REF!,"AAAAAF3b/jg=")</f>
        <v>#REF!</v>
      </c>
      <c r="BF24" t="e">
        <f>AND(#REF!,"AAAAAF3b/jk=")</f>
        <v>#REF!</v>
      </c>
      <c r="BG24" t="e">
        <f>AND(#REF!,"AAAAAF3b/jo=")</f>
        <v>#REF!</v>
      </c>
      <c r="BH24" t="e">
        <f>AND(#REF!,"AAAAAF3b/js=")</f>
        <v>#REF!</v>
      </c>
      <c r="BI24" t="e">
        <f>AND(#REF!,"AAAAAF3b/jw=")</f>
        <v>#REF!</v>
      </c>
      <c r="BJ24" t="e">
        <f>AND(#REF!,"AAAAAF3b/j0=")</f>
        <v>#REF!</v>
      </c>
      <c r="BK24" t="e">
        <f>AND(#REF!,"AAAAAF3b/j4=")</f>
        <v>#REF!</v>
      </c>
      <c r="BL24" t="e">
        <f>AND(#REF!,"AAAAAF3b/j8=")</f>
        <v>#REF!</v>
      </c>
      <c r="BM24" t="e">
        <f>AND(#REF!,"AAAAAF3b/kA=")</f>
        <v>#REF!</v>
      </c>
      <c r="BN24" t="e">
        <f>AND(#REF!,"AAAAAF3b/kE=")</f>
        <v>#REF!</v>
      </c>
      <c r="BO24" t="e">
        <f>AND(#REF!,"AAAAAF3b/kI=")</f>
        <v>#REF!</v>
      </c>
      <c r="BP24" t="e">
        <f>AND(#REF!,"AAAAAF3b/kM=")</f>
        <v>#REF!</v>
      </c>
      <c r="BQ24" t="e">
        <f>AND(#REF!,"AAAAAF3b/kQ=")</f>
        <v>#REF!</v>
      </c>
      <c r="BR24" t="e">
        <f>AND(#REF!,"AAAAAF3b/kU=")</f>
        <v>#REF!</v>
      </c>
      <c r="BS24" t="e">
        <f>AND(#REF!,"AAAAAF3b/kY=")</f>
        <v>#REF!</v>
      </c>
      <c r="BT24" t="e">
        <f>AND(#REF!,"AAAAAF3b/kc=")</f>
        <v>#REF!</v>
      </c>
      <c r="BU24" t="e">
        <f>AND(#REF!,"AAAAAF3b/kg=")</f>
        <v>#REF!</v>
      </c>
      <c r="BV24" t="e">
        <f>AND(#REF!,"AAAAAF3b/kk=")</f>
        <v>#REF!</v>
      </c>
      <c r="BW24" t="e">
        <f>AND(#REF!,"AAAAAF3b/ko=")</f>
        <v>#REF!</v>
      </c>
      <c r="BX24" t="e">
        <f>AND(#REF!,"AAAAAF3b/ks=")</f>
        <v>#REF!</v>
      </c>
      <c r="BY24" t="e">
        <f>AND(#REF!,"AAAAAF3b/kw=")</f>
        <v>#REF!</v>
      </c>
      <c r="BZ24" t="e">
        <f>AND(#REF!,"AAAAAF3b/k0=")</f>
        <v>#REF!</v>
      </c>
      <c r="CA24" t="e">
        <f>AND(#REF!,"AAAAAF3b/k4=")</f>
        <v>#REF!</v>
      </c>
      <c r="CB24" t="e">
        <f>AND(#REF!,"AAAAAF3b/k8=")</f>
        <v>#REF!</v>
      </c>
      <c r="CC24" t="e">
        <f>AND(#REF!,"AAAAAF3b/lA=")</f>
        <v>#REF!</v>
      </c>
      <c r="CD24" t="e">
        <f>AND(#REF!,"AAAAAF3b/lE=")</f>
        <v>#REF!</v>
      </c>
      <c r="CE24" t="e">
        <f>AND(#REF!,"AAAAAF3b/lI=")</f>
        <v>#REF!</v>
      </c>
      <c r="CF24" t="e">
        <f>AND(#REF!,"AAAAAF3b/lM=")</f>
        <v>#REF!</v>
      </c>
      <c r="CG24" t="e">
        <f>AND(#REF!,"AAAAAF3b/lQ=")</f>
        <v>#REF!</v>
      </c>
      <c r="CH24" t="e">
        <f>AND(#REF!,"AAAAAF3b/lU=")</f>
        <v>#REF!</v>
      </c>
      <c r="CI24" t="e">
        <f>AND(#REF!,"AAAAAF3b/lY=")</f>
        <v>#REF!</v>
      </c>
      <c r="CJ24" t="e">
        <f>AND(#REF!,"AAAAAF3b/lc=")</f>
        <v>#REF!</v>
      </c>
      <c r="CK24" t="e">
        <f>AND(#REF!,"AAAAAF3b/lg=")</f>
        <v>#REF!</v>
      </c>
      <c r="CL24" t="e">
        <f>AND(#REF!,"AAAAAF3b/lk=")</f>
        <v>#REF!</v>
      </c>
      <c r="CM24" t="e">
        <f>AND(#REF!,"AAAAAF3b/lo=")</f>
        <v>#REF!</v>
      </c>
      <c r="CN24" t="e">
        <f>AND(#REF!,"AAAAAF3b/ls=")</f>
        <v>#REF!</v>
      </c>
      <c r="CO24" t="e">
        <f>AND(#REF!,"AAAAAF3b/lw=")</f>
        <v>#REF!</v>
      </c>
      <c r="CP24" t="e">
        <f>AND(#REF!,"AAAAAF3b/l0=")</f>
        <v>#REF!</v>
      </c>
      <c r="CQ24" t="e">
        <f>AND(#REF!,"AAAAAF3b/l4=")</f>
        <v>#REF!</v>
      </c>
      <c r="CR24" t="e">
        <f>AND(#REF!,"AAAAAF3b/l8=")</f>
        <v>#REF!</v>
      </c>
      <c r="CS24" t="e">
        <f>IF(#REF!,"AAAAAF3b/mA=",0)</f>
        <v>#REF!</v>
      </c>
      <c r="CT24" t="e">
        <f>IF(#REF!,"AAAAAF3b/mE=",0)</f>
        <v>#REF!</v>
      </c>
      <c r="CU24" t="e">
        <f>IF(#REF!,"AAAAAF3b/mI=",0)</f>
        <v>#REF!</v>
      </c>
      <c r="CV24" t="e">
        <f>IF(#REF!,"AAAAAF3b/mM=",0)</f>
        <v>#REF!</v>
      </c>
      <c r="CW24" t="e">
        <f>IF(#REF!,"AAAAAF3b/mQ=",0)</f>
        <v>#REF!</v>
      </c>
      <c r="CX24" t="e">
        <f>AND(#REF!,"AAAAAF3b/mU=")</f>
        <v>#REF!</v>
      </c>
      <c r="CY24" t="e">
        <f>AND(#REF!,"AAAAAF3b/mY=")</f>
        <v>#REF!</v>
      </c>
      <c r="CZ24" t="e">
        <f>AND(#REF!,"AAAAAF3b/mc=")</f>
        <v>#REF!</v>
      </c>
      <c r="DA24" t="e">
        <f>AND(#REF!,"AAAAAF3b/mg=")</f>
        <v>#REF!</v>
      </c>
      <c r="DB24" t="e">
        <f>AND(#REF!,"AAAAAF3b/mk=")</f>
        <v>#REF!</v>
      </c>
      <c r="DC24" t="e">
        <f>AND(#REF!,"AAAAAF3b/mo=")</f>
        <v>#REF!</v>
      </c>
      <c r="DD24" t="e">
        <f>AND(#REF!,"AAAAAF3b/ms=")</f>
        <v>#REF!</v>
      </c>
      <c r="DE24" t="e">
        <f>AND(#REF!,"AAAAAF3b/mw=")</f>
        <v>#REF!</v>
      </c>
      <c r="DF24" t="e">
        <f>AND(#REF!,"AAAAAF3b/m0=")</f>
        <v>#REF!</v>
      </c>
      <c r="DG24" t="e">
        <f>IF(#REF!,"AAAAAF3b/m4=",0)</f>
        <v>#REF!</v>
      </c>
      <c r="DH24" t="e">
        <f>AND(#REF!,"AAAAAF3b/m8=")</f>
        <v>#REF!</v>
      </c>
      <c r="DI24" t="e">
        <f>AND(#REF!,"AAAAAF3b/nA=")</f>
        <v>#REF!</v>
      </c>
      <c r="DJ24" t="e">
        <f>AND(#REF!,"AAAAAF3b/nE=")</f>
        <v>#REF!</v>
      </c>
      <c r="DK24" t="e">
        <f>AND(#REF!,"AAAAAF3b/nI=")</f>
        <v>#REF!</v>
      </c>
      <c r="DL24" t="e">
        <f>AND(#REF!,"AAAAAF3b/nM=")</f>
        <v>#REF!</v>
      </c>
      <c r="DM24" t="e">
        <f>AND(#REF!,"AAAAAF3b/nQ=")</f>
        <v>#REF!</v>
      </c>
      <c r="DN24" t="e">
        <f>AND(#REF!,"AAAAAF3b/nU=")</f>
        <v>#REF!</v>
      </c>
      <c r="DO24" t="e">
        <f>AND(#REF!,"AAAAAF3b/nY=")</f>
        <v>#REF!</v>
      </c>
      <c r="DP24" t="e">
        <f>AND(#REF!,"AAAAAF3b/nc=")</f>
        <v>#REF!</v>
      </c>
      <c r="DQ24" t="e">
        <f>IF(#REF!,"AAAAAF3b/ng=",0)</f>
        <v>#REF!</v>
      </c>
      <c r="DR24" t="e">
        <f>AND(#REF!,"AAAAAF3b/nk=")</f>
        <v>#REF!</v>
      </c>
      <c r="DS24" t="e">
        <f>AND(#REF!,"AAAAAF3b/no=")</f>
        <v>#REF!</v>
      </c>
      <c r="DT24" t="e">
        <f>AND(#REF!,"AAAAAF3b/ns=")</f>
        <v>#REF!</v>
      </c>
      <c r="DU24" t="e">
        <f>AND(#REF!,"AAAAAF3b/nw=")</f>
        <v>#REF!</v>
      </c>
      <c r="DV24" t="e">
        <f>AND(#REF!,"AAAAAF3b/n0=")</f>
        <v>#REF!</v>
      </c>
      <c r="DW24" t="e">
        <f>AND(#REF!,"AAAAAF3b/n4=")</f>
        <v>#REF!</v>
      </c>
      <c r="DX24" t="e">
        <f>AND(#REF!,"AAAAAF3b/n8=")</f>
        <v>#REF!</v>
      </c>
      <c r="DY24" t="e">
        <f>AND(#REF!,"AAAAAF3b/oA=")</f>
        <v>#REF!</v>
      </c>
      <c r="DZ24" t="e">
        <f>AND(#REF!,"AAAAAF3b/oE=")</f>
        <v>#REF!</v>
      </c>
      <c r="EA24" t="e">
        <f>IF(#REF!,"AAAAAF3b/oI=",0)</f>
        <v>#REF!</v>
      </c>
      <c r="EB24" t="e">
        <f>AND(#REF!,"AAAAAF3b/oM=")</f>
        <v>#REF!</v>
      </c>
      <c r="EC24" t="e">
        <f>AND(#REF!,"AAAAAF3b/oQ=")</f>
        <v>#REF!</v>
      </c>
      <c r="ED24" t="e">
        <f>AND(#REF!,"AAAAAF3b/oU=")</f>
        <v>#REF!</v>
      </c>
      <c r="EE24" t="e">
        <f>AND(#REF!,"AAAAAF3b/oY=")</f>
        <v>#REF!</v>
      </c>
      <c r="EF24" t="e">
        <f>AND(#REF!,"AAAAAF3b/oc=")</f>
        <v>#REF!</v>
      </c>
      <c r="EG24" t="e">
        <f>AND(#REF!,"AAAAAF3b/og=")</f>
        <v>#REF!</v>
      </c>
      <c r="EH24" t="e">
        <f>AND(#REF!,"AAAAAF3b/ok=")</f>
        <v>#REF!</v>
      </c>
      <c r="EI24" t="e">
        <f>AND(#REF!,"AAAAAF3b/oo=")</f>
        <v>#REF!</v>
      </c>
      <c r="EJ24" t="e">
        <f>AND(#REF!,"AAAAAF3b/os=")</f>
        <v>#REF!</v>
      </c>
      <c r="EK24" t="e">
        <f>IF(#REF!,"AAAAAF3b/ow=",0)</f>
        <v>#REF!</v>
      </c>
      <c r="EL24" t="e">
        <f>AND(#REF!,"AAAAAF3b/o0=")</f>
        <v>#REF!</v>
      </c>
      <c r="EM24" t="e">
        <f>AND(#REF!,"AAAAAF3b/o4=")</f>
        <v>#REF!</v>
      </c>
      <c r="EN24" t="e">
        <f>AND(#REF!,"AAAAAF3b/o8=")</f>
        <v>#REF!</v>
      </c>
      <c r="EO24" t="e">
        <f>AND(#REF!,"AAAAAF3b/pA=")</f>
        <v>#REF!</v>
      </c>
      <c r="EP24" t="e">
        <f>AND(#REF!,"AAAAAF3b/pE=")</f>
        <v>#REF!</v>
      </c>
      <c r="EQ24" t="e">
        <f>AND(#REF!,"AAAAAF3b/pI=")</f>
        <v>#REF!</v>
      </c>
      <c r="ER24" t="e">
        <f>AND(#REF!,"AAAAAF3b/pM=")</f>
        <v>#REF!</v>
      </c>
      <c r="ES24" t="e">
        <f>AND(#REF!,"AAAAAF3b/pQ=")</f>
        <v>#REF!</v>
      </c>
      <c r="ET24" t="e">
        <f>AND(#REF!,"AAAAAF3b/pU=")</f>
        <v>#REF!</v>
      </c>
      <c r="EU24" t="e">
        <f>IF(#REF!,"AAAAAF3b/pY=",0)</f>
        <v>#REF!</v>
      </c>
      <c r="EV24" t="e">
        <f>AND(#REF!,"AAAAAF3b/pc=")</f>
        <v>#REF!</v>
      </c>
      <c r="EW24" t="e">
        <f>AND(#REF!,"AAAAAF3b/pg=")</f>
        <v>#REF!</v>
      </c>
      <c r="EX24" t="e">
        <f>AND(#REF!,"AAAAAF3b/pk=")</f>
        <v>#REF!</v>
      </c>
      <c r="EY24" t="e">
        <f>AND(#REF!,"AAAAAF3b/po=")</f>
        <v>#REF!</v>
      </c>
      <c r="EZ24" t="e">
        <f>AND(#REF!,"AAAAAF3b/ps=")</f>
        <v>#REF!</v>
      </c>
      <c r="FA24" t="e">
        <f>AND(#REF!,"AAAAAF3b/pw=")</f>
        <v>#REF!</v>
      </c>
      <c r="FB24" t="e">
        <f>AND(#REF!,"AAAAAF3b/p0=")</f>
        <v>#REF!</v>
      </c>
      <c r="FC24" t="e">
        <f>AND(#REF!,"AAAAAF3b/p4=")</f>
        <v>#REF!</v>
      </c>
      <c r="FD24" t="e">
        <f>AND(#REF!,"AAAAAF3b/p8=")</f>
        <v>#REF!</v>
      </c>
      <c r="FE24" t="e">
        <f>IF(#REF!,"AAAAAF3b/qA=",0)</f>
        <v>#REF!</v>
      </c>
      <c r="FF24" t="e">
        <f>AND(#REF!,"AAAAAF3b/qE=")</f>
        <v>#REF!</v>
      </c>
      <c r="FG24" t="e">
        <f>AND(#REF!,"AAAAAF3b/qI=")</f>
        <v>#REF!</v>
      </c>
      <c r="FH24" t="e">
        <f>AND(#REF!,"AAAAAF3b/qM=")</f>
        <v>#REF!</v>
      </c>
      <c r="FI24" t="e">
        <f>AND(#REF!,"AAAAAF3b/qQ=")</f>
        <v>#REF!</v>
      </c>
      <c r="FJ24" t="e">
        <f>AND(#REF!,"AAAAAF3b/qU=")</f>
        <v>#REF!</v>
      </c>
      <c r="FK24" t="e">
        <f>AND(#REF!,"AAAAAF3b/qY=")</f>
        <v>#REF!</v>
      </c>
      <c r="FL24" t="e">
        <f>AND(#REF!,"AAAAAF3b/qc=")</f>
        <v>#REF!</v>
      </c>
      <c r="FM24" t="e">
        <f>AND(#REF!,"AAAAAF3b/qg=")</f>
        <v>#REF!</v>
      </c>
      <c r="FN24" t="e">
        <f>AND(#REF!,"AAAAAF3b/qk=")</f>
        <v>#REF!</v>
      </c>
      <c r="FO24" t="e">
        <f>IF(#REF!,"AAAAAF3b/qo=",0)</f>
        <v>#REF!</v>
      </c>
      <c r="FP24" t="e">
        <f>AND(#REF!,"AAAAAF3b/qs=")</f>
        <v>#REF!</v>
      </c>
      <c r="FQ24" t="e">
        <f>AND(#REF!,"AAAAAF3b/qw=")</f>
        <v>#REF!</v>
      </c>
      <c r="FR24" t="e">
        <f>AND(#REF!,"AAAAAF3b/q0=")</f>
        <v>#REF!</v>
      </c>
      <c r="FS24" t="e">
        <f>AND(#REF!,"AAAAAF3b/q4=")</f>
        <v>#REF!</v>
      </c>
      <c r="FT24" t="e">
        <f>AND(#REF!,"AAAAAF3b/q8=")</f>
        <v>#REF!</v>
      </c>
      <c r="FU24" t="e">
        <f>AND(#REF!,"AAAAAF3b/rA=")</f>
        <v>#REF!</v>
      </c>
      <c r="FV24" t="e">
        <f>AND(#REF!,"AAAAAF3b/rE=")</f>
        <v>#REF!</v>
      </c>
      <c r="FW24" t="e">
        <f>AND(#REF!,"AAAAAF3b/rI=")</f>
        <v>#REF!</v>
      </c>
      <c r="FX24" t="e">
        <f>AND(#REF!,"AAAAAF3b/rM=")</f>
        <v>#REF!</v>
      </c>
      <c r="FY24" t="e">
        <f>IF(#REF!,"AAAAAF3b/rQ=",0)</f>
        <v>#REF!</v>
      </c>
      <c r="FZ24" t="e">
        <f>AND(#REF!,"AAAAAF3b/rU=")</f>
        <v>#REF!</v>
      </c>
      <c r="GA24" t="e">
        <f>AND(#REF!,"AAAAAF3b/rY=")</f>
        <v>#REF!</v>
      </c>
      <c r="GB24" t="e">
        <f>AND(#REF!,"AAAAAF3b/rc=")</f>
        <v>#REF!</v>
      </c>
      <c r="GC24" t="e">
        <f>AND(#REF!,"AAAAAF3b/rg=")</f>
        <v>#REF!</v>
      </c>
      <c r="GD24" t="e">
        <f>AND(#REF!,"AAAAAF3b/rk=")</f>
        <v>#REF!</v>
      </c>
      <c r="GE24" t="e">
        <f>AND(#REF!,"AAAAAF3b/ro=")</f>
        <v>#REF!</v>
      </c>
      <c r="GF24" t="e">
        <f>AND(#REF!,"AAAAAF3b/rs=")</f>
        <v>#REF!</v>
      </c>
      <c r="GG24" t="e">
        <f>AND(#REF!,"AAAAAF3b/rw=")</f>
        <v>#REF!</v>
      </c>
      <c r="GH24" t="e">
        <f>AND(#REF!,"AAAAAF3b/r0=")</f>
        <v>#REF!</v>
      </c>
      <c r="GI24" t="b">
        <f>AND('MvsD 8'!A23,"AAAAAF3b/r4=")</f>
        <v>1</v>
      </c>
      <c r="GJ24" t="e">
        <f>AND('MvsD 8'!B23,"AAAAAF3b/r8=")</f>
        <v>#VALUE!</v>
      </c>
      <c r="GK24" t="e">
        <f>AND('MvsD 8'!#REF!,"AAAAAF3b/sA=")</f>
        <v>#REF!</v>
      </c>
      <c r="GL24" t="e">
        <f>AND('MvsD 8'!#REF!,"AAAAAF3b/sE=")</f>
        <v>#REF!</v>
      </c>
      <c r="GM24" t="e">
        <f>AND('MvsD 8'!#REF!,"AAAAAF3b/sI=")</f>
        <v>#REF!</v>
      </c>
      <c r="GN24" t="e">
        <f>AND('MvsD 8'!#REF!,"AAAAAF3b/sM=")</f>
        <v>#REF!</v>
      </c>
      <c r="GO24" t="e">
        <f>AND('MvsD 8'!#REF!,"AAAAAF3b/sQ=")</f>
        <v>#REF!</v>
      </c>
      <c r="GP24" t="e">
        <f>AND('MvsD 8'!#REF!,"AAAAAF3b/sU=")</f>
        <v>#REF!</v>
      </c>
      <c r="GQ24" t="e">
        <f>AND('MvsD 8'!#REF!,"AAAAAF3b/sY=")</f>
        <v>#REF!</v>
      </c>
      <c r="GR24" t="e">
        <f>AND('MvsD 8'!A31,"AAAAAF3b/sc=")</f>
        <v>#VALUE!</v>
      </c>
      <c r="GS24" t="e">
        <f>AND([1]Labo!#REF!,"AAAAAF3b/sg=")</f>
        <v>#REF!</v>
      </c>
      <c r="GT24" t="e">
        <f>AND([1]Labo!#REF!,"AAAAAF3b/sk=")</f>
        <v>#REF!</v>
      </c>
      <c r="GU24" t="e">
        <f>AND([1]Labo!#REF!,"AAAAAF3b/so=")</f>
        <v>#REF!</v>
      </c>
      <c r="GV24" t="e">
        <f>AND([1]Labo!#REF!,"AAAAAF3b/ss=")</f>
        <v>#REF!</v>
      </c>
      <c r="GW24" t="e">
        <f>AND([1]Labo!#REF!,"AAAAAF3b/sw=")</f>
        <v>#REF!</v>
      </c>
      <c r="GX24" t="e">
        <f>AND([1]Labo!#REF!,"AAAAAF3b/s0=")</f>
        <v>#REF!</v>
      </c>
      <c r="GY24" t="e">
        <f>AND([1]Labo!#REF!,"AAAAAF3b/s4=")</f>
        <v>#REF!</v>
      </c>
      <c r="GZ24" t="e">
        <f>AND([1]Labo!#REF!,"AAAAAF3b/s8=")</f>
        <v>#REF!</v>
      </c>
      <c r="HA24" t="e">
        <f>AND([1]Labo!#REF!,"AAAAAF3b/tA=")</f>
        <v>#REF!</v>
      </c>
      <c r="HB24" t="e">
        <f>AND([1]Labo!I1,"AAAAAF3b/tE=")</f>
        <v>#VALUE!</v>
      </c>
      <c r="HC24" t="b">
        <f>AND([1]Labo!J1,"AAAAAF3b/tI=")</f>
        <v>1</v>
      </c>
      <c r="HD24" t="e">
        <f>AND([1]Labo!K1,"AAAAAF3b/tM=")</f>
        <v>#VALUE!</v>
      </c>
      <c r="HE24" t="e">
        <f>AND([1]Labo!#REF!,"AAAAAF3b/tQ=")</f>
        <v>#REF!</v>
      </c>
      <c r="HF24" t="e">
        <f>AND([1]Labo!#REF!,"AAAAAF3b/tU=")</f>
        <v>#REF!</v>
      </c>
      <c r="HG24" t="e">
        <f>AND([1]Labo!#REF!,"AAAAAF3b/tY=")</f>
        <v>#REF!</v>
      </c>
      <c r="HH24" t="e">
        <f>AND([1]Labo!#REF!,"AAAAAF3b/tc=")</f>
        <v>#REF!</v>
      </c>
      <c r="HI24" t="e">
        <f>AND([1]Labo!#REF!,"AAAAAF3b/tg=")</f>
        <v>#REF!</v>
      </c>
      <c r="HJ24" t="e">
        <f>AND([1]Labo!#REF!,"AAAAAF3b/tk=")</f>
        <v>#REF!</v>
      </c>
      <c r="HK24" t="e">
        <f>AND([1]Labo!#REF!,"AAAAAF3b/to=")</f>
        <v>#REF!</v>
      </c>
      <c r="HL24" t="e">
        <f>AND([1]Labo!#REF!,"AAAAAF3b/ts=")</f>
        <v>#REF!</v>
      </c>
      <c r="HM24" t="e">
        <f>AND([1]Labo!#REF!,"AAAAAF3b/tw=")</f>
        <v>#REF!</v>
      </c>
      <c r="HN24" t="e">
        <f>AND([1]Labo!I2,"AAAAAF3b/t0=")</f>
        <v>#VALUE!</v>
      </c>
      <c r="HO24" t="b">
        <f>AND([1]Labo!J2,"AAAAAF3b/t4=")</f>
        <v>1</v>
      </c>
      <c r="HP24" t="e">
        <f>AND([1]Labo!K2,"AAAAAF3b/t8=")</f>
        <v>#VALUE!</v>
      </c>
      <c r="HQ24" t="e">
        <f>AND([1]Labo!#REF!,"AAAAAF3b/uA=")</f>
        <v>#REF!</v>
      </c>
      <c r="HR24" t="e">
        <f>AND([1]Labo!#REF!,"AAAAAF3b/uE=")</f>
        <v>#REF!</v>
      </c>
      <c r="HS24" t="e">
        <f>AND([1]Labo!#REF!,"AAAAAF3b/uI=")</f>
        <v>#REF!</v>
      </c>
      <c r="HT24" t="e">
        <f>AND([1]Labo!#REF!,"AAAAAF3b/uM=")</f>
        <v>#REF!</v>
      </c>
      <c r="HU24" t="e">
        <f>AND([1]Labo!#REF!,"AAAAAF3b/uQ=")</f>
        <v>#REF!</v>
      </c>
      <c r="HV24" t="e">
        <f>AND([1]Labo!#REF!,"AAAAAF3b/uU=")</f>
        <v>#REF!</v>
      </c>
      <c r="HW24" t="e">
        <f>AND([1]Labo!#REF!,"AAAAAF3b/uY=")</f>
        <v>#REF!</v>
      </c>
      <c r="HX24" t="e">
        <f>AND([1]Labo!#REF!,"AAAAAF3b/uc=")</f>
        <v>#REF!</v>
      </c>
      <c r="HY24" t="e">
        <f>AND([1]Labo!#REF!,"AAAAAF3b/ug=")</f>
        <v>#REF!</v>
      </c>
      <c r="HZ24" t="e">
        <f>AND([1]Labo!I3,"AAAAAF3b/uk=")</f>
        <v>#VALUE!</v>
      </c>
      <c r="IA24" t="e">
        <f>AND([1]Labo!#REF!,"AAAAAF3b/uo=")</f>
        <v>#REF!</v>
      </c>
      <c r="IB24" t="e">
        <f>AND([1]Labo!#REF!,"AAAAAF3b/us=")</f>
        <v>#REF!</v>
      </c>
      <c r="IC24" t="e">
        <f>AND([1]Labo!#REF!,"AAAAAF3b/uw=")</f>
        <v>#REF!</v>
      </c>
      <c r="ID24" t="e">
        <f>AND([1]Labo!#REF!,"AAAAAF3b/u0=")</f>
        <v>#REF!</v>
      </c>
      <c r="IE24" t="e">
        <f>AND([1]Labo!#REF!,"AAAAAF3b/u4=")</f>
        <v>#REF!</v>
      </c>
      <c r="IF24" t="e">
        <f>AND([1]Labo!#REF!,"AAAAAF3b/u8=")</f>
        <v>#REF!</v>
      </c>
      <c r="IG24" t="e">
        <f>AND([1]Labo!#REF!,"AAAAAF3b/vA=")</f>
        <v>#REF!</v>
      </c>
      <c r="IH24" t="e">
        <f>AND([1]Labo!#REF!,"AAAAAF3b/vE=")</f>
        <v>#REF!</v>
      </c>
      <c r="II24" t="e">
        <f>AND([1]Labo!#REF!,"AAAAAF3b/vI=")</f>
        <v>#REF!</v>
      </c>
      <c r="IJ24" t="e">
        <f>AND([1]Labo!#REF!,"AAAAAF3b/vM=")</f>
        <v>#REF!</v>
      </c>
      <c r="IK24" t="e">
        <f>AND([1]Labo!#REF!,"AAAAAF3b/vQ=")</f>
        <v>#REF!</v>
      </c>
      <c r="IL24" t="e">
        <f>AND([1]Labo!I4,"AAAAAF3b/vU=")</f>
        <v>#VALUE!</v>
      </c>
      <c r="IM24" t="b">
        <f>AND([1]Labo!J3,"AAAAAF3b/vY=")</f>
        <v>1</v>
      </c>
      <c r="IN24" t="e">
        <f>AND([1]Labo!K3,"AAAAAF3b/vc=")</f>
        <v>#VALUE!</v>
      </c>
      <c r="IO24" t="e">
        <f>AND([1]Labo!#REF!,"AAAAAF3b/vg=")</f>
        <v>#REF!</v>
      </c>
      <c r="IP24" t="e">
        <f>AND([1]Labo!#REF!,"AAAAAF3b/vk=")</f>
        <v>#REF!</v>
      </c>
      <c r="IQ24" t="e">
        <f>AND([1]Labo!#REF!,"AAAAAF3b/vo=")</f>
        <v>#REF!</v>
      </c>
      <c r="IR24" t="e">
        <f>AND([1]Labo!#REF!,"AAAAAF3b/vs=")</f>
        <v>#REF!</v>
      </c>
      <c r="IS24" t="e">
        <f>AND([1]Labo!#REF!,"AAAAAF3b/vw=")</f>
        <v>#REF!</v>
      </c>
      <c r="IT24" t="e">
        <f>AND([1]Labo!#REF!,"AAAAAF3b/v0=")</f>
        <v>#REF!</v>
      </c>
      <c r="IU24" t="e">
        <f>AND([1]Labo!#REF!,"AAAAAF3b/v4=")</f>
        <v>#REF!</v>
      </c>
      <c r="IV24" t="e">
        <f>AND([1]Labo!#REF!,"AAAAAF3b/v8=")</f>
        <v>#REF!</v>
      </c>
    </row>
    <row r="25" spans="1:256">
      <c r="A25" t="e">
        <f>AND([1]Labo!#REF!,"AAAAAC7d9wA=")</f>
        <v>#REF!</v>
      </c>
      <c r="B25" t="e">
        <f>AND([1]Labo!I5,"AAAAAC7d9wE=")</f>
        <v>#VALUE!</v>
      </c>
      <c r="C25" t="b">
        <f>AND([1]Labo!J4,"AAAAAC7d9wI=")</f>
        <v>1</v>
      </c>
      <c r="D25" t="e">
        <f>AND([1]Labo!K4,"AAAAAC7d9wM=")</f>
        <v>#VALUE!</v>
      </c>
      <c r="E25" t="e">
        <f>AND([1]Labo!#REF!,"AAAAAC7d9wQ=")</f>
        <v>#REF!</v>
      </c>
      <c r="F25" t="e">
        <f>AND([1]Labo!#REF!,"AAAAAC7d9wU=")</f>
        <v>#REF!</v>
      </c>
      <c r="G25" t="e">
        <f>AND([1]Labo!#REF!,"AAAAAC7d9wY=")</f>
        <v>#REF!</v>
      </c>
      <c r="H25" t="e">
        <f>AND([1]Labo!#REF!,"AAAAAC7d9wc=")</f>
        <v>#REF!</v>
      </c>
      <c r="I25" t="e">
        <f>AND([1]Labo!#REF!,"AAAAAC7d9wg=")</f>
        <v>#REF!</v>
      </c>
      <c r="J25" t="e">
        <f>AND([1]Labo!#REF!,"AAAAAC7d9wk=")</f>
        <v>#REF!</v>
      </c>
      <c r="K25" t="e">
        <f>AND([1]Labo!#REF!,"AAAAAC7d9wo=")</f>
        <v>#REF!</v>
      </c>
      <c r="L25" t="e">
        <f>AND([1]Labo!#REF!,"AAAAAC7d9ws=")</f>
        <v>#REF!</v>
      </c>
      <c r="M25" t="e">
        <f>AND([1]Labo!#REF!,"AAAAAC7d9ww=")</f>
        <v>#REF!</v>
      </c>
      <c r="N25" t="e">
        <f>AND([1]Labo!I6,"AAAAAC7d9w0=")</f>
        <v>#VALUE!</v>
      </c>
      <c r="O25" t="e">
        <f>AND([1]Labo!#REF!,"AAAAAC7d9w4=")</f>
        <v>#REF!</v>
      </c>
      <c r="P25" t="e">
        <f>AND([1]Labo!#REF!,"AAAAAC7d9w8=")</f>
        <v>#REF!</v>
      </c>
      <c r="Q25" t="e">
        <f>AND([1]Labo!#REF!,"AAAAAC7d9xA=")</f>
        <v>#REF!</v>
      </c>
      <c r="R25" t="e">
        <f>AND([1]Labo!#REF!,"AAAAAC7d9xE=")</f>
        <v>#REF!</v>
      </c>
      <c r="S25" t="e">
        <f>AND([1]Labo!#REF!,"AAAAAC7d9xI=")</f>
        <v>#REF!</v>
      </c>
      <c r="T25" t="e">
        <f>AND([1]Labo!#REF!,"AAAAAC7d9xM=")</f>
        <v>#REF!</v>
      </c>
      <c r="U25" t="e">
        <f>AND([1]Labo!#REF!,"AAAAAC7d9xQ=")</f>
        <v>#REF!</v>
      </c>
      <c r="V25" t="e">
        <f>AND([1]Labo!#REF!,"AAAAAC7d9xU=")</f>
        <v>#REF!</v>
      </c>
      <c r="W25" t="e">
        <f>AND([1]Labo!#REF!,"AAAAAC7d9xY=")</f>
        <v>#REF!</v>
      </c>
      <c r="X25" t="e">
        <f>AND([1]Labo!#REF!,"AAAAAC7d9xc=")</f>
        <v>#REF!</v>
      </c>
      <c r="Y25" t="e">
        <f>AND([1]Labo!#REF!,"AAAAAC7d9xg=")</f>
        <v>#REF!</v>
      </c>
      <c r="Z25" t="e">
        <f>AND([1]Labo!I7,"AAAAAC7d9xk=")</f>
        <v>#VALUE!</v>
      </c>
      <c r="AA25" t="e">
        <f>AND([1]Labo!#REF!,"AAAAAC7d9xo=")</f>
        <v>#REF!</v>
      </c>
      <c r="AB25" t="e">
        <f>AND([1]Labo!#REF!,"AAAAAC7d9xs=")</f>
        <v>#REF!</v>
      </c>
      <c r="AC25" t="e">
        <f>AND([1]Labo!#REF!,"AAAAAC7d9xw=")</f>
        <v>#REF!</v>
      </c>
      <c r="AD25" t="e">
        <f>AND([1]Labo!#REF!,"AAAAAC7d9x0=")</f>
        <v>#REF!</v>
      </c>
      <c r="AE25" t="e">
        <f>AND([1]Labo!#REF!,"AAAAAC7d9x4=")</f>
        <v>#REF!</v>
      </c>
      <c r="AF25" t="e">
        <f>AND([1]Labo!#REF!,"AAAAAC7d9x8=")</f>
        <v>#REF!</v>
      </c>
      <c r="AG25" t="e">
        <f>AND([1]Labo!#REF!,"AAAAAC7d9yA=")</f>
        <v>#REF!</v>
      </c>
      <c r="AH25" t="e">
        <f>AND([1]Labo!#REF!,"AAAAAC7d9yE=")</f>
        <v>#REF!</v>
      </c>
      <c r="AI25" t="e">
        <f>AND([1]Labo!#REF!,"AAAAAC7d9yI=")</f>
        <v>#REF!</v>
      </c>
      <c r="AJ25" t="e">
        <f>AND([1]Labo!#REF!,"AAAAAC7d9yM=")</f>
        <v>#REF!</v>
      </c>
      <c r="AK25" t="e">
        <f>AND([1]Labo!#REF!,"AAAAAC7d9yQ=")</f>
        <v>#REF!</v>
      </c>
      <c r="AL25" t="e">
        <f>AND([1]Labo!I8,"AAAAAC7d9yU=")</f>
        <v>#VALUE!</v>
      </c>
      <c r="AM25" t="b">
        <f>AND([1]Labo!J5,"AAAAAC7d9yY=")</f>
        <v>1</v>
      </c>
      <c r="AN25" t="e">
        <f>AND([1]Labo!#REF!,"AAAAAC7d9yc=")</f>
        <v>#REF!</v>
      </c>
      <c r="AO25" t="e">
        <f>AND([1]Labo!#REF!,"AAAAAC7d9yg=")</f>
        <v>#REF!</v>
      </c>
      <c r="AP25" t="e">
        <f>AND([1]Labo!#REF!,"AAAAAC7d9yk=")</f>
        <v>#REF!</v>
      </c>
      <c r="AQ25" t="e">
        <f>AND([1]Labo!#REF!,"AAAAAC7d9yo=")</f>
        <v>#REF!</v>
      </c>
      <c r="AR25" t="e">
        <f>AND([1]Labo!#REF!,"AAAAAC7d9ys=")</f>
        <v>#REF!</v>
      </c>
      <c r="AS25" t="e">
        <f>AND([1]Labo!#REF!,"AAAAAC7d9yw=")</f>
        <v>#REF!</v>
      </c>
      <c r="AT25" t="e">
        <f>AND([1]Labo!#REF!,"AAAAAC7d9y0=")</f>
        <v>#REF!</v>
      </c>
      <c r="AU25" t="e">
        <f>AND([1]Labo!#REF!,"AAAAAC7d9y4=")</f>
        <v>#REF!</v>
      </c>
      <c r="AV25" t="e">
        <f>AND([1]Labo!#REF!,"AAAAAC7d9y8=")</f>
        <v>#REF!</v>
      </c>
      <c r="AW25" t="e">
        <f>AND([1]Labo!#REF!,"AAAAAC7d9zA=")</f>
        <v>#REF!</v>
      </c>
      <c r="AX25" t="e">
        <f>AND([1]Labo!I9,"AAAAAC7d9zE=")</f>
        <v>#VALUE!</v>
      </c>
      <c r="AY25" t="b">
        <f>AND([1]Labo!J6,"AAAAAC7d9zI=")</f>
        <v>1</v>
      </c>
      <c r="AZ25" t="e">
        <f>AND([1]Labo!K5,"AAAAAC7d9zM=")</f>
        <v>#VALUE!</v>
      </c>
      <c r="BA25" t="e">
        <f>AND([1]Labo!#REF!,"AAAAAC7d9zQ=")</f>
        <v>#REF!</v>
      </c>
      <c r="BB25" t="e">
        <f>AND([1]Labo!#REF!,"AAAAAC7d9zU=")</f>
        <v>#REF!</v>
      </c>
      <c r="BC25" t="e">
        <f>AND([1]Labo!#REF!,"AAAAAC7d9zY=")</f>
        <v>#REF!</v>
      </c>
      <c r="BD25" t="e">
        <f>AND([1]Labo!#REF!,"AAAAAC7d9zc=")</f>
        <v>#REF!</v>
      </c>
      <c r="BE25" t="e">
        <f>AND([1]Labo!#REF!,"AAAAAC7d9zg=")</f>
        <v>#REF!</v>
      </c>
      <c r="BF25" t="e">
        <f>AND([1]Labo!#REF!,"AAAAAC7d9zk=")</f>
        <v>#REF!</v>
      </c>
      <c r="BG25" t="e">
        <f>AND([1]Labo!#REF!,"AAAAAC7d9zo=")</f>
        <v>#REF!</v>
      </c>
      <c r="BH25" t="e">
        <f>AND([1]Labo!#REF!,"AAAAAC7d9zs=")</f>
        <v>#REF!</v>
      </c>
      <c r="BI25" t="e">
        <f>AND([1]Labo!#REF!,"AAAAAC7d9zw=")</f>
        <v>#REF!</v>
      </c>
      <c r="BJ25" t="e">
        <f>AND([1]Labo!I10,"AAAAAC7d9z0=")</f>
        <v>#VALUE!</v>
      </c>
      <c r="BK25" t="b">
        <f>AND([1]Labo!J7,"AAAAAC7d9z4=")</f>
        <v>1</v>
      </c>
      <c r="BL25" t="e">
        <f>AND([1]Labo!K7,"AAAAAC7d9z8=")</f>
        <v>#VALUE!</v>
      </c>
      <c r="BM25" t="e">
        <f>AND([1]Labo!#REF!,"AAAAAC7d90A=")</f>
        <v>#REF!</v>
      </c>
      <c r="BN25" t="e">
        <f>AND([1]Labo!#REF!,"AAAAAC7d90E=")</f>
        <v>#REF!</v>
      </c>
      <c r="BO25" t="e">
        <f>AND([1]Labo!#REF!,"AAAAAC7d90I=")</f>
        <v>#REF!</v>
      </c>
      <c r="BP25" t="e">
        <f>AND([1]Labo!#REF!,"AAAAAC7d90M=")</f>
        <v>#REF!</v>
      </c>
      <c r="BQ25" t="e">
        <f>AND([1]Labo!#REF!,"AAAAAC7d90Q=")</f>
        <v>#REF!</v>
      </c>
      <c r="BR25" t="e">
        <f>AND([1]Labo!#REF!,"AAAAAC7d90U=")</f>
        <v>#REF!</v>
      </c>
      <c r="BS25" t="e">
        <f>AND([1]Labo!#REF!,"AAAAAC7d90Y=")</f>
        <v>#REF!</v>
      </c>
      <c r="BT25" t="e">
        <f>AND([1]Labo!#REF!,"AAAAAC7d90c=")</f>
        <v>#REF!</v>
      </c>
      <c r="BU25" t="e">
        <f>AND([1]Labo!#REF!,"AAAAAC7d90g=")</f>
        <v>#REF!</v>
      </c>
      <c r="BV25" t="e">
        <f>AND([1]Labo!I11,"AAAAAC7d90k=")</f>
        <v>#VALUE!</v>
      </c>
      <c r="BW25" t="b">
        <f>AND([1]Labo!J8,"AAAAAC7d90o=")</f>
        <v>1</v>
      </c>
      <c r="BX25" t="e">
        <f>AND([1]Labo!K8,"AAAAAC7d90s=")</f>
        <v>#VALUE!</v>
      </c>
      <c r="BY25" t="e">
        <f>AND([1]Labo!#REF!,"AAAAAC7d90w=")</f>
        <v>#REF!</v>
      </c>
      <c r="BZ25" t="e">
        <f>AND([1]Labo!#REF!,"AAAAAC7d900=")</f>
        <v>#REF!</v>
      </c>
      <c r="CA25" t="e">
        <f>AND([1]Labo!#REF!,"AAAAAC7d904=")</f>
        <v>#REF!</v>
      </c>
      <c r="CB25" t="e">
        <f>AND([1]Labo!#REF!,"AAAAAC7d908=")</f>
        <v>#REF!</v>
      </c>
      <c r="CC25" t="e">
        <f>AND([1]Labo!#REF!,"AAAAAC7d91A=")</f>
        <v>#REF!</v>
      </c>
      <c r="CD25" t="e">
        <f>AND([1]Labo!#REF!,"AAAAAC7d91E=")</f>
        <v>#REF!</v>
      </c>
      <c r="CE25" t="e">
        <f>AND([1]Labo!#REF!,"AAAAAC7d91I=")</f>
        <v>#REF!</v>
      </c>
      <c r="CF25" t="e">
        <f>AND([1]Labo!#REF!,"AAAAAC7d91M=")</f>
        <v>#REF!</v>
      </c>
      <c r="CG25" t="e">
        <f>AND([1]Labo!#REF!,"AAAAAC7d91Q=")</f>
        <v>#REF!</v>
      </c>
      <c r="CH25" t="e">
        <f>AND([1]Labo!I12,"AAAAAC7d91U=")</f>
        <v>#VALUE!</v>
      </c>
      <c r="CI25" t="b">
        <f>AND([1]Labo!J9,"AAAAAC7d91Y=")</f>
        <v>1</v>
      </c>
      <c r="CJ25" t="e">
        <f>AND([1]Labo!K9,"AAAAAC7d91c=")</f>
        <v>#VALUE!</v>
      </c>
      <c r="CK25" t="e">
        <f>AND([1]Labo!#REF!,"AAAAAC7d91g=")</f>
        <v>#REF!</v>
      </c>
      <c r="CL25" t="e">
        <f>AND([1]Labo!#REF!,"AAAAAC7d91k=")</f>
        <v>#REF!</v>
      </c>
      <c r="CM25" t="e">
        <f>AND([1]Labo!#REF!,"AAAAAC7d91o=")</f>
        <v>#REF!</v>
      </c>
      <c r="CN25" t="e">
        <f>AND([1]Labo!#REF!,"AAAAAC7d91s=")</f>
        <v>#REF!</v>
      </c>
      <c r="CO25" t="e">
        <f>AND([1]Labo!#REF!,"AAAAAC7d91w=")</f>
        <v>#REF!</v>
      </c>
      <c r="CP25" t="e">
        <f>AND([1]Labo!#REF!,"AAAAAC7d910=")</f>
        <v>#REF!</v>
      </c>
      <c r="CQ25" t="e">
        <f>AND([1]Labo!#REF!,"AAAAAC7d914=")</f>
        <v>#REF!</v>
      </c>
      <c r="CR25" t="e">
        <f>AND([1]Labo!#REF!,"AAAAAC7d918=")</f>
        <v>#REF!</v>
      </c>
      <c r="CS25" t="e">
        <f>AND([1]Labo!#REF!,"AAAAAC7d92A=")</f>
        <v>#REF!</v>
      </c>
      <c r="CT25" t="e">
        <f>AND([1]Labo!I13,"AAAAAC7d92E=")</f>
        <v>#VALUE!</v>
      </c>
      <c r="CU25" t="b">
        <f>AND([1]Labo!J10,"AAAAAC7d92I=")</f>
        <v>1</v>
      </c>
      <c r="CV25" t="e">
        <f>AND([1]Labo!K10,"AAAAAC7d92M=")</f>
        <v>#VALUE!</v>
      </c>
      <c r="CW25" t="e">
        <f>AND([1]Labo!#REF!,"AAAAAC7d92Q=")</f>
        <v>#REF!</v>
      </c>
      <c r="CX25" t="e">
        <f>AND([1]Labo!#REF!,"AAAAAC7d92U=")</f>
        <v>#REF!</v>
      </c>
      <c r="CY25" t="e">
        <f>AND([1]Labo!#REF!,"AAAAAC7d92Y=")</f>
        <v>#REF!</v>
      </c>
      <c r="CZ25" t="e">
        <f>AND([1]Labo!#REF!,"AAAAAC7d92c=")</f>
        <v>#REF!</v>
      </c>
      <c r="DA25" t="e">
        <f>AND([1]Labo!#REF!,"AAAAAC7d92g=")</f>
        <v>#REF!</v>
      </c>
      <c r="DB25" t="e">
        <f>AND([1]Labo!#REF!,"AAAAAC7d92k=")</f>
        <v>#REF!</v>
      </c>
      <c r="DC25" t="e">
        <f>AND([1]Labo!#REF!,"AAAAAC7d92o=")</f>
        <v>#REF!</v>
      </c>
      <c r="DD25" t="e">
        <f>AND([1]Labo!#REF!,"AAAAAC7d92s=")</f>
        <v>#REF!</v>
      </c>
      <c r="DE25" t="e">
        <f>AND([1]Labo!#REF!,"AAAAAC7d92w=")</f>
        <v>#REF!</v>
      </c>
      <c r="DF25" t="e">
        <f>AND([1]Labo!I14,"AAAAAC7d920=")</f>
        <v>#VALUE!</v>
      </c>
      <c r="DG25" t="e">
        <f>AND([1]Labo!#REF!,"AAAAAC7d924=")</f>
        <v>#REF!</v>
      </c>
      <c r="DH25" t="e">
        <f>AND([1]Labo!#REF!,"AAAAAC7d928=")</f>
        <v>#REF!</v>
      </c>
      <c r="DI25" t="e">
        <f>AND([1]Labo!#REF!,"AAAAAC7d93A=")</f>
        <v>#REF!</v>
      </c>
      <c r="DJ25" t="e">
        <f>AND([1]Labo!#REF!,"AAAAAC7d93E=")</f>
        <v>#REF!</v>
      </c>
      <c r="DK25" t="e">
        <f>AND([1]Labo!#REF!,"AAAAAC7d93I=")</f>
        <v>#REF!</v>
      </c>
      <c r="DL25" t="e">
        <f>AND([1]Labo!#REF!,"AAAAAC7d93M=")</f>
        <v>#REF!</v>
      </c>
      <c r="DM25" t="e">
        <f>AND([1]Labo!#REF!,"AAAAAC7d93Q=")</f>
        <v>#REF!</v>
      </c>
      <c r="DN25" t="e">
        <f>AND([1]Labo!#REF!,"AAAAAC7d93U=")</f>
        <v>#REF!</v>
      </c>
      <c r="DO25" t="e">
        <f>AND([1]Labo!#REF!,"AAAAAC7d93Y=")</f>
        <v>#REF!</v>
      </c>
      <c r="DP25" t="e">
        <f>AND([1]Labo!#REF!,"AAAAAC7d93c=")</f>
        <v>#REF!</v>
      </c>
      <c r="DQ25" t="e">
        <f>AND([1]Labo!#REF!,"AAAAAC7d93g=")</f>
        <v>#REF!</v>
      </c>
      <c r="DR25" t="e">
        <f>AND([1]Labo!I15,"AAAAAC7d93k=")</f>
        <v>#VALUE!</v>
      </c>
      <c r="DS25" t="b">
        <f>AND([1]Labo!J11,"AAAAAC7d93o=")</f>
        <v>1</v>
      </c>
      <c r="DT25" t="e">
        <f>AND([1]Labo!#REF!,"AAAAAC7d93s=")</f>
        <v>#REF!</v>
      </c>
      <c r="DU25" t="e">
        <f>AND([1]Labo!#REF!,"AAAAAC7d93w=")</f>
        <v>#REF!</v>
      </c>
      <c r="DV25" t="e">
        <f>AND([1]Labo!#REF!,"AAAAAC7d930=")</f>
        <v>#REF!</v>
      </c>
      <c r="DW25" t="e">
        <f>AND([1]Labo!#REF!,"AAAAAC7d934=")</f>
        <v>#REF!</v>
      </c>
      <c r="DX25" t="e">
        <f>AND([1]Labo!#REF!,"AAAAAC7d938=")</f>
        <v>#REF!</v>
      </c>
      <c r="DY25" t="e">
        <f>AND([1]Labo!#REF!,"AAAAAC7d94A=")</f>
        <v>#REF!</v>
      </c>
      <c r="DZ25" t="e">
        <f>AND([1]Labo!#REF!,"AAAAAC7d94E=")</f>
        <v>#REF!</v>
      </c>
      <c r="EA25" t="e">
        <f>AND([1]Labo!#REF!,"AAAAAC7d94I=")</f>
        <v>#REF!</v>
      </c>
      <c r="EB25" t="e">
        <f>AND([1]Labo!#REF!,"AAAAAC7d94M=")</f>
        <v>#REF!</v>
      </c>
      <c r="EC25" t="e">
        <f>AND([1]Labo!#REF!,"AAAAAC7d94Q=")</f>
        <v>#REF!</v>
      </c>
      <c r="ED25" t="e">
        <f>AND([1]Labo!I16,"AAAAAC7d94U=")</f>
        <v>#VALUE!</v>
      </c>
      <c r="EE25" t="b">
        <f>AND([1]Labo!J12,"AAAAAC7d94Y=")</f>
        <v>1</v>
      </c>
      <c r="EF25" t="e">
        <f>AND([1]Labo!K11,"AAAAAC7d94c=")</f>
        <v>#VALUE!</v>
      </c>
      <c r="EG25" t="e">
        <f>AND([1]Labo!#REF!,"AAAAAC7d94g=")</f>
        <v>#REF!</v>
      </c>
      <c r="EH25" t="e">
        <f>AND([1]Labo!#REF!,"AAAAAC7d94k=")</f>
        <v>#REF!</v>
      </c>
      <c r="EI25" t="e">
        <f>AND([1]Labo!#REF!,"AAAAAC7d94o=")</f>
        <v>#REF!</v>
      </c>
      <c r="EJ25" t="e">
        <f>AND([1]Labo!#REF!,"AAAAAC7d94s=")</f>
        <v>#REF!</v>
      </c>
      <c r="EK25" t="e">
        <f>AND([1]Labo!#REF!,"AAAAAC7d94w=")</f>
        <v>#REF!</v>
      </c>
      <c r="EL25" t="e">
        <f>AND([1]Labo!#REF!,"AAAAAC7d940=")</f>
        <v>#REF!</v>
      </c>
      <c r="EM25" t="e">
        <f>AND([1]Labo!#REF!,"AAAAAC7d944=")</f>
        <v>#REF!</v>
      </c>
      <c r="EN25" t="e">
        <f>AND([1]Labo!#REF!,"AAAAAC7d948=")</f>
        <v>#REF!</v>
      </c>
      <c r="EO25" t="e">
        <f>AND([1]Labo!#REF!,"AAAAAC7d95A=")</f>
        <v>#REF!</v>
      </c>
      <c r="EP25" t="e">
        <f>AND([1]Labo!I17,"AAAAAC7d95E=")</f>
        <v>#VALUE!</v>
      </c>
      <c r="EQ25" t="b">
        <f>AND([1]Labo!J13,"AAAAAC7d95I=")</f>
        <v>1</v>
      </c>
      <c r="ER25" t="e">
        <f>AND([1]Labo!K12,"AAAAAC7d95M=")</f>
        <v>#VALUE!</v>
      </c>
      <c r="ES25" t="e">
        <f>AND([1]Labo!#REF!,"AAAAAC7d95Q=")</f>
        <v>#REF!</v>
      </c>
      <c r="ET25" t="e">
        <f>AND([1]Labo!#REF!,"AAAAAC7d95U=")</f>
        <v>#REF!</v>
      </c>
      <c r="EU25" t="e">
        <f>AND([1]Labo!#REF!,"AAAAAC7d95Y=")</f>
        <v>#REF!</v>
      </c>
      <c r="EV25" t="e">
        <f>AND([1]Labo!#REF!,"AAAAAC7d95c=")</f>
        <v>#REF!</v>
      </c>
      <c r="EW25" t="e">
        <f>AND([1]Labo!#REF!,"AAAAAC7d95g=")</f>
        <v>#REF!</v>
      </c>
      <c r="EX25" t="e">
        <f>AND([1]Labo!#REF!,"AAAAAC7d95k=")</f>
        <v>#REF!</v>
      </c>
      <c r="EY25" t="e">
        <f>AND([1]Labo!#REF!,"AAAAAC7d95o=")</f>
        <v>#REF!</v>
      </c>
      <c r="EZ25" t="e">
        <f>AND([1]Labo!#REF!,"AAAAAC7d95s=")</f>
        <v>#REF!</v>
      </c>
      <c r="FA25" t="e">
        <f>AND([1]Labo!#REF!,"AAAAAC7d95w=")</f>
        <v>#REF!</v>
      </c>
      <c r="FB25" t="e">
        <f>AND([1]Labo!I18,"AAAAAC7d950=")</f>
        <v>#VALUE!</v>
      </c>
      <c r="FC25" t="b">
        <f>AND([1]Labo!J14,"AAAAAC7d954=")</f>
        <v>1</v>
      </c>
      <c r="FD25" t="e">
        <f>AND([1]Labo!K13,"AAAAAC7d958=")</f>
        <v>#VALUE!</v>
      </c>
      <c r="FE25" t="e">
        <f>AND([1]Labo!#REF!,"AAAAAC7d96A=")</f>
        <v>#REF!</v>
      </c>
      <c r="FF25" t="e">
        <f>AND([1]Labo!#REF!,"AAAAAC7d96E=")</f>
        <v>#REF!</v>
      </c>
      <c r="FG25" t="e">
        <f>AND([1]Labo!#REF!,"AAAAAC7d96I=")</f>
        <v>#REF!</v>
      </c>
      <c r="FH25" t="e">
        <f>AND([1]Labo!#REF!,"AAAAAC7d96M=")</f>
        <v>#REF!</v>
      </c>
      <c r="FI25" t="e">
        <f>AND([1]Labo!#REF!,"AAAAAC7d96Q=")</f>
        <v>#REF!</v>
      </c>
      <c r="FJ25" t="e">
        <f>AND([1]Labo!#REF!,"AAAAAC7d96U=")</f>
        <v>#REF!</v>
      </c>
      <c r="FK25" t="e">
        <f>AND([1]Labo!#REF!,"AAAAAC7d96Y=")</f>
        <v>#REF!</v>
      </c>
      <c r="FL25" t="e">
        <f>AND([1]Labo!#REF!,"AAAAAC7d96c=")</f>
        <v>#REF!</v>
      </c>
      <c r="FM25" t="e">
        <f>AND([1]Labo!#REF!,"AAAAAC7d96g=")</f>
        <v>#REF!</v>
      </c>
      <c r="FN25" t="e">
        <f>AND([1]Labo!I19,"AAAAAC7d96k=")</f>
        <v>#VALUE!</v>
      </c>
      <c r="FO25" t="e">
        <f>AND([1]Labo!#REF!,"AAAAAC7d96o=")</f>
        <v>#REF!</v>
      </c>
      <c r="FP25" t="e">
        <f>AND([1]Labo!K14,"AAAAAC7d96s=")</f>
        <v>#VALUE!</v>
      </c>
      <c r="FQ25" t="e">
        <f>AND([1]Labo!#REF!,"AAAAAC7d96w=")</f>
        <v>#REF!</v>
      </c>
      <c r="FR25" t="e">
        <f>AND([1]Labo!#REF!,"AAAAAC7d960=")</f>
        <v>#REF!</v>
      </c>
      <c r="FS25" t="e">
        <f>AND([1]Labo!#REF!,"AAAAAC7d964=")</f>
        <v>#REF!</v>
      </c>
      <c r="FT25" t="e">
        <f>AND([1]Labo!#REF!,"AAAAAC7d968=")</f>
        <v>#REF!</v>
      </c>
      <c r="FU25" t="e">
        <f>AND([1]Labo!#REF!,"AAAAAC7d97A=")</f>
        <v>#REF!</v>
      </c>
      <c r="FV25" t="e">
        <f>AND([1]Labo!#REF!,"AAAAAC7d97E=")</f>
        <v>#REF!</v>
      </c>
      <c r="FW25" t="e">
        <f>AND([1]Labo!#REF!,"AAAAAC7d97I=")</f>
        <v>#REF!</v>
      </c>
      <c r="FX25" t="e">
        <f>AND([1]Labo!#REF!,"AAAAAC7d97M=")</f>
        <v>#REF!</v>
      </c>
      <c r="FY25" t="e">
        <f>AND([1]Labo!#REF!,"AAAAAC7d97Q=")</f>
        <v>#REF!</v>
      </c>
      <c r="FZ25" t="e">
        <f>AND([1]Labo!I20,"AAAAAC7d97U=")</f>
        <v>#VALUE!</v>
      </c>
      <c r="GA25" t="e">
        <f>AND([1]Labo!#REF!,"AAAAAC7d97Y=")</f>
        <v>#REF!</v>
      </c>
      <c r="GB25" t="e">
        <f>AND([1]Labo!#REF!,"AAAAAC7d97c=")</f>
        <v>#REF!</v>
      </c>
      <c r="GC25" t="e">
        <f>AND([1]Labo!#REF!,"AAAAAC7d97g=")</f>
        <v>#REF!</v>
      </c>
      <c r="GD25" t="e">
        <f>AND([1]Labo!#REF!,"AAAAAC7d97k=")</f>
        <v>#REF!</v>
      </c>
      <c r="GE25" t="e">
        <f>AND([1]Labo!#REF!,"AAAAAC7d97o=")</f>
        <v>#REF!</v>
      </c>
      <c r="GF25" t="e">
        <f>AND([1]Labo!#REF!,"AAAAAC7d97s=")</f>
        <v>#REF!</v>
      </c>
      <c r="GG25" t="e">
        <f>AND([1]Labo!#REF!,"AAAAAC7d97w=")</f>
        <v>#REF!</v>
      </c>
      <c r="GH25" t="e">
        <f>AND([1]Labo!#REF!,"AAAAAC7d970=")</f>
        <v>#REF!</v>
      </c>
      <c r="GI25" t="e">
        <f>AND([1]Labo!#REF!,"AAAAAC7d974=")</f>
        <v>#REF!</v>
      </c>
      <c r="GJ25" t="e">
        <f>AND([1]Labo!#REF!,"AAAAAC7d978=")</f>
        <v>#REF!</v>
      </c>
      <c r="GK25" t="e">
        <f>AND([1]Labo!#REF!,"AAAAAC7d98A=")</f>
        <v>#REF!</v>
      </c>
      <c r="GL25" t="e">
        <f>AND([1]Labo!I21,"AAAAAC7d98E=")</f>
        <v>#VALUE!</v>
      </c>
      <c r="GM25" t="e">
        <f>AND([1]Labo!#REF!,"AAAAAC7d98I=")</f>
        <v>#REF!</v>
      </c>
      <c r="GN25" t="e">
        <f>AND([1]Labo!#REF!,"AAAAAC7d98M=")</f>
        <v>#REF!</v>
      </c>
      <c r="GO25" t="e">
        <f>IF([1]Labo!#REF!,"AAAAAC7d98Q=",0)</f>
        <v>#REF!</v>
      </c>
      <c r="GP25" t="e">
        <f>IF([1]Labo!#REF!,"AAAAAC7d98U=",0)</f>
        <v>#REF!</v>
      </c>
      <c r="GQ25" t="e">
        <f>IF([1]Labo!#REF!,"AAAAAC7d98Y=",0)</f>
        <v>#REF!</v>
      </c>
      <c r="GR25" t="e">
        <f>IF([1]Labo!#REF!,"AAAAAC7d98c=",0)</f>
        <v>#REF!</v>
      </c>
      <c r="GS25" t="e">
        <f>IF([1]Labo!#REF!,"AAAAAC7d98g=",0)</f>
        <v>#REF!</v>
      </c>
      <c r="GT25" t="e">
        <f>IF([1]Labo!#REF!,"AAAAAC7d98k=",0)</f>
        <v>#REF!</v>
      </c>
      <c r="GU25" t="e">
        <f>IF([1]Labo!#REF!,"AAAAAC7d98o=",0)</f>
        <v>#REF!</v>
      </c>
      <c r="GV25" t="e">
        <f>IF([1]Labo!#REF!,"AAAAAC7d98s=",0)</f>
        <v>#REF!</v>
      </c>
      <c r="GW25" t="e">
        <f>IF([1]Labo!#REF!,"AAAAAC7d98w=",0)</f>
        <v>#REF!</v>
      </c>
      <c r="GX25">
        <f>IF([1]Labo!I:I,"AAAAAC7d980=",0)</f>
        <v>0</v>
      </c>
      <c r="GY25" t="str">
        <f>IF([1]Labo!J:J,"AAAAAC7d984=",0)</f>
        <v>AAAAAC7d984=</v>
      </c>
      <c r="GZ25" t="e">
        <f>IF([1]Labo!K:K,"AAAAAC7d988=",0)</f>
        <v>#VALUE!</v>
      </c>
    </row>
    <row r="26" spans="1:256">
      <c r="A26" t="e">
        <f>AND([1]Labo!#REF!,"AAAAADZbdgA=")</f>
        <v>#REF!</v>
      </c>
      <c r="B26" t="e">
        <f>AND([1]Labo!#REF!,"AAAAADZbdgE=")</f>
        <v>#REF!</v>
      </c>
      <c r="C26" t="e">
        <f>AND([1]Labo!#REF!,"AAAAADZbdgI=")</f>
        <v>#REF!</v>
      </c>
      <c r="D26" t="e">
        <f>AND([1]Labo!#REF!,"AAAAADZbdgM=")</f>
        <v>#REF!</v>
      </c>
      <c r="E26" t="e">
        <f>AND([1]Labo!#REF!,"AAAAADZbdgQ=")</f>
        <v>#REF!</v>
      </c>
      <c r="F26" t="e">
        <f>AND([1]Labo!#REF!,"AAAAADZbdgU=")</f>
        <v>#REF!</v>
      </c>
      <c r="G26" t="e">
        <f>AND([1]Labo!#REF!,"AAAAADZbdgY=")</f>
        <v>#REF!</v>
      </c>
      <c r="H26" t="e">
        <f>AND([1]Labo!#REF!,"AAAAADZbdgc=")</f>
        <v>#REF!</v>
      </c>
      <c r="I26" t="e">
        <f>AND([1]Labo!#REF!,"AAAAADZbdgg=")</f>
        <v>#REF!</v>
      </c>
      <c r="J26" t="e">
        <f>AND([1]Labo!#REF!,"AAAAADZbdgk=")</f>
        <v>#REF!</v>
      </c>
      <c r="K26" t="e">
        <f>AND([1]Labo!#REF!,"AAAAADZbdgo=")</f>
        <v>#REF!</v>
      </c>
      <c r="L26" t="e">
        <f>AND([1]Labo!#REF!,"AAAAADZbdgs=")</f>
        <v>#REF!</v>
      </c>
      <c r="M26" t="e">
        <f>AND([1]Labo!#REF!,"AAAAADZbdgw=")</f>
        <v>#REF!</v>
      </c>
      <c r="N26" t="e">
        <f>AND([1]Labo!#REF!,"AAAAADZbdg0=")</f>
        <v>#REF!</v>
      </c>
      <c r="O26" t="e">
        <f>AND([1]Labo!#REF!,"AAAAADZbdg4=")</f>
        <v>#REF!</v>
      </c>
      <c r="P26" t="e">
        <f>AND([1]Labo!#REF!,"AAAAADZbdg8=")</f>
        <v>#REF!</v>
      </c>
      <c r="Q26" t="e">
        <f>AND([1]Labo!#REF!,"AAAAADZbdhA=")</f>
        <v>#REF!</v>
      </c>
      <c r="R26" t="e">
        <f>AND([1]Labo!#REF!,"AAAAADZbdhE=")</f>
        <v>#REF!</v>
      </c>
      <c r="S26" t="e">
        <f>AND([1]Labo!#REF!,"AAAAADZbdhI=")</f>
        <v>#REF!</v>
      </c>
      <c r="T26" t="e">
        <f>AND([1]Labo!#REF!,"AAAAADZbdhM=")</f>
        <v>#REF!</v>
      </c>
      <c r="U26" t="e">
        <f>AND([1]Labo!#REF!,"AAAAADZbdhQ=")</f>
        <v>#REF!</v>
      </c>
      <c r="V26" t="e">
        <f>AND([1]Labo!#REF!,"AAAAADZbdhU=")</f>
        <v>#REF!</v>
      </c>
      <c r="W26" t="e">
        <f>AND([1]Labo!#REF!,"AAAAADZbdhY=")</f>
        <v>#REF!</v>
      </c>
      <c r="X26" t="e">
        <f>AND([1]Labo!#REF!,"AAAAADZbdhc=")</f>
        <v>#REF!</v>
      </c>
      <c r="Y26" t="e">
        <f>AND([1]Labo!#REF!,"AAAAADZbdhg=")</f>
        <v>#REF!</v>
      </c>
      <c r="Z26" t="e">
        <f>AND([1]Labo!#REF!,"AAAAADZbdhk=")</f>
        <v>#REF!</v>
      </c>
      <c r="AA26" t="e">
        <f>AND([1]Labo!#REF!,"AAAAADZbdho=")</f>
        <v>#REF!</v>
      </c>
      <c r="AB26" t="e">
        <f>AND([1]Labo!#REF!,"AAAAADZbdhs=")</f>
        <v>#REF!</v>
      </c>
      <c r="AC26" t="e">
        <f>AND([1]Labo!#REF!,"AAAAADZbdhw=")</f>
        <v>#REF!</v>
      </c>
      <c r="AD26" t="e">
        <f>AND([1]Labo!#REF!,"AAAAADZbdh0=")</f>
        <v>#REF!</v>
      </c>
      <c r="AE26" t="e">
        <f>AND([1]Labo!#REF!,"AAAAADZbdh4=")</f>
        <v>#REF!</v>
      </c>
      <c r="AF26" t="e">
        <f>AND([1]Labo!#REF!,"AAAAADZbdh8=")</f>
        <v>#REF!</v>
      </c>
      <c r="AG26" t="e">
        <f>AND([1]Labo!#REF!,"AAAAADZbdiA=")</f>
        <v>#REF!</v>
      </c>
      <c r="AH26" t="e">
        <f>AND([1]Labo!#REF!,"AAAAADZbdiE=")</f>
        <v>#REF!</v>
      </c>
      <c r="AI26" t="e">
        <f>AND([1]Labo!#REF!,"AAAAADZbdiI=")</f>
        <v>#REF!</v>
      </c>
      <c r="AJ26" t="e">
        <f>AND([1]Labo!#REF!,"AAAAADZbdiM=")</f>
        <v>#REF!</v>
      </c>
      <c r="AK26" t="e">
        <f>AND([1]Labo!#REF!,"AAAAADZbdiQ=")</f>
        <v>#REF!</v>
      </c>
      <c r="AL26" t="e">
        <f>AND([1]Labo!#REF!,"AAAAADZbdiU=")</f>
        <v>#REF!</v>
      </c>
      <c r="AM26" t="e">
        <f>AND([1]Labo!#REF!,"AAAAADZbdiY=")</f>
        <v>#REF!</v>
      </c>
      <c r="AN26" t="e">
        <f>AND([1]Labo!#REF!,"AAAAADZbdic=")</f>
        <v>#REF!</v>
      </c>
      <c r="AO26" t="e">
        <f>AND([1]Labo!#REF!,"AAAAADZbdig=")</f>
        <v>#REF!</v>
      </c>
      <c r="AP26" t="e">
        <f>AND([1]Labo!#REF!,"AAAAADZbdik=")</f>
        <v>#REF!</v>
      </c>
      <c r="AQ26" t="e">
        <f>AND([1]Labo!#REF!,"AAAAADZbdio=")</f>
        <v>#REF!</v>
      </c>
      <c r="AR26" t="e">
        <f>AND([1]Labo!#REF!,"AAAAADZbdis=")</f>
        <v>#REF!</v>
      </c>
      <c r="AS26" t="e">
        <f>AND([1]Labo!#REF!,"AAAAADZbdiw=")</f>
        <v>#REF!</v>
      </c>
      <c r="AT26" t="e">
        <f>AND([1]Labo!#REF!,"AAAAADZbdi0=")</f>
        <v>#REF!</v>
      </c>
      <c r="AU26" t="e">
        <f>AND([1]Labo!#REF!,"AAAAADZbdi4=")</f>
        <v>#REF!</v>
      </c>
      <c r="AV26" t="e">
        <f>AND([1]Labo!#REF!,"AAAAADZbdi8=")</f>
        <v>#REF!</v>
      </c>
      <c r="AW26" t="e">
        <f>AND([1]Labo!#REF!,"AAAAADZbdjA=")</f>
        <v>#REF!</v>
      </c>
      <c r="AX26" t="e">
        <f>AND([1]Labo!#REF!,"AAAAADZbdjE=")</f>
        <v>#REF!</v>
      </c>
      <c r="AY26" t="e">
        <f>AND([1]Labo!#REF!,"AAAAADZbdjI=")</f>
        <v>#REF!</v>
      </c>
      <c r="AZ26" t="e">
        <f>AND([1]Labo!#REF!,"AAAAADZbdjM=")</f>
        <v>#REF!</v>
      </c>
      <c r="BA26" t="e">
        <f>AND([1]Labo!#REF!,"AAAAADZbdjQ=")</f>
        <v>#REF!</v>
      </c>
      <c r="BB26" t="e">
        <f>AND([1]Labo!#REF!,"AAAAADZbdjU=")</f>
        <v>#REF!</v>
      </c>
      <c r="BC26" t="e">
        <f>AND([1]Labo!#REF!,"AAAAADZbdjY=")</f>
        <v>#REF!</v>
      </c>
      <c r="BD26" t="e">
        <f>AND([1]Labo!#REF!,"AAAAADZbdjc=")</f>
        <v>#REF!</v>
      </c>
      <c r="BE26" t="e">
        <f>AND([1]Labo!#REF!,"AAAAADZbdjg=")</f>
        <v>#REF!</v>
      </c>
      <c r="BF26" t="e">
        <f>AND([1]Labo!#REF!,"AAAAADZbdjk=")</f>
        <v>#REF!</v>
      </c>
      <c r="BG26" t="e">
        <f>AND([1]Labo!#REF!,"AAAAADZbdjo=")</f>
        <v>#REF!</v>
      </c>
      <c r="BH26" t="e">
        <f>AND([1]Labo!#REF!,"AAAAADZbdjs=")</f>
        <v>#REF!</v>
      </c>
      <c r="BI26" t="e">
        <f>AND([1]Labo!#REF!,"AAAAADZbdjw=")</f>
        <v>#REF!</v>
      </c>
      <c r="BJ26" t="e">
        <f>AND([1]Labo!#REF!,"AAAAADZbdj0=")</f>
        <v>#REF!</v>
      </c>
      <c r="BK26" t="e">
        <f>AND([1]Labo!#REF!,"AAAAADZbdj4=")</f>
        <v>#REF!</v>
      </c>
      <c r="BL26" t="e">
        <f>AND([1]Labo!I22,"AAAAADZbdj8=")</f>
        <v>#VALUE!</v>
      </c>
      <c r="BM26" t="b">
        <f>AND([1]Labo!J15,"AAAAADZbdkA=")</f>
        <v>1</v>
      </c>
      <c r="BN26" t="e">
        <f>AND([1]Labo!K15,"AAAAADZbdkE=")</f>
        <v>#VALUE!</v>
      </c>
      <c r="BO26" t="e">
        <f>AND([1]Labo!#REF!,"AAAAADZbdkI=")</f>
        <v>#REF!</v>
      </c>
      <c r="BP26" t="e">
        <f>AND([1]Labo!#REF!,"AAAAADZbdkM=")</f>
        <v>#REF!</v>
      </c>
      <c r="BQ26" t="e">
        <f>AND([1]Labo!#REF!,"AAAAADZbdkQ=")</f>
        <v>#REF!</v>
      </c>
      <c r="BR26" t="e">
        <f>AND([1]Labo!I23,"AAAAADZbdkU=")</f>
        <v>#VALUE!</v>
      </c>
      <c r="BS26" t="e">
        <f>AND([1]Labo!#REF!,"AAAAADZbdkY=")</f>
        <v>#REF!</v>
      </c>
      <c r="BT26" t="e">
        <f>AND([1]Labo!#REF!,"AAAAADZbdkc=")</f>
        <v>#REF!</v>
      </c>
      <c r="BU26" t="e">
        <f>AND([1]Labo!#REF!,"AAAAADZbdkg=")</f>
        <v>#REF!</v>
      </c>
      <c r="BV26" t="e">
        <f>AND([1]Labo!#REF!,"AAAAADZbdkk=")</f>
        <v>#REF!</v>
      </c>
      <c r="BW26" t="e">
        <f>AND([1]Labo!#REF!,"AAAAADZbdko=")</f>
        <v>#REF!</v>
      </c>
      <c r="BX26" t="b">
        <f>AND([1]Labo!M23,"AAAAADZbdks=")</f>
        <v>1</v>
      </c>
      <c r="BY26" t="e">
        <f>AND([1]Labo!N23,"AAAAADZbdkw=")</f>
        <v>#VALUE!</v>
      </c>
      <c r="BZ26" t="e">
        <f>AND([1]Labo!I24,"AAAAADZbdk0=")</f>
        <v>#VALUE!</v>
      </c>
      <c r="CA26" t="e">
        <f>AND([1]Labo!#REF!,"AAAAADZbdk4=")</f>
        <v>#REF!</v>
      </c>
      <c r="CB26" t="e">
        <f>AND([1]Labo!#REF!,"AAAAADZbdk8=")</f>
        <v>#REF!</v>
      </c>
      <c r="CC26" t="e">
        <f>AND([1]Labo!#REF!,"AAAAADZbdlA=")</f>
        <v>#REF!</v>
      </c>
      <c r="CD26" t="e">
        <f>AND([1]Labo!#REF!,"AAAAADZbdlE=")</f>
        <v>#REF!</v>
      </c>
      <c r="CE26" t="e">
        <f>AND([1]Labo!#REF!,"AAAAADZbdlI=")</f>
        <v>#REF!</v>
      </c>
      <c r="CF26" t="b">
        <f>AND([1]Labo!M21,"AAAAADZbdlM=")</f>
        <v>1</v>
      </c>
      <c r="CG26" t="e">
        <f>AND([1]Labo!N21,"AAAAADZbdlQ=")</f>
        <v>#VALUE!</v>
      </c>
      <c r="CH26" t="e">
        <f>AND([1]Labo!I25,"AAAAADZbdlU=")</f>
        <v>#VALUE!</v>
      </c>
      <c r="CI26" t="b">
        <f>AND([1]Labo!J18,"AAAAADZbdlY=")</f>
        <v>1</v>
      </c>
      <c r="CJ26" t="e">
        <f>AND([1]Labo!K18,"AAAAADZbdlc=")</f>
        <v>#VALUE!</v>
      </c>
      <c r="CK26" t="e">
        <f>AND([1]Labo!#REF!,"AAAAADZbdlg=")</f>
        <v>#REF!</v>
      </c>
      <c r="CL26" t="e">
        <f>AND([1]Labo!#REF!,"AAAAADZbdlk=")</f>
        <v>#REF!</v>
      </c>
      <c r="CM26" t="e">
        <f>AND([1]Labo!#REF!,"AAAAADZbdlo=")</f>
        <v>#REF!</v>
      </c>
      <c r="CN26" t="b">
        <f>AND([1]Labo!M19,"AAAAADZbdls=")</f>
        <v>1</v>
      </c>
      <c r="CO26" t="e">
        <f>AND([1]Labo!N19,"AAAAADZbdlw=")</f>
        <v>#VALUE!</v>
      </c>
      <c r="CP26" t="e">
        <f>AND([1]Labo!I26,"AAAAADZbdl0=")</f>
        <v>#VALUE!</v>
      </c>
      <c r="CQ26" t="b">
        <f>AND([1]Labo!J19,"AAAAADZbdl4=")</f>
        <v>1</v>
      </c>
      <c r="CR26" t="e">
        <f>AND([1]Labo!K19,"AAAAADZbdl8=")</f>
        <v>#VALUE!</v>
      </c>
      <c r="CS26" t="e">
        <f>AND([1]Labo!#REF!,"AAAAADZbdmA=")</f>
        <v>#REF!</v>
      </c>
      <c r="CT26" t="e">
        <f>AND([1]Labo!#REF!,"AAAAADZbdmE=")</f>
        <v>#REF!</v>
      </c>
      <c r="CU26" t="e">
        <f>AND([1]Labo!#REF!,"AAAAADZbdmI=")</f>
        <v>#REF!</v>
      </c>
      <c r="CV26" t="e">
        <f>IF([1]Labo!#REF!,"AAAAADZbdmM=",0)</f>
        <v>#REF!</v>
      </c>
      <c r="CW26" t="e">
        <f>IF([1]Labo!#REF!,"AAAAADZbdmQ=",0)</f>
        <v>#REF!</v>
      </c>
      <c r="CX26" t="e">
        <f>IF([1]Labo!#REF!,"AAAAADZbdmU=",0)</f>
        <v>#REF!</v>
      </c>
    </row>
    <row r="27" spans="1:256">
      <c r="A27" t="e">
        <f>AND(#REF!,"AAAAAH/33wA=")</f>
        <v>#REF!</v>
      </c>
      <c r="B27" t="e">
        <f>AND(#REF!,"AAAAAH/33wE=")</f>
        <v>#REF!</v>
      </c>
      <c r="C27" t="e">
        <f>AND(#REF!,"AAAAAH/33wI=")</f>
        <v>#REF!</v>
      </c>
      <c r="D27" t="e">
        <f>AND(#REF!,"AAAAAH/33wM=")</f>
        <v>#REF!</v>
      </c>
      <c r="E27" t="e">
        <f>AND(#REF!,"AAAAAH/33wQ=")</f>
        <v>#REF!</v>
      </c>
      <c r="F27" t="e">
        <f>AND(#REF!,"AAAAAH/33wU=")</f>
        <v>#REF!</v>
      </c>
      <c r="G27" t="e">
        <f>AND(#REF!,"AAAAAH/33wY=")</f>
        <v>#REF!</v>
      </c>
      <c r="H27" t="e">
        <f>AND(#REF!,"AAAAAH/33wc=")</f>
        <v>#REF!</v>
      </c>
      <c r="I27" t="e">
        <f>AND(#REF!,"AAAAAH/33wg=")</f>
        <v>#REF!</v>
      </c>
      <c r="J27" t="e">
        <f>AND(#REF!,"AAAAAH/33wk=")</f>
        <v>#REF!</v>
      </c>
      <c r="K27" t="e">
        <f>AND(#REF!,"AAAAAH/33wo=")</f>
        <v>#REF!</v>
      </c>
      <c r="L27" t="e">
        <f>AND(#REF!,"AAAAAH/33ws=")</f>
        <v>#REF!</v>
      </c>
      <c r="M27" t="e">
        <f>AND(#REF!,"AAAAAH/33ww=")</f>
        <v>#REF!</v>
      </c>
      <c r="N27" t="e">
        <f>AND(#REF!,"AAAAAH/33w0=")</f>
        <v>#REF!</v>
      </c>
      <c r="O27" t="e">
        <f>AND(#REF!,"AAAAAH/33w4=")</f>
        <v>#REF!</v>
      </c>
      <c r="P27" t="e">
        <f>AND(#REF!,"AAAAAH/33w8=")</f>
        <v>#REF!</v>
      </c>
      <c r="Q27" t="e">
        <f>AND(#REF!,"AAAAAH/33xA=")</f>
        <v>#REF!</v>
      </c>
      <c r="R27" t="e">
        <f>AND(#REF!,"AAAAAH/33xE=")</f>
        <v>#REF!</v>
      </c>
      <c r="S27" t="e">
        <f>AND(#REF!,"AAAAAH/33xI=")</f>
        <v>#REF!</v>
      </c>
      <c r="T27" t="e">
        <f>AND(#REF!,"AAAAAH/33xM=")</f>
        <v>#REF!</v>
      </c>
    </row>
    <row r="28" spans="1:256">
      <c r="A28" t="e">
        <f>AND(#REF!,"AAAAAFfZ3wA=")</f>
        <v>#REF!</v>
      </c>
      <c r="B28" t="e">
        <f>AND(#REF!,"AAAAAFfZ3wE=")</f>
        <v>#REF!</v>
      </c>
      <c r="C28" t="e">
        <f>AND(#REF!,"AAAAAFfZ3wI=")</f>
        <v>#REF!</v>
      </c>
      <c r="D28" t="e">
        <f>AND(#REF!,"AAAAAFfZ3wM=")</f>
        <v>#REF!</v>
      </c>
      <c r="E28" t="e">
        <f>AND(#REF!,"AAAAAFfZ3wQ=")</f>
        <v>#REF!</v>
      </c>
      <c r="F28" t="e">
        <f>AND(#REF!,"AAAAAFfZ3wU=")</f>
        <v>#REF!</v>
      </c>
      <c r="G28" t="e">
        <f>AND(#REF!,"AAAAAFfZ3wY=")</f>
        <v>#REF!</v>
      </c>
      <c r="H28" t="e">
        <f>AND(#REF!,"AAAAAFfZ3wc=")</f>
        <v>#REF!</v>
      </c>
      <c r="I28" t="e">
        <f>AND(#REF!,"AAAAAFfZ3wg=")</f>
        <v>#REF!</v>
      </c>
      <c r="J28" t="e">
        <f>AND(#REF!,"AAAAAFfZ3wk=")</f>
        <v>#REF!</v>
      </c>
      <c r="K28" t="e">
        <f>AND(#REF!,"AAAAAFfZ3wo=")</f>
        <v>#REF!</v>
      </c>
      <c r="L28" t="e">
        <f>AND(#REF!,"AAAAAFfZ3ws=")</f>
        <v>#REF!</v>
      </c>
      <c r="M28" t="e">
        <f>AND(#REF!,"AAAAAFfZ3ww=")</f>
        <v>#REF!</v>
      </c>
      <c r="N28" t="e">
        <f>AND(#REF!,"AAAAAFfZ3w0=")</f>
        <v>#REF!</v>
      </c>
      <c r="O28" t="e">
        <f>AND(#REF!,"AAAAAFfZ3w4=")</f>
        <v>#REF!</v>
      </c>
      <c r="P28" t="e">
        <f>AND(#REF!,"AAAAAFfZ3w8=")</f>
        <v>#REF!</v>
      </c>
      <c r="Q28" t="e">
        <f>AND(#REF!,"AAAAAFfZ3xA=")</f>
        <v>#REF!</v>
      </c>
      <c r="R28" t="e">
        <f>AND(#REF!,"AAAAAFfZ3xE=")</f>
        <v>#REF!</v>
      </c>
      <c r="S28" t="e">
        <f>AND(#REF!,"AAAAAFfZ3xI=")</f>
        <v>#REF!</v>
      </c>
      <c r="T28" t="e">
        <f>AND(#REF!,"AAAAAFfZ3xM=")</f>
        <v>#REF!</v>
      </c>
      <c r="U28" t="e">
        <f>AND(#REF!,"AAAAAFfZ3xQ=")</f>
        <v>#REF!</v>
      </c>
      <c r="V28" t="e">
        <f>AND(#REF!,"AAAAAFfZ3xU=")</f>
        <v>#REF!</v>
      </c>
      <c r="W28" t="e">
        <f>AND(#REF!,"AAAAAFfZ3xY=")</f>
        <v>#REF!</v>
      </c>
      <c r="X28" t="e">
        <f>AND(#REF!,"AAAAAFfZ3xc=")</f>
        <v>#REF!</v>
      </c>
      <c r="Y28" t="e">
        <f>AND(#REF!,"AAAAAFfZ3xg=")</f>
        <v>#REF!</v>
      </c>
      <c r="Z28" t="e">
        <f>AND(#REF!,"AAAAAFfZ3xk=")</f>
        <v>#REF!</v>
      </c>
      <c r="AA28" t="e">
        <f>AND(#REF!,"AAAAAFfZ3xo=")</f>
        <v>#REF!</v>
      </c>
      <c r="AB28" t="e">
        <f>AND(#REF!,"AAAAAFfZ3xs=")</f>
        <v>#REF!</v>
      </c>
      <c r="AC28" t="e">
        <f>AND(#REF!,"AAAAAFfZ3xw=")</f>
        <v>#REF!</v>
      </c>
      <c r="AD28" t="e">
        <f>AND(#REF!,"AAAAAFfZ3x0=")</f>
        <v>#REF!</v>
      </c>
      <c r="AE28" t="e">
        <f>AND(#REF!,"AAAAAFfZ3x4=")</f>
        <v>#REF!</v>
      </c>
      <c r="AF28" t="e">
        <f>AND(#REF!,"AAAAAFfZ3x8=")</f>
        <v>#REF!</v>
      </c>
      <c r="AG28" t="e">
        <f>AND(#REF!,"AAAAAFfZ3yA=")</f>
        <v>#REF!</v>
      </c>
      <c r="AH28" t="e">
        <f>AND(#REF!,"AAAAAFfZ3yE=")</f>
        <v>#REF!</v>
      </c>
      <c r="AI28" t="e">
        <f>AND(#REF!,"AAAAAFfZ3yI=")</f>
        <v>#REF!</v>
      </c>
      <c r="AJ28" t="e">
        <f>AND(#REF!,"AAAAAFfZ3yM=")</f>
        <v>#REF!</v>
      </c>
      <c r="AK28" t="e">
        <f>AND(#REF!,"AAAAAFfZ3yQ=")</f>
        <v>#REF!</v>
      </c>
      <c r="AL28" t="e">
        <f>AND(#REF!,"AAAAAFfZ3yU=")</f>
        <v>#REF!</v>
      </c>
      <c r="AM28" t="e">
        <f>AND(#REF!,"AAAAAFfZ3yY=")</f>
        <v>#REF!</v>
      </c>
      <c r="AN28" t="e">
        <f>AND(#REF!,"AAAAAFfZ3yc=")</f>
        <v>#REF!</v>
      </c>
      <c r="AO28" t="e">
        <f>AND(#REF!,"AAAAAFfZ3yg=")</f>
        <v>#REF!</v>
      </c>
      <c r="AP28" t="e">
        <f>AND(#REF!,"AAAAAFfZ3yk=")</f>
        <v>#REF!</v>
      </c>
      <c r="AQ28" t="e">
        <f>AND(#REF!,"AAAAAFfZ3yo=")</f>
        <v>#REF!</v>
      </c>
      <c r="AR28" t="e">
        <f>AND(#REF!,"AAAAAFfZ3ys=")</f>
        <v>#REF!</v>
      </c>
      <c r="AS28" t="e">
        <f>AND(#REF!,"AAAAAFfZ3yw=")</f>
        <v>#REF!</v>
      </c>
      <c r="AT28" t="e">
        <f>AND(#REF!,"AAAAAFfZ3y0=")</f>
        <v>#REF!</v>
      </c>
      <c r="AU28" t="e">
        <f>AND(#REF!,"AAAAAFfZ3y4=")</f>
        <v>#REF!</v>
      </c>
      <c r="AV28" t="e">
        <f>AND(#REF!,"AAAAAFfZ3y8=")</f>
        <v>#REF!</v>
      </c>
      <c r="AW28" t="e">
        <f>AND(#REF!,"AAAAAFfZ3zA=")</f>
        <v>#REF!</v>
      </c>
      <c r="AX28" t="e">
        <f>AND(#REF!,"AAAAAFfZ3zE=")</f>
        <v>#REF!</v>
      </c>
      <c r="AY28" t="e">
        <f>AND(#REF!,"AAAAAFfZ3zI=")</f>
        <v>#REF!</v>
      </c>
      <c r="AZ28" t="e">
        <f>AND(#REF!,"AAAAAFfZ3zM=")</f>
        <v>#REF!</v>
      </c>
      <c r="BA28" t="e">
        <f>AND(#REF!,"AAAAAFfZ3zQ=")</f>
        <v>#REF!</v>
      </c>
      <c r="BB28" t="e">
        <f>AND(#REF!,"AAAAAFfZ3zU=")</f>
        <v>#REF!</v>
      </c>
      <c r="BC28" t="e">
        <f>AND(#REF!,"AAAAAFfZ3zY=")</f>
        <v>#REF!</v>
      </c>
      <c r="BD28" t="e">
        <f>AND(#REF!,"AAAAAFfZ3zc=")</f>
        <v>#REF!</v>
      </c>
      <c r="BE28" t="e">
        <f>AND(#REF!,"AAAAAFfZ3zg=")</f>
        <v>#REF!</v>
      </c>
      <c r="BF28" t="e">
        <f>AND(#REF!,"AAAAAFfZ3zk=")</f>
        <v>#REF!</v>
      </c>
      <c r="BG28" t="e">
        <f>AND(#REF!,"AAAAAFfZ3zo=")</f>
        <v>#REF!</v>
      </c>
      <c r="BH28" t="e">
        <f>AND(#REF!,"AAAAAFfZ3zs=")</f>
        <v>#REF!</v>
      </c>
      <c r="BI28" t="e">
        <f>AND(#REF!,"AAAAAFfZ3zw=")</f>
        <v>#REF!</v>
      </c>
      <c r="BJ28" t="e">
        <f>AND(#REF!,"AAAAAFfZ3z0=")</f>
        <v>#REF!</v>
      </c>
      <c r="BK28" t="e">
        <f>AND(#REF!,"AAAAAFfZ3z4=")</f>
        <v>#REF!</v>
      </c>
      <c r="BL28" t="e">
        <f>AND(#REF!,"AAAAAFfZ3z8=")</f>
        <v>#REF!</v>
      </c>
      <c r="BM28" t="e">
        <f>AND(#REF!,"AAAAAFfZ30A=")</f>
        <v>#REF!</v>
      </c>
      <c r="BN28" t="e">
        <f>AND(#REF!,"AAAAAFfZ30E=")</f>
        <v>#REF!</v>
      </c>
      <c r="BO28" t="e">
        <f>AND(#REF!,"AAAAAFfZ30I=")</f>
        <v>#REF!</v>
      </c>
      <c r="BP28" t="e">
        <f>AND(#REF!,"AAAAAFfZ30M=")</f>
        <v>#REF!</v>
      </c>
      <c r="BQ28" t="e">
        <f>AND(#REF!,"AAAAAFfZ30Q=")</f>
        <v>#REF!</v>
      </c>
      <c r="BR28" t="e">
        <f>AND(#REF!,"AAAAAFfZ30U=")</f>
        <v>#REF!</v>
      </c>
      <c r="BS28" t="e">
        <f>AND(#REF!,"AAAAAFfZ30Y=")</f>
        <v>#REF!</v>
      </c>
      <c r="BT28" t="e">
        <f>AND(#REF!,"AAAAAFfZ30c=")</f>
        <v>#REF!</v>
      </c>
      <c r="BU28" t="e">
        <f>AND(#REF!,"AAAAAFfZ30g=")</f>
        <v>#REF!</v>
      </c>
      <c r="BV28" t="e">
        <f>AND(#REF!,"AAAAAFfZ30k=")</f>
        <v>#REF!</v>
      </c>
      <c r="BW28" t="e">
        <f>AND(#REF!,"AAAAAFfZ30o=")</f>
        <v>#REF!</v>
      </c>
      <c r="BX28" t="e">
        <f>AND(#REF!,"AAAAAFfZ30s=")</f>
        <v>#REF!</v>
      </c>
      <c r="BY28" t="e">
        <f>AND(#REF!,"AAAAAFfZ30w=")</f>
        <v>#REF!</v>
      </c>
      <c r="BZ28" t="e">
        <f>AND(#REF!,"AAAAAFfZ300=")</f>
        <v>#REF!</v>
      </c>
      <c r="CA28" t="e">
        <f>AND(#REF!,"AAAAAFfZ304=")</f>
        <v>#REF!</v>
      </c>
      <c r="CB28" t="e">
        <f>AND(#REF!,"AAAAAFfZ308=")</f>
        <v>#REF!</v>
      </c>
      <c r="CC28" t="e">
        <f>AND(#REF!,"AAAAAFfZ31A=")</f>
        <v>#REF!</v>
      </c>
      <c r="CD28" t="e">
        <f>AND(#REF!,"AAAAAFfZ31E=")</f>
        <v>#REF!</v>
      </c>
      <c r="CE28" t="e">
        <f>AND(#REF!,"AAAAAFfZ31I=")</f>
        <v>#REF!</v>
      </c>
      <c r="CF28" t="e">
        <f>AND(#REF!,"AAAAAFfZ31M=")</f>
        <v>#REF!</v>
      </c>
      <c r="CG28" t="e">
        <f>AND(#REF!,"AAAAAFfZ31Q=")</f>
        <v>#REF!</v>
      </c>
      <c r="CH28" t="e">
        <f>AND(#REF!,"AAAAAFfZ31U=")</f>
        <v>#REF!</v>
      </c>
      <c r="CI28" t="e">
        <f>AND(#REF!,"AAAAAFfZ31Y=")</f>
        <v>#REF!</v>
      </c>
      <c r="CJ28" t="e">
        <f>AND(#REF!,"AAAAAFfZ31c=")</f>
        <v>#REF!</v>
      </c>
      <c r="CK28" t="e">
        <f>AND(#REF!,"AAAAAFfZ31g=")</f>
        <v>#REF!</v>
      </c>
      <c r="CL28" t="e">
        <f>AND(#REF!,"AAAAAFfZ31k=")</f>
        <v>#REF!</v>
      </c>
      <c r="CM28" t="e">
        <f>AND(#REF!,"AAAAAFfZ31o=")</f>
        <v>#REF!</v>
      </c>
      <c r="CN28" t="e">
        <f>AND(#REF!,"AAAAAFfZ31s=")</f>
        <v>#REF!</v>
      </c>
      <c r="CO28" t="e">
        <f>AND(#REF!,"AAAAAFfZ31w=")</f>
        <v>#REF!</v>
      </c>
      <c r="CP28" t="e">
        <f>AND(#REF!,"AAAAAFfZ310=")</f>
        <v>#REF!</v>
      </c>
      <c r="CQ28" t="e">
        <f>AND(#REF!,"AAAAAFfZ314=")</f>
        <v>#REF!</v>
      </c>
      <c r="CR28" t="e">
        <f>AND(#REF!,"AAAAAFfZ318=")</f>
        <v>#REF!</v>
      </c>
      <c r="CS28" t="e">
        <f>AND(#REF!,"AAAAAFfZ32A=")</f>
        <v>#REF!</v>
      </c>
      <c r="CT28" t="e">
        <f>AND(#REF!,"AAAAAFfZ32E=")</f>
        <v>#REF!</v>
      </c>
      <c r="CU28" t="e">
        <f>AND(#REF!,"AAAAAFfZ32I=")</f>
        <v>#REF!</v>
      </c>
      <c r="CV28" t="e">
        <f>AND(#REF!,"AAAAAFfZ32M=")</f>
        <v>#REF!</v>
      </c>
      <c r="CW28" t="e">
        <f>AND(#REF!,"AAAAAFfZ32Q=")</f>
        <v>#REF!</v>
      </c>
      <c r="CX28" t="e">
        <f>AND(#REF!,"AAAAAFfZ32U=")</f>
        <v>#REF!</v>
      </c>
      <c r="CY28" t="e">
        <f>AND(#REF!,"AAAAAFfZ32Y=")</f>
        <v>#REF!</v>
      </c>
      <c r="CZ28" t="e">
        <f>AND(#REF!,"AAAAAFfZ32c=")</f>
        <v>#REF!</v>
      </c>
      <c r="DA28" t="e">
        <f>AND(#REF!,"AAAAAFfZ32g=")</f>
        <v>#REF!</v>
      </c>
      <c r="DB28" t="e">
        <f>AND(#REF!,"AAAAAFfZ32k=")</f>
        <v>#REF!</v>
      </c>
      <c r="DC28" t="e">
        <f>AND(#REF!,"AAAAAFfZ32o=")</f>
        <v>#REF!</v>
      </c>
      <c r="DD28" t="e">
        <f>AND(#REF!,"AAAAAFfZ32s=")</f>
        <v>#REF!</v>
      </c>
      <c r="DE28" t="e">
        <f>AND(#REF!,"AAAAAFfZ32w=")</f>
        <v>#REF!</v>
      </c>
      <c r="DF28" t="e">
        <f>AND(#REF!,"AAAAAFfZ320=")</f>
        <v>#REF!</v>
      </c>
      <c r="DG28" t="e">
        <f>AND(#REF!,"AAAAAFfZ324=")</f>
        <v>#REF!</v>
      </c>
      <c r="DH28" t="e">
        <f>AND(#REF!,"AAAAAFfZ328=")</f>
        <v>#REF!</v>
      </c>
      <c r="DI28" t="e">
        <f>AND(#REF!,"AAAAAFfZ33A=")</f>
        <v>#REF!</v>
      </c>
      <c r="DJ28" t="e">
        <f>AND(#REF!,"AAAAAFfZ33E=")</f>
        <v>#REF!</v>
      </c>
      <c r="DK28" t="e">
        <f>AND(#REF!,"AAAAAFfZ33I=")</f>
        <v>#REF!</v>
      </c>
      <c r="DL28" t="e">
        <f>AND(#REF!,"AAAAAFfZ33M=")</f>
        <v>#REF!</v>
      </c>
      <c r="DM28" t="e">
        <f>AND(#REF!,"AAAAAFfZ33Q=")</f>
        <v>#REF!</v>
      </c>
      <c r="DN28" t="e">
        <f>AND(#REF!,"AAAAAFfZ33U=")</f>
        <v>#REF!</v>
      </c>
      <c r="DO28" t="e">
        <f>AND(#REF!,"AAAAAFfZ33Y=")</f>
        <v>#REF!</v>
      </c>
      <c r="DP28" t="e">
        <f>AND(#REF!,"AAAAAFfZ33c=")</f>
        <v>#REF!</v>
      </c>
      <c r="DQ28" t="e">
        <f>AND(#REF!,"AAAAAFfZ33g=")</f>
        <v>#REF!</v>
      </c>
      <c r="DR28" t="e">
        <f>AND(#REF!,"AAAAAFfZ33k=")</f>
        <v>#REF!</v>
      </c>
      <c r="DS28" t="e">
        <f>AND(#REF!,"AAAAAFfZ33o=")</f>
        <v>#REF!</v>
      </c>
      <c r="DT28" t="e">
        <f>AND(#REF!,"AAAAAFfZ33s=")</f>
        <v>#REF!</v>
      </c>
      <c r="DU28" t="e">
        <f>AND(#REF!,"AAAAAFfZ33w=")</f>
        <v>#REF!</v>
      </c>
      <c r="DV28" t="e">
        <f>AND(#REF!,"AAAAAFfZ330=")</f>
        <v>#REF!</v>
      </c>
      <c r="DW28" t="e">
        <f>AND(#REF!,"AAAAAFfZ334=")</f>
        <v>#REF!</v>
      </c>
      <c r="DX28" t="e">
        <f>AND(#REF!,"AAAAAFfZ338=")</f>
        <v>#REF!</v>
      </c>
      <c r="DY28" t="e">
        <f>AND(#REF!,"AAAAAFfZ34A=")</f>
        <v>#REF!</v>
      </c>
      <c r="DZ28" t="e">
        <f>AND(#REF!,"AAAAAFfZ34E=")</f>
        <v>#REF!</v>
      </c>
      <c r="EA28" t="e">
        <f>AND(#REF!,"AAAAAFfZ34I=")</f>
        <v>#REF!</v>
      </c>
      <c r="EB28" t="e">
        <f>AND(#REF!,"AAAAAFfZ34M=")</f>
        <v>#REF!</v>
      </c>
      <c r="EC28" t="e">
        <f>AND(#REF!,"AAAAAFfZ34Q=")</f>
        <v>#REF!</v>
      </c>
      <c r="ED28" t="e">
        <f>AND(#REF!,"AAAAAFfZ34U=")</f>
        <v>#REF!</v>
      </c>
      <c r="EE28" t="e">
        <f>AND(#REF!,"AAAAAFfZ34Y=")</f>
        <v>#REF!</v>
      </c>
      <c r="EF28" t="e">
        <f>AND(#REF!,"AAAAAFfZ34c=")</f>
        <v>#REF!</v>
      </c>
      <c r="EG28" t="e">
        <f>AND(#REF!,"AAAAAFfZ34g=")</f>
        <v>#REF!</v>
      </c>
      <c r="EH28" t="e">
        <f>AND(#REF!,"AAAAAFfZ34k=")</f>
        <v>#REF!</v>
      </c>
      <c r="EI28" t="e">
        <f>AND(#REF!,"AAAAAFfZ34o=")</f>
        <v>#REF!</v>
      </c>
      <c r="EJ28" t="e">
        <f>AND(#REF!,"AAAAAFfZ34s=")</f>
        <v>#REF!</v>
      </c>
      <c r="EK28" t="e">
        <f>AND(#REF!,"AAAAAFfZ34w=")</f>
        <v>#REF!</v>
      </c>
      <c r="EL28" t="e">
        <f>AND(#REF!,"AAAAAFfZ340=")</f>
        <v>#REF!</v>
      </c>
      <c r="EM28" t="e">
        <f>AND(#REF!,"AAAAAFfZ344=")</f>
        <v>#REF!</v>
      </c>
      <c r="EN28" t="e">
        <f>AND(#REF!,"AAAAAFfZ348=")</f>
        <v>#REF!</v>
      </c>
      <c r="EO28" t="e">
        <f>AND(#REF!,"AAAAAFfZ35A=")</f>
        <v>#REF!</v>
      </c>
      <c r="EP28" t="e">
        <f>AND(#REF!,"AAAAAFfZ35E=")</f>
        <v>#REF!</v>
      </c>
      <c r="EQ28" t="e">
        <f>AND(#REF!,"AAAAAFfZ35I=")</f>
        <v>#REF!</v>
      </c>
      <c r="ER28" t="e">
        <f>AND(#REF!,"AAAAAFfZ35M=")</f>
        <v>#REF!</v>
      </c>
      <c r="ES28" t="e">
        <f>AND(#REF!,"AAAAAFfZ35Q=")</f>
        <v>#REF!</v>
      </c>
      <c r="ET28" t="e">
        <f>AND(#REF!,"AAAAAFfZ35U=")</f>
        <v>#REF!</v>
      </c>
      <c r="EU28" t="e">
        <f>AND(#REF!,"AAAAAFfZ35Y=")</f>
        <v>#REF!</v>
      </c>
      <c r="EV28" t="e">
        <f>AND(#REF!,"AAAAAFfZ35c=")</f>
        <v>#REF!</v>
      </c>
      <c r="EW28" t="e">
        <f>AND(#REF!,"AAAAAFfZ35g=")</f>
        <v>#REF!</v>
      </c>
      <c r="EX28" t="e">
        <f>AND(#REF!,"AAAAAFfZ35k=")</f>
        <v>#REF!</v>
      </c>
      <c r="EY28" t="e">
        <f>AND(#REF!,"AAAAAFfZ35o=")</f>
        <v>#REF!</v>
      </c>
      <c r="EZ28" t="e">
        <f>AND(#REF!,"AAAAAFfZ35s=")</f>
        <v>#REF!</v>
      </c>
      <c r="FA28" t="e">
        <f>IF(#REF!,"AAAAAFfZ35w=",0)</f>
        <v>#REF!</v>
      </c>
      <c r="FB28" t="e">
        <f>IF(#REF!,"AAAAAFfZ350=",0)</f>
        <v>#REF!</v>
      </c>
      <c r="FC28" t="e">
        <f>IF(#REF!,"AAAAAFfZ354=",0)</f>
        <v>#REF!</v>
      </c>
      <c r="FD28" t="e">
        <f>IF(#REF!,"AAAAAFfZ358=",0)</f>
        <v>#REF!</v>
      </c>
      <c r="FE28" t="e">
        <f>IF(#REF!,"AAAAAFfZ36A=",0)</f>
        <v>#REF!</v>
      </c>
      <c r="FF28" t="e">
        <f>IF(#REF!,"AAAAAFfZ36E=",0)</f>
        <v>#REF!</v>
      </c>
      <c r="FG28" t="e">
        <f>AND('MvsD 8'!M1,"AAAAAFfZ36I=")</f>
        <v>#VALUE!</v>
      </c>
      <c r="FH28" t="e">
        <f>AND('MvsD 8'!N1,"AAAAAFfZ36M=")</f>
        <v>#VALUE!</v>
      </c>
      <c r="FI28" t="b">
        <f>AND('MvsD 8'!K2,"AAAAAFfZ36Q=")</f>
        <v>1</v>
      </c>
      <c r="FJ28" t="e">
        <f>AND('MvsD 8'!L2,"AAAAAFfZ36U=")</f>
        <v>#VALUE!</v>
      </c>
      <c r="FK28" t="e">
        <f>AND('MvsD 8'!#REF!,"AAAAAFfZ36Y=")</f>
        <v>#REF!</v>
      </c>
      <c r="FL28" t="e">
        <f>AND('MvsD 8'!#REF!,"AAAAAFfZ36c=")</f>
        <v>#REF!</v>
      </c>
      <c r="FM28" t="b">
        <f>AND('MvsD 8'!K3,"AAAAAFfZ36g=")</f>
        <v>1</v>
      </c>
      <c r="FN28" t="e">
        <f>AND('MvsD 8'!L3,"AAAAAFfZ36k=")</f>
        <v>#VALUE!</v>
      </c>
      <c r="FO28" t="b">
        <f>AND('MvsD 8'!K5,"AAAAAFfZ36o=")</f>
        <v>1</v>
      </c>
      <c r="FP28" t="e">
        <f>AND('MvsD 8'!L5,"AAAAAFfZ36s=")</f>
        <v>#VALUE!</v>
      </c>
      <c r="FQ28" t="b">
        <f>AND('MvsD 8'!K4,"AAAAAFfZ36w=")</f>
        <v>1</v>
      </c>
      <c r="FR28" t="e">
        <f>AND('MvsD 8'!L4,"AAAAAFfZ360=")</f>
        <v>#VALUE!</v>
      </c>
      <c r="FS28" t="b">
        <f>AND('MvsD 8'!K6,"AAAAAFfZ364=")</f>
        <v>1</v>
      </c>
      <c r="FT28" t="e">
        <f>AND('MvsD 8'!L6,"AAAAAFfZ368=")</f>
        <v>#VALUE!</v>
      </c>
      <c r="FU28" t="e">
        <f>AND('MvsD 8'!#REF!,"AAAAAFfZ37A=")</f>
        <v>#REF!</v>
      </c>
      <c r="FV28" t="e">
        <f>AND('MvsD 8'!#REF!,"AAAAAFfZ37E=")</f>
        <v>#REF!</v>
      </c>
      <c r="FW28" t="b">
        <f>AND('MvsD 8'!K8,"AAAAAFfZ37I=")</f>
        <v>1</v>
      </c>
      <c r="FX28" t="e">
        <f>AND('MvsD 8'!L8,"AAAAAFfZ37M=")</f>
        <v>#VALUE!</v>
      </c>
      <c r="FY28" t="b">
        <f>AND('MvsD 8'!K9,"AAAAAFfZ37Q=")</f>
        <v>1</v>
      </c>
      <c r="FZ28" t="e">
        <f>AND('MvsD 8'!L9,"AAAAAFfZ37U=")</f>
        <v>#VALUE!</v>
      </c>
      <c r="GA28" t="b">
        <f>AND('MvsD 8'!K10,"AAAAAFfZ37Y=")</f>
        <v>1</v>
      </c>
      <c r="GB28" t="e">
        <f>AND('MvsD 8'!L10,"AAAAAFfZ37c=")</f>
        <v>#VALUE!</v>
      </c>
      <c r="GC28" t="e">
        <f>AND('MvsD 8'!#REF!,"AAAAAFfZ37g=")</f>
        <v>#REF!</v>
      </c>
      <c r="GD28" t="e">
        <f>AND('MvsD 8'!#REF!,"AAAAAFfZ37k=")</f>
        <v>#REF!</v>
      </c>
      <c r="GE28" t="e">
        <f>AND('MvsD 8'!#REF!,"AAAAAFfZ37o=")</f>
        <v>#REF!</v>
      </c>
      <c r="GF28" t="e">
        <f>AND('MvsD 8'!#REF!,"AAAAAFfZ37s=")</f>
        <v>#REF!</v>
      </c>
      <c r="GG28" t="b">
        <f>AND('MvsD 8'!K12,"AAAAAFfZ37w=")</f>
        <v>1</v>
      </c>
      <c r="GH28" t="e">
        <f>AND('MvsD 8'!L12,"AAAAAFfZ370=")</f>
        <v>#VALUE!</v>
      </c>
      <c r="GI28" t="b">
        <f>AND('MvsD 8'!K13,"AAAAAFfZ374=")</f>
        <v>1</v>
      </c>
      <c r="GJ28" t="e">
        <f>AND('MvsD 8'!L13,"AAAAAFfZ378=")</f>
        <v>#VALUE!</v>
      </c>
      <c r="GK28" t="e">
        <f>AND('MvsD 8'!#REF!,"AAAAAFfZ38A=")</f>
        <v>#REF!</v>
      </c>
      <c r="GL28" t="e">
        <f>AND('MvsD 8'!#REF!,"AAAAAFfZ38E=")</f>
        <v>#REF!</v>
      </c>
      <c r="GM28" t="b">
        <f>AND('MvsD 8'!K13,"AAAAAFfZ38I=")</f>
        <v>1</v>
      </c>
      <c r="GN28" t="e">
        <f>AND('MvsD 8'!L13,"AAAAAFfZ38M=")</f>
        <v>#VALUE!</v>
      </c>
      <c r="GO28" t="b">
        <f>AND('MvsD 8'!K14,"AAAAAFfZ38Q=")</f>
        <v>1</v>
      </c>
      <c r="GP28" t="e">
        <f>AND('MvsD 8'!L14,"AAAAAFfZ38U=")</f>
        <v>#VALUE!</v>
      </c>
      <c r="GQ28" t="b">
        <f>AND('MvsD 8'!K15,"AAAAAFfZ38Y=")</f>
        <v>1</v>
      </c>
      <c r="GR28" t="e">
        <f>AND('MvsD 8'!L15,"AAAAAFfZ38c=")</f>
        <v>#VALUE!</v>
      </c>
      <c r="GS28" t="b">
        <f>AND('MvsD 8'!K16,"AAAAAFfZ38g=")</f>
        <v>1</v>
      </c>
      <c r="GT28" t="e">
        <f>AND('MvsD 8'!L16,"AAAAAFfZ38k=")</f>
        <v>#VALUE!</v>
      </c>
      <c r="GU28" t="b">
        <f>AND('MvsD 8'!K16,"AAAAAFfZ38o=")</f>
        <v>1</v>
      </c>
      <c r="GV28" t="e">
        <f>AND('MvsD 8'!L16,"AAAAAFfZ38s=")</f>
        <v>#VALUE!</v>
      </c>
      <c r="GW28" t="b">
        <f>AND('MvsD 8'!K17,"AAAAAFfZ38w=")</f>
        <v>1</v>
      </c>
      <c r="GX28" t="e">
        <f>AND('MvsD 8'!L17,"AAAAAFfZ380=")</f>
        <v>#VALUE!</v>
      </c>
      <c r="GY28" t="b">
        <f>AND('MvsD 8'!K18,"AAAAAFfZ384=")</f>
        <v>1</v>
      </c>
      <c r="GZ28" t="e">
        <f>AND('MvsD 8'!L18,"AAAAAFfZ388=")</f>
        <v>#VALUE!</v>
      </c>
      <c r="HA28" t="b">
        <f>AND('MvsD 8'!K19,"AAAAAFfZ39A=")</f>
        <v>1</v>
      </c>
      <c r="HB28" t="e">
        <f>AND('MvsD 8'!L19,"AAAAAFfZ39E=")</f>
        <v>#VALUE!</v>
      </c>
      <c r="HC28" t="b">
        <f>AND('MvsD 8'!K11,"AAAAAFfZ39I=")</f>
        <v>1</v>
      </c>
      <c r="HD28" t="e">
        <f>AND('MvsD 8'!L11,"AAAAAFfZ39M=")</f>
        <v>#VALUE!</v>
      </c>
      <c r="HE28" t="e">
        <f>AND('MvsD 8'!E18,"AAAAAFfZ39Q=")</f>
        <v>#VALUE!</v>
      </c>
      <c r="HF28" t="e">
        <f>AND('MvsD 8'!F18,"AAAAAFfZ39U=")</f>
        <v>#VALUE!</v>
      </c>
      <c r="HG28" t="b">
        <f>AND('MvsD 8'!K24,"AAAAAFfZ39Y=")</f>
        <v>1</v>
      </c>
      <c r="HH28" t="e">
        <f>AND('MvsD 8'!L24,"AAAAAFfZ39c=")</f>
        <v>#VALUE!</v>
      </c>
      <c r="HI28" t="e">
        <f>AND('MvsD 8'!#REF!,"AAAAAFfZ39g=")</f>
        <v>#REF!</v>
      </c>
      <c r="HJ28" t="e">
        <f>AND('MvsD 8'!#REF!,"AAAAAFfZ39k=")</f>
        <v>#REF!</v>
      </c>
      <c r="HK28" t="e">
        <f>AND('MvsD 8'!#REF!,"AAAAAFfZ39o=")</f>
        <v>#REF!</v>
      </c>
      <c r="HL28" t="e">
        <f>AND('MvsD 8'!#REF!,"AAAAAFfZ39s=")</f>
        <v>#REF!</v>
      </c>
      <c r="HM28" t="b">
        <f>AND('MvsD 8'!C30,"AAAAAFfZ39w=")</f>
        <v>1</v>
      </c>
      <c r="HN28" t="e">
        <f>AND('MvsD 8'!D30,"AAAAAFfZ390=")</f>
        <v>#VALUE!</v>
      </c>
      <c r="HO28" t="e">
        <f>AND('MvsD 8'!E22,"AAAAAFfZ394=")</f>
        <v>#VALUE!</v>
      </c>
      <c r="HP28" t="e">
        <f>AND('MvsD 8'!F22,"AAAAAFfZ398=")</f>
        <v>#VALUE!</v>
      </c>
      <c r="HQ28" t="e">
        <f>AND('MvsD 8'!#REF!,"AAAAAFfZ3+A=")</f>
        <v>#REF!</v>
      </c>
      <c r="HR28" t="e">
        <f>AND('MvsD 8'!#REF!,"AAAAAFfZ3+E=")</f>
        <v>#REF!</v>
      </c>
      <c r="HS28" t="b">
        <f>AND('MvsD 8'!C31,"AAAAAFfZ3+I=")</f>
        <v>1</v>
      </c>
      <c r="HT28" t="e">
        <f>AND('MvsD 8'!D31,"AAAAAFfZ3+M=")</f>
        <v>#VALUE!</v>
      </c>
      <c r="HU28" t="e">
        <f>AND('MvsD 8'!#REF!,"AAAAAFfZ3+Q=")</f>
        <v>#REF!</v>
      </c>
      <c r="HV28" t="e">
        <f>AND('MvsD 8'!#REF!,"AAAAAFfZ3+U=")</f>
        <v>#REF!</v>
      </c>
      <c r="HW28" t="b">
        <f>AND('MvsD 8'!C32,"AAAAAFfZ3+Y=")</f>
        <v>1</v>
      </c>
      <c r="HX28" t="e">
        <f>AND('MvsD 8'!D32,"AAAAAFfZ3+c=")</f>
        <v>#VALUE!</v>
      </c>
      <c r="HY28" t="e">
        <f>AND('MvsD 8'!#REF!,"AAAAAFfZ3+g=")</f>
        <v>#REF!</v>
      </c>
      <c r="HZ28" t="e">
        <f>AND('MvsD 8'!#REF!,"AAAAAFfZ3+k=")</f>
        <v>#REF!</v>
      </c>
      <c r="IA28" t="b">
        <f>AND('MvsD 8'!C33,"AAAAAFfZ3+o=")</f>
        <v>1</v>
      </c>
      <c r="IB28" t="e">
        <f>AND('MvsD 8'!D33,"AAAAAFfZ3+s=")</f>
        <v>#VALUE!</v>
      </c>
      <c r="IC28" t="e">
        <f>AND('MvsD 8'!#REF!,"AAAAAFfZ3+w=")</f>
        <v>#REF!</v>
      </c>
      <c r="ID28" t="e">
        <f>AND('MvsD 8'!#REF!,"AAAAAFfZ3+0=")</f>
        <v>#REF!</v>
      </c>
      <c r="IE28">
        <f>IF('MvsD 8'!M:M,"AAAAAFfZ3+4=",0)</f>
        <v>0</v>
      </c>
      <c r="IF28">
        <f>IF('MvsD 8'!N:N,"AAAAAFfZ3+8=",0)</f>
        <v>0</v>
      </c>
      <c r="IG28" t="b">
        <f>AND([1]Labo!J16,"AAAAAFfZ3/A=")</f>
        <v>1</v>
      </c>
      <c r="IH28" t="e">
        <f>AND([1]Labo!K16,"AAAAAFfZ3/E=")</f>
        <v>#VALUE!</v>
      </c>
    </row>
    <row r="29" spans="1:256">
      <c r="A29" t="e">
        <f>AND(#REF!,"AAAAAH+9/wA=")</f>
        <v>#REF!</v>
      </c>
      <c r="B29" t="e">
        <f>AND(#REF!,"AAAAAH+9/wE=")</f>
        <v>#REF!</v>
      </c>
      <c r="C29" t="e">
        <f>AND(#REF!,"AAAAAH+9/wI=")</f>
        <v>#REF!</v>
      </c>
      <c r="D29" t="e">
        <f>AND(#REF!,"AAAAAH+9/wM=")</f>
        <v>#REF!</v>
      </c>
      <c r="E29" t="e">
        <f>AND(#REF!,"AAAAAFfZ34s=")</f>
        <v>#REF!</v>
      </c>
      <c r="F29" t="e">
        <f>AND(#REF!,"AAAAAFfZ33M=")</f>
        <v>#REF!</v>
      </c>
      <c r="G29" t="e">
        <f>AND(#REF!,"AAAAAFfZ33k=")</f>
        <v>#REF!</v>
      </c>
      <c r="H29" t="e">
        <f>AND(#REF!,"AAAAAFfZ3zw=")</f>
        <v>#REF!</v>
      </c>
      <c r="I29" t="e">
        <f>AND(#REF!,"AAAAAFfZ3z0=")</f>
        <v>#REF!</v>
      </c>
      <c r="J29" t="e">
        <f>IF(#REF!,"AAAAAH1c504=",0)</f>
        <v>#REF!</v>
      </c>
      <c r="K29" t="e">
        <f>IF(#REF!,"AAAAAH1c508=",0)</f>
        <v>#REF!</v>
      </c>
      <c r="L29" t="e">
        <f>IF(#REF!,"AAAAAH1c51A=",0)</f>
        <v>#REF!</v>
      </c>
      <c r="M29" t="e">
        <f>AND(#REF!,"AAAAAH1c5wE=")</f>
        <v>#REF!</v>
      </c>
      <c r="N29" t="e">
        <f>AND(#REF!,"AAAAAH1c5wQ=")</f>
        <v>#REF!</v>
      </c>
      <c r="O29" t="e">
        <f>AND(#REF!,"AAAAAH1c5wc=")</f>
        <v>#REF!</v>
      </c>
      <c r="P29" t="e">
        <f>AND(#REF!,"AAAAAH1c5wo=")</f>
        <v>#REF!</v>
      </c>
      <c r="Q29" t="e">
        <f>AND(#REF!,"AAAAAH1c5w0=")</f>
        <v>#REF!</v>
      </c>
      <c r="R29" t="e">
        <f>AND(#REF!,"AAAAAH1c5xA=")</f>
        <v>#REF!</v>
      </c>
      <c r="S29" t="e">
        <f>AND(#REF!,"AAAAAH1c5xM=")</f>
        <v>#REF!</v>
      </c>
      <c r="T29" t="e">
        <f>AND(#REF!,"AAAAAH1c5xY=")</f>
        <v>#REF!</v>
      </c>
      <c r="U29" t="e">
        <f>AND(#REF!,"AAAAAH1c5xk=")</f>
        <v>#REF!</v>
      </c>
      <c r="V29" t="e">
        <f>AND(#REF!,"AAAAAH1c5xw=")</f>
        <v>#REF!</v>
      </c>
      <c r="W29" t="e">
        <f>AND(#REF!,"AAAAAH1c5x8=")</f>
        <v>#REF!</v>
      </c>
      <c r="X29" t="e">
        <f>AND(#REF!,"AAAAAH1c5yI=")</f>
        <v>#REF!</v>
      </c>
      <c r="Y29" t="e">
        <f>AND(#REF!,"AAAAAH1c5yU=")</f>
        <v>#REF!</v>
      </c>
      <c r="Z29" t="e">
        <f>AND(#REF!,"AAAAAH1c5yg=")</f>
        <v>#REF!</v>
      </c>
      <c r="AA29" t="e">
        <f>AND(#REF!,"AAAAAH1c5ys=")</f>
        <v>#REF!</v>
      </c>
      <c r="AB29" t="e">
        <f>AND(#REF!,"AAAAAH1c5y4=")</f>
        <v>#REF!</v>
      </c>
      <c r="AC29" t="e">
        <f>AND(#REF!,"AAAAAH1c5zE=")</f>
        <v>#REF!</v>
      </c>
      <c r="AD29" t="e">
        <f>AND(#REF!,"AAAAAH1c5zQ=")</f>
        <v>#REF!</v>
      </c>
      <c r="AE29" t="e">
        <f>AND(#REF!,"AAAAAH1c5zc=")</f>
        <v>#REF!</v>
      </c>
      <c r="AF29" t="e">
        <f>AND(#REF!,"AAAAAH1c5zo=")</f>
        <v>#REF!</v>
      </c>
      <c r="AG29" t="e">
        <f>AND(#REF!,"AAAAAH1c5z0=")</f>
        <v>#REF!</v>
      </c>
      <c r="AH29" t="e">
        <f>AND(#REF!,"AAAAAH1c50A=")</f>
        <v>#REF!</v>
      </c>
      <c r="AI29" t="e">
        <f>AND(#REF!,"AAAAAH1c50M=")</f>
        <v>#REF!</v>
      </c>
      <c r="AJ29" t="e">
        <f>AND(#REF!,"AAAAAH1c50Y=")</f>
        <v>#REF!</v>
      </c>
      <c r="AK29" t="e">
        <f>AND(#REF!,"AAAAAH1c50k=")</f>
        <v>#REF!</v>
      </c>
      <c r="AL29" t="e">
        <f>AND(#REF!,"AAAAAH1c5wI=")</f>
        <v>#REF!</v>
      </c>
      <c r="AM29" t="e">
        <f>AND(#REF!,"AAAAAH1c5wU=")</f>
        <v>#REF!</v>
      </c>
      <c r="AN29" t="e">
        <f>AND(#REF!,"AAAAAH1c5wg=")</f>
        <v>#REF!</v>
      </c>
      <c r="AO29" t="e">
        <f>AND(#REF!,"AAAAAH1c5ws=")</f>
        <v>#REF!</v>
      </c>
      <c r="AP29" t="e">
        <f>AND(#REF!,"AAAAAH1c5w4=")</f>
        <v>#REF!</v>
      </c>
      <c r="AQ29" t="e">
        <f>AND(#REF!,"AAAAAH1c5xE=")</f>
        <v>#REF!</v>
      </c>
      <c r="AR29" t="e">
        <f>AND(#REF!,"AAAAAH1c5xQ=")</f>
        <v>#REF!</v>
      </c>
      <c r="AS29" t="e">
        <f>AND(#REF!,"AAAAAH1c5xc=")</f>
        <v>#REF!</v>
      </c>
      <c r="AT29" t="e">
        <f>AND(#REF!,"AAAAAH1c5xo=")</f>
        <v>#REF!</v>
      </c>
      <c r="AU29" t="e">
        <f>AND(#REF!,"AAAAAH1c5x0=")</f>
        <v>#REF!</v>
      </c>
      <c r="AV29" t="e">
        <f>AND(#REF!,"AAAAAH1c5yA=")</f>
        <v>#REF!</v>
      </c>
      <c r="AW29" t="e">
        <f>AND(#REF!,"AAAAAH1c5yM=")</f>
        <v>#REF!</v>
      </c>
      <c r="AX29" t="e">
        <f>AND(#REF!,"AAAAAH1c5yY=")</f>
        <v>#REF!</v>
      </c>
      <c r="AY29" t="e">
        <f>AND(#REF!,"AAAAAH1c5yk=")</f>
        <v>#REF!</v>
      </c>
      <c r="AZ29" t="e">
        <f>AND(#REF!,"AAAAAH1c5yw=")</f>
        <v>#REF!</v>
      </c>
      <c r="BA29" t="e">
        <f>AND(#REF!,"AAAAAH1c5y8=")</f>
        <v>#REF!</v>
      </c>
      <c r="BB29" t="e">
        <f>AND(#REF!,"AAAAAH1c5zI=")</f>
        <v>#REF!</v>
      </c>
      <c r="BC29" t="e">
        <f>AND(#REF!,"AAAAAH1c5zU=")</f>
        <v>#REF!</v>
      </c>
      <c r="BD29" t="e">
        <f>AND(#REF!,"AAAAAH1c5zg=")</f>
        <v>#REF!</v>
      </c>
      <c r="BE29" t="e">
        <f>AND(#REF!,"AAAAAH1c5zs=")</f>
        <v>#REF!</v>
      </c>
      <c r="BF29" t="e">
        <f>AND(#REF!,"AAAAAH1c5z4=")</f>
        <v>#REF!</v>
      </c>
      <c r="BG29" t="e">
        <f>AND(#REF!,"AAAAAH1c50E=")</f>
        <v>#REF!</v>
      </c>
      <c r="BH29" t="e">
        <f>AND(#REF!,"AAAAAH1c50Q=")</f>
        <v>#REF!</v>
      </c>
      <c r="BI29" t="e">
        <f>AND(#REF!,"AAAAAH1c50c=")</f>
        <v>#REF!</v>
      </c>
      <c r="BJ29" t="e">
        <f>AND(#REF!,"AAAAAH1c50o=")</f>
        <v>#REF!</v>
      </c>
      <c r="BK29" t="e">
        <f>AND(#REF!,"AAAAAH1c5wA=")</f>
        <v>#REF!</v>
      </c>
      <c r="BL29" t="e">
        <f>AND(#REF!,"AAAAAH1c5wM=")</f>
        <v>#REF!</v>
      </c>
      <c r="BM29" t="e">
        <f>AND(#REF!,"AAAAAH1c5wY=")</f>
        <v>#REF!</v>
      </c>
      <c r="BN29" t="e">
        <f>AND(#REF!,"AAAAAH1c5wk=")</f>
        <v>#REF!</v>
      </c>
      <c r="BO29" t="e">
        <f>AND(#REF!,"AAAAAH1c5ww=")</f>
        <v>#REF!</v>
      </c>
      <c r="BP29" t="e">
        <f>AND(#REF!,"AAAAAH1c5w8=")</f>
        <v>#REF!</v>
      </c>
      <c r="BQ29" t="e">
        <f>AND(#REF!,"AAAAAH1c5xI=")</f>
        <v>#REF!</v>
      </c>
      <c r="BR29" t="e">
        <f>AND(#REF!,"AAAAAH1c5xU=")</f>
        <v>#REF!</v>
      </c>
      <c r="BS29" t="e">
        <f>AND(#REF!,"AAAAAH1c5xg=")</f>
        <v>#REF!</v>
      </c>
      <c r="BT29" t="e">
        <f>AND(#REF!,"AAAAAH1c5xs=")</f>
        <v>#REF!</v>
      </c>
      <c r="BU29" t="e">
        <f>AND(#REF!,"AAAAAH1c5x4=")</f>
        <v>#REF!</v>
      </c>
      <c r="BV29" t="e">
        <f>AND(#REF!,"AAAAAH1c5yE=")</f>
        <v>#REF!</v>
      </c>
      <c r="BW29" t="e">
        <f>AND(#REF!,"AAAAAH1c5yQ=")</f>
        <v>#REF!</v>
      </c>
      <c r="BX29" t="e">
        <f>AND(#REF!,"AAAAAH1c5yc=")</f>
        <v>#REF!</v>
      </c>
      <c r="BY29" t="e">
        <f>AND(#REF!,"AAAAAH1c5yo=")</f>
        <v>#REF!</v>
      </c>
      <c r="BZ29" t="e">
        <f>AND(#REF!,"AAAAAH1c5y0=")</f>
        <v>#REF!</v>
      </c>
      <c r="CA29" t="e">
        <f>AND(#REF!,"AAAAAH1c5zA=")</f>
        <v>#REF!</v>
      </c>
      <c r="CB29" t="e">
        <f>AND(#REF!,"AAAAAH1c5zM=")</f>
        <v>#REF!</v>
      </c>
      <c r="CC29" t="e">
        <f>AND(#REF!,"AAAAAH1c5zY=")</f>
        <v>#REF!</v>
      </c>
      <c r="CD29" t="e">
        <f>AND(#REF!,"AAAAAH1c5zk=")</f>
        <v>#REF!</v>
      </c>
      <c r="CE29" t="e">
        <f>AND(#REF!,"AAAAAH1c5zw=")</f>
        <v>#REF!</v>
      </c>
      <c r="CF29" t="e">
        <f>AND(#REF!,"AAAAAH1c5z8=")</f>
        <v>#REF!</v>
      </c>
      <c r="CG29" t="e">
        <f>AND(#REF!,"AAAAAH1c50I=")</f>
        <v>#REF!</v>
      </c>
      <c r="CH29" t="e">
        <f>AND(#REF!,"AAAAAH1c50U=")</f>
        <v>#REF!</v>
      </c>
      <c r="CI29" t="e">
        <f>AND(#REF!,"AAAAAH1c50g=")</f>
        <v>#REF!</v>
      </c>
      <c r="CJ29" t="e">
        <f>AND(#REF!,"AAAAAH1c50s=")</f>
        <v>#REF!</v>
      </c>
      <c r="CK29" t="e">
        <f>AND(#REF!,"AAAAAH1c50w=")</f>
        <v>#REF!</v>
      </c>
      <c r="CL29" t="e">
        <f>AND(#REF!,"AAAAAH1c500=")</f>
        <v>#REF!</v>
      </c>
      <c r="CM29" t="e">
        <f>AND(#REF!,"AAAAAFfZ3zw=")</f>
        <v>#REF!</v>
      </c>
      <c r="CN29" t="e">
        <f>AND(#REF!,"AAAAAFfZ3z0=")</f>
        <v>#REF!</v>
      </c>
      <c r="CO29" t="e">
        <f>AND(#REF!,"AAAAAFfZ33M=")</f>
        <v>#REF!</v>
      </c>
      <c r="CP29" t="e">
        <f>AND(#REF!,"AAAAAFfZ33k=")</f>
        <v>#REF!</v>
      </c>
      <c r="CQ29" t="e">
        <f>AND(#REF!,"AAAAAFfZ32c=")</f>
        <v>#REF!</v>
      </c>
    </row>
    <row r="30" spans="1:256">
      <c r="A30" t="e">
        <f>AND(#REF!,"AAAAAG//9AA=")</f>
        <v>#REF!</v>
      </c>
      <c r="B30" t="e">
        <f>AND(#REF!,"AAAAAG//9AE=")</f>
        <v>#REF!</v>
      </c>
      <c r="C30" t="e">
        <f>AND([1]Labo!O1,"AAAAAG//9AI=")</f>
        <v>#VALUE!</v>
      </c>
      <c r="D30" t="e">
        <f>AND(#REF!,"AAAAAG//9AM=")</f>
        <v>#REF!</v>
      </c>
      <c r="E30" t="e">
        <f>AND(#REF!,"AAAAAG//9AQ=")</f>
        <v>#REF!</v>
      </c>
      <c r="F30" t="e">
        <f>AND([1]Labo!O2,"AAAAAG//9AU=")</f>
        <v>#VALUE!</v>
      </c>
      <c r="G30" t="e">
        <f>AND(#REF!,"AAAAAG//9AY=")</f>
        <v>#REF!</v>
      </c>
      <c r="H30" t="e">
        <f>AND(#REF!,"AAAAAG//9Ac=")</f>
        <v>#REF!</v>
      </c>
      <c r="I30" t="e">
        <f>AND([1]Labo!O3,"AAAAAG//9Ag=")</f>
        <v>#VALUE!</v>
      </c>
      <c r="J30" t="e">
        <f>AND(#REF!,"AAAAAG//9Ak=")</f>
        <v>#REF!</v>
      </c>
      <c r="K30" t="e">
        <f>AND(#REF!,"AAAAAG//9Ao=")</f>
        <v>#REF!</v>
      </c>
      <c r="L30" t="e">
        <f>AND([1]Labo!O4,"AAAAAG//9As=")</f>
        <v>#VALUE!</v>
      </c>
      <c r="M30" t="e">
        <f>AND(#REF!,"AAAAAG//9Aw=")</f>
        <v>#REF!</v>
      </c>
      <c r="N30" t="e">
        <f>AND(#REF!,"AAAAAG//9A0=")</f>
        <v>#REF!</v>
      </c>
      <c r="O30" t="e">
        <f>AND([1]Labo!O5,"AAAAAG//9A4=")</f>
        <v>#VALUE!</v>
      </c>
      <c r="P30" t="e">
        <f>AND(#REF!,"AAAAAG//9A8=")</f>
        <v>#REF!</v>
      </c>
      <c r="Q30" t="e">
        <f>AND(#REF!,"AAAAAG//9BA=")</f>
        <v>#REF!</v>
      </c>
      <c r="R30" t="e">
        <f>AND([1]Labo!O6,"AAAAAG//9BE=")</f>
        <v>#VALUE!</v>
      </c>
      <c r="S30" t="e">
        <f>AND(#REF!,"AAAAAG//9BI=")</f>
        <v>#REF!</v>
      </c>
      <c r="T30" t="e">
        <f>AND(#REF!,"AAAAAG//9BM=")</f>
        <v>#REF!</v>
      </c>
      <c r="U30" t="e">
        <f>AND([1]Labo!O7,"AAAAAG//9BQ=")</f>
        <v>#VALUE!</v>
      </c>
      <c r="V30" t="e">
        <f>AND(#REF!,"AAAAAG//9BU=")</f>
        <v>#REF!</v>
      </c>
      <c r="W30" t="e">
        <f>AND(#REF!,"AAAAAG//9BY=")</f>
        <v>#REF!</v>
      </c>
      <c r="X30" t="e">
        <f>AND([1]Labo!O8,"AAAAAG//9Bc=")</f>
        <v>#VALUE!</v>
      </c>
      <c r="Y30" t="e">
        <f>AND(#REF!,"AAAAAG//9Bg=")</f>
        <v>#REF!</v>
      </c>
      <c r="Z30" t="e">
        <f>AND(#REF!,"AAAAAG//9Bk=")</f>
        <v>#REF!</v>
      </c>
      <c r="AA30" t="e">
        <f>AND([1]Labo!O9,"AAAAAG//9Bo=")</f>
        <v>#VALUE!</v>
      </c>
      <c r="AB30" t="e">
        <f>AND(#REF!,"AAAAAG//9Bs=")</f>
        <v>#REF!</v>
      </c>
      <c r="AC30" t="e">
        <f>AND(#REF!,"AAAAAG//9Bw=")</f>
        <v>#REF!</v>
      </c>
      <c r="AD30" t="e">
        <f>AND([1]Labo!O10,"AAAAAG//9B0=")</f>
        <v>#VALUE!</v>
      </c>
      <c r="AE30" t="e">
        <f>AND(#REF!,"AAAAAG//9B4=")</f>
        <v>#REF!</v>
      </c>
      <c r="AF30" t="e">
        <f>AND(#REF!,"AAAAAG//9B8=")</f>
        <v>#REF!</v>
      </c>
      <c r="AG30" t="e">
        <f>AND([1]Labo!O11,"AAAAAG//9CA=")</f>
        <v>#VALUE!</v>
      </c>
      <c r="AH30" t="e">
        <f>AND(#REF!,"AAAAAG//9CE=")</f>
        <v>#REF!</v>
      </c>
      <c r="AI30" t="e">
        <f>AND(#REF!,"AAAAAG//9CI=")</f>
        <v>#REF!</v>
      </c>
      <c r="AJ30" t="e">
        <f>AND([1]Labo!O12,"AAAAAG//9CM=")</f>
        <v>#VALUE!</v>
      </c>
      <c r="AK30" t="e">
        <f>AND(#REF!,"AAAAAG//9CQ=")</f>
        <v>#REF!</v>
      </c>
      <c r="AL30" t="e">
        <f>AND(#REF!,"AAAAAG//9CU=")</f>
        <v>#REF!</v>
      </c>
      <c r="AM30" t="e">
        <f>AND([1]Labo!O13,"AAAAAG//9CY=")</f>
        <v>#VALUE!</v>
      </c>
      <c r="AN30" t="e">
        <f>AND(#REF!,"AAAAAG//9Cc=")</f>
        <v>#REF!</v>
      </c>
      <c r="AO30" t="e">
        <f>AND(#REF!,"AAAAAG//9Cg=")</f>
        <v>#REF!</v>
      </c>
      <c r="AP30" t="e">
        <f>AND([1]Labo!O14,"AAAAAG//9Ck=")</f>
        <v>#VALUE!</v>
      </c>
      <c r="AQ30" t="e">
        <f>AND(#REF!,"AAAAAG//9Co=")</f>
        <v>#REF!</v>
      </c>
      <c r="AR30" t="e">
        <f>AND(#REF!,"AAAAAG//9Cs=")</f>
        <v>#REF!</v>
      </c>
      <c r="AS30" t="e">
        <f>AND([1]Labo!O15,"AAAAAG//9Cw=")</f>
        <v>#VALUE!</v>
      </c>
      <c r="AT30" t="e">
        <f>AND(#REF!,"AAAAAG//9C0=")</f>
        <v>#REF!</v>
      </c>
      <c r="AU30" t="e">
        <f>AND(#REF!,"AAAAAG//9C4=")</f>
        <v>#REF!</v>
      </c>
      <c r="AV30" t="e">
        <f>AND([1]Labo!O16,"AAAAAG//9C8=")</f>
        <v>#VALUE!</v>
      </c>
      <c r="AW30" t="e">
        <f>AND(#REF!,"AAAAAG//9DA=")</f>
        <v>#REF!</v>
      </c>
      <c r="AX30" t="e">
        <f>AND(#REF!,"AAAAAG//9DE=")</f>
        <v>#REF!</v>
      </c>
      <c r="AY30" t="e">
        <f>AND([1]Labo!O17,"AAAAAG//9DI=")</f>
        <v>#VALUE!</v>
      </c>
      <c r="AZ30" t="e">
        <f>AND(#REF!,"AAAAAG//9DM=")</f>
        <v>#REF!</v>
      </c>
      <c r="BA30" t="e">
        <f>AND(#REF!,"AAAAAG//9DQ=")</f>
        <v>#REF!</v>
      </c>
      <c r="BB30" t="e">
        <f>AND([1]Labo!O18,"AAAAAG//9DU=")</f>
        <v>#VALUE!</v>
      </c>
      <c r="BC30" t="e">
        <f>AND(#REF!,"AAAAAG//9DY=")</f>
        <v>#REF!</v>
      </c>
      <c r="BD30" t="e">
        <f>AND(#REF!,"AAAAAG//9Dc=")</f>
        <v>#REF!</v>
      </c>
      <c r="BE30" t="e">
        <f>AND([1]Labo!O19,"AAAAAG//9Dg=")</f>
        <v>#VALUE!</v>
      </c>
      <c r="BF30" t="e">
        <f>AND(#REF!,"AAAAAG//9Dk=")</f>
        <v>#REF!</v>
      </c>
      <c r="BG30" t="e">
        <f>AND(#REF!,"AAAAAG//9Do=")</f>
        <v>#REF!</v>
      </c>
      <c r="BH30" t="e">
        <f>AND([1]Labo!O20,"AAAAAG//9Ds=")</f>
        <v>#VALUE!</v>
      </c>
      <c r="BI30" t="e">
        <f>AND(#REF!,"AAAAAG//9Dw=")</f>
        <v>#REF!</v>
      </c>
      <c r="BJ30" t="e">
        <f>AND(#REF!,"AAAAAG//9D0=")</f>
        <v>#REF!</v>
      </c>
      <c r="BK30" t="e">
        <f>AND([1]Labo!O21,"AAAAAG//9D4=")</f>
        <v>#VALUE!</v>
      </c>
      <c r="BL30" t="e">
        <f>AND(#REF!,"AAAAAG//9D8=")</f>
        <v>#REF!</v>
      </c>
      <c r="BM30" t="e">
        <f>AND(#REF!,"AAAAAG//9EA=")</f>
        <v>#REF!</v>
      </c>
      <c r="BN30" t="e">
        <f>AND([1]Labo!O22,"AAAAAG//9EE=")</f>
        <v>#VALUE!</v>
      </c>
      <c r="BO30" t="e">
        <f>AND(#REF!,"AAAAAG//9EI=")</f>
        <v>#REF!</v>
      </c>
      <c r="BP30" t="e">
        <f>AND(#REF!,"AAAAAG//9EM=")</f>
        <v>#REF!</v>
      </c>
      <c r="BQ30" t="e">
        <f>AND([1]Labo!O23,"AAAAAG//9EQ=")</f>
        <v>#VALUE!</v>
      </c>
      <c r="BR30" t="e">
        <f>AND(#REF!,"AAAAAG//9EU=")</f>
        <v>#REF!</v>
      </c>
      <c r="BS30" t="e">
        <f>AND(#REF!,"AAAAAG//9EY=")</f>
        <v>#REF!</v>
      </c>
      <c r="BT30">
        <f>IF([1]Labo!O:O,"AAAAAG//9Ec=",0)</f>
        <v>0</v>
      </c>
      <c r="BU30" t="e">
        <f>IF(#REF!,"AAAAAG//9Eg=",0)</f>
        <v>#REF!</v>
      </c>
      <c r="BV30" t="e">
        <f>IF(#REF!,"AAAAAG//9Ek=",0)</f>
        <v>#REF!</v>
      </c>
    </row>
    <row r="31" spans="1:256">
      <c r="A31" t="e">
        <f>AND([1]Labo!#REF!,"AAAAAHfsvQA=")</f>
        <v>#REF!</v>
      </c>
      <c r="B31" t="e">
        <f>AND(#REF!,"AAAAAHfsvQE=")</f>
        <v>#REF!</v>
      </c>
      <c r="C31" t="e">
        <f>AND(#REF!,"AAAAAHfsvQI=")</f>
        <v>#REF!</v>
      </c>
      <c r="D31" t="e">
        <f>AND([1]Labo!#REF!,"AAAAAHfsvQM=")</f>
        <v>#REF!</v>
      </c>
      <c r="E31" t="e">
        <f>AND(#REF!,"AAAAAHfsvQQ=")</f>
        <v>#REF!</v>
      </c>
      <c r="F31" t="e">
        <f>AND(#REF!,"AAAAAHfsvQU=")</f>
        <v>#REF!</v>
      </c>
      <c r="G31" t="e">
        <f>AND([1]Labo!#REF!,"AAAAAHfsvQY=")</f>
        <v>#REF!</v>
      </c>
      <c r="H31" t="e">
        <f>AND(#REF!,"AAAAAHfsvQc=")</f>
        <v>#REF!</v>
      </c>
      <c r="I31" t="e">
        <f>AND(#REF!,"AAAAAHfsvQg=")</f>
        <v>#REF!</v>
      </c>
      <c r="J31" t="e">
        <f>AND([1]Labo!#REF!,"AAAAAHfsvQk=")</f>
        <v>#REF!</v>
      </c>
      <c r="K31" t="e">
        <f>AND(#REF!,"AAAAAHfsvQo=")</f>
        <v>#REF!</v>
      </c>
      <c r="L31" t="e">
        <f>AND(#REF!,"AAAAAHfsvQs=")</f>
        <v>#REF!</v>
      </c>
      <c r="M31" t="e">
        <f>AND([1]Labo!#REF!,"AAAAAHfsvQw=")</f>
        <v>#REF!</v>
      </c>
      <c r="N31" t="e">
        <f>AND(#REF!,"AAAAAHfsvQ0=")</f>
        <v>#REF!</v>
      </c>
      <c r="O31" t="e">
        <f>AND(#REF!,"AAAAAHfsvQ4=")</f>
        <v>#REF!</v>
      </c>
      <c r="P31" t="e">
        <f>AND([1]Labo!#REF!,"AAAAAHfsvQ8=")</f>
        <v>#REF!</v>
      </c>
      <c r="Q31" t="e">
        <f>AND(#REF!,"AAAAAHfsvRA=")</f>
        <v>#REF!</v>
      </c>
      <c r="R31" t="e">
        <f>AND(#REF!,"AAAAAHfsvRE=")</f>
        <v>#REF!</v>
      </c>
      <c r="S31" t="e">
        <f>AND([1]Labo!#REF!,"AAAAAHfsvRI=")</f>
        <v>#REF!</v>
      </c>
      <c r="T31" t="e">
        <f>AND(#REF!,"AAAAAHfsvRM=")</f>
        <v>#REF!</v>
      </c>
      <c r="U31" t="e">
        <f>AND(#REF!,"AAAAAHfsvRQ=")</f>
        <v>#REF!</v>
      </c>
      <c r="V31" t="e">
        <f>AND([1]Labo!#REF!,"AAAAAHfsvRU=")</f>
        <v>#REF!</v>
      </c>
      <c r="W31" t="e">
        <f>AND(#REF!,"AAAAAHfsvRY=")</f>
        <v>#REF!</v>
      </c>
      <c r="X31" t="e">
        <f>AND(#REF!,"AAAAAHfsvRc=")</f>
        <v>#REF!</v>
      </c>
      <c r="Y31" t="e">
        <f>AND([1]Labo!#REF!,"AAAAAHfsvRg=")</f>
        <v>#REF!</v>
      </c>
      <c r="Z31" t="e">
        <f>AND(#REF!,"AAAAAHfsvRk=")</f>
        <v>#REF!</v>
      </c>
      <c r="AA31" t="e">
        <f>AND(#REF!,"AAAAAHfsvRo=")</f>
        <v>#REF!</v>
      </c>
      <c r="AB31" t="e">
        <f>AND([1]Labo!#REF!,"AAAAAHfsvRs=")</f>
        <v>#REF!</v>
      </c>
      <c r="AC31" t="e">
        <f>AND([1]Labo!#REF!,"AAAAAHfsvRw=")</f>
        <v>#REF!</v>
      </c>
      <c r="AD31" t="e">
        <f>AND([1]Labo!#REF!,"AAAAAHfsvR0=")</f>
        <v>#REF!</v>
      </c>
      <c r="AE31" t="e">
        <f>AND([1]Labo!#REF!,"AAAAAHfsvR4=")</f>
        <v>#REF!</v>
      </c>
      <c r="AF31" t="e">
        <f>AND(#REF!,"AAAAAHfsvR8=")</f>
        <v>#REF!</v>
      </c>
      <c r="AG31" t="e">
        <f>AND(#REF!,"AAAAAHfsvSA=")</f>
        <v>#REF!</v>
      </c>
      <c r="AH31" t="e">
        <f>AND([1]Labo!#REF!,"AAAAAHfsvSE=")</f>
        <v>#REF!</v>
      </c>
      <c r="AI31" t="e">
        <f>AND(#REF!,"AAAAAHfsvSI=")</f>
        <v>#REF!</v>
      </c>
      <c r="AJ31" t="e">
        <f>AND(#REF!,"AAAAAHfsvSM=")</f>
        <v>#REF!</v>
      </c>
      <c r="AK31" t="e">
        <f>AND([1]Labo!#REF!,"AAAAAHfsvSQ=")</f>
        <v>#REF!</v>
      </c>
      <c r="AL31" t="e">
        <f>AND(#REF!,"AAAAAHfsvSU=")</f>
        <v>#REF!</v>
      </c>
      <c r="AM31" t="e">
        <f>AND(#REF!,"AAAAAHfsvSY=")</f>
        <v>#REF!</v>
      </c>
      <c r="AN31" t="e">
        <f>AND([1]Labo!#REF!,"AAAAAHfsvSc=")</f>
        <v>#REF!</v>
      </c>
      <c r="AO31" t="e">
        <f>AND(#REF!,"AAAAAHfsvSg=")</f>
        <v>#REF!</v>
      </c>
      <c r="AP31" t="e">
        <f>AND(#REF!,"AAAAAHfsvSk=")</f>
        <v>#REF!</v>
      </c>
      <c r="AQ31" t="e">
        <f>AND([1]Labo!#REF!,"AAAAAHfsvSo=")</f>
        <v>#REF!</v>
      </c>
      <c r="AR31" t="e">
        <f>AND(#REF!,"AAAAAHfsvSs=")</f>
        <v>#REF!</v>
      </c>
      <c r="AS31" t="e">
        <f>AND(#REF!,"AAAAAHfsvSw=")</f>
        <v>#REF!</v>
      </c>
      <c r="AT31" t="e">
        <f>AND([1]Labo!#REF!,"AAAAAHfsvS0=")</f>
        <v>#REF!</v>
      </c>
      <c r="AU31" t="e">
        <f>AND(#REF!,"AAAAAHfsvS4=")</f>
        <v>#REF!</v>
      </c>
      <c r="AV31" t="e">
        <f>AND(#REF!,"AAAAAHfsvS8=")</f>
        <v>#REF!</v>
      </c>
      <c r="AW31" t="e">
        <f>AND([1]Labo!#REF!,"AAAAAHfsvTA=")</f>
        <v>#REF!</v>
      </c>
      <c r="AX31" t="e">
        <f>AND(#REF!,"AAAAAHfsvTE=")</f>
        <v>#REF!</v>
      </c>
      <c r="AY31" t="e">
        <f>AND(#REF!,"AAAAAHfsvTI=")</f>
        <v>#REF!</v>
      </c>
      <c r="AZ31" t="e">
        <f>AND([1]Labo!#REF!,"AAAAAHfsvTM=")</f>
        <v>#REF!</v>
      </c>
      <c r="BA31" t="e">
        <f>AND(#REF!,"AAAAAHfsvTQ=")</f>
        <v>#REF!</v>
      </c>
      <c r="BB31" t="e">
        <f>AND(#REF!,"AAAAAHfsvTU=")</f>
        <v>#REF!</v>
      </c>
      <c r="BC31" t="e">
        <f>AND([1]Labo!#REF!,"AAAAAHfsvTY=")</f>
        <v>#REF!</v>
      </c>
      <c r="BD31" t="e">
        <f>AND(#REF!,"AAAAAHfsvTc=")</f>
        <v>#REF!</v>
      </c>
      <c r="BE31" t="e">
        <f>AND(#REF!,"AAAAAHfsvTg=")</f>
        <v>#REF!</v>
      </c>
      <c r="BF31" t="e">
        <f>AND([1]Labo!#REF!,"AAAAAHfsvTk=")</f>
        <v>#REF!</v>
      </c>
      <c r="BG31" t="e">
        <f>AND(#REF!,"AAAAAHfsvTo=")</f>
        <v>#REF!</v>
      </c>
      <c r="BH31" t="e">
        <f>AND(#REF!,"AAAAAHfsvTs=")</f>
        <v>#REF!</v>
      </c>
      <c r="BI31" t="e">
        <f>AND([1]Labo!#REF!,"AAAAAHfsvTw=")</f>
        <v>#REF!</v>
      </c>
      <c r="BJ31" t="e">
        <f>AND(#REF!,"AAAAAHfsvT0=")</f>
        <v>#REF!</v>
      </c>
      <c r="BK31" t="e">
        <f>AND(#REF!,"AAAAAHfsvT4=")</f>
        <v>#REF!</v>
      </c>
      <c r="BL31" t="e">
        <f>AND([1]Labo!#REF!,"AAAAAHfsvT8=")</f>
        <v>#REF!</v>
      </c>
      <c r="BM31" t="e">
        <f>AND(#REF!,"AAAAAHfsvUA=")</f>
        <v>#REF!</v>
      </c>
      <c r="BN31" t="e">
        <f>AND(#REF!,"AAAAAHfsvUE=")</f>
        <v>#REF!</v>
      </c>
      <c r="BO31" t="e">
        <f>AND([1]Labo!#REF!,"AAAAAHfsvUI=")</f>
        <v>#REF!</v>
      </c>
      <c r="BP31" t="e">
        <f>AND(#REF!,"AAAAAHfsvUM=")</f>
        <v>#REF!</v>
      </c>
      <c r="BQ31" t="e">
        <f>AND(#REF!,"AAAAAHfsvUQ=")</f>
        <v>#REF!</v>
      </c>
      <c r="BR31" t="e">
        <f>AND([1]Labo!M24,"AAAAAHfsvUU=")</f>
        <v>#VALUE!</v>
      </c>
      <c r="BS31" t="e">
        <f>AND([1]Labo!N24,"AAAAAHfsvUY=")</f>
        <v>#VALUE!</v>
      </c>
      <c r="BT31" t="b">
        <f>AND([1]Labo!J17,"AAAAAHfsvUc=")</f>
        <v>1</v>
      </c>
      <c r="BU31" t="e">
        <f>AND([1]Labo!K17,"AAAAAHfsvUg=")</f>
        <v>#VALUE!</v>
      </c>
      <c r="BV31" t="e">
        <f>AND([1]Labo!O24,"AAAAAHfsvUk=")</f>
        <v>#VALUE!</v>
      </c>
      <c r="BW31" t="e">
        <f>AND(#REF!,"AAAAAHfsvUo=")</f>
        <v>#REF!</v>
      </c>
      <c r="BX31" t="e">
        <f>AND(#REF!,"AAAAAHfsvUs=")</f>
        <v>#REF!</v>
      </c>
      <c r="BY31" t="e">
        <f>AND([1]Labo!#REF!,"AAAAAHfsvUw=")</f>
        <v>#REF!</v>
      </c>
      <c r="BZ31" t="e">
        <f>AND(#REF!,"AAAAAHfsvU0=")</f>
        <v>#REF!</v>
      </c>
      <c r="CA31" t="e">
        <f>AND(#REF!,"AAAAAHfsvU4=")</f>
        <v>#REF!</v>
      </c>
      <c r="CB31" t="b">
        <f>AND([1]Labo!D21,"AAAAAHfsvU8=")</f>
        <v>1</v>
      </c>
      <c r="CC31" t="e">
        <f>AND([1]Labo!E21,"AAAAAHfsvVA=")</f>
        <v>#VALUE!</v>
      </c>
      <c r="CD31" t="e">
        <f>AND([1]Labo!O25,"AAAAAHfsvVE=")</f>
        <v>#VALUE!</v>
      </c>
      <c r="CE31" t="e">
        <f>AND(#REF!,"AAAAAHfsvVI=")</f>
        <v>#REF!</v>
      </c>
      <c r="CF31" t="e">
        <f>AND(#REF!,"AAAAAHfsvVM=")</f>
        <v>#REF!</v>
      </c>
      <c r="CG31" t="e">
        <f>AND([1]Labo!#REF!,"AAAAAHfsvVQ=")</f>
        <v>#REF!</v>
      </c>
      <c r="CH31" t="e">
        <f>AND([1]Labo!#REF!,"AAAAAHfsvVU=")</f>
        <v>#REF!</v>
      </c>
      <c r="CI31" t="e">
        <f>AND([1]Labo!#REF!,"AAAAAHfsvVY=")</f>
        <v>#REF!</v>
      </c>
      <c r="CJ31" t="b">
        <f>AND([1]Labo!D22,"AAAAAHfsvVc=")</f>
        <v>1</v>
      </c>
      <c r="CK31" t="e">
        <f>AND([1]Labo!E22,"AAAAAHfsvVg=")</f>
        <v>#VALUE!</v>
      </c>
      <c r="CL31" t="e">
        <f>AND([1]Labo!O26,"AAAAAHfsvVk=")</f>
        <v>#VALUE!</v>
      </c>
      <c r="CM31" t="e">
        <f>AND(#REF!,"AAAAAHfsvVo=")</f>
        <v>#REF!</v>
      </c>
      <c r="CN31" t="e">
        <f>AND(#REF!,"AAAAAHfsvVs=")</f>
        <v>#REF!</v>
      </c>
      <c r="CO31" t="e">
        <f>AND([1]Labo!#REF!,"AAAAAHfsvVw=")</f>
        <v>#REF!</v>
      </c>
      <c r="CP31" t="e">
        <f>AND(#REF!,"AAAAAHfsvV0=")</f>
        <v>#REF!</v>
      </c>
      <c r="CQ31" t="e">
        <f>AND(#REF!,"AAAAAHfsvV4=")</f>
        <v>#REF!</v>
      </c>
      <c r="CR31" t="e">
        <f>IF([1]Labo!#REF!,"AAAAAHfsvV8=",0)</f>
        <v>#REF!</v>
      </c>
      <c r="CS31" t="e">
        <f>IF(#REF!,"AAAAAHfsvWA=",0)</f>
        <v>#REF!</v>
      </c>
      <c r="CT31" t="e">
        <f>IF(#REF!,"AAAAAHfsvWE=",0)</f>
        <v>#REF!</v>
      </c>
    </row>
    <row r="32" spans="1:256">
      <c r="A32" t="e">
        <f>AND(#REF!,"AAAAAG/7KQA=")</f>
        <v>#REF!</v>
      </c>
      <c r="B32" t="e">
        <f>AND(#REF!,"AAAAAG/7KQE=")</f>
        <v>#REF!</v>
      </c>
      <c r="C32" t="e">
        <f>AND('PCNY05-MOR-MMK 7'!A28,"AAAAAG/7KQI=")</f>
        <v>#VALUE!</v>
      </c>
      <c r="D32" t="e">
        <f>AND('PCNY05-MOR-MMK 7'!B28,"AAAAAG/7KQM=")</f>
        <v>#VALUE!</v>
      </c>
      <c r="E32" t="e">
        <f>AND('PCNY05-MOR-MMK 7'!C28,"AAAAAG/7KQQ=")</f>
        <v>#VALUE!</v>
      </c>
      <c r="F32" t="e">
        <f>AND('PCNY05-MOR-MMK 7'!D28,"AAAAAG/7KQU=")</f>
        <v>#VALUE!</v>
      </c>
      <c r="G32" t="e">
        <f>AND('PCNY05-MOR-MMK 7'!#REF!,"AAAAAG/7KQY=")</f>
        <v>#REF!</v>
      </c>
      <c r="H32" t="e">
        <f>AND(#REF!,"AAAAAG/7KQc=")</f>
        <v>#REF!</v>
      </c>
      <c r="I32" t="e">
        <f>AND(#REF!,"AAAAAG/7KQg=")</f>
        <v>#REF!</v>
      </c>
      <c r="J32" t="e">
        <f>AND(#REF!,"AAAAAG/7KQk=")</f>
        <v>#REF!</v>
      </c>
      <c r="K32" t="e">
        <f>AND(#REF!,"AAAAAG/7KQo=")</f>
        <v>#REF!</v>
      </c>
      <c r="L32" t="e">
        <f>AND(#REF!,"AAAAAG/7KQs=")</f>
        <v>#REF!</v>
      </c>
      <c r="M32" t="e">
        <f>AND(#REF!,"AAAAAG/7KQw=")</f>
        <v>#REF!</v>
      </c>
      <c r="N32" t="e">
        <f>AND(#REF!,"AAAAAG/7KQ0=")</f>
        <v>#REF!</v>
      </c>
      <c r="O32" t="e">
        <f>AND(#REF!,"AAAAAG/7KQ4=")</f>
        <v>#REF!</v>
      </c>
      <c r="P32" t="e">
        <f>AND(#REF!,"AAAAAG/7KQ8=")</f>
        <v>#REF!</v>
      </c>
      <c r="Q32" t="e">
        <f>AND(#REF!,"AAAAAG/7KRA=")</f>
        <v>#REF!</v>
      </c>
      <c r="R32" t="e">
        <f>AND(#REF!,"AAAAAG/7KRE=")</f>
        <v>#REF!</v>
      </c>
      <c r="S32" t="e">
        <f>AND(#REF!,"AAAAAG/7KRI=")</f>
        <v>#REF!</v>
      </c>
      <c r="T32" t="e">
        <f>AND(#REF!,"AAAAAG/7KRM=")</f>
        <v>#REF!</v>
      </c>
      <c r="U32" t="e">
        <f>AND(#REF!,"AAAAAG/7KRQ=")</f>
        <v>#REF!</v>
      </c>
      <c r="V32" t="e">
        <f>AND(#REF!,"AAAAAG/7KRU=")</f>
        <v>#REF!</v>
      </c>
      <c r="W32" t="e">
        <f>AND(#REF!,"AAAAAG/7KRY=")</f>
        <v>#REF!</v>
      </c>
      <c r="X32" t="e">
        <f>AND(#REF!,"AAAAAG/7KRc=")</f>
        <v>#REF!</v>
      </c>
      <c r="Y32" t="e">
        <f>AND(#REF!,"AAAAAG/7KRg=")</f>
        <v>#REF!</v>
      </c>
      <c r="Z32" t="e">
        <f>AND(#REF!,"AAAAAG/7KRk=")</f>
        <v>#REF!</v>
      </c>
      <c r="AA32" t="e">
        <f>AND(#REF!,"AAAAAG/7KRo=")</f>
        <v>#REF!</v>
      </c>
      <c r="AB32" t="e">
        <f>AND(#REF!,"AAAAAG/7KRs=")</f>
        <v>#REF!</v>
      </c>
      <c r="AC32" t="e">
        <f>AND(#REF!,"AAAAAG/7KRw=")</f>
        <v>#REF!</v>
      </c>
      <c r="AD32" t="e">
        <f>AND(#REF!,"AAAAAG/7KR0=")</f>
        <v>#REF!</v>
      </c>
      <c r="AE32" t="e">
        <f>AND(#REF!,"AAAAAG/7KR4=")</f>
        <v>#REF!</v>
      </c>
      <c r="AF32" t="e">
        <f>AND(#REF!,"AAAAAG/7KR8=")</f>
        <v>#REF!</v>
      </c>
      <c r="AG32" t="e">
        <f>AND(#REF!,"AAAAAG/7KSA=")</f>
        <v>#REF!</v>
      </c>
      <c r="AH32" t="e">
        <f>AND(#REF!,"AAAAAG/7KSE=")</f>
        <v>#REF!</v>
      </c>
      <c r="AI32" t="e">
        <f>AND(#REF!,"AAAAAG/7KSI=")</f>
        <v>#REF!</v>
      </c>
      <c r="AJ32" t="e">
        <f>AND(#REF!,"AAAAAG/7KSM=")</f>
        <v>#REF!</v>
      </c>
      <c r="AK32" t="e">
        <f>AND(#REF!,"AAAAAG/7KSQ=")</f>
        <v>#REF!</v>
      </c>
      <c r="AL32" t="e">
        <f>AND(#REF!,"AAAAAG/7KSU=")</f>
        <v>#REF!</v>
      </c>
      <c r="AM32" t="e">
        <f>AND(#REF!,"AAAAAG/7KSY=")</f>
        <v>#REF!</v>
      </c>
      <c r="AN32" t="e">
        <f>AND(#REF!,"AAAAAG/7KSc=")</f>
        <v>#REF!</v>
      </c>
      <c r="AO32" t="e">
        <f>AND(#REF!,"AAAAAG/7KSg=")</f>
        <v>#REF!</v>
      </c>
      <c r="AP32" t="e">
        <f>AND(#REF!,"AAAAAG/7KSk=")</f>
        <v>#REF!</v>
      </c>
      <c r="AQ32" t="e">
        <f>IF(#REF!,"AAAAAG/7KSo=",0)</f>
        <v>#REF!</v>
      </c>
    </row>
    <row r="33" spans="1:256">
      <c r="A33" t="e">
        <f>AND('MvsD 8'!O1,"AAAAAH8tvgA=")</f>
        <v>#VALUE!</v>
      </c>
      <c r="B33" t="e">
        <f>AND('MvsD 8'!P1,"AAAAAH8tvgE=")</f>
        <v>#VALUE!</v>
      </c>
      <c r="C33" t="e">
        <f>AND('MvsD 8'!#REF!,"AAAAAH8tvgI=")</f>
        <v>#REF!</v>
      </c>
      <c r="D33" t="b">
        <f>AND('MvsD 8'!M2,"AAAAAH8tvgM=")</f>
        <v>1</v>
      </c>
      <c r="E33" t="b">
        <f>AND('MvsD 8'!M5,"AAAAAH8tvgQ=")</f>
        <v>1</v>
      </c>
      <c r="F33" t="e">
        <f>AND('MvsD 8'!N5,"AAAAAH8tvgU=")</f>
        <v>#VALUE!</v>
      </c>
      <c r="G33" t="e">
        <f>AND('MvsD 8'!#REF!,"AAAAAH8tvgY=")</f>
        <v>#REF!</v>
      </c>
      <c r="H33" t="e">
        <f>AND('MvsD 8'!#REF!,"AAAAAH8tvgc=")</f>
        <v>#REF!</v>
      </c>
      <c r="I33" t="e">
        <f>AND('MvsD 8'!#REF!,"AAAAAH8tvgg=")</f>
        <v>#REF!</v>
      </c>
      <c r="J33" t="e">
        <f>AND('MvsD 8'!#REF!,"AAAAAH8tvgk=")</f>
        <v>#REF!</v>
      </c>
      <c r="K33" t="e">
        <f>AND('MvsD 8'!#REF!,"AAAAAH8tvgo=")</f>
        <v>#REF!</v>
      </c>
      <c r="L33" t="e">
        <f>AND('MvsD 8'!#REF!,"AAAAAH8tvgs=")</f>
        <v>#REF!</v>
      </c>
      <c r="M33" t="e">
        <f>AND('MvsD 8'!#REF!,"AAAAAH8tvgw=")</f>
        <v>#REF!</v>
      </c>
      <c r="N33" t="b">
        <f>AND('MvsD 8'!M3,"AAAAAH8tvg0=")</f>
        <v>1</v>
      </c>
      <c r="O33" t="e">
        <f>AND('MvsD 8'!N3,"AAAAAH8tvg4=")</f>
        <v>#VALUE!</v>
      </c>
      <c r="P33" t="e">
        <f>AND('MvsD 8'!#REF!,"AAAAAH8tvg8=")</f>
        <v>#REF!</v>
      </c>
      <c r="Q33" t="b">
        <f>AND('MvsD 8'!M4,"AAAAAH8tvhA=")</f>
        <v>1</v>
      </c>
      <c r="R33" t="e">
        <f>AND('MvsD 8'!N4,"AAAAAH8tvhE=")</f>
        <v>#VALUE!</v>
      </c>
      <c r="S33" t="e">
        <f>AND('MvsD 8'!#REF!,"AAAAAH8tvhI=")</f>
        <v>#REF!</v>
      </c>
      <c r="T33" t="e">
        <f>AND('MvsD 8'!#REF!,"AAAAAH8tvhM=")</f>
        <v>#REF!</v>
      </c>
      <c r="U33" t="e">
        <f>AND('MvsD 8'!#REF!,"AAAAAH8tvhQ=")</f>
        <v>#REF!</v>
      </c>
      <c r="V33" t="e">
        <f>AND('MvsD 8'!#REF!,"AAAAAH8tvhU=")</f>
        <v>#REF!</v>
      </c>
      <c r="W33" t="e">
        <f>AND('MvsD 8'!#REF!,"AAAAAH8tvhY=")</f>
        <v>#REF!</v>
      </c>
      <c r="X33" t="e">
        <f>AND('MvsD 8'!#REF!,"AAAAAH8tvhc=")</f>
        <v>#REF!</v>
      </c>
      <c r="Y33" t="e">
        <f>AND('MvsD 8'!#REF!,"AAAAAH8tvhg=")</f>
        <v>#REF!</v>
      </c>
      <c r="Z33" t="e">
        <f>AND('MvsD 8'!#REF!,"AAAAAH8tvhk=")</f>
        <v>#REF!</v>
      </c>
      <c r="AA33" t="e">
        <f>AND('MvsD 8'!#REF!,"AAAAAH8tvho=")</f>
        <v>#REF!</v>
      </c>
      <c r="AB33" t="e">
        <f>AND('MvsD 8'!#REF!,"AAAAAH8tvhs=")</f>
        <v>#REF!</v>
      </c>
      <c r="AC33" t="b">
        <f>AND('MvsD 8'!M6,"AAAAAH8tvhw=")</f>
        <v>1</v>
      </c>
      <c r="AD33" t="e">
        <f>AND('MvsD 8'!N6,"AAAAAH8tvh0=")</f>
        <v>#VALUE!</v>
      </c>
      <c r="AE33" t="e">
        <f>AND('MvsD 8'!#REF!,"AAAAAH8tvh4=")</f>
        <v>#REF!</v>
      </c>
      <c r="AF33" t="b">
        <f>AND('MvsD 8'!M7,"AAAAAH8tvh8=")</f>
        <v>1</v>
      </c>
      <c r="AG33" t="e">
        <f>AND('MvsD 8'!N7,"AAAAAH8tviA=")</f>
        <v>#VALUE!</v>
      </c>
      <c r="AH33" t="e">
        <f>AND('MvsD 8'!#REF!,"AAAAAH8tviE=")</f>
        <v>#REF!</v>
      </c>
      <c r="AI33" t="e">
        <f>AND('MvsD 8'!M21,"AAAAAH8tviI=")</f>
        <v>#VALUE!</v>
      </c>
      <c r="AJ33" t="e">
        <f>AND('MvsD 8'!N21,"AAAAAH8tviM=")</f>
        <v>#VALUE!</v>
      </c>
      <c r="AK33" t="e">
        <f>AND('MvsD 8'!#REF!,"AAAAAH8tviQ=")</f>
        <v>#REF!</v>
      </c>
      <c r="AL33" t="b">
        <f>AND('MvsD 8'!M13,"AAAAAH8tviU=")</f>
        <v>1</v>
      </c>
      <c r="AM33" t="e">
        <f>AND('MvsD 8'!N13,"AAAAAH8tviY=")</f>
        <v>#VALUE!</v>
      </c>
      <c r="AN33" t="e">
        <f>AND('MvsD 8'!#REF!,"AAAAAH8tvic=")</f>
        <v>#REF!</v>
      </c>
      <c r="AO33" t="b">
        <f>AND('MvsD 8'!M12,"AAAAAH8tvig=")</f>
        <v>1</v>
      </c>
      <c r="AP33" t="e">
        <f>AND('MvsD 8'!N12,"AAAAAH8tvik=")</f>
        <v>#VALUE!</v>
      </c>
      <c r="AQ33" t="e">
        <f>AND('MvsD 8'!#REF!,"AAAAAH8tvio=")</f>
        <v>#REF!</v>
      </c>
      <c r="AR33" t="b">
        <f>AND('MvsD 8'!M13,"AAAAAH8tvis=")</f>
        <v>1</v>
      </c>
      <c r="AS33" t="e">
        <f>AND('MvsD 8'!N13,"AAAAAH8tviw=")</f>
        <v>#VALUE!</v>
      </c>
      <c r="AT33" t="e">
        <f>AND('MvsD 8'!#REF!,"AAAAAH8tvi0=")</f>
        <v>#REF!</v>
      </c>
      <c r="AU33" t="b">
        <f>AND('MvsD 8'!M14,"AAAAAH8tvi4=")</f>
        <v>1</v>
      </c>
      <c r="AV33" t="e">
        <f>AND('MvsD 8'!N14,"AAAAAH8tvi8=")</f>
        <v>#VALUE!</v>
      </c>
      <c r="AW33" t="e">
        <f>AND('MvsD 8'!#REF!,"AAAAAH8tvjA=")</f>
        <v>#REF!</v>
      </c>
      <c r="AX33" t="b">
        <f>AND('MvsD 8'!M15,"AAAAAH8tvjE=")</f>
        <v>1</v>
      </c>
      <c r="AY33" t="e">
        <f>AND('MvsD 8'!N15,"AAAAAH8tvjI=")</f>
        <v>#VALUE!</v>
      </c>
      <c r="AZ33" t="e">
        <f>AND('MvsD 8'!#REF!,"AAAAAH8tvjM=")</f>
        <v>#REF!</v>
      </c>
      <c r="BA33" t="b">
        <f>AND('MvsD 8'!M16,"AAAAAH8tvjQ=")</f>
        <v>1</v>
      </c>
      <c r="BB33" t="e">
        <f>AND('MvsD 8'!N16,"AAAAAH8tvjU=")</f>
        <v>#VALUE!</v>
      </c>
      <c r="BC33" t="e">
        <f>AND('MvsD 8'!#REF!,"AAAAAH8tvjY=")</f>
        <v>#REF!</v>
      </c>
      <c r="BD33" t="b">
        <f>AND('MvsD 8'!M17,"AAAAAH8tvjc=")</f>
        <v>1</v>
      </c>
      <c r="BE33" t="e">
        <f>AND('MvsD 8'!N17,"AAAAAH8tvjg=")</f>
        <v>#VALUE!</v>
      </c>
      <c r="BF33" t="e">
        <f>AND('MvsD 8'!#REF!,"AAAAAH8tvjk=")</f>
        <v>#REF!</v>
      </c>
      <c r="BG33" t="b">
        <f>AND('MvsD 8'!M17,"AAAAAH8tvjo=")</f>
        <v>1</v>
      </c>
      <c r="BH33" t="e">
        <f>AND('MvsD 8'!N17,"AAAAAH8tvjs=")</f>
        <v>#VALUE!</v>
      </c>
      <c r="BI33" t="e">
        <f>AND('MvsD 8'!#REF!,"AAAAAH8tvjw=")</f>
        <v>#REF!</v>
      </c>
      <c r="BJ33" t="b">
        <f>AND('MvsD 8'!M17,"AAAAAH8tvj0=")</f>
        <v>1</v>
      </c>
      <c r="BK33" t="e">
        <f>AND('MvsD 8'!N17,"AAAAAH8tvj4=")</f>
        <v>#VALUE!</v>
      </c>
      <c r="BL33" t="e">
        <f>AND('MvsD 8'!#REF!,"AAAAAH8tvj8=")</f>
        <v>#REF!</v>
      </c>
      <c r="BM33" t="e">
        <f>AND('MvsD 8'!M22,"AAAAAH8tvkA=")</f>
        <v>#VALUE!</v>
      </c>
      <c r="BN33" t="e">
        <f>AND('MvsD 8'!N22,"AAAAAH8tvkE=")</f>
        <v>#VALUE!</v>
      </c>
      <c r="BO33" t="e">
        <f>AND('MvsD 8'!#REF!,"AAAAAH8tvkI=")</f>
        <v>#REF!</v>
      </c>
      <c r="BP33" t="e">
        <f>AND('MvsD 8'!M20,"AAAAAH8tvkM=")</f>
        <v>#VALUE!</v>
      </c>
      <c r="BQ33" t="e">
        <f>AND('MvsD 8'!N20,"AAAAAH8tvkQ=")</f>
        <v>#VALUE!</v>
      </c>
      <c r="BR33" t="e">
        <f>AND('MvsD 8'!#REF!,"AAAAAH8tvkU=")</f>
        <v>#REF!</v>
      </c>
      <c r="BS33" t="e">
        <f>AND('MvsD 8'!M21,"AAAAAH8tvkY=")</f>
        <v>#VALUE!</v>
      </c>
      <c r="BT33" t="e">
        <f>AND('MvsD 8'!N21,"AAAAAH8tvkc=")</f>
        <v>#VALUE!</v>
      </c>
      <c r="BU33" t="e">
        <f>AND('MvsD 8'!#REF!,"AAAAAH8tvkg=")</f>
        <v>#REF!</v>
      </c>
      <c r="BV33" t="e">
        <f>AND('MvsD 8'!M25,"AAAAAH8tvkk=")</f>
        <v>#VALUE!</v>
      </c>
      <c r="BW33" t="e">
        <f>AND('MvsD 8'!N25,"AAAAAH8tvko=")</f>
        <v>#VALUE!</v>
      </c>
      <c r="BX33" t="e">
        <f>AND('MvsD 8'!#REF!,"AAAAAH8tvks=")</f>
        <v>#REF!</v>
      </c>
      <c r="BY33" t="b">
        <f>AND('MvsD 8'!M19,"AAAAAH8tvkw=")</f>
        <v>1</v>
      </c>
      <c r="BZ33" t="e">
        <f>AND('MvsD 8'!N19,"AAAAAH8tvk0=")</f>
        <v>#VALUE!</v>
      </c>
      <c r="CA33" t="e">
        <f>AND('MvsD 8'!#REF!,"AAAAAH8tvk4=")</f>
        <v>#REF!</v>
      </c>
      <c r="CB33" t="e">
        <f>AND('MvsD 8'!M26,"AAAAAH8tvk8=")</f>
        <v>#VALUE!</v>
      </c>
      <c r="CC33" t="e">
        <f>AND('MvsD 8'!N26,"AAAAAH8tvlA=")</f>
        <v>#VALUE!</v>
      </c>
      <c r="CD33" t="e">
        <f>AND('MvsD 8'!#REF!,"AAAAAH8tvlE=")</f>
        <v>#REF!</v>
      </c>
      <c r="CE33" t="b">
        <f>AND('MvsD 8'!M18,"AAAAAH8tvlI=")</f>
        <v>1</v>
      </c>
      <c r="CF33" t="e">
        <f>AND('MvsD 8'!N18,"AAAAAH8tvlM=")</f>
        <v>#VALUE!</v>
      </c>
      <c r="CG33" t="e">
        <f>AND('MvsD 8'!#REF!,"AAAAAH8tvlQ=")</f>
        <v>#REF!</v>
      </c>
      <c r="CH33" t="b">
        <f>AND('MvsD 8'!M8,"AAAAAH8tvlU=")</f>
        <v>1</v>
      </c>
      <c r="CI33" t="e">
        <f>AND('MvsD 8'!N8,"AAAAAH8tvlY=")</f>
        <v>#VALUE!</v>
      </c>
      <c r="CJ33" t="e">
        <f>AND('MvsD 8'!#REF!,"AAAAAH8tvlc=")</f>
        <v>#REF!</v>
      </c>
      <c r="CK33" t="b">
        <f>AND('MvsD 8'!M9,"AAAAAH8tvlg=")</f>
        <v>1</v>
      </c>
      <c r="CL33" t="e">
        <f>AND('MvsD 8'!N9,"AAAAAH8tvlk=")</f>
        <v>#VALUE!</v>
      </c>
      <c r="CM33" t="e">
        <f>AND('MvsD 8'!#REF!,"AAAAAH8tvlo=")</f>
        <v>#REF!</v>
      </c>
      <c r="CN33" t="e">
        <f>AND('MvsD 8'!M23,"AAAAAH8tvls=")</f>
        <v>#VALUE!</v>
      </c>
      <c r="CO33" t="e">
        <f>AND('MvsD 8'!N23,"AAAAAH8tvlw=")</f>
        <v>#VALUE!</v>
      </c>
      <c r="CP33" t="e">
        <f>AND('MvsD 8'!#REF!,"AAAAAH8tvl0=")</f>
        <v>#REF!</v>
      </c>
      <c r="CQ33" t="e">
        <f>AND('MvsD 8'!#REF!,"AAAAAH8tvl4=")</f>
        <v>#REF!</v>
      </c>
      <c r="CR33" t="e">
        <f>AND('MvsD 8'!#REF!,"AAAAAH8tvl8=")</f>
        <v>#REF!</v>
      </c>
      <c r="CS33" t="b">
        <f>AND('MvsD 8'!C34,"AAAAAH8tvmA=")</f>
        <v>1</v>
      </c>
      <c r="CT33" t="e">
        <f>AND('MvsD 8'!D34,"AAAAAH8tvmE=")</f>
        <v>#VALUE!</v>
      </c>
      <c r="CU33" t="e">
        <f>AND('MvsD 8'!#REF!,"AAAAAH8tvmI=")</f>
        <v>#REF!</v>
      </c>
      <c r="CV33" t="e">
        <f>AND('MvsD 8'!#REF!,"AAAAAH8tvmM=")</f>
        <v>#REF!</v>
      </c>
      <c r="CW33" t="e">
        <f>AND('MvsD 8'!#REF!,"AAAAAH8tvmQ=")</f>
        <v>#REF!</v>
      </c>
      <c r="CX33" t="e">
        <f>AND('MvsD 8'!M24,"AAAAAH8tvmU=")</f>
        <v>#VALUE!</v>
      </c>
      <c r="CY33" t="e">
        <f>AND('MvsD 8'!N25,"AAAAAH8tvmY=")</f>
        <v>#VALUE!</v>
      </c>
      <c r="CZ33" t="b">
        <f>AND('MvsD 8'!C33,"AAAAAH8tvmc=")</f>
        <v>1</v>
      </c>
      <c r="DA33" t="e">
        <f>AND('MvsD 8'!D33,"AAAAAH8tvmg=")</f>
        <v>#VALUE!</v>
      </c>
      <c r="DB33" t="e">
        <f>AND('MvsD 8'!#REF!,"AAAAAH8tvmk=")</f>
        <v>#REF!</v>
      </c>
      <c r="DC33" t="e">
        <f>AND('MvsD 8'!#REF!,"AAAAAH8tvmo=")</f>
        <v>#REF!</v>
      </c>
      <c r="DD33" t="e">
        <f>AND('MvsD 8'!#REF!,"AAAAAH8tvms=")</f>
        <v>#REF!</v>
      </c>
      <c r="DE33" t="e">
        <f>AND('MvsD 8'!M25,"AAAAAH8tvmw=")</f>
        <v>#VALUE!</v>
      </c>
      <c r="DF33" t="e">
        <f>AND('MvsD 8'!N24,"AAAAAH8tvm0=")</f>
        <v>#VALUE!</v>
      </c>
      <c r="DG33" t="b">
        <f>AND('MvsD 8'!C34,"AAAAAH8tvm4=")</f>
        <v>1</v>
      </c>
      <c r="DH33" t="e">
        <f>AND('MvsD 8'!D34,"AAAAAH8tvm8=")</f>
        <v>#VALUE!</v>
      </c>
      <c r="DI33" t="e">
        <f>AND('MvsD 8'!K35,"AAAAAH8tvnA=")</f>
        <v>#VALUE!</v>
      </c>
      <c r="DJ33" t="e">
        <f>AND('MvsD 8'!L35,"AAAAAH8tvnE=")</f>
        <v>#VALUE!</v>
      </c>
      <c r="DK33" t="e">
        <f>AND('MvsD 8'!#REF!,"AAAAAH8tvnI=")</f>
        <v>#REF!</v>
      </c>
      <c r="DL33" t="b">
        <f>AND('MvsD 8'!M6,"AAAAAH8tvnM=")</f>
        <v>1</v>
      </c>
      <c r="DM33" t="e">
        <f>AND('MvsD 8'!N6,"AAAAAH8tvnQ=")</f>
        <v>#VALUE!</v>
      </c>
      <c r="DN33">
        <f>IF('MvsD 8'!O:O,"AAAAAH8tvnU=",0)</f>
        <v>0</v>
      </c>
      <c r="DO33">
        <f>IF('MvsD 8'!P:P,"AAAAAH8tvnY=",0)</f>
        <v>0</v>
      </c>
      <c r="DP33" t="e">
        <f>IF('MvsD 8'!#REF!,"AAAAAH8tvnc=",0)</f>
        <v>#REF!</v>
      </c>
    </row>
    <row r="34" spans="1:256">
      <c r="A34" t="e">
        <f>AND(#REF!,"AAAAAFX3MwA=")</f>
        <v>#REF!</v>
      </c>
      <c r="B34" t="e">
        <f>AND(#REF!,"AAAAAFX3MwE=")</f>
        <v>#REF!</v>
      </c>
      <c r="C34" t="e">
        <f>AND(#REF!,"AAAAAFX3MwI=")</f>
        <v>#REF!</v>
      </c>
      <c r="D34" t="e">
        <f>AND(#REF!,"AAAAAFX3MwM=")</f>
        <v>#REF!</v>
      </c>
      <c r="E34" t="e">
        <f>AND(#REF!,"AAAAAFX3MwQ=")</f>
        <v>#REF!</v>
      </c>
      <c r="F34" t="e">
        <f>AND(#REF!,"AAAAAFX3MwU=")</f>
        <v>#REF!</v>
      </c>
      <c r="G34" t="e">
        <f>AND(#REF!,"AAAAAFX3MwY=")</f>
        <v>#REF!</v>
      </c>
      <c r="H34" t="e">
        <f>AND(#REF!,"AAAAAFX3Mwc=")</f>
        <v>#REF!</v>
      </c>
      <c r="I34" t="e">
        <f>AND(#REF!,"AAAAAFX3Mwg=")</f>
        <v>#REF!</v>
      </c>
      <c r="J34" t="e">
        <f>AND(#REF!,"AAAAAFX3Mwk=")</f>
        <v>#REF!</v>
      </c>
      <c r="K34" t="e">
        <f>AND(#REF!,"AAAAAFX3Mwo=")</f>
        <v>#REF!</v>
      </c>
      <c r="L34" t="e">
        <f>AND(#REF!,"AAAAAFX3Mws=")</f>
        <v>#REF!</v>
      </c>
      <c r="M34" t="e">
        <f>AND(#REF!,"AAAAAFX3Mww=")</f>
        <v>#REF!</v>
      </c>
      <c r="N34" t="e">
        <f>AND(#REF!,"AAAAAFX3Mw0=")</f>
        <v>#REF!</v>
      </c>
      <c r="O34" t="e">
        <f>AND(#REF!,"AAAAAFX3Mw4=")</f>
        <v>#REF!</v>
      </c>
      <c r="P34" t="e">
        <f>AND(#REF!,"AAAAAFX3Mw8=")</f>
        <v>#REF!</v>
      </c>
      <c r="Q34" t="e">
        <f>AND(#REF!,"AAAAAFX3MxA=")</f>
        <v>#REF!</v>
      </c>
      <c r="R34" t="e">
        <f>AND(#REF!,"AAAAAFX3MxE=")</f>
        <v>#REF!</v>
      </c>
      <c r="S34" t="e">
        <f>AND(#REF!,"AAAAAFX3MxI=")</f>
        <v>#REF!</v>
      </c>
      <c r="T34" t="e">
        <f>AND(#REF!,"AAAAAFX3MxM=")</f>
        <v>#REF!</v>
      </c>
      <c r="U34" t="e">
        <f>AND(#REF!,"AAAAAFX3MxQ=")</f>
        <v>#REF!</v>
      </c>
      <c r="V34" t="e">
        <f>AND(#REF!,"AAAAAFX3MxU=")</f>
        <v>#REF!</v>
      </c>
      <c r="W34" t="e">
        <f>AND(#REF!,"AAAAAFX3MxY=")</f>
        <v>#REF!</v>
      </c>
      <c r="X34" t="e">
        <f>AND(#REF!,"AAAAAFX3Mxc=")</f>
        <v>#REF!</v>
      </c>
      <c r="Y34" t="e">
        <f>AND(#REF!,"AAAAAFX3Mxg=")</f>
        <v>#REF!</v>
      </c>
      <c r="Z34" t="e">
        <f>AND(#REF!,"AAAAAFX3Mxk=")</f>
        <v>#REF!</v>
      </c>
      <c r="AA34" t="e">
        <f>AND(#REF!,"AAAAAFX3Mxo=")</f>
        <v>#REF!</v>
      </c>
      <c r="AB34" t="e">
        <f>AND(#REF!,"AAAAAFX3Mxs=")</f>
        <v>#REF!</v>
      </c>
      <c r="AC34" t="e">
        <f>AND(#REF!,"AAAAAFX3Mxw=")</f>
        <v>#REF!</v>
      </c>
      <c r="AD34" t="e">
        <f>AND(#REF!,"AAAAAFX3Mx0=")</f>
        <v>#REF!</v>
      </c>
      <c r="AE34" t="e">
        <f>AND(#REF!,"AAAAAFX3Mx4=")</f>
        <v>#REF!</v>
      </c>
      <c r="AF34" t="e">
        <f>AND(#REF!,"AAAAAFX3Mx8=")</f>
        <v>#REF!</v>
      </c>
      <c r="AG34" t="e">
        <f>AND(#REF!,"AAAAAFX3MyA=")</f>
        <v>#REF!</v>
      </c>
      <c r="AH34" t="e">
        <f>AND(#REF!,"AAAAAFX3MyE=")</f>
        <v>#REF!</v>
      </c>
      <c r="AI34" t="e">
        <f>AND(#REF!,"AAAAAFX3MyI=")</f>
        <v>#REF!</v>
      </c>
      <c r="AJ34" t="e">
        <f>AND(#REF!,"AAAAAFX3MyM=")</f>
        <v>#REF!</v>
      </c>
      <c r="AK34" t="e">
        <f>AND(#REF!,"AAAAAFX3MyQ=")</f>
        <v>#REF!</v>
      </c>
      <c r="AL34" t="e">
        <f>AND(#REF!,"AAAAAFX3MyU=")</f>
        <v>#REF!</v>
      </c>
      <c r="AM34" t="e">
        <f>AND(#REF!,"AAAAAFX3MyY=")</f>
        <v>#REF!</v>
      </c>
      <c r="AN34" t="e">
        <f>AND(#REF!,"AAAAAFX3Myc=")</f>
        <v>#REF!</v>
      </c>
      <c r="AO34" t="e">
        <f>AND(#REF!,"AAAAAFX3Myg=")</f>
        <v>#REF!</v>
      </c>
      <c r="AP34" t="e">
        <f>AND(#REF!,"AAAAAFX3Myk=")</f>
        <v>#REF!</v>
      </c>
      <c r="AQ34" t="e">
        <f>AND(#REF!,"AAAAAFX3Myo=")</f>
        <v>#REF!</v>
      </c>
      <c r="AR34" t="e">
        <f>AND(#REF!,"AAAAAFX3Mys=")</f>
        <v>#REF!</v>
      </c>
      <c r="AS34" t="e">
        <f>AND(#REF!,"AAAAAFX3Myw=")</f>
        <v>#REF!</v>
      </c>
      <c r="AT34" t="e">
        <f>AND(#REF!,"AAAAAFX3My0=")</f>
        <v>#REF!</v>
      </c>
      <c r="AU34" t="e">
        <f>AND(#REF!,"AAAAAFX3My4=")</f>
        <v>#REF!</v>
      </c>
      <c r="AV34" t="e">
        <f>AND(#REF!,"AAAAAFX3My8=")</f>
        <v>#REF!</v>
      </c>
      <c r="AW34" t="e">
        <f>AND(#REF!,"AAAAAFX3MzA=")</f>
        <v>#REF!</v>
      </c>
      <c r="AX34" t="e">
        <f>AND(#REF!,"AAAAAFX3MzE=")</f>
        <v>#REF!</v>
      </c>
      <c r="AY34" t="e">
        <f>AND(#REF!,"AAAAAFX3MzI=")</f>
        <v>#REF!</v>
      </c>
      <c r="AZ34" t="e">
        <f>AND(#REF!,"AAAAAFX3MzM=")</f>
        <v>#REF!</v>
      </c>
      <c r="BA34" t="e">
        <f>AND(#REF!,"AAAAAFX3MzQ=")</f>
        <v>#REF!</v>
      </c>
      <c r="BB34" t="e">
        <f>AND(#REF!,"AAAAAFX3MzU=")</f>
        <v>#REF!</v>
      </c>
      <c r="BC34" t="e">
        <f>IF(#REF!,"AAAAAFX3MzY=",0)</f>
        <v>#REF!</v>
      </c>
      <c r="BD34" t="e">
        <f>AND(#REF!,"AAAAAFX3Mzc=")</f>
        <v>#REF!</v>
      </c>
      <c r="BE34" t="e">
        <f>AND(#REF!,"AAAAAFX3Mzg=")</f>
        <v>#REF!</v>
      </c>
      <c r="BF34" t="e">
        <f>AND(#REF!,"AAAAAFX3Mzk=")</f>
        <v>#REF!</v>
      </c>
      <c r="BG34" t="e">
        <f>AND(#REF!,"AAAAAFX3Mzo=")</f>
        <v>#REF!</v>
      </c>
      <c r="BH34" t="e">
        <f>AND(#REF!,"AAAAAFX3Mzs=")</f>
        <v>#REF!</v>
      </c>
      <c r="BI34" t="e">
        <f>AND(#REF!,"AAAAAFX3Mzw=")</f>
        <v>#REF!</v>
      </c>
      <c r="BJ34" t="e">
        <f>AND(#REF!,"AAAAAFX3Mz0=")</f>
        <v>#REF!</v>
      </c>
      <c r="BK34" t="e">
        <f>AND(#REF!,"AAAAAFX3Mz4=")</f>
        <v>#REF!</v>
      </c>
      <c r="BL34" t="e">
        <f>AND(#REF!,"AAAAAFX3Mz8=")</f>
        <v>#REF!</v>
      </c>
      <c r="BM34" t="e">
        <f>AND(#REF!,"AAAAAFX3M0A=")</f>
        <v>#REF!</v>
      </c>
      <c r="BN34" t="e">
        <f>IF(#REF!,"AAAAAFX3M0E=",0)</f>
        <v>#REF!</v>
      </c>
      <c r="BO34" t="e">
        <f>AND(#REF!,"AAAAAFX3M0I=")</f>
        <v>#REF!</v>
      </c>
      <c r="BP34" t="e">
        <f>AND(#REF!,"AAAAAFX3M0M=")</f>
        <v>#REF!</v>
      </c>
      <c r="BQ34" t="e">
        <f>AND(#REF!,"AAAAAFX3M0Q=")</f>
        <v>#REF!</v>
      </c>
      <c r="BR34" t="e">
        <f>AND(#REF!,"AAAAAFX3M0U=")</f>
        <v>#REF!</v>
      </c>
      <c r="BS34" t="e">
        <f>AND(#REF!,"AAAAAFX3M0Y=")</f>
        <v>#REF!</v>
      </c>
      <c r="BT34" t="e">
        <f>AND(#REF!,"AAAAAFX3M0c=")</f>
        <v>#REF!</v>
      </c>
      <c r="BU34" t="e">
        <f>AND(#REF!,"AAAAAFX3M0g=")</f>
        <v>#REF!</v>
      </c>
      <c r="BV34" t="e">
        <f>AND(#REF!,"AAAAAFX3M0k=")</f>
        <v>#REF!</v>
      </c>
      <c r="BW34" t="e">
        <f>AND(#REF!,"AAAAAFX3M0o=")</f>
        <v>#REF!</v>
      </c>
      <c r="BX34" t="e">
        <f>AND(#REF!,"AAAAAFX3M0s=")</f>
        <v>#REF!</v>
      </c>
      <c r="BY34" t="e">
        <f>IF(#REF!,"AAAAAFX3M0w=",0)</f>
        <v>#REF!</v>
      </c>
      <c r="BZ34" t="e">
        <f>AND(#REF!,"AAAAAFX3M00=")</f>
        <v>#REF!</v>
      </c>
      <c r="CA34" t="e">
        <f>AND(#REF!,"AAAAAFX3M04=")</f>
        <v>#REF!</v>
      </c>
      <c r="CB34" t="e">
        <f>AND(#REF!,"AAAAAFX3M08=")</f>
        <v>#REF!</v>
      </c>
      <c r="CC34" t="e">
        <f>AND(#REF!,"AAAAAFX3M1A=")</f>
        <v>#REF!</v>
      </c>
      <c r="CD34" t="e">
        <f>AND(#REF!,"AAAAAFX3M1E=")</f>
        <v>#REF!</v>
      </c>
      <c r="CE34" t="e">
        <f>AND(#REF!,"AAAAAFX3M1I=")</f>
        <v>#REF!</v>
      </c>
      <c r="CF34" t="e">
        <f>AND(#REF!,"AAAAAFX3M1M=")</f>
        <v>#REF!</v>
      </c>
      <c r="CG34" t="e">
        <f>AND(#REF!,"AAAAAFX3M1Q=")</f>
        <v>#REF!</v>
      </c>
      <c r="CH34" t="e">
        <f>AND(#REF!,"AAAAAFX3M1U=")</f>
        <v>#REF!</v>
      </c>
      <c r="CI34" t="e">
        <f>AND(#REF!,"AAAAAFX3M1Y=")</f>
        <v>#REF!</v>
      </c>
      <c r="CJ34" t="e">
        <f>IF(#REF!,"AAAAAFX3M1c=",0)</f>
        <v>#REF!</v>
      </c>
      <c r="CK34" t="e">
        <f>AND(#REF!,"AAAAAFX3M1g=")</f>
        <v>#REF!</v>
      </c>
      <c r="CL34" t="e">
        <f>AND(#REF!,"AAAAAFX3M1k=")</f>
        <v>#REF!</v>
      </c>
      <c r="CM34" t="e">
        <f>AND(#REF!,"AAAAAFX3M1o=")</f>
        <v>#REF!</v>
      </c>
      <c r="CN34" t="e">
        <f>AND(#REF!,"AAAAAFX3M1s=")</f>
        <v>#REF!</v>
      </c>
      <c r="CO34" t="e">
        <f>AND(#REF!,"AAAAAFX3M1w=")</f>
        <v>#REF!</v>
      </c>
      <c r="CP34" t="e">
        <f>AND(#REF!,"AAAAAFX3M10=")</f>
        <v>#REF!</v>
      </c>
      <c r="CQ34" t="e">
        <f>AND(#REF!,"AAAAAFX3M14=")</f>
        <v>#REF!</v>
      </c>
      <c r="CR34" t="e">
        <f>AND(#REF!,"AAAAAFX3M18=")</f>
        <v>#REF!</v>
      </c>
      <c r="CS34" t="e">
        <f>AND(#REF!,"AAAAAFX3M2A=")</f>
        <v>#REF!</v>
      </c>
      <c r="CT34" t="e">
        <f>AND(#REF!,"AAAAAFX3M2E=")</f>
        <v>#REF!</v>
      </c>
      <c r="CU34" t="e">
        <f>IF(#REF!,"AAAAAFX3M2I=",0)</f>
        <v>#REF!</v>
      </c>
      <c r="CV34" t="e">
        <f>AND(#REF!,"AAAAAFX3M2M=")</f>
        <v>#REF!</v>
      </c>
      <c r="CW34" t="e">
        <f>AND(#REF!,"AAAAAFX3M2Q=")</f>
        <v>#REF!</v>
      </c>
      <c r="CX34" t="e">
        <f>AND(#REF!,"AAAAAFX3M2U=")</f>
        <v>#REF!</v>
      </c>
      <c r="CY34" t="e">
        <f>AND(#REF!,"AAAAAFX3M2Y=")</f>
        <v>#REF!</v>
      </c>
      <c r="CZ34" t="e">
        <f>AND(#REF!,"AAAAAFX3M2c=")</f>
        <v>#REF!</v>
      </c>
      <c r="DA34" t="e">
        <f>AND(#REF!,"AAAAAFX3M2g=")</f>
        <v>#REF!</v>
      </c>
      <c r="DB34" t="e">
        <f>AND(#REF!,"AAAAAFX3M2k=")</f>
        <v>#REF!</v>
      </c>
      <c r="DC34" t="e">
        <f>AND(#REF!,"AAAAAFX3M2o=")</f>
        <v>#REF!</v>
      </c>
      <c r="DD34" t="e">
        <f>AND(#REF!,"AAAAAFX3M2s=")</f>
        <v>#REF!</v>
      </c>
      <c r="DE34" t="e">
        <f>AND(#REF!,"AAAAAFX3M2w=")</f>
        <v>#REF!</v>
      </c>
      <c r="DF34" t="e">
        <f>AND('MvsD 8'!N2,"AAAAAFX3M20=")</f>
        <v>#VALUE!</v>
      </c>
      <c r="DG34" t="e">
        <f>AND('MvsD 8'!#REF!,"AAAAAFX3M24=")</f>
        <v>#REF!</v>
      </c>
      <c r="DH34" t="e">
        <f>AND('MvsD 8'!#REF!,"AAAAAFX3M28=")</f>
        <v>#REF!</v>
      </c>
      <c r="DI34" t="e">
        <f>AND('MvsD 8'!#REF!,"AAAAAFX3M3A=")</f>
        <v>#REF!</v>
      </c>
      <c r="DJ34" t="e">
        <f>AND('MvsD 8'!#REF!,"AAAAAFX3M3E=")</f>
        <v>#REF!</v>
      </c>
      <c r="DK34" t="e">
        <f>AND('MvsD 8'!#REF!,"AAAAAFX3M3I=")</f>
        <v>#REF!</v>
      </c>
      <c r="DL34" t="e">
        <f>AND('MvsD 8'!K28,"AAAAAFX3M3M=")</f>
        <v>#VALUE!</v>
      </c>
      <c r="DM34" t="e">
        <f>AND('MvsD 8'!L28,"AAAAAFX3M3Q=")</f>
        <v>#VALUE!</v>
      </c>
      <c r="DN34" t="e">
        <f>AND('MvsD 8'!K29,"AAAAAFX3M3U=")</f>
        <v>#VALUE!</v>
      </c>
      <c r="DO34" t="e">
        <f>AND('MvsD 8'!L29,"AAAAAFX3M3Y=")</f>
        <v>#VALUE!</v>
      </c>
      <c r="DP34" t="e">
        <f>AND('MvsD 8'!K30,"AAAAAFX3M3c=")</f>
        <v>#VALUE!</v>
      </c>
      <c r="DQ34" t="e">
        <f>AND('MvsD 8'!L30,"AAAAAFX3M3g=")</f>
        <v>#VALUE!</v>
      </c>
      <c r="DR34" t="e">
        <f>AND('MvsD 8'!K31,"AAAAAFX3M3k=")</f>
        <v>#VALUE!</v>
      </c>
      <c r="DS34" t="e">
        <f>AND('MvsD 8'!L31,"AAAAAFX3M3o=")</f>
        <v>#VALUE!</v>
      </c>
      <c r="DT34" t="e">
        <f>AND('MvsD 8'!K32,"AAAAAFX3M3s=")</f>
        <v>#VALUE!</v>
      </c>
      <c r="DU34" t="e">
        <f>AND('MvsD 8'!L32,"AAAAAFX3M3w=")</f>
        <v>#VALUE!</v>
      </c>
    </row>
    <row r="35" spans="1:256">
      <c r="A35" t="e">
        <f>AND('MvsD 8'!Q1,"AAAAAH98/wA=")</f>
        <v>#VALUE!</v>
      </c>
      <c r="B35" t="e">
        <f>AND('MvsD 8'!#REF!,"AAAAAH98/wE=")</f>
        <v>#REF!</v>
      </c>
      <c r="C35" t="e">
        <f>AND('MvsD 8'!#REF!,"AAAAAH98/wI=")</f>
        <v>#REF!</v>
      </c>
      <c r="D35" t="e">
        <f>AND('MvsD 8'!#REF!,"AAAAAH98/wM=")</f>
        <v>#REF!</v>
      </c>
      <c r="E35" t="e">
        <f>AND('MvsD 8'!#REF!,"AAAAAH98/wQ=")</f>
        <v>#REF!</v>
      </c>
      <c r="F35" t="e">
        <f>AND('MvsD 8'!#REF!,"AAAAAH98/wU=")</f>
        <v>#REF!</v>
      </c>
      <c r="G35" t="e">
        <f>AND('MvsD 8'!#REF!,"AAAAAH98/wY=")</f>
        <v>#REF!</v>
      </c>
      <c r="H35" t="e">
        <f>AND('MvsD 8'!#REF!,"AAAAAH98/wc=")</f>
        <v>#REF!</v>
      </c>
      <c r="I35" t="e">
        <f>AND('MvsD 8'!#REF!,"AAAAAH98/wg=")</f>
        <v>#REF!</v>
      </c>
      <c r="J35" t="e">
        <f>AND('MvsD 8'!#REF!,"AAAAAH98/wk=")</f>
        <v>#REF!</v>
      </c>
      <c r="K35" t="e">
        <f>AND('MvsD 8'!#REF!,"AAAAAH98/wo=")</f>
        <v>#REF!</v>
      </c>
      <c r="L35" t="e">
        <f>AND('MvsD 8'!#REF!,"AAAAAH98/ws=")</f>
        <v>#REF!</v>
      </c>
      <c r="M35" t="e">
        <f>AND('MvsD 8'!#REF!,"AAAAAH98/ww=")</f>
        <v>#REF!</v>
      </c>
      <c r="N35" t="e">
        <f>AND('MvsD 8'!#REF!,"AAAAAH98/w0=")</f>
        <v>#REF!</v>
      </c>
      <c r="O35" t="e">
        <f>AND('MvsD 8'!#REF!,"AAAAAH98/w4=")</f>
        <v>#REF!</v>
      </c>
      <c r="P35" t="e">
        <f>AND('MvsD 8'!#REF!,"AAAAAH98/w8=")</f>
        <v>#REF!</v>
      </c>
      <c r="Q35" t="e">
        <f>AND('MvsD 8'!#REF!,"AAAAAH98/xA=")</f>
        <v>#REF!</v>
      </c>
      <c r="R35" t="e">
        <f>AND('MvsD 8'!#REF!,"AAAAAH98/xE=")</f>
        <v>#REF!</v>
      </c>
      <c r="S35" t="e">
        <f>AND('MvsD 8'!#REF!,"AAAAAH98/xI=")</f>
        <v>#REF!</v>
      </c>
      <c r="T35" t="e">
        <f>AND('MvsD 8'!#REF!,"AAAAAH98/xM=")</f>
        <v>#REF!</v>
      </c>
      <c r="U35" t="e">
        <f>AND('MvsD 8'!#REF!,"AAAAAH98/xQ=")</f>
        <v>#REF!</v>
      </c>
      <c r="V35" t="e">
        <f>AND('MvsD 8'!#REF!,"AAAAAH98/xU=")</f>
        <v>#REF!</v>
      </c>
      <c r="W35" t="e">
        <f>AND('MvsD 8'!#REF!,"AAAAAH98/xY=")</f>
        <v>#REF!</v>
      </c>
      <c r="X35" t="e">
        <f>AND('MvsD 8'!#REF!,"AAAAAH98/xc=")</f>
        <v>#REF!</v>
      </c>
      <c r="Y35" t="e">
        <f>AND('MvsD 8'!#REF!,"AAAAAH98/xg=")</f>
        <v>#REF!</v>
      </c>
      <c r="Z35" t="e">
        <f>AND('MvsD 8'!#REF!,"AAAAAH98/xk=")</f>
        <v>#REF!</v>
      </c>
      <c r="AA35" t="e">
        <f>AND('MvsD 8'!#REF!,"AAAAAH98/xo=")</f>
        <v>#REF!</v>
      </c>
      <c r="AB35" t="e">
        <f>AND('MvsD 8'!#REF!,"AAAAAH98/xs=")</f>
        <v>#REF!</v>
      </c>
      <c r="AC35" t="e">
        <f>AND('MvsD 8'!#REF!,"AAAAAH98/xw=")</f>
        <v>#REF!</v>
      </c>
      <c r="AD35" t="e">
        <f>AND('MvsD 8'!#REF!,"AAAAAH98/x0=")</f>
        <v>#REF!</v>
      </c>
      <c r="AE35" t="e">
        <f>AND('MvsD 8'!#REF!,"AAAAAH98/x4=")</f>
        <v>#REF!</v>
      </c>
      <c r="AF35" t="e">
        <f>AND('MvsD 8'!#REF!,"AAAAAH98/x8=")</f>
        <v>#REF!</v>
      </c>
      <c r="AG35">
        <f>IF('MvsD 8'!Q:Q,"AAAAAH98/yA=",0)</f>
        <v>0</v>
      </c>
    </row>
    <row r="36" spans="1:256">
      <c r="A36" t="e">
        <f>AND('MvsD 8'!R1,"AAAAAG+7mwA=")</f>
        <v>#VALUE!</v>
      </c>
      <c r="B36" t="e">
        <f>AND('MvsD 8'!#REF!,"AAAAAG+7mwE=")</f>
        <v>#REF!</v>
      </c>
      <c r="C36" t="e">
        <f>AND('MvsD 8'!#REF!,"AAAAAG+7mwI=")</f>
        <v>#REF!</v>
      </c>
      <c r="D36" t="e">
        <f>AND('MvsD 8'!#REF!,"AAAAAG+7mwM=")</f>
        <v>#REF!</v>
      </c>
      <c r="E36" t="e">
        <f>AND('MvsD 8'!#REF!,"AAAAAG+7mwQ=")</f>
        <v>#REF!</v>
      </c>
      <c r="F36" t="e">
        <f>AND('MvsD 8'!#REF!,"AAAAAG+7mwU=")</f>
        <v>#REF!</v>
      </c>
      <c r="G36" t="e">
        <f>AND('MvsD 8'!#REF!,"AAAAAG+7mwY=")</f>
        <v>#REF!</v>
      </c>
      <c r="H36" t="e">
        <f>AND('MvsD 8'!#REF!,"AAAAAG+7mwc=")</f>
        <v>#REF!</v>
      </c>
      <c r="I36" t="e">
        <f>AND('MvsD 8'!#REF!,"AAAAAG+7mwg=")</f>
        <v>#REF!</v>
      </c>
      <c r="J36" t="e">
        <f>AND('MvsD 8'!#REF!,"AAAAAG+7mwk=")</f>
        <v>#REF!</v>
      </c>
      <c r="K36" t="e">
        <f>AND('MvsD 8'!#REF!,"AAAAAG+7mwo=")</f>
        <v>#REF!</v>
      </c>
      <c r="L36" t="e">
        <f>AND('MvsD 8'!#REF!,"AAAAAG+7mws=")</f>
        <v>#REF!</v>
      </c>
      <c r="M36" t="e">
        <f>AND('MvsD 8'!#REF!,"AAAAAG+7mww=")</f>
        <v>#REF!</v>
      </c>
      <c r="N36" t="e">
        <f>AND('MvsD 8'!#REF!,"AAAAAG+7mw0=")</f>
        <v>#REF!</v>
      </c>
      <c r="O36" t="e">
        <f>AND('MvsD 8'!#REF!,"AAAAAG+7mw4=")</f>
        <v>#REF!</v>
      </c>
      <c r="P36" t="e">
        <f>AND('MvsD 8'!#REF!,"AAAAAG+7mw8=")</f>
        <v>#REF!</v>
      </c>
      <c r="Q36" t="e">
        <f>AND('MvsD 8'!#REF!,"AAAAAG+7mxA=")</f>
        <v>#REF!</v>
      </c>
      <c r="R36" t="e">
        <f>AND('MvsD 8'!#REF!,"AAAAAG+7mxE=")</f>
        <v>#REF!</v>
      </c>
      <c r="S36" t="e">
        <f>AND('MvsD 8'!#REF!,"AAAAAG+7mxI=")</f>
        <v>#REF!</v>
      </c>
      <c r="T36" t="e">
        <f>AND('MvsD 8'!#REF!,"AAAAAG+7mxM=")</f>
        <v>#REF!</v>
      </c>
      <c r="U36" t="e">
        <f>AND('MvsD 8'!#REF!,"AAAAAG+7mxQ=")</f>
        <v>#REF!</v>
      </c>
      <c r="V36" t="e">
        <f>AND('MvsD 8'!#REF!,"AAAAAG+7mxU=")</f>
        <v>#REF!</v>
      </c>
      <c r="W36" t="e">
        <f>AND('MvsD 8'!#REF!,"AAAAAG+7mxY=")</f>
        <v>#REF!</v>
      </c>
      <c r="X36" t="e">
        <f>AND('MvsD 8'!#REF!,"AAAAAG+7mxc=")</f>
        <v>#REF!</v>
      </c>
      <c r="Y36" t="e">
        <f>AND('MvsD 8'!#REF!,"AAAAAG+7mxg=")</f>
        <v>#REF!</v>
      </c>
      <c r="Z36" t="e">
        <f>AND('MvsD 8'!#REF!,"AAAAAG+7mxk=")</f>
        <v>#REF!</v>
      </c>
      <c r="AA36" t="e">
        <f>AND('MvsD 8'!#REF!,"AAAAAG+7mxo=")</f>
        <v>#REF!</v>
      </c>
      <c r="AB36" t="e">
        <f>AND('MvsD 8'!#REF!,"AAAAAG+7mxs=")</f>
        <v>#REF!</v>
      </c>
      <c r="AC36" t="e">
        <f>AND('MvsD 8'!#REF!,"AAAAAG+7mxw=")</f>
        <v>#REF!</v>
      </c>
      <c r="AD36" t="e">
        <f>AND('MvsD 8'!#REF!,"AAAAAG+7mx0=")</f>
        <v>#REF!</v>
      </c>
      <c r="AE36" t="e">
        <f>AND('MvsD 8'!#REF!,"AAAAAG+7mx4=")</f>
        <v>#REF!</v>
      </c>
      <c r="AF36" t="e">
        <f>AND('MvsD 8'!#REF!,"AAAAAG+7mx8=")</f>
        <v>#REF!</v>
      </c>
      <c r="AG36">
        <f>IF('MvsD 8'!R:R,"AAAAAG+7myA=",0)</f>
        <v>0</v>
      </c>
    </row>
    <row r="37" spans="1:256">
      <c r="A37" t="e">
        <f>AND('MvsD 8'!#REF!,"AAAAABf/bgA=")</f>
        <v>#REF!</v>
      </c>
      <c r="B37" t="e">
        <f>AND('MvsD 8'!#REF!,"AAAAABf/bgE=")</f>
        <v>#REF!</v>
      </c>
      <c r="C37" t="e">
        <f>AND('MvsD 8'!#REF!,"AAAAABf/bgI=")</f>
        <v>#REF!</v>
      </c>
      <c r="D37" t="e">
        <f>AND('MvsD 8'!#REF!,"AAAAABf/bgM=")</f>
        <v>#REF!</v>
      </c>
      <c r="E37" t="e">
        <f>AND('MvsD 8'!#REF!,"AAAAABf/bgQ=")</f>
        <v>#REF!</v>
      </c>
      <c r="F37" t="e">
        <f>AND('MvsD 8'!#REF!,"AAAAABf/bgU=")</f>
        <v>#REF!</v>
      </c>
      <c r="G37" t="e">
        <f>AND('MvsD 8'!#REF!,"AAAAABf/bgY=")</f>
        <v>#REF!</v>
      </c>
      <c r="H37" t="e">
        <f>AND('MvsD 8'!#REF!,"AAAAABf/bgc=")</f>
        <v>#REF!</v>
      </c>
      <c r="I37" t="b">
        <f>AND('MvsD 8'!K20,"AAAAABf/bgg=")</f>
        <v>1</v>
      </c>
      <c r="J37" t="e">
        <f>AND('MvsD 8'!L20,"AAAAABf/bgk=")</f>
        <v>#VALUE!</v>
      </c>
      <c r="K37" t="e">
        <f>AND('MvsD 8'!#REF!,"AAAAABf/bgo=")</f>
        <v>#REF!</v>
      </c>
      <c r="L37" t="e">
        <f>AND('MvsD 8'!#REF!,"AAAAABf/bgs=")</f>
        <v>#REF!</v>
      </c>
      <c r="M37" t="b">
        <f>AND('MvsD 8'!K21,"AAAAABf/bgw=")</f>
        <v>1</v>
      </c>
      <c r="N37" t="e">
        <f>AND('MvsD 8'!L21,"AAAAABf/bg0=")</f>
        <v>#VALUE!</v>
      </c>
      <c r="O37" t="e">
        <f>AND('MvsD 8'!#REF!,"AAAAABf/bg4=")</f>
        <v>#REF!</v>
      </c>
      <c r="P37" t="e">
        <f>AND('MvsD 8'!#REF!,"AAAAABf/bg8=")</f>
        <v>#REF!</v>
      </c>
      <c r="Q37" t="e">
        <f>AND('MvsD 8'!M23,"AAAAABf/bhA=")</f>
        <v>#VALUE!</v>
      </c>
      <c r="R37" t="e">
        <f>AND('MvsD 8'!N23,"AAAAABf/bhE=")</f>
        <v>#VALUE!</v>
      </c>
      <c r="S37" t="e">
        <f>AND('MvsD 8'!M24,"AAAAABf/bhI=")</f>
        <v>#VALUE!</v>
      </c>
      <c r="T37" t="e">
        <f>AND('MvsD 8'!N24,"AAAAABf/bhM=")</f>
        <v>#VALUE!</v>
      </c>
    </row>
    <row r="38" spans="1:256">
      <c r="A38" t="e">
        <f>AND('MvsD 8'!#REF!,"AAAAAH+8/QA=")</f>
        <v>#REF!</v>
      </c>
      <c r="B38" t="e">
        <f>AND('MvsD 8'!#REF!,"AAAAAH+8/QE=")</f>
        <v>#REF!</v>
      </c>
      <c r="C38" t="e">
        <f>AND('MvsD 8'!#REF!,"AAAAAH+8/QI=")</f>
        <v>#REF!</v>
      </c>
      <c r="D38" t="e">
        <f>AND('MvsD 8'!#REF!,"AAAAAH+8/QM=")</f>
        <v>#REF!</v>
      </c>
      <c r="E38" t="b">
        <f>AND('MvsD 8'!K25,"AAAAAH+8/QQ=")</f>
        <v>1</v>
      </c>
      <c r="F38" t="e">
        <f>AND('MvsD 8'!L25,"AAAAAH+8/QU=")</f>
        <v>#VALUE!</v>
      </c>
    </row>
    <row r="39" spans="1:256">
      <c r="A39" t="b">
        <f>AND('MvsD 8'!K22,"AAAAAFJ++wA=")</f>
        <v>1</v>
      </c>
      <c r="B39" t="e">
        <f>AND('MvsD 8'!L22,"AAAAAFJ++wE=")</f>
        <v>#VALUE!</v>
      </c>
      <c r="C39" t="b">
        <f>AND('MvsD 8'!A24,"AAAAAFJ++wI=")</f>
        <v>1</v>
      </c>
      <c r="D39" t="e">
        <f>AND('MvsD 8'!B24,"AAAAAFJ++wM=")</f>
        <v>#VALUE!</v>
      </c>
      <c r="E39" t="b">
        <f>AND('MvsD 8'!K23,"AAAAAFJ++wQ=")</f>
        <v>1</v>
      </c>
      <c r="F39" t="e">
        <f>AND('MvsD 8'!L23,"AAAAAFJ++wU=")</f>
        <v>#VALUE!</v>
      </c>
      <c r="G39" t="b">
        <f>AND('MvsD 8'!A25,"AAAAAFJ++wY=")</f>
        <v>1</v>
      </c>
      <c r="H39" t="e">
        <f>AND('MvsD 8'!B25,"AAAAAFJ++wc=")</f>
        <v>#VALUE!</v>
      </c>
      <c r="I39" t="b">
        <f>AND('MvsD 8'!A26,"AAAAAFJ++wg=")</f>
        <v>1</v>
      </c>
      <c r="J39" t="e">
        <f>AND('MvsD 8'!B26,"AAAAAFJ++wk=")</f>
        <v>#VALUE!</v>
      </c>
      <c r="K39" t="e">
        <f>AND('MvsD 8'!A28,"AAAAAFJ++wo=")</f>
        <v>#VALUE!</v>
      </c>
      <c r="L39" t="e">
        <f>AND('MvsD 8'!B28,"AAAAAFJ++ws=")</f>
        <v>#VALUE!</v>
      </c>
      <c r="M39" t="e">
        <f>AND('MvsD 8'!A29,"AAAAAFJ++ww=")</f>
        <v>#VALUE!</v>
      </c>
      <c r="N39" t="e">
        <f>AND('MvsD 8'!B29,"AAAAAFJ++w0=")</f>
        <v>#VALUE!</v>
      </c>
    </row>
    <row r="40" spans="1:256">
      <c r="A40" t="e">
        <f>AND('MvsD 8'!A27,"AAAAAGe+/wA=")</f>
        <v>#VALUE!</v>
      </c>
      <c r="B40" t="e">
        <f>AND('MvsD 8'!B27,"AAAAAGe+/wE=")</f>
        <v>#VALUE!</v>
      </c>
      <c r="C40" t="b">
        <f>AND('MvsD 8'!K25,"AAAAAGe+/wI=")</f>
        <v>1</v>
      </c>
      <c r="D40" t="e">
        <f>AND('MvsD 8'!L25,"AAAAAGe+/wM=")</f>
        <v>#VALUE!</v>
      </c>
      <c r="E40" t="e">
        <f>AND('MvsD 8'!E21,"AAAAAGe+/wQ=")</f>
        <v>#VALUE!</v>
      </c>
      <c r="F40" t="e">
        <f>AND('MvsD 8'!F21,"AAAAAGe+/wU=")</f>
        <v>#VALUE!</v>
      </c>
      <c r="G40" t="e">
        <f>AND('MvsD 8'!#REF!,"AAAAAGe+/wY=")</f>
        <v>#REF!</v>
      </c>
      <c r="H40" t="e">
        <f>AND('MvsD 8'!K33,"AAAAAGe+/wc=")</f>
        <v>#VALUE!</v>
      </c>
      <c r="I40" t="e">
        <f>AND('MvsD 8'!L33,"AAAAAGe+/wg=")</f>
        <v>#VALUE!</v>
      </c>
      <c r="J40" t="e">
        <f>AND('MvsD 8'!M25,"AAAAAGe+/wk=")</f>
        <v>#VALUE!</v>
      </c>
      <c r="K40" t="e">
        <f>AND('MvsD 8'!N25,"AAAAAGe+/wo=")</f>
        <v>#VALUE!</v>
      </c>
      <c r="L40">
        <f>IF('MvsD 8'!40:40,"AAAAAGe+/ws=",0)</f>
        <v>0</v>
      </c>
      <c r="M40">
        <f>IF('MvsD 8'!41:41,"AAAAAGe+/ww=",0)</f>
        <v>0</v>
      </c>
      <c r="N40">
        <f>IF('MvsD 8'!42:42,"AAAAAGe+/w0=",0)</f>
        <v>0</v>
      </c>
      <c r="O40">
        <f>IF('MvsD 8'!43:43,"AAAAAGe+/w4=",0)</f>
        <v>0</v>
      </c>
    </row>
    <row r="41" spans="1:256">
      <c r="A41" t="b">
        <f>AND('Golden 20'!Q13,"AAAAAHv/zwA=")</f>
        <v>1</v>
      </c>
      <c r="B41" t="e">
        <f>AND('Golden 20'!R13,"AAAAAHv/zwE=")</f>
        <v>#VALUE!</v>
      </c>
      <c r="C41" t="e">
        <f>AND([1]Labo!#REF!,"AAAAAHv/zwI=")</f>
        <v>#REF!</v>
      </c>
      <c r="D41" t="e">
        <f>AND([1]Labo!#REF!,"AAAAAHv/zwM=")</f>
        <v>#REF!</v>
      </c>
      <c r="E41" t="e">
        <f>AND([1]Labo!F1,"AAAAAHv/zwQ=")</f>
        <v>#VALUE!</v>
      </c>
      <c r="F41" t="b">
        <f>AND([1]Labo!G1,"AAAAAHv/zwU=")</f>
        <v>1</v>
      </c>
      <c r="G41" t="e">
        <f>AND([1]Labo!H1,"AAAAAHv/zwY=")</f>
        <v>#VALUE!</v>
      </c>
      <c r="H41" t="e">
        <f>AND([1]Labo!L1,"AAAAAHv/zwc=")</f>
        <v>#VALUE!</v>
      </c>
      <c r="I41" t="e">
        <f>AND([1]Labo!P1,"AAAAAHv/zwg=")</f>
        <v>#VALUE!</v>
      </c>
      <c r="J41" t="e">
        <f>AND([1]Labo!Q1,"AAAAAHv/zwk=")</f>
        <v>#VALUE!</v>
      </c>
      <c r="K41" t="e">
        <f>AND([1]Labo!#REF!,"AAAAAHv/zwo=")</f>
        <v>#REF!</v>
      </c>
      <c r="L41" t="e">
        <f>AND([1]Labo!#REF!,"AAAAAHv/zws=")</f>
        <v>#REF!</v>
      </c>
      <c r="M41" t="e">
        <f>AND([1]Labo!F2,"AAAAAHv/zww=")</f>
        <v>#VALUE!</v>
      </c>
      <c r="N41" t="b">
        <f>AND([1]Labo!G2,"AAAAAHv/zw0=")</f>
        <v>1</v>
      </c>
      <c r="O41" t="e">
        <f>AND([1]Labo!H2,"AAAAAHv/zw4=")</f>
        <v>#VALUE!</v>
      </c>
      <c r="P41" t="e">
        <f>AND([1]Labo!L2,"AAAAAHv/zw8=")</f>
        <v>#VALUE!</v>
      </c>
      <c r="Q41" t="e">
        <f>AND([1]Labo!P2,"AAAAAHv/zxA=")</f>
        <v>#VALUE!</v>
      </c>
      <c r="R41" t="e">
        <f>AND([1]Labo!Q2,"AAAAAHv/zxE=")</f>
        <v>#VALUE!</v>
      </c>
      <c r="S41" t="e">
        <f>AND([1]Labo!#REF!,"AAAAAHv/zxI=")</f>
        <v>#REF!</v>
      </c>
      <c r="T41" t="e">
        <f>AND([1]Labo!#REF!,"AAAAAHv/zxM=")</f>
        <v>#REF!</v>
      </c>
      <c r="U41" t="e">
        <f>AND([1]Labo!F3,"AAAAAHv/zxQ=")</f>
        <v>#VALUE!</v>
      </c>
      <c r="V41" t="b">
        <f>AND([1]Labo!G3,"AAAAAHv/zxU=")</f>
        <v>1</v>
      </c>
      <c r="W41" t="e">
        <f>AND([1]Labo!H3,"AAAAAHv/zxY=")</f>
        <v>#VALUE!</v>
      </c>
      <c r="X41" t="e">
        <f>AND([1]Labo!L3,"AAAAAHv/zxc=")</f>
        <v>#VALUE!</v>
      </c>
      <c r="Y41" t="b">
        <f>AND([1]Labo!P3,"AAAAAHv/zxg=")</f>
        <v>1</v>
      </c>
      <c r="Z41" t="e">
        <f>AND([1]Labo!Q3,"AAAAAHv/zxk=")</f>
        <v>#VALUE!</v>
      </c>
      <c r="AA41" t="e">
        <f>AND([1]Labo!#REF!,"AAAAAHv/zxo=")</f>
        <v>#REF!</v>
      </c>
      <c r="AB41" t="e">
        <f>AND([1]Labo!#REF!,"AAAAAHv/zxs=")</f>
        <v>#REF!</v>
      </c>
      <c r="AC41" t="e">
        <f>AND([1]Labo!F4,"AAAAAHv/zxw=")</f>
        <v>#VALUE!</v>
      </c>
      <c r="AD41" t="b">
        <f>AND([1]Labo!G4,"AAAAAHv/zx0=")</f>
        <v>1</v>
      </c>
      <c r="AE41" t="e">
        <f>AND([1]Labo!H4,"AAAAAHv/zx4=")</f>
        <v>#VALUE!</v>
      </c>
      <c r="AF41" t="e">
        <f>AND([1]Labo!L4,"AAAAAHv/zx8=")</f>
        <v>#VALUE!</v>
      </c>
      <c r="AG41" t="e">
        <f>AND([1]Labo!P4,"AAAAAHv/zyA=")</f>
        <v>#VALUE!</v>
      </c>
      <c r="AH41" t="e">
        <f>AND([1]Labo!Q4,"AAAAAHv/zyE=")</f>
        <v>#VALUE!</v>
      </c>
      <c r="AI41" t="e">
        <f>AND([1]Labo!#REF!,"AAAAAHv/zyI=")</f>
        <v>#REF!</v>
      </c>
      <c r="AJ41" t="e">
        <f>AND([1]Labo!#REF!,"AAAAAHv/zyM=")</f>
        <v>#REF!</v>
      </c>
      <c r="AK41" t="e">
        <f>AND([1]Labo!F5,"AAAAAHv/zyQ=")</f>
        <v>#VALUE!</v>
      </c>
      <c r="AL41" t="b">
        <f>AND([1]Labo!G5,"AAAAAHv/zyU=")</f>
        <v>1</v>
      </c>
      <c r="AM41" t="e">
        <f>AND([1]Labo!H5,"AAAAAHv/zyY=")</f>
        <v>#VALUE!</v>
      </c>
      <c r="AN41" t="e">
        <f>AND([1]Labo!L5,"AAAAAHv/zyc=")</f>
        <v>#VALUE!</v>
      </c>
      <c r="AO41" t="e">
        <f>AND([1]Labo!P5,"AAAAAHv/zyg=")</f>
        <v>#VALUE!</v>
      </c>
      <c r="AP41" t="e">
        <f>AND([1]Labo!Q5,"AAAAAHv/zyk=")</f>
        <v>#VALUE!</v>
      </c>
      <c r="AQ41" t="e">
        <f>AND([1]Labo!#REF!,"AAAAAHv/zyo=")</f>
        <v>#REF!</v>
      </c>
      <c r="AR41" t="e">
        <f>AND([1]Labo!#REF!,"AAAAAHv/zys=")</f>
        <v>#REF!</v>
      </c>
      <c r="AS41" t="e">
        <f>AND([1]Labo!F6,"AAAAAHv/zyw=")</f>
        <v>#VALUE!</v>
      </c>
      <c r="AT41" t="b">
        <f>AND([1]Labo!G6,"AAAAAHv/zy0=")</f>
        <v>1</v>
      </c>
      <c r="AU41" t="e">
        <f>AND([1]Labo!H6,"AAAAAHv/zy4=")</f>
        <v>#VALUE!</v>
      </c>
      <c r="AV41" t="e">
        <f>AND([1]Labo!K6,"AAAAAHv/zy8=")</f>
        <v>#VALUE!</v>
      </c>
      <c r="AW41" t="e">
        <f>AND([1]Labo!L6,"AAAAAHv/zzA=")</f>
        <v>#VALUE!</v>
      </c>
      <c r="AX41" t="e">
        <f>AND([1]Labo!P6,"AAAAAHv/zzE=")</f>
        <v>#VALUE!</v>
      </c>
      <c r="AY41" t="e">
        <f>AND([1]Labo!Q6,"AAAAAHv/zzI=")</f>
        <v>#VALUE!</v>
      </c>
      <c r="AZ41" t="e">
        <f>AND([1]Labo!#REF!,"AAAAAHv/zzM=")</f>
        <v>#REF!</v>
      </c>
      <c r="BA41" t="e">
        <f>AND([1]Labo!#REF!,"AAAAAHv/zzQ=")</f>
        <v>#REF!</v>
      </c>
      <c r="BB41" t="e">
        <f>AND([1]Labo!F7,"AAAAAHv/zzU=")</f>
        <v>#VALUE!</v>
      </c>
      <c r="BC41" t="b">
        <f>AND([1]Labo!G7,"AAAAAHv/zzY=")</f>
        <v>1</v>
      </c>
      <c r="BD41" t="e">
        <f>AND([1]Labo!H7,"AAAAAHv/zzc=")</f>
        <v>#VALUE!</v>
      </c>
      <c r="BE41" t="e">
        <f>AND([1]Labo!L7,"AAAAAHv/zzg=")</f>
        <v>#VALUE!</v>
      </c>
      <c r="BF41" t="e">
        <f>AND([1]Labo!P7,"AAAAAHv/zzk=")</f>
        <v>#VALUE!</v>
      </c>
      <c r="BG41" t="e">
        <f>AND([1]Labo!Q7,"AAAAAHv/zzo=")</f>
        <v>#VALUE!</v>
      </c>
      <c r="BH41" t="e">
        <f>AND([1]Labo!#REF!,"AAAAAHv/zzs=")</f>
        <v>#REF!</v>
      </c>
      <c r="BI41" t="e">
        <f>AND([1]Labo!#REF!,"AAAAAHv/zzw=")</f>
        <v>#REF!</v>
      </c>
      <c r="BJ41" t="e">
        <f>AND([1]Labo!F8,"AAAAAHv/zz0=")</f>
        <v>#VALUE!</v>
      </c>
      <c r="BK41" t="b">
        <f>AND([1]Labo!G8,"AAAAAHv/zz4=")</f>
        <v>1</v>
      </c>
      <c r="BL41" t="e">
        <f>AND([1]Labo!H8,"AAAAAHv/zz8=")</f>
        <v>#VALUE!</v>
      </c>
      <c r="BM41" t="e">
        <f>AND([1]Labo!L8,"AAAAAHv/z0A=")</f>
        <v>#VALUE!</v>
      </c>
      <c r="BN41" t="e">
        <f>AND([1]Labo!P8,"AAAAAHv/z0E=")</f>
        <v>#VALUE!</v>
      </c>
      <c r="BO41" t="e">
        <f>AND([1]Labo!Q8,"AAAAAHv/z0I=")</f>
        <v>#VALUE!</v>
      </c>
      <c r="BP41" t="e">
        <f>AND([1]Labo!#REF!,"AAAAAHv/z0M=")</f>
        <v>#REF!</v>
      </c>
      <c r="BQ41" t="e">
        <f>AND([1]Labo!#REF!,"AAAAAHv/z0Q=")</f>
        <v>#REF!</v>
      </c>
      <c r="BR41" t="e">
        <f>AND([1]Labo!F9,"AAAAAHv/z0U=")</f>
        <v>#VALUE!</v>
      </c>
      <c r="BS41" t="b">
        <f>AND([1]Labo!G9,"AAAAAHv/z0Y=")</f>
        <v>1</v>
      </c>
      <c r="BT41" t="e">
        <f>AND([1]Labo!H9,"AAAAAHv/z0c=")</f>
        <v>#VALUE!</v>
      </c>
      <c r="BU41" t="e">
        <f>AND([1]Labo!L9,"AAAAAHv/z0g=")</f>
        <v>#VALUE!</v>
      </c>
      <c r="BV41" t="e">
        <f>AND([1]Labo!P9,"AAAAAHv/z0k=")</f>
        <v>#VALUE!</v>
      </c>
      <c r="BW41" t="e">
        <f>AND([1]Labo!Q9,"AAAAAHv/z0o=")</f>
        <v>#VALUE!</v>
      </c>
      <c r="BX41" t="e">
        <f>AND([1]Labo!#REF!,"AAAAAHv/z0s=")</f>
        <v>#REF!</v>
      </c>
      <c r="BY41" t="e">
        <f>AND([1]Labo!#REF!,"AAAAAHv/z0w=")</f>
        <v>#REF!</v>
      </c>
      <c r="BZ41" t="e">
        <f>AND([1]Labo!F10,"AAAAAHv/z00=")</f>
        <v>#VALUE!</v>
      </c>
      <c r="CA41" t="b">
        <f>AND([1]Labo!G10,"AAAAAHv/z04=")</f>
        <v>1</v>
      </c>
      <c r="CB41" t="e">
        <f>AND([1]Labo!H10,"AAAAAHv/z08=")</f>
        <v>#VALUE!</v>
      </c>
      <c r="CC41" t="e">
        <f>AND([1]Labo!L10,"AAAAAHv/z1A=")</f>
        <v>#VALUE!</v>
      </c>
      <c r="CD41" t="b">
        <f>AND([1]Labo!P10,"AAAAAHv/z1E=")</f>
        <v>1</v>
      </c>
      <c r="CE41" t="e">
        <f>AND([1]Labo!Q10,"AAAAAHv/z1I=")</f>
        <v>#VALUE!</v>
      </c>
      <c r="CF41" t="e">
        <f>AND([1]Labo!#REF!,"AAAAAHv/z1M=")</f>
        <v>#REF!</v>
      </c>
      <c r="CG41" t="e">
        <f>AND([1]Labo!#REF!,"AAAAAHv/z1Q=")</f>
        <v>#REF!</v>
      </c>
      <c r="CH41" t="e">
        <f>AND([1]Labo!F11,"AAAAAHv/z1U=")</f>
        <v>#VALUE!</v>
      </c>
      <c r="CI41" t="b">
        <f>AND([1]Labo!G11,"AAAAAHv/z1Y=")</f>
        <v>1</v>
      </c>
      <c r="CJ41" t="e">
        <f>AND([1]Labo!H11,"AAAAAHv/z1c=")</f>
        <v>#VALUE!</v>
      </c>
      <c r="CK41" t="e">
        <f>AND([1]Labo!L11,"AAAAAHv/z1g=")</f>
        <v>#VALUE!</v>
      </c>
      <c r="CL41" t="e">
        <f>AND([1]Labo!P11,"AAAAAHv/z1k=")</f>
        <v>#VALUE!</v>
      </c>
      <c r="CM41" t="e">
        <f>AND([1]Labo!Q11,"AAAAAHv/z1o=")</f>
        <v>#VALUE!</v>
      </c>
      <c r="CN41" t="e">
        <f>AND([1]Labo!#REF!,"AAAAAHv/z1s=")</f>
        <v>#REF!</v>
      </c>
      <c r="CO41" t="e">
        <f>AND([1]Labo!#REF!,"AAAAAHv/z1w=")</f>
        <v>#REF!</v>
      </c>
      <c r="CP41" t="e">
        <f>AND([1]Labo!F12,"AAAAAHv/z10=")</f>
        <v>#VALUE!</v>
      </c>
      <c r="CQ41" t="b">
        <f>AND([1]Labo!G12,"AAAAAHv/z14=")</f>
        <v>1</v>
      </c>
      <c r="CR41" t="e">
        <f>AND([1]Labo!H12,"AAAAAHv/z18=")</f>
        <v>#VALUE!</v>
      </c>
      <c r="CS41" t="e">
        <f>AND([1]Labo!L12,"AAAAAHv/z2A=")</f>
        <v>#VALUE!</v>
      </c>
      <c r="CT41" t="b">
        <f>AND([1]Labo!P12,"AAAAAHv/z2E=")</f>
        <v>1</v>
      </c>
      <c r="CU41" t="e">
        <f>AND([1]Labo!Q12,"AAAAAHv/z2I=")</f>
        <v>#VALUE!</v>
      </c>
      <c r="CV41" t="e">
        <f>AND([1]Labo!#REF!,"AAAAAHv/z2M=")</f>
        <v>#REF!</v>
      </c>
      <c r="CW41" t="e">
        <f>AND([1]Labo!#REF!,"AAAAAHv/z2Q=")</f>
        <v>#REF!</v>
      </c>
      <c r="CX41" t="e">
        <f>AND([1]Labo!F13,"AAAAAHv/z2U=")</f>
        <v>#VALUE!</v>
      </c>
      <c r="CY41" t="b">
        <f>AND([1]Labo!G13,"AAAAAHv/z2Y=")</f>
        <v>1</v>
      </c>
      <c r="CZ41" t="e">
        <f>AND([1]Labo!H13,"AAAAAHv/z2c=")</f>
        <v>#VALUE!</v>
      </c>
      <c r="DA41" t="e">
        <f>AND([1]Labo!L13,"AAAAAHv/z2g=")</f>
        <v>#VALUE!</v>
      </c>
      <c r="DB41" t="e">
        <f>AND([1]Labo!P13,"AAAAAHv/z2k=")</f>
        <v>#VALUE!</v>
      </c>
      <c r="DC41" t="e">
        <f>AND([1]Labo!Q13,"AAAAAHv/z2o=")</f>
        <v>#VALUE!</v>
      </c>
      <c r="DD41" t="e">
        <f>AND([1]Labo!#REF!,"AAAAAHv/z2s=")</f>
        <v>#REF!</v>
      </c>
      <c r="DE41" t="e">
        <f>AND([1]Labo!#REF!,"AAAAAHv/z2w=")</f>
        <v>#REF!</v>
      </c>
      <c r="DF41" t="e">
        <f>AND([1]Labo!F14,"AAAAAHv/z20=")</f>
        <v>#VALUE!</v>
      </c>
      <c r="DG41" t="b">
        <f>AND([1]Labo!G14,"AAAAAHv/z24=")</f>
        <v>1</v>
      </c>
      <c r="DH41" t="e">
        <f>AND([1]Labo!H14,"AAAAAHv/z28=")</f>
        <v>#VALUE!</v>
      </c>
      <c r="DI41" t="e">
        <f>AND([1]Labo!L14,"AAAAAHv/z3A=")</f>
        <v>#VALUE!</v>
      </c>
      <c r="DJ41" t="b">
        <f>AND([1]Labo!P14,"AAAAAHv/z3E=")</f>
        <v>1</v>
      </c>
      <c r="DK41" t="e">
        <f>AND([1]Labo!Q14,"AAAAAHv/z3I=")</f>
        <v>#VALUE!</v>
      </c>
      <c r="DL41" t="e">
        <f>AND([1]Labo!#REF!,"AAAAAHv/z3M=")</f>
        <v>#REF!</v>
      </c>
      <c r="DM41" t="e">
        <f>AND([1]Labo!#REF!,"AAAAAHv/z3Q=")</f>
        <v>#REF!</v>
      </c>
      <c r="DN41" t="e">
        <f>AND([1]Labo!F15,"AAAAAHv/z3U=")</f>
        <v>#VALUE!</v>
      </c>
      <c r="DO41" t="b">
        <f>AND([1]Labo!G15,"AAAAAHv/z3Y=")</f>
        <v>1</v>
      </c>
      <c r="DP41" t="e">
        <f>AND([1]Labo!H15,"AAAAAHv/z3c=")</f>
        <v>#VALUE!</v>
      </c>
      <c r="DQ41" t="e">
        <f>AND([1]Labo!L15,"AAAAAHv/z3g=")</f>
        <v>#VALUE!</v>
      </c>
      <c r="DR41" t="b">
        <f>AND([1]Labo!P15,"AAAAAHv/z3k=")</f>
        <v>1</v>
      </c>
      <c r="DS41" t="e">
        <f>AND([1]Labo!Q15,"AAAAAHv/z3o=")</f>
        <v>#VALUE!</v>
      </c>
      <c r="DT41" t="e">
        <f>AND([1]Labo!#REF!,"AAAAAHv/z3s=")</f>
        <v>#REF!</v>
      </c>
      <c r="DU41" t="e">
        <f>AND([1]Labo!#REF!,"AAAAAHv/z3w=")</f>
        <v>#REF!</v>
      </c>
      <c r="DV41" t="e">
        <f>AND([1]Labo!F16,"AAAAAHv/z30=")</f>
        <v>#VALUE!</v>
      </c>
      <c r="DW41" t="b">
        <f>AND([1]Labo!G16,"AAAAAHv/z34=")</f>
        <v>1</v>
      </c>
      <c r="DX41" t="e">
        <f>AND([1]Labo!H16,"AAAAAHv/z38=")</f>
        <v>#VALUE!</v>
      </c>
      <c r="DY41" t="e">
        <f>AND([1]Labo!L16,"AAAAAHv/z4A=")</f>
        <v>#VALUE!</v>
      </c>
      <c r="DZ41" t="b">
        <f>AND([1]Labo!P16,"AAAAAHv/z4E=")</f>
        <v>1</v>
      </c>
      <c r="EA41" t="e">
        <f>AND([1]Labo!Q16,"AAAAAHv/z4I=")</f>
        <v>#VALUE!</v>
      </c>
      <c r="EB41" t="e">
        <f>AND([1]Labo!#REF!,"AAAAAHv/z4M=")</f>
        <v>#REF!</v>
      </c>
      <c r="EC41" t="e">
        <f>AND([1]Labo!#REF!,"AAAAAHv/z4Q=")</f>
        <v>#REF!</v>
      </c>
      <c r="ED41" t="e">
        <f>AND([1]Labo!F17,"AAAAAHv/z4U=")</f>
        <v>#VALUE!</v>
      </c>
      <c r="EE41" t="b">
        <f>AND([1]Labo!G17,"AAAAAHv/z4Y=")</f>
        <v>1</v>
      </c>
      <c r="EF41" t="e">
        <f>AND([1]Labo!H17,"AAAAAHv/z4c=")</f>
        <v>#VALUE!</v>
      </c>
      <c r="EG41" t="e">
        <f>AND([1]Labo!L17,"AAAAAHv/z4g=")</f>
        <v>#VALUE!</v>
      </c>
      <c r="EH41" t="b">
        <f>AND([1]Labo!P17,"AAAAAHv/z4k=")</f>
        <v>1</v>
      </c>
      <c r="EI41" t="e">
        <f>AND([1]Labo!Q17,"AAAAAHv/z4o=")</f>
        <v>#VALUE!</v>
      </c>
      <c r="EJ41" t="b">
        <f>AND([1]Labo!D19,"AAAAAHv/z4s=")</f>
        <v>0</v>
      </c>
      <c r="EK41" t="b">
        <f>AND([1]Labo!E19,"AAAAAHv/z4w=")</f>
        <v>0</v>
      </c>
      <c r="EL41" t="e">
        <f>AND([1]Labo!F18,"AAAAAHv/z40=")</f>
        <v>#VALUE!</v>
      </c>
      <c r="EM41" t="b">
        <f>AND([1]Labo!G18,"AAAAAHv/z44=")</f>
        <v>1</v>
      </c>
      <c r="EN41" t="e">
        <f>AND([1]Labo!H18,"AAAAAHv/z48=")</f>
        <v>#VALUE!</v>
      </c>
      <c r="EO41" t="e">
        <f>AND([1]Labo!L18,"AAAAAHv/z5A=")</f>
        <v>#VALUE!</v>
      </c>
      <c r="EP41" t="e">
        <f>AND([1]Labo!P18,"AAAAAHv/z5E=")</f>
        <v>#VALUE!</v>
      </c>
      <c r="EQ41" t="e">
        <f>AND([1]Labo!Q18,"AAAAAHv/z5I=")</f>
        <v>#VALUE!</v>
      </c>
      <c r="ER41" t="b">
        <f>AND([1]Labo!D20,"AAAAAHv/z5M=")</f>
        <v>0</v>
      </c>
      <c r="ES41" t="b">
        <f>AND([1]Labo!E20,"AAAAAHv/z5Q=")</f>
        <v>0</v>
      </c>
      <c r="ET41" t="e">
        <f>AND([1]Labo!F19,"AAAAAHv/z5U=")</f>
        <v>#VALUE!</v>
      </c>
      <c r="EU41" t="b">
        <f>AND([1]Labo!G19,"AAAAAHv/z5Y=")</f>
        <v>1</v>
      </c>
      <c r="EV41" t="e">
        <f>AND([1]Labo!H19,"AAAAAHv/z5c=")</f>
        <v>#VALUE!</v>
      </c>
      <c r="EW41" t="e">
        <f>AND([1]Labo!L19,"AAAAAHv/z5g=")</f>
        <v>#VALUE!</v>
      </c>
      <c r="EX41" t="b">
        <f>AND([1]Labo!P19,"AAAAAHv/z5k=")</f>
        <v>1</v>
      </c>
      <c r="EY41" t="e">
        <f>AND([1]Labo!Q19,"AAAAAHv/z5o=")</f>
        <v>#VALUE!</v>
      </c>
      <c r="EZ41" t="e">
        <f>AND([1]Labo!#REF!,"AAAAAHv/z5s=")</f>
        <v>#REF!</v>
      </c>
      <c r="FA41" t="e">
        <f>AND([1]Labo!#REF!,"AAAAAHv/z5w=")</f>
        <v>#REF!</v>
      </c>
      <c r="FB41" t="e">
        <f>AND([1]Labo!F20,"AAAAAHv/z50=")</f>
        <v>#VALUE!</v>
      </c>
      <c r="FC41" t="b">
        <f>AND([1]Labo!G20,"AAAAAHv/z54=")</f>
        <v>1</v>
      </c>
      <c r="FD41" t="e">
        <f>AND([1]Labo!H20,"AAAAAHv/z58=")</f>
        <v>#VALUE!</v>
      </c>
      <c r="FE41" t="b">
        <f>AND([1]Labo!J20,"AAAAAHv/z6A=")</f>
        <v>1</v>
      </c>
      <c r="FF41" t="e">
        <f>AND([1]Labo!K20,"AAAAAHv/z6E=")</f>
        <v>#VALUE!</v>
      </c>
      <c r="FG41" t="e">
        <f>AND([1]Labo!L20,"AAAAAHv/z6I=")</f>
        <v>#VALUE!</v>
      </c>
      <c r="FH41" t="b">
        <f>AND([1]Labo!P20,"AAAAAHv/z6M=")</f>
        <v>1</v>
      </c>
      <c r="FI41" t="e">
        <f>AND([1]Labo!Q20,"AAAAAHv/z6Q=")</f>
        <v>#VALUE!</v>
      </c>
      <c r="FJ41" t="e">
        <f>AND([1]Labo!B19,"AAAAAHv/z6U=")</f>
        <v>#VALUE!</v>
      </c>
      <c r="FK41" t="e">
        <f>AND([1]Labo!#REF!,"AAAAAHv/z6Y=")</f>
        <v>#REF!</v>
      </c>
      <c r="FL41" t="e">
        <f>AND([1]Labo!#REF!,"AAAAAHv/z6c=")</f>
        <v>#REF!</v>
      </c>
      <c r="FM41" t="e">
        <f>AND([1]Labo!F21,"AAAAAHv/z6g=")</f>
        <v>#VALUE!</v>
      </c>
      <c r="FN41" t="e">
        <f>AND([1]Labo!G21,"AAAAAHv/z6k=")</f>
        <v>#VALUE!</v>
      </c>
      <c r="FO41" t="e">
        <f>AND([1]Labo!H21,"AAAAAHv/z6o=")</f>
        <v>#VALUE!</v>
      </c>
      <c r="FP41" t="b">
        <f>AND([1]Labo!J21,"AAAAAHv/z6s=")</f>
        <v>1</v>
      </c>
      <c r="FQ41" t="e">
        <f>AND([1]Labo!K21,"AAAAAHv/z6w=")</f>
        <v>#VALUE!</v>
      </c>
      <c r="FR41" t="e">
        <f>AND([1]Labo!L21,"AAAAAHv/z60=")</f>
        <v>#VALUE!</v>
      </c>
      <c r="FS41" t="b">
        <f>AND([1]Labo!P21,"AAAAAHv/z64=")</f>
        <v>1</v>
      </c>
      <c r="FT41" t="e">
        <f>AND([1]Labo!Q21,"AAAAAHv/z68=")</f>
        <v>#VALUE!</v>
      </c>
      <c r="FU41" t="e">
        <f>AND([1]Labo!#REF!,"AAAAAHv/z7A=")</f>
        <v>#REF!</v>
      </c>
      <c r="FV41" t="e">
        <f>AND([1]Labo!#REF!,"AAAAAHv/z7E=")</f>
        <v>#REF!</v>
      </c>
      <c r="FW41" t="e">
        <f>AND([1]Labo!#REF!,"AAAAAHv/z7I=")</f>
        <v>#REF!</v>
      </c>
      <c r="FX41" t="e">
        <f>AND([1]Labo!#REF!,"AAAAAHv/z7M=")</f>
        <v>#REF!</v>
      </c>
      <c r="FY41" t="e">
        <f>AND([1]Labo!F22,"AAAAAHv/z7Q=")</f>
        <v>#VALUE!</v>
      </c>
      <c r="FZ41" t="e">
        <f>AND([1]Labo!#REF!,"AAAAAHv/z7U=")</f>
        <v>#REF!</v>
      </c>
      <c r="GA41" t="e">
        <f>AND([1]Labo!#REF!,"AAAAAHv/z7Y=")</f>
        <v>#REF!</v>
      </c>
      <c r="GB41" t="b">
        <f>AND([1]Labo!J22,"AAAAAHv/z7c=")</f>
        <v>1</v>
      </c>
      <c r="GC41" t="e">
        <f>AND([1]Labo!K22,"AAAAAHv/z7g=")</f>
        <v>#VALUE!</v>
      </c>
      <c r="GD41" t="e">
        <f>AND([1]Labo!L22,"AAAAAHv/z7k=")</f>
        <v>#VALUE!</v>
      </c>
      <c r="GE41" t="b">
        <f>AND([1]Labo!P22,"AAAAAHv/z7o=")</f>
        <v>1</v>
      </c>
      <c r="GF41" t="e">
        <f>AND([1]Labo!Q22,"AAAAAHv/z7s=")</f>
        <v>#VALUE!</v>
      </c>
      <c r="GG41" t="b">
        <f>AND([1]Labo!A20,"AAAAAHv/z7w=")</f>
        <v>1</v>
      </c>
      <c r="GH41" t="e">
        <f>AND([1]Labo!B20,"AAAAAHv/z70=")</f>
        <v>#VALUE!</v>
      </c>
      <c r="GI41" t="e">
        <f>AND([1]Labo!#REF!,"AAAAAHv/z74=")</f>
        <v>#REF!</v>
      </c>
      <c r="GJ41" t="e">
        <f>AND([1]Labo!#REF!,"AAAAAHv/z78=")</f>
        <v>#REF!</v>
      </c>
      <c r="GK41" t="e">
        <f>AND([1]Labo!F23,"AAAAAHv/z8A=")</f>
        <v>#VALUE!</v>
      </c>
      <c r="GL41" t="e">
        <f>AND([1]Labo!G23,"AAAAAHv/z8E=")</f>
        <v>#VALUE!</v>
      </c>
      <c r="GM41" t="e">
        <f>AND([1]Labo!H23,"AAAAAHv/z8I=")</f>
        <v>#VALUE!</v>
      </c>
      <c r="GN41" t="e">
        <f>AND([1]Labo!J23,"AAAAAHv/z8M=")</f>
        <v>#VALUE!</v>
      </c>
      <c r="GO41" t="e">
        <f>AND([1]Labo!K23,"AAAAAHv/z8Q=")</f>
        <v>#VALUE!</v>
      </c>
      <c r="GP41" t="e">
        <f>AND([1]Labo!L23,"AAAAAHv/z8U=")</f>
        <v>#VALUE!</v>
      </c>
      <c r="GQ41" t="b">
        <f>AND([1]Labo!P23,"AAAAAHv/z8Y=")</f>
        <v>1</v>
      </c>
      <c r="GR41" t="e">
        <f>AND([1]Labo!Q23,"AAAAAHv/z8c=")</f>
        <v>#VALUE!</v>
      </c>
      <c r="GS41" t="b">
        <f>AND([1]Labo!A21,"AAAAAHv/z8g=")</f>
        <v>1</v>
      </c>
      <c r="GT41" t="e">
        <f>AND([1]Labo!B21,"AAAAAHv/z8k=")</f>
        <v>#VALUE!</v>
      </c>
      <c r="GU41" t="b">
        <f>AND([1]Labo!D1,"AAAAAHv/z8o=")</f>
        <v>1</v>
      </c>
      <c r="GV41" t="e">
        <f>AND([1]Labo!E1,"AAAAAHv/z8s=")</f>
        <v>#VALUE!</v>
      </c>
      <c r="GW41" t="e">
        <f>AND([1]Labo!F24,"AAAAAHv/z8w=")</f>
        <v>#VALUE!</v>
      </c>
      <c r="GX41" t="b">
        <f>AND([1]Labo!G24,"AAAAAHv/z80=")</f>
        <v>1</v>
      </c>
      <c r="GY41" t="e">
        <f>AND([1]Labo!H24,"AAAAAHv/z84=")</f>
        <v>#VALUE!</v>
      </c>
      <c r="GZ41" t="b">
        <f>AND([1]Labo!J24,"AAAAAHv/z88=")</f>
        <v>1</v>
      </c>
      <c r="HA41" t="e">
        <f>AND([1]Labo!K24,"AAAAAHv/z9A=")</f>
        <v>#VALUE!</v>
      </c>
      <c r="HB41" t="e">
        <f>AND([1]Labo!L24,"AAAAAHv/z9E=")</f>
        <v>#VALUE!</v>
      </c>
      <c r="HC41" t="b">
        <f>AND([1]Labo!P24,"AAAAAHv/z9I=")</f>
        <v>1</v>
      </c>
      <c r="HD41" t="e">
        <f>AND([1]Labo!Q24,"AAAAAHv/z9M=")</f>
        <v>#VALUE!</v>
      </c>
      <c r="HE41" t="b">
        <f>AND([1]Labo!A22,"AAAAAHv/z9Q=")</f>
        <v>1</v>
      </c>
      <c r="HF41" t="e">
        <f>AND([1]Labo!B22,"AAAAAHv/z9U=")</f>
        <v>#VALUE!</v>
      </c>
      <c r="HG41" t="e">
        <f>AND([1]Labo!#REF!,"AAAAAHv/z9Y=")</f>
        <v>#REF!</v>
      </c>
      <c r="HH41" t="e">
        <f>AND([1]Labo!#REF!,"AAAAAHv/z9c=")</f>
        <v>#REF!</v>
      </c>
      <c r="HI41" t="e">
        <f>AND([1]Labo!F25,"AAAAAHv/z9g=")</f>
        <v>#VALUE!</v>
      </c>
      <c r="HJ41" t="b">
        <f>AND([1]Labo!G25,"AAAAAHv/z9k=")</f>
        <v>1</v>
      </c>
      <c r="HK41" t="e">
        <f>AND([1]Labo!H25,"AAAAAHv/z9o=")</f>
        <v>#VALUE!</v>
      </c>
      <c r="HL41" t="b">
        <f>AND([1]Labo!J25,"AAAAAHv/z9s=")</f>
        <v>1</v>
      </c>
      <c r="HM41" t="e">
        <f>AND([1]Labo!K25,"AAAAAHv/z9w=")</f>
        <v>#VALUE!</v>
      </c>
      <c r="HN41" t="e">
        <f>AND([1]Labo!L25,"AAAAAHv/z90=")</f>
        <v>#VALUE!</v>
      </c>
      <c r="HO41" t="e">
        <f>AND([1]Labo!P25,"AAAAAHv/z94=")</f>
        <v>#VALUE!</v>
      </c>
      <c r="HP41" t="e">
        <f>AND([1]Labo!Q25,"AAAAAHv/z98=")</f>
        <v>#VALUE!</v>
      </c>
      <c r="HQ41" t="b">
        <f>AND([1]Labo!A23,"AAAAAHv/z+A=")</f>
        <v>1</v>
      </c>
      <c r="HR41" t="e">
        <f>AND([1]Labo!B23,"AAAAAHv/z+E=")</f>
        <v>#VALUE!</v>
      </c>
      <c r="HS41" t="e">
        <f>AND([1]Labo!#REF!,"AAAAAHv/z+I=")</f>
        <v>#REF!</v>
      </c>
      <c r="HT41" t="e">
        <f>AND([1]Labo!#REF!,"AAAAAHv/z+M=")</f>
        <v>#REF!</v>
      </c>
      <c r="HU41" t="e">
        <f>AND([1]Labo!F26,"AAAAAHv/z+Q=")</f>
        <v>#VALUE!</v>
      </c>
      <c r="HV41" t="b">
        <f>AND([1]Labo!G26,"AAAAAHv/z+U=")</f>
        <v>1</v>
      </c>
      <c r="HW41" t="e">
        <f>AND([1]Labo!H26,"AAAAAHv/z+Y=")</f>
        <v>#VALUE!</v>
      </c>
      <c r="HX41" t="b">
        <f>AND([1]Labo!J26,"AAAAAHv/z+c=")</f>
        <v>1</v>
      </c>
      <c r="HY41" t="e">
        <f>AND([1]Labo!K26,"AAAAAHv/z+g=")</f>
        <v>#VALUE!</v>
      </c>
      <c r="HZ41" t="e">
        <f>AND([1]Labo!#REF!,"AAAAAHv/z+k=")</f>
        <v>#REF!</v>
      </c>
      <c r="IA41" t="e">
        <f>AND([1]Labo!#REF!,"AAAAAHv/z+o=")</f>
        <v>#REF!</v>
      </c>
      <c r="IB41" t="e">
        <f>AND([1]Labo!F27,"AAAAAHv/z+s=")</f>
        <v>#VALUE!</v>
      </c>
      <c r="IC41" t="b">
        <f>AND([1]Labo!G27,"AAAAAHv/z+w=")</f>
        <v>1</v>
      </c>
      <c r="ID41" t="e">
        <f>AND([1]Labo!H27,"AAAAAHv/z+0=")</f>
        <v>#VALUE!</v>
      </c>
      <c r="IE41" t="e">
        <f>AND([1]Labo!I27,"AAAAAHv/z+4=")</f>
        <v>#VALUE!</v>
      </c>
      <c r="IF41" t="b">
        <f>AND([1]Labo!J27,"AAAAAHv/z+8=")</f>
        <v>1</v>
      </c>
      <c r="IG41" t="e">
        <f>AND([1]Labo!K27,"AAAAAHv/z/A=")</f>
        <v>#VALUE!</v>
      </c>
      <c r="IH41" t="b">
        <f>AND([1]Labo!D2,"AAAAAHv/z/E=")</f>
        <v>1</v>
      </c>
      <c r="II41" t="e">
        <f>AND([1]Labo!E2,"AAAAAHv/z/I=")</f>
        <v>#VALUE!</v>
      </c>
      <c r="IJ41" t="e">
        <f>AND([1]Labo!F28,"AAAAAHv/z/M=")</f>
        <v>#VALUE!</v>
      </c>
      <c r="IK41" t="b">
        <f>AND([1]Labo!G28,"AAAAAHv/z/Q=")</f>
        <v>1</v>
      </c>
      <c r="IL41" t="e">
        <f>AND([1]Labo!H28,"AAAAAHv/z/U=")</f>
        <v>#VALUE!</v>
      </c>
      <c r="IM41" t="e">
        <f>AND([1]Labo!I28,"AAAAAHv/z/Y=")</f>
        <v>#VALUE!</v>
      </c>
      <c r="IN41" t="b">
        <f>AND([1]Labo!J28,"AAAAAHv/z/c=")</f>
        <v>1</v>
      </c>
      <c r="IO41" t="e">
        <f>AND([1]Labo!K28,"AAAAAHv/z/g=")</f>
        <v>#VALUE!</v>
      </c>
      <c r="IP41" t="b">
        <f>AND([1]Labo!D3,"AAAAAHv/z/k=")</f>
        <v>1</v>
      </c>
      <c r="IQ41" t="e">
        <f>AND([1]Labo!E3,"AAAAAHv/z/o=")</f>
        <v>#VALUE!</v>
      </c>
      <c r="IR41" t="e">
        <f>AND([1]Labo!F29,"AAAAAHv/z/s=")</f>
        <v>#VALUE!</v>
      </c>
      <c r="IS41" t="b">
        <f>AND([1]Labo!G29,"AAAAAHv/z/w=")</f>
        <v>1</v>
      </c>
      <c r="IT41" t="e">
        <f>AND([1]Labo!H29,"AAAAAHv/z/0=")</f>
        <v>#VALUE!</v>
      </c>
      <c r="IU41" t="e">
        <f>AND([1]Labo!I29,"AAAAAHv/z/4=")</f>
        <v>#VALUE!</v>
      </c>
      <c r="IV41" t="b">
        <f>AND([1]Labo!J29,"AAAAAHv/z/8=")</f>
        <v>1</v>
      </c>
    </row>
    <row r="42" spans="1:256">
      <c r="A42" t="e">
        <f>AND([1]Labo!K29,"AAAAAH/v/wA=")</f>
        <v>#VALUE!</v>
      </c>
      <c r="B42" t="e">
        <f>AND([1]Labo!#REF!,"AAAAAH/v/wE=")</f>
        <v>#REF!</v>
      </c>
      <c r="C42" t="e">
        <f>AND([1]Labo!B39,"AAAAAH/v/wI=")</f>
        <v>#VALUE!</v>
      </c>
      <c r="D42" t="e">
        <f>AND([1]Labo!#REF!,"AAAAAH/v/wM=")</f>
        <v>#REF!</v>
      </c>
      <c r="E42" t="e">
        <f>AND([1]Labo!#REF!,"AAAAAH/v/wQ=")</f>
        <v>#REF!</v>
      </c>
      <c r="F42" t="e">
        <f>AND([1]Labo!F30,"AAAAAH/v/wU=")</f>
        <v>#VALUE!</v>
      </c>
      <c r="G42" t="b">
        <f>AND([1]Labo!G30,"AAAAAH/v/wY=")</f>
        <v>1</v>
      </c>
      <c r="H42" t="e">
        <f>AND([1]Labo!H30,"AAAAAH/v/wc=")</f>
        <v>#VALUE!</v>
      </c>
      <c r="I42" t="e">
        <f>AND([1]Labo!I30,"AAAAAH/v/wg=")</f>
        <v>#VALUE!</v>
      </c>
      <c r="J42" t="b">
        <f>AND([1]Labo!J30,"AAAAAH/v/wk=")</f>
        <v>1</v>
      </c>
      <c r="K42" t="e">
        <f>AND([1]Labo!K30,"AAAAAH/v/wo=")</f>
        <v>#VALUE!</v>
      </c>
      <c r="L42">
        <f>IF([1]Labo!$A31:$AMJ31,"AAAAAH/v/ws=",0)</f>
        <v>0</v>
      </c>
      <c r="M42" t="e">
        <f>AND([1]Labo!#REF!,"AAAAAH/v/ww=")</f>
        <v>#REF!</v>
      </c>
      <c r="N42" t="e">
        <f>AND([1]Labo!#REF!,"AAAAAH/v/w0=")</f>
        <v>#REF!</v>
      </c>
      <c r="O42" t="e">
        <f>AND([1]Labo!C31,"AAAAAH/v/w4=")</f>
        <v>#VALUE!</v>
      </c>
      <c r="P42" t="b">
        <f>AND([1]Labo!D4,"AAAAAH/v/w8=")</f>
        <v>1</v>
      </c>
      <c r="Q42" t="e">
        <f>AND([1]Labo!E4,"AAAAAH/v/xA=")</f>
        <v>#VALUE!</v>
      </c>
      <c r="R42" t="e">
        <f>AND([1]Labo!F31,"AAAAAH/v/xE=")</f>
        <v>#VALUE!</v>
      </c>
      <c r="S42" t="b">
        <f>AND([1]Labo!G31,"AAAAAH/v/xI=")</f>
        <v>1</v>
      </c>
      <c r="T42" t="e">
        <f>AND([1]Labo!H31,"AAAAAH/v/xM=")</f>
        <v>#VALUE!</v>
      </c>
      <c r="U42" t="e">
        <f>AND([1]Labo!I31,"AAAAAH/v/xQ=")</f>
        <v>#VALUE!</v>
      </c>
      <c r="V42" t="b">
        <f>AND([1]Labo!J31,"AAAAAH/v/xU=")</f>
        <v>1</v>
      </c>
      <c r="W42" t="e">
        <f>AND([1]Labo!K31,"AAAAAH/v/xY=")</f>
        <v>#VALUE!</v>
      </c>
      <c r="X42">
        <f>IF([1]Labo!$A32:$AMJ32,"AAAAAH/v/xc=",0)</f>
        <v>0</v>
      </c>
      <c r="Y42" t="b">
        <f>AND([1]Labo!A33,"AAAAAH/v/xg=")</f>
        <v>1</v>
      </c>
      <c r="Z42" t="e">
        <f>AND([1]Labo!B33,"AAAAAH/v/xk=")</f>
        <v>#VALUE!</v>
      </c>
      <c r="AA42" t="e">
        <f>AND([1]Labo!C32,"AAAAAH/v/xo=")</f>
        <v>#VALUE!</v>
      </c>
      <c r="AB42" t="b">
        <f>AND([1]Labo!D5,"AAAAAH/v/xs=")</f>
        <v>1</v>
      </c>
      <c r="AC42" t="e">
        <f>AND([1]Labo!E5,"AAAAAH/v/xw=")</f>
        <v>#VALUE!</v>
      </c>
      <c r="AD42" t="e">
        <f>AND([1]Labo!F32,"AAAAAH/v/x0=")</f>
        <v>#VALUE!</v>
      </c>
      <c r="AE42" t="b">
        <f>AND([1]Labo!G32,"AAAAAH/v/x4=")</f>
        <v>1</v>
      </c>
      <c r="AF42" t="e">
        <f>AND([1]Labo!H32,"AAAAAH/v/x8=")</f>
        <v>#VALUE!</v>
      </c>
      <c r="AG42" t="e">
        <f>AND([1]Labo!I32,"AAAAAH/v/yA=")</f>
        <v>#VALUE!</v>
      </c>
      <c r="AH42" t="b">
        <f>AND([1]Labo!J32,"AAAAAH/v/yE=")</f>
        <v>1</v>
      </c>
      <c r="AI42" t="e">
        <f>AND([1]Labo!K32,"AAAAAH/v/yI=")</f>
        <v>#VALUE!</v>
      </c>
      <c r="AJ42">
        <f>IF([1]Labo!$A33:$AMJ33,"AAAAAH/v/yM=",0)</f>
        <v>0</v>
      </c>
      <c r="AK42" t="b">
        <f>AND([1]Labo!A37,"AAAAAH/v/yQ=")</f>
        <v>1</v>
      </c>
      <c r="AL42" t="e">
        <f>AND([1]Labo!B36,"AAAAAH/v/yU=")</f>
        <v>#VALUE!</v>
      </c>
      <c r="AM42" t="e">
        <f>AND([1]Labo!C33,"AAAAAH/v/yY=")</f>
        <v>#VALUE!</v>
      </c>
      <c r="AN42" t="b">
        <f>AND([1]Labo!D6,"AAAAAH/v/yc=")</f>
        <v>1</v>
      </c>
      <c r="AO42" t="e">
        <f>AND([1]Labo!E6,"AAAAAH/v/yg=")</f>
        <v>#VALUE!</v>
      </c>
      <c r="AP42" t="e">
        <f>AND([1]Labo!F33,"AAAAAH/v/yk=")</f>
        <v>#VALUE!</v>
      </c>
      <c r="AQ42" t="b">
        <f>AND([1]Labo!G33,"AAAAAH/v/yo=")</f>
        <v>1</v>
      </c>
      <c r="AR42" t="e">
        <f>AND([1]Labo!H33,"AAAAAH/v/ys=")</f>
        <v>#VALUE!</v>
      </c>
      <c r="AS42" t="e">
        <f>AND([1]Labo!I33,"AAAAAH/v/yw=")</f>
        <v>#VALUE!</v>
      </c>
      <c r="AT42" t="b">
        <f>AND([1]Labo!J33,"AAAAAH/v/y0=")</f>
        <v>1</v>
      </c>
      <c r="AU42" t="e">
        <f>AND([1]Labo!K33,"AAAAAH/v/y4=")</f>
        <v>#VALUE!</v>
      </c>
      <c r="AV42">
        <f>IF([1]Labo!$A34:$AMJ34,"AAAAAH/v/y8=",0)</f>
        <v>0</v>
      </c>
      <c r="AW42" t="b">
        <f>AND([1]Labo!A38,"AAAAAH/v/zA=")</f>
        <v>1</v>
      </c>
      <c r="AX42" t="e">
        <f>AND([1]Labo!B37,"AAAAAH/v/zE=")</f>
        <v>#VALUE!</v>
      </c>
      <c r="AY42" t="e">
        <f>AND([1]Labo!C34,"AAAAAH/v/zI=")</f>
        <v>#VALUE!</v>
      </c>
      <c r="AZ42" t="b">
        <f>AND([1]Labo!D7,"AAAAAH/v/zM=")</f>
        <v>1</v>
      </c>
      <c r="BA42" t="e">
        <f>AND([1]Labo!E7,"AAAAAH/v/zQ=")</f>
        <v>#VALUE!</v>
      </c>
      <c r="BB42" t="e">
        <f>AND([1]Labo!F34,"AAAAAH/v/zU=")</f>
        <v>#VALUE!</v>
      </c>
      <c r="BC42" t="b">
        <f>AND([1]Labo!G34,"AAAAAH/v/zY=")</f>
        <v>1</v>
      </c>
      <c r="BD42" t="e">
        <f>AND([1]Labo!H34,"AAAAAH/v/zc=")</f>
        <v>#VALUE!</v>
      </c>
      <c r="BE42" t="e">
        <f>AND([1]Labo!I34,"AAAAAH/v/zg=")</f>
        <v>#VALUE!</v>
      </c>
      <c r="BF42" t="b">
        <f>AND([1]Labo!J34,"AAAAAH/v/zk=")</f>
        <v>1</v>
      </c>
      <c r="BG42" t="e">
        <f>AND([1]Labo!K34,"AAAAAH/v/zo=")</f>
        <v>#VALUE!</v>
      </c>
      <c r="BH42">
        <f>IF([1]Labo!$A35:$AMJ35,"AAAAAH/v/zs=",0)</f>
        <v>0</v>
      </c>
      <c r="BI42" t="b">
        <f>AND([1]Labo!A39,"AAAAAH/v/zw=")</f>
        <v>1</v>
      </c>
      <c r="BJ42" t="e">
        <f>AND([1]Labo!B38,"AAAAAH/v/z0=")</f>
        <v>#VALUE!</v>
      </c>
      <c r="BK42" t="e">
        <f>AND([1]Labo!C35,"AAAAAH/v/z4=")</f>
        <v>#VALUE!</v>
      </c>
      <c r="BL42" t="b">
        <f>AND([1]Labo!D8,"AAAAAH/v/z8=")</f>
        <v>1</v>
      </c>
      <c r="BM42" t="e">
        <f>AND([1]Labo!E8,"AAAAAH/v/0A=")</f>
        <v>#VALUE!</v>
      </c>
      <c r="BN42" t="e">
        <f>AND([1]Labo!F35,"AAAAAH/v/0E=")</f>
        <v>#VALUE!</v>
      </c>
      <c r="BO42" t="b">
        <f>AND([1]Labo!G35,"AAAAAH/v/0I=")</f>
        <v>1</v>
      </c>
      <c r="BP42" t="e">
        <f>AND([1]Labo!H35,"AAAAAH/v/0M=")</f>
        <v>#VALUE!</v>
      </c>
      <c r="BQ42" t="e">
        <f>AND([1]Labo!I35,"AAAAAH/v/0Q=")</f>
        <v>#VALUE!</v>
      </c>
      <c r="BR42" t="b">
        <f>AND([1]Labo!J35,"AAAAAH/v/0U=")</f>
        <v>1</v>
      </c>
      <c r="BS42" t="e">
        <f>AND([1]Labo!K35,"AAAAAH/v/0Y=")</f>
        <v>#VALUE!</v>
      </c>
      <c r="BT42">
        <f>IF([1]Labo!$A36:$AMJ36,"AAAAAH/v/0c=",0)</f>
        <v>0</v>
      </c>
      <c r="BU42" t="b">
        <f>AND([1]Labo!A34,"AAAAAH/v/0g=")</f>
        <v>1</v>
      </c>
      <c r="BV42" t="e">
        <f>AND([1]Labo!B34,"AAAAAH/v/0k=")</f>
        <v>#VALUE!</v>
      </c>
      <c r="BW42" t="e">
        <f>AND([1]Labo!C36,"AAAAAH/v/0o=")</f>
        <v>#VALUE!</v>
      </c>
      <c r="BX42" t="b">
        <f>AND([1]Labo!D9,"AAAAAH/v/0s=")</f>
        <v>1</v>
      </c>
      <c r="BY42" t="e">
        <f>AND([1]Labo!E9,"AAAAAH/v/0w=")</f>
        <v>#VALUE!</v>
      </c>
      <c r="BZ42" t="e">
        <f>AND([1]Labo!F36,"AAAAAH/v/00=")</f>
        <v>#VALUE!</v>
      </c>
      <c r="CA42" t="b">
        <f>AND([1]Labo!G36,"AAAAAH/v/04=")</f>
        <v>1</v>
      </c>
      <c r="CB42" t="e">
        <f>AND([1]Labo!H36,"AAAAAH/v/08=")</f>
        <v>#VALUE!</v>
      </c>
      <c r="CC42" t="e">
        <f>AND([1]Labo!I36,"AAAAAH/v/1A=")</f>
        <v>#VALUE!</v>
      </c>
      <c r="CD42" t="b">
        <f>AND([1]Labo!J36,"AAAAAH/v/1E=")</f>
        <v>1</v>
      </c>
      <c r="CE42" t="e">
        <f>AND([1]Labo!K36,"AAAAAH/v/1I=")</f>
        <v>#VALUE!</v>
      </c>
      <c r="CF42">
        <f>IF([1]Labo!$A37:$AMJ37,"AAAAAH/v/1M=",0)</f>
        <v>0</v>
      </c>
      <c r="CG42" t="b">
        <f>AND([1]Labo!A32,"AAAAAH/v/1Q=")</f>
        <v>1</v>
      </c>
      <c r="CH42" t="e">
        <f>AND([1]Labo!B32,"AAAAAH/v/1U=")</f>
        <v>#VALUE!</v>
      </c>
      <c r="CI42" t="e">
        <f>AND([1]Labo!C37,"AAAAAH/v/1Y=")</f>
        <v>#VALUE!</v>
      </c>
      <c r="CJ42" t="e">
        <f>AND([1]Labo!#REF!,"AAAAAH/v/1c=")</f>
        <v>#REF!</v>
      </c>
      <c r="CK42" t="e">
        <f>AND([1]Labo!#REF!,"AAAAAH/v/1g=")</f>
        <v>#REF!</v>
      </c>
      <c r="CL42" t="e">
        <f>AND([1]Labo!F37,"AAAAAH/v/1k=")</f>
        <v>#VALUE!</v>
      </c>
      <c r="CM42" t="b">
        <f>AND([1]Labo!G37,"AAAAAH/v/1o=")</f>
        <v>1</v>
      </c>
      <c r="CN42" t="e">
        <f>AND([1]Labo!H37,"AAAAAH/v/1s=")</f>
        <v>#VALUE!</v>
      </c>
      <c r="CO42" t="e">
        <f>AND([1]Labo!I37,"AAAAAH/v/1w=")</f>
        <v>#VALUE!</v>
      </c>
      <c r="CP42" t="b">
        <f>AND([1]Labo!J37,"AAAAAH/v/10=")</f>
        <v>1</v>
      </c>
      <c r="CQ42" t="e">
        <f>AND([1]Labo!K37,"AAAAAH/v/14=")</f>
        <v>#VALUE!</v>
      </c>
      <c r="CR42">
        <f>IF([1]Labo!$A38:$AMJ38,"AAAAAH/v/18=",0)</f>
        <v>0</v>
      </c>
      <c r="CS42" t="e">
        <f>AND([1]Labo!#REF!,"AAAAAH/v/2A=")</f>
        <v>#REF!</v>
      </c>
      <c r="CT42" t="e">
        <f>AND([1]Labo!#REF!,"AAAAAH/v/2E=")</f>
        <v>#REF!</v>
      </c>
      <c r="CU42" t="e">
        <f>AND([1]Labo!C38,"AAAAAH/v/2I=")</f>
        <v>#VALUE!</v>
      </c>
      <c r="CV42" t="e">
        <f>AND([1]Labo!#REF!,"AAAAAH/v/2M=")</f>
        <v>#REF!</v>
      </c>
      <c r="CW42" t="e">
        <f>AND([1]Labo!#REF!,"AAAAAH/v/2Q=")</f>
        <v>#REF!</v>
      </c>
      <c r="CX42" t="e">
        <f>AND([1]Labo!F38,"AAAAAH/v/2U=")</f>
        <v>#VALUE!</v>
      </c>
      <c r="CY42" t="b">
        <f>AND([1]Labo!G38,"AAAAAH/v/2Y=")</f>
        <v>1</v>
      </c>
      <c r="CZ42" t="e">
        <f>AND([1]Labo!H38,"AAAAAH/v/2c=")</f>
        <v>#VALUE!</v>
      </c>
      <c r="DA42" t="e">
        <f>AND([1]Labo!I38,"AAAAAH/v/2g=")</f>
        <v>#VALUE!</v>
      </c>
      <c r="DB42" t="b">
        <f>AND([1]Labo!J38,"AAAAAH/v/2k=")</f>
        <v>1</v>
      </c>
      <c r="DC42" t="e">
        <f>AND([1]Labo!K38,"AAAAAH/v/2o=")</f>
        <v>#VALUE!</v>
      </c>
      <c r="DD42">
        <f>IF([1]Labo!$A39:$AMJ39,"AAAAAH/v/2s=",0)</f>
        <v>0</v>
      </c>
      <c r="DE42" t="e">
        <f>AND([1]Labo!#REF!,"AAAAAH/v/2w=")</f>
        <v>#REF!</v>
      </c>
      <c r="DF42" t="e">
        <f>AND([1]Labo!#REF!,"AAAAAH/v/20=")</f>
        <v>#REF!</v>
      </c>
      <c r="DG42" t="e">
        <f>AND([1]Labo!C39,"AAAAAH/v/24=")</f>
        <v>#VALUE!</v>
      </c>
      <c r="DH42" t="e">
        <f>AND([1]Labo!#REF!,"AAAAAH/v/28=")</f>
        <v>#REF!</v>
      </c>
      <c r="DI42" t="e">
        <f>AND([1]Labo!#REF!,"AAAAAH/v/3A=")</f>
        <v>#REF!</v>
      </c>
      <c r="DJ42" t="e">
        <f>AND([1]Labo!F39,"AAAAAH/v/3E=")</f>
        <v>#VALUE!</v>
      </c>
      <c r="DK42" t="b">
        <f>AND([1]Labo!G39,"AAAAAH/v/3I=")</f>
        <v>1</v>
      </c>
      <c r="DL42" t="e">
        <f>AND([1]Labo!H39,"AAAAAH/v/3M=")</f>
        <v>#VALUE!</v>
      </c>
      <c r="DM42" t="e">
        <f>AND([1]Labo!I39,"AAAAAH/v/3Q=")</f>
        <v>#VALUE!</v>
      </c>
      <c r="DN42" t="b">
        <f>AND([1]Labo!J39,"AAAAAH/v/3U=")</f>
        <v>1</v>
      </c>
      <c r="DO42" t="e">
        <f>AND([1]Labo!K39,"AAAAAH/v/3Y=")</f>
        <v>#VALUE!</v>
      </c>
      <c r="DP42">
        <f>IF([1]Labo!$A40:$AMJ40,"AAAAAH/v/3c=",0)</f>
        <v>0</v>
      </c>
      <c r="DQ42" t="b">
        <f>AND([1]Labo!A29,"AAAAAH/v/3g=")</f>
        <v>1</v>
      </c>
      <c r="DR42" t="e">
        <f>AND([1]Labo!#REF!,"AAAAAH/v/3k=")</f>
        <v>#REF!</v>
      </c>
      <c r="DS42" t="e">
        <f>AND([1]Labo!C40,"AAAAAH/v/3o=")</f>
        <v>#VALUE!</v>
      </c>
      <c r="DT42" t="e">
        <f>AND([1]Labo!#REF!,"AAAAAH/v/3s=")</f>
        <v>#REF!</v>
      </c>
      <c r="DU42" t="e">
        <f>AND([1]Labo!#REF!,"AAAAAH/v/3w=")</f>
        <v>#REF!</v>
      </c>
      <c r="DV42" t="e">
        <f>AND([1]Labo!F40,"AAAAAH/v/30=")</f>
        <v>#VALUE!</v>
      </c>
      <c r="DW42" t="b">
        <f>AND([1]Labo!G40,"AAAAAH/v/34=")</f>
        <v>1</v>
      </c>
      <c r="DX42" t="e">
        <f>AND([1]Labo!H40,"AAAAAH/v/38=")</f>
        <v>#VALUE!</v>
      </c>
      <c r="DY42" t="e">
        <f>AND([1]Labo!I40,"AAAAAH/v/4A=")</f>
        <v>#VALUE!</v>
      </c>
      <c r="DZ42" t="b">
        <f>AND([1]Labo!J40,"AAAAAH/v/4E=")</f>
        <v>1</v>
      </c>
      <c r="EA42" t="e">
        <f>AND([1]Labo!K40,"AAAAAH/v/4I=")</f>
        <v>#VALUE!</v>
      </c>
      <c r="EB42">
        <f>IF([1]Labo!$A41:$AMJ41,"AAAAAH/v/4M=",0)</f>
        <v>0</v>
      </c>
      <c r="EC42" t="b">
        <f>AND([1]Labo!A30,"AAAAAH/v/4Q=")</f>
        <v>1</v>
      </c>
      <c r="ED42" t="e">
        <f>AND([1]Labo!#REF!,"AAAAAH/v/4U=")</f>
        <v>#REF!</v>
      </c>
      <c r="EE42" t="e">
        <f>AND([1]Labo!C41,"AAAAAH/v/4Y=")</f>
        <v>#VALUE!</v>
      </c>
      <c r="EF42" t="b">
        <f>AND([1]Labo!D10,"AAAAAH/v/4c=")</f>
        <v>1</v>
      </c>
      <c r="EG42" t="e">
        <f>AND([1]Labo!E10,"AAAAAH/v/4g=")</f>
        <v>#VALUE!</v>
      </c>
      <c r="EH42" t="e">
        <f>AND([1]Labo!F41,"AAAAAH/v/4k=")</f>
        <v>#VALUE!</v>
      </c>
      <c r="EI42" t="b">
        <f>AND([1]Labo!G41,"AAAAAH/v/4o=")</f>
        <v>1</v>
      </c>
      <c r="EJ42" t="e">
        <f>AND([1]Labo!H41,"AAAAAH/v/4s=")</f>
        <v>#VALUE!</v>
      </c>
      <c r="EK42" t="e">
        <f>AND([1]Labo!I41,"AAAAAH/v/4w=")</f>
        <v>#VALUE!</v>
      </c>
      <c r="EL42" t="b">
        <f>AND([1]Labo!J41,"AAAAAH/v/40=")</f>
        <v>1</v>
      </c>
      <c r="EM42" t="e">
        <f>AND([1]Labo!K41,"AAAAAH/v/44=")</f>
        <v>#VALUE!</v>
      </c>
      <c r="EN42">
        <f>IF([1]Labo!$A42:$AMJ42,"AAAAAH/v/48=",0)</f>
        <v>0</v>
      </c>
      <c r="EO42" t="b">
        <f>AND([1]Labo!A40,"AAAAAH/v/5A=")</f>
        <v>1</v>
      </c>
      <c r="EP42" t="e">
        <f>AND([1]Labo!#REF!,"AAAAAH/v/5E=")</f>
        <v>#REF!</v>
      </c>
      <c r="EQ42" t="e">
        <f>AND([1]Labo!C42,"AAAAAH/v/5I=")</f>
        <v>#VALUE!</v>
      </c>
      <c r="ER42" t="b">
        <f>AND([1]Labo!D11,"AAAAAH/v/5M=")</f>
        <v>1</v>
      </c>
      <c r="ES42" t="e">
        <f>AND([1]Labo!E11,"AAAAAH/v/5Q=")</f>
        <v>#VALUE!</v>
      </c>
      <c r="ET42" t="e">
        <f>AND([1]Labo!F42,"AAAAAH/v/5U=")</f>
        <v>#VALUE!</v>
      </c>
      <c r="EU42" t="e">
        <f>AND([1]Labo!G42,"AAAAAH/v/5Y=")</f>
        <v>#VALUE!</v>
      </c>
      <c r="EV42" t="e">
        <f>AND([1]Labo!H42,"AAAAAH/v/5c=")</f>
        <v>#VALUE!</v>
      </c>
      <c r="EW42" t="e">
        <f>AND([1]Labo!I42,"AAAAAH/v/5g=")</f>
        <v>#VALUE!</v>
      </c>
      <c r="EX42" t="b">
        <f>AND([1]Labo!J42,"AAAAAH/v/5k=")</f>
        <v>1</v>
      </c>
      <c r="EY42" t="e">
        <f>AND([1]Labo!K42,"AAAAAH/v/5o=")</f>
        <v>#VALUE!</v>
      </c>
      <c r="EZ42">
        <f>IF([1]Labo!$A43:$AMJ43,"AAAAAH/v/5s=",0)</f>
        <v>0</v>
      </c>
      <c r="FA42" t="e">
        <f>AND([1]Labo!#REF!,"AAAAAH/v/5w=")</f>
        <v>#REF!</v>
      </c>
      <c r="FB42" t="e">
        <f>AND([1]Labo!#REF!,"AAAAAH/v/50=")</f>
        <v>#REF!</v>
      </c>
      <c r="FC42" t="e">
        <f>AND([1]Labo!C43,"AAAAAH/v/54=")</f>
        <v>#VALUE!</v>
      </c>
      <c r="FD42" t="b">
        <f>AND([1]Labo!D12,"AAAAAH/v/58=")</f>
        <v>1</v>
      </c>
      <c r="FE42" t="e">
        <f>AND([1]Labo!E12,"AAAAAH/v/6A=")</f>
        <v>#VALUE!</v>
      </c>
      <c r="FF42" t="e">
        <f>AND([1]Labo!F43,"AAAAAH/v/6E=")</f>
        <v>#VALUE!</v>
      </c>
      <c r="FG42" t="e">
        <f>AND([1]Labo!G43,"AAAAAH/v/6I=")</f>
        <v>#VALUE!</v>
      </c>
      <c r="FH42" t="e">
        <f>AND([1]Labo!H43,"AAAAAH/v/6M=")</f>
        <v>#VALUE!</v>
      </c>
      <c r="FI42" t="e">
        <f>AND([1]Labo!I43,"AAAAAH/v/6Q=")</f>
        <v>#VALUE!</v>
      </c>
      <c r="FJ42" t="b">
        <f>AND([1]Labo!J43,"AAAAAH/v/6U=")</f>
        <v>1</v>
      </c>
      <c r="FK42" t="e">
        <f>AND([1]Labo!K43,"AAAAAH/v/6Y=")</f>
        <v>#VALUE!</v>
      </c>
      <c r="FL42">
        <f>IF([1]Labo!$A44:$AMJ44,"AAAAAH/v/6c=",0)</f>
        <v>0</v>
      </c>
      <c r="FM42" t="e">
        <f>AND([1]Labo!#REF!,"AAAAAH/v/6g=")</f>
        <v>#REF!</v>
      </c>
      <c r="FN42" t="e">
        <f>AND([1]Labo!B35,"AAAAAH/v/6k=")</f>
        <v>#VALUE!</v>
      </c>
      <c r="FO42" t="e">
        <f>AND([1]Labo!C44,"AAAAAH/v/6o=")</f>
        <v>#VALUE!</v>
      </c>
      <c r="FP42" t="e">
        <f>AND([1]Labo!#REF!,"AAAAAH/v/6s=")</f>
        <v>#REF!</v>
      </c>
      <c r="FQ42" t="e">
        <f>AND([1]Labo!#REF!,"AAAAAH/v/6w=")</f>
        <v>#REF!</v>
      </c>
      <c r="FR42" t="e">
        <f>AND([1]Labo!#REF!,"AAAAAH/v/60=")</f>
        <v>#REF!</v>
      </c>
      <c r="FS42" t="e">
        <f>AND([1]Labo!G44,"AAAAAH/v/64=")</f>
        <v>#VALUE!</v>
      </c>
      <c r="FT42" t="e">
        <f>AND([1]Labo!H44,"AAAAAH/v/68=")</f>
        <v>#VALUE!</v>
      </c>
      <c r="FU42" t="e">
        <f>AND([1]Labo!I44,"AAAAAH/v/7A=")</f>
        <v>#VALUE!</v>
      </c>
      <c r="FV42" t="b">
        <f>AND([1]Labo!J44,"AAAAAH/v/7E=")</f>
        <v>1</v>
      </c>
      <c r="FW42" t="e">
        <f>AND([1]Labo!K44,"AAAAAH/v/7I=")</f>
        <v>#VALUE!</v>
      </c>
      <c r="FX42">
        <f>IF([1]Labo!$A45:$AMJ45,"AAAAAH/v/7M=",0)</f>
        <v>0</v>
      </c>
      <c r="FY42" t="b">
        <f>AND([1]Labo!A36,"AAAAAH/v/7Q=")</f>
        <v>1</v>
      </c>
      <c r="FZ42" t="e">
        <f>AND([1]Labo!#REF!,"AAAAAH/v/7U=")</f>
        <v>#REF!</v>
      </c>
      <c r="GA42" t="e">
        <f>AND([1]Labo!C45,"AAAAAH/v/7Y=")</f>
        <v>#VALUE!</v>
      </c>
      <c r="GB42" t="e">
        <f>AND([1]Labo!#REF!,"AAAAAH/v/7c=")</f>
        <v>#REF!</v>
      </c>
      <c r="GC42" t="e">
        <f>AND([1]Labo!#REF!,"AAAAAH/v/7g=")</f>
        <v>#REF!</v>
      </c>
      <c r="GD42" t="e">
        <f>AND([1]Labo!#REF!,"AAAAAH/v/7k=")</f>
        <v>#REF!</v>
      </c>
      <c r="GE42" t="e">
        <f>AND([1]Labo!G45,"AAAAAH/v/7o=")</f>
        <v>#VALUE!</v>
      </c>
      <c r="GF42" t="e">
        <f>AND([1]Labo!H45,"AAAAAH/v/7s=")</f>
        <v>#VALUE!</v>
      </c>
      <c r="GG42" t="e">
        <f>AND([1]Labo!I45,"AAAAAH/v/7w=")</f>
        <v>#VALUE!</v>
      </c>
      <c r="GH42" t="b">
        <f>AND([1]Labo!J45,"AAAAAH/v/70=")</f>
        <v>1</v>
      </c>
      <c r="GI42" t="e">
        <f>AND([1]Labo!K45,"AAAAAH/v/74=")</f>
        <v>#VALUE!</v>
      </c>
      <c r="GJ42" t="str">
        <f>IF([1]Labo!D:D,"AAAAAH/v/78=",0)</f>
        <v>AAAAAH/v/78=</v>
      </c>
      <c r="GK42" t="e">
        <f>IF([1]Labo!E:E,"AAAAAH/v/8A=",0)</f>
        <v>#VALUE!</v>
      </c>
      <c r="GL42">
        <f>IF([1]Labo!F:F,"AAAAAH/v/8E=",0)</f>
        <v>0</v>
      </c>
      <c r="GM42">
        <f>IF([1]Labo!G:G,"AAAAAH/v/8I=",0)</f>
        <v>0</v>
      </c>
      <c r="GN42">
        <f>IF([1]Labo!H:H,"AAAAAH/v/8M=",0)</f>
        <v>0</v>
      </c>
      <c r="GO42">
        <f>IF([1]Labo!L:L,"AAAAAH/v/8Q=",0)</f>
        <v>0</v>
      </c>
      <c r="GP42">
        <f>IF([1]Labo!P:P,"AAAAAH/v/8U=",0)</f>
        <v>0</v>
      </c>
      <c r="GQ42">
        <f>IF([1]Labo!Q:Q,"AAAAAH/v/8Y=",0)</f>
        <v>0</v>
      </c>
    </row>
    <row r="43" spans="1:256">
      <c r="A43" t="b">
        <f>AND('Golden 20'!I1,"AAAAACb6/QA=")</f>
        <v>1</v>
      </c>
      <c r="B43" t="e">
        <f>AND('Golden 20'!J1,"AAAAACb6/QE=")</f>
        <v>#VALUE!</v>
      </c>
      <c r="C43" t="b">
        <f>AND('Golden 20'!I2,"AAAAACb6/QI=")</f>
        <v>1</v>
      </c>
      <c r="D43" t="e">
        <f>AND('Golden 20'!J2,"AAAAACb6/QM=")</f>
        <v>#VALUE!</v>
      </c>
      <c r="E43" t="b">
        <f>AND('Golden 20'!I3,"AAAAACb6/QQ=")</f>
        <v>1</v>
      </c>
      <c r="F43" t="e">
        <f>AND('Golden 20'!J3,"AAAAACb6/QU=")</f>
        <v>#VALUE!</v>
      </c>
      <c r="G43" t="b">
        <f>AND('Golden 20'!I5,"AAAAACb6/QY=")</f>
        <v>1</v>
      </c>
      <c r="H43" t="e">
        <f>AND('Golden 20'!J6,"AAAAACb6/Qc=")</f>
        <v>#VALUE!</v>
      </c>
      <c r="I43" t="b">
        <f>AND('Golden 20'!I6,"AAAAACb6/Qg=")</f>
        <v>1</v>
      </c>
      <c r="J43" t="e">
        <f>AND('Golden 20'!J5,"AAAAACb6/Qk=")</f>
        <v>#VALUE!</v>
      </c>
      <c r="K43" t="b">
        <f>AND('Golden 20'!I4,"AAAAACb6/Qo=")</f>
        <v>1</v>
      </c>
      <c r="L43" t="e">
        <f>AND('Golden 20'!#REF!,"AAAAACb6/Qs=")</f>
        <v>#REF!</v>
      </c>
      <c r="M43" t="e">
        <f>AND('Golden 20'!#REF!,"AAAAACb6/Qw=")</f>
        <v>#REF!</v>
      </c>
      <c r="N43" t="e">
        <f>AND('Golden 20'!J8,"AAAAACb6/Q0=")</f>
        <v>#VALUE!</v>
      </c>
      <c r="O43" t="b">
        <f>AND('Golden 20'!I11,"AAAAACb6/Q4=")</f>
        <v>1</v>
      </c>
      <c r="P43" t="e">
        <f>AND('Golden 20'!#REF!,"AAAAACb6/Q8=")</f>
        <v>#REF!</v>
      </c>
      <c r="Q43" t="b">
        <f>AND('Golden 20'!I14,"AAAAACb6/RA=")</f>
        <v>1</v>
      </c>
      <c r="R43" t="e">
        <f>AND('Golden 20'!J14,"AAAAACb6/RE=")</f>
        <v>#VALUE!</v>
      </c>
      <c r="S43" t="b">
        <f>AND('Golden 20'!I13,"AAAAACb6/RI=")</f>
        <v>1</v>
      </c>
      <c r="T43" t="e">
        <f>AND('Golden 20'!J13,"AAAAACb6/RM=")</f>
        <v>#VALUE!</v>
      </c>
      <c r="U43" t="e">
        <f>AND('Golden 20'!#REF!,"AAAAACb6/RQ=")</f>
        <v>#REF!</v>
      </c>
      <c r="V43" t="e">
        <f>AND('Golden 20'!#REF!,"AAAAACb6/RU=")</f>
        <v>#REF!</v>
      </c>
      <c r="W43" t="e">
        <f>AND('Golden 20'!#REF!,"AAAAACb6/RY=")</f>
        <v>#REF!</v>
      </c>
      <c r="X43" t="e">
        <f>AND('Golden 20'!#REF!,"AAAAACb6/Rc=")</f>
        <v>#REF!</v>
      </c>
      <c r="Y43" t="e">
        <f>AND('Golden 20'!#REF!,"AAAAACb6/Rg=")</f>
        <v>#REF!</v>
      </c>
      <c r="Z43" t="e">
        <f>AND('Golden 20'!#REF!,"AAAAACb6/Rk=")</f>
        <v>#REF!</v>
      </c>
      <c r="AA43" t="e">
        <f>AND('Golden 20'!#REF!,"AAAAACb6/Ro=")</f>
        <v>#REF!</v>
      </c>
      <c r="AB43" t="e">
        <f>AND('Golden 20'!#REF!,"AAAAACb6/Rs=")</f>
        <v>#REF!</v>
      </c>
      <c r="AC43" t="b">
        <f>AND('Golden 20'!I15,"AAAAACb6/Rw=")</f>
        <v>1</v>
      </c>
      <c r="AD43" t="e">
        <f>AND('Golden 20'!J15,"AAAAACb6/R0=")</f>
        <v>#VALUE!</v>
      </c>
      <c r="AE43" t="e">
        <f>AND('Golden 20'!#REF!,"AAAAACb6/R4=")</f>
        <v>#REF!</v>
      </c>
      <c r="AF43" t="e">
        <f>AND('Golden 20'!#REF!,"AAAAACb6/R8=")</f>
        <v>#REF!</v>
      </c>
      <c r="AG43" t="e">
        <f>AND('Golden 20'!#REF!,"AAAAACb6/SA=")</f>
        <v>#REF!</v>
      </c>
      <c r="AH43" t="e">
        <f>AND('Golden 20'!J4,"AAAAACb6/SE=")</f>
        <v>#VALUE!</v>
      </c>
      <c r="AI43" t="e">
        <f>AND('Golden 20'!#REF!,"AAAAACb6/SI=")</f>
        <v>#REF!</v>
      </c>
      <c r="AJ43" t="e">
        <f>AND('Golden 20'!#REF!,"AAAAACb6/SM=")</f>
        <v>#REF!</v>
      </c>
      <c r="AK43" t="b">
        <f>AND('Golden 20'!I18,"AAAAACb6/SQ=")</f>
        <v>1</v>
      </c>
      <c r="AL43" t="e">
        <f>AND('Golden 20'!J18,"AAAAACb6/SU=")</f>
        <v>#VALUE!</v>
      </c>
      <c r="AM43" t="b">
        <f>AND('Golden 20'!I19,"AAAAACb6/SY=")</f>
        <v>1</v>
      </c>
      <c r="AN43" t="e">
        <f>AND('Golden 20'!J19,"AAAAACb6/Sc=")</f>
        <v>#VALUE!</v>
      </c>
      <c r="AO43" t="e">
        <f>AND('Golden 20'!#REF!,"AAAAACb6/Sg=")</f>
        <v>#REF!</v>
      </c>
      <c r="AP43" t="e">
        <f>AND('Golden 20'!#REF!,"AAAAACb6/Sk=")</f>
        <v>#REF!</v>
      </c>
      <c r="AQ43" t="e">
        <f>AND('Golden 20'!#REF!,"AAAAACb6/So=")</f>
        <v>#REF!</v>
      </c>
      <c r="AR43" t="e">
        <f>AND('Golden 20'!#REF!,"AAAAACb6/Ss=")</f>
        <v>#REF!</v>
      </c>
      <c r="AS43" t="b">
        <f>AND('Golden 20'!I12,"AAAAACb6/Sw=")</f>
        <v>1</v>
      </c>
      <c r="AT43" t="e">
        <f>AND('Golden 20'!J12,"AAAAACb6/S0=")</f>
        <v>#VALUE!</v>
      </c>
      <c r="AU43" t="e">
        <f>AND('Golden 20'!#REF!,"AAAAACb6/S4=")</f>
        <v>#REF!</v>
      </c>
      <c r="AV43" t="e">
        <f>AND('Golden 20'!#REF!,"AAAAACb6/S8=")</f>
        <v>#REF!</v>
      </c>
      <c r="AW43" t="b">
        <f>AND('Golden 20'!I20,"AAAAACb6/TA=")</f>
        <v>1</v>
      </c>
      <c r="AX43" t="e">
        <f>AND('Golden 20'!J20,"AAAAACb6/TE=")</f>
        <v>#VALUE!</v>
      </c>
      <c r="AY43" t="b">
        <f>AND('Golden 20'!I8,"AAAAACb6/TI=")</f>
        <v>1</v>
      </c>
      <c r="AZ43" t="e">
        <f>AND('Golden 20'!J11,"AAAAACb6/TM=")</f>
        <v>#VALUE!</v>
      </c>
      <c r="BA43" t="b">
        <f>AND('Golden 20'!I21,"AAAAACb6/TQ=")</f>
        <v>1</v>
      </c>
      <c r="BB43" t="e">
        <f>AND('Golden 20'!J21,"AAAAACb6/TU=")</f>
        <v>#VALUE!</v>
      </c>
      <c r="BC43" t="b">
        <f>AND('Golden 20'!A27,"AAAAACb6/TY=")</f>
        <v>1</v>
      </c>
      <c r="BD43" t="e">
        <f>AND('Golden 20'!B27,"AAAAACb6/Tc=")</f>
        <v>#VALUE!</v>
      </c>
      <c r="BE43" t="b">
        <f>AND('Golden 20'!A28,"AAAAACb6/Tg=")</f>
        <v>1</v>
      </c>
      <c r="BF43" t="e">
        <f>AND('Golden 20'!B28,"AAAAACb6/Tk=")</f>
        <v>#VALUE!</v>
      </c>
      <c r="BG43" t="b">
        <f>AND('Golden 20'!A7,"AAAAACb6/To=")</f>
        <v>1</v>
      </c>
      <c r="BH43" t="e">
        <f>AND('Golden 20'!B7,"AAAAACb6/Ts=")</f>
        <v>#VALUE!</v>
      </c>
      <c r="BI43" t="b">
        <f>AND('Golden 20'!A18,"AAAAACb6/Tw=")</f>
        <v>1</v>
      </c>
      <c r="BJ43" t="e">
        <f>AND('Golden 20'!B18,"AAAAACb6/T0=")</f>
        <v>#VALUE!</v>
      </c>
      <c r="BK43" t="e">
        <f>AND('Golden 20'!O29,"AAAAACb6/T4=")</f>
        <v>#VALUE!</v>
      </c>
      <c r="BL43" t="e">
        <f>AND('Golden 20'!P29,"AAAAACb6/T8=")</f>
        <v>#VALUE!</v>
      </c>
      <c r="BM43" t="e">
        <f>AND('Golden 20'!O30,"AAAAACb6/UA=")</f>
        <v>#VALUE!</v>
      </c>
      <c r="BN43" t="e">
        <f>AND('Golden 20'!P30,"AAAAACb6/UE=")</f>
        <v>#VALUE!</v>
      </c>
      <c r="BO43" t="e">
        <f>AND('Golden 20'!I30,"AAAAACb6/UI=")</f>
        <v>#VALUE!</v>
      </c>
      <c r="BP43" t="e">
        <f>AND('Golden 20'!#REF!,"AAAAACb6/UM=")</f>
        <v>#REF!</v>
      </c>
      <c r="BQ43" t="e">
        <f>AND('Golden 20'!O31,"AAAAACb6/UQ=")</f>
        <v>#VALUE!</v>
      </c>
      <c r="BR43" t="e">
        <f>AND('Golden 20'!P31,"AAAAACb6/UU=")</f>
        <v>#VALUE!</v>
      </c>
      <c r="BS43" t="e">
        <f>AND('Golden 20'!I31,"AAAAACb6/UY=")</f>
        <v>#VALUE!</v>
      </c>
      <c r="BT43" t="e">
        <f>AND('Golden 20'!J31,"AAAAACb6/Uc=")</f>
        <v>#VALUE!</v>
      </c>
      <c r="BU43" t="e">
        <f>AND('Golden 20'!O32,"AAAAACb6/Ug=")</f>
        <v>#VALUE!</v>
      </c>
      <c r="BV43" t="e">
        <f>AND('Golden 20'!P32,"AAAAACb6/Uk=")</f>
        <v>#VALUE!</v>
      </c>
      <c r="BW43" t="e">
        <f>AND('Golden 20'!I32,"AAAAACb6/Uo=")</f>
        <v>#VALUE!</v>
      </c>
      <c r="BX43" t="e">
        <f>AND('Golden 20'!J32,"AAAAACb6/Us=")</f>
        <v>#VALUE!</v>
      </c>
      <c r="BY43" t="e">
        <f>AND('Golden 20'!O33,"AAAAACb6/Uw=")</f>
        <v>#VALUE!</v>
      </c>
      <c r="BZ43" t="e">
        <f>AND('Golden 20'!P33,"AAAAACb6/U0=")</f>
        <v>#VALUE!</v>
      </c>
      <c r="CA43" t="e">
        <f>AND('Golden 20'!I33,"AAAAACb6/U4=")</f>
        <v>#VALUE!</v>
      </c>
      <c r="CB43" t="e">
        <f>AND('Golden 20'!J33,"AAAAACb6/U8=")</f>
        <v>#VALUE!</v>
      </c>
      <c r="CC43">
        <f>IF('Golden 20'!I:I,"AAAAACb6/VA=",0)</f>
        <v>0</v>
      </c>
      <c r="CD43">
        <f>IF('Golden 20'!J:J,"AAAAACb6/VE=",0)</f>
        <v>0</v>
      </c>
      <c r="CE43" t="e">
        <f>IF(#REF!,"AAAAACb6/VI=",0)</f>
        <v>#REF!</v>
      </c>
      <c r="CF43" t="e">
        <f>AND(#REF!,"AAAAACb6/VM=")</f>
        <v>#REF!</v>
      </c>
      <c r="CG43" t="e">
        <f>AND(#REF!,"AAAAACb6/VQ=")</f>
        <v>#REF!</v>
      </c>
      <c r="CH43" t="e">
        <f>IF(#REF!,"AAAAACb6/VU=",0)</f>
        <v>#REF!</v>
      </c>
      <c r="CI43" t="e">
        <f>AND(#REF!,"AAAAACb6/VY=")</f>
        <v>#REF!</v>
      </c>
      <c r="CJ43" t="e">
        <f>AND(#REF!,"AAAAACb6/Vc=")</f>
        <v>#REF!</v>
      </c>
      <c r="CK43" t="e">
        <f>IF(#REF!,"AAAAACb6/Vg=",0)</f>
        <v>#REF!</v>
      </c>
      <c r="CL43" t="e">
        <f>AND(#REF!,"AAAAACb6/Vk=")</f>
        <v>#REF!</v>
      </c>
      <c r="CM43" t="e">
        <f>AND(#REF!,"AAAAACb6/Vo=")</f>
        <v>#REF!</v>
      </c>
      <c r="CN43" t="e">
        <f>IF(#REF!,"AAAAACb6/Vs=",0)</f>
        <v>#REF!</v>
      </c>
      <c r="CO43" t="e">
        <f>AND(#REF!,"AAAAACb6/Vw=")</f>
        <v>#REF!</v>
      </c>
      <c r="CP43" t="e">
        <f>AND(#REF!,"AAAAACb6/V0=")</f>
        <v>#REF!</v>
      </c>
      <c r="CQ43" t="e">
        <f>IF(#REF!,"AAAAACb6/V4=",0)</f>
        <v>#REF!</v>
      </c>
      <c r="CR43" t="e">
        <f>AND(#REF!,"AAAAACb6/V8=")</f>
        <v>#REF!</v>
      </c>
      <c r="CS43" t="e">
        <f>AND(#REF!,"AAAAACb6/WA=")</f>
        <v>#REF!</v>
      </c>
      <c r="CT43" t="e">
        <f>IF(#REF!,"AAAAACb6/WE=",0)</f>
        <v>#REF!</v>
      </c>
      <c r="CU43" t="e">
        <f>AND(#REF!,"AAAAACb6/WI=")</f>
        <v>#REF!</v>
      </c>
      <c r="CV43" t="e">
        <f>AND(#REF!,"AAAAACb6/WM=")</f>
        <v>#REF!</v>
      </c>
      <c r="CW43" t="e">
        <f>IF(#REF!,"AAAAACb6/WQ=",0)</f>
        <v>#REF!</v>
      </c>
      <c r="CX43" t="e">
        <f>AND(#REF!,"AAAAACb6/WU=")</f>
        <v>#REF!</v>
      </c>
      <c r="CY43" t="e">
        <f>AND(#REF!,"AAAAACb6/WY=")</f>
        <v>#REF!</v>
      </c>
      <c r="CZ43" t="e">
        <f>IF(#REF!,"AAAAACb6/Wc=",0)</f>
        <v>#REF!</v>
      </c>
      <c r="DA43" t="e">
        <f>AND(#REF!,"AAAAACb6/Wg=")</f>
        <v>#REF!</v>
      </c>
      <c r="DB43" t="e">
        <f>AND(#REF!,"AAAAACb6/Wk=")</f>
        <v>#REF!</v>
      </c>
      <c r="DC43" t="e">
        <f>IF(#REF!,"AAAAACb6/Wo=",0)</f>
        <v>#REF!</v>
      </c>
      <c r="DD43" t="e">
        <f>AND(#REF!,"AAAAACb6/Ws=")</f>
        <v>#REF!</v>
      </c>
      <c r="DE43" t="e">
        <f>AND(#REF!,"AAAAACb6/Ww=")</f>
        <v>#REF!</v>
      </c>
      <c r="DF43" t="e">
        <f>IF(#REF!,"AAAAACb6/W0=",0)</f>
        <v>#REF!</v>
      </c>
      <c r="DG43" t="e">
        <f>AND(#REF!,"AAAAACb6/W4=")</f>
        <v>#REF!</v>
      </c>
      <c r="DH43" t="e">
        <f>AND(#REF!,"AAAAACb6/W8=")</f>
        <v>#REF!</v>
      </c>
      <c r="DI43" t="e">
        <f>IF(#REF!,"AAAAACb6/XA=",0)</f>
        <v>#REF!</v>
      </c>
      <c r="DJ43" t="e">
        <f>AND(#REF!,"AAAAACb6/XE=")</f>
        <v>#REF!</v>
      </c>
      <c r="DK43" t="e">
        <f>AND(#REF!,"AAAAACb6/XI=")</f>
        <v>#REF!</v>
      </c>
      <c r="DL43" t="e">
        <f>IF(#REF!,"AAAAACb6/XM=",0)</f>
        <v>#REF!</v>
      </c>
      <c r="DM43" t="e">
        <f>AND(#REF!,"AAAAACb6/XQ=")</f>
        <v>#REF!</v>
      </c>
      <c r="DN43" t="e">
        <f>AND(#REF!,"AAAAACb6/XU=")</f>
        <v>#REF!</v>
      </c>
      <c r="DO43" t="e">
        <f>IF(#REF!,"AAAAACb6/XY=",0)</f>
        <v>#REF!</v>
      </c>
      <c r="DP43" t="e">
        <f>AND(#REF!,"AAAAACb6/Xc=")</f>
        <v>#REF!</v>
      </c>
      <c r="DQ43" t="e">
        <f>AND(#REF!,"AAAAACb6/Xg=")</f>
        <v>#REF!</v>
      </c>
      <c r="DR43" t="e">
        <f>IF(#REF!,"AAAAACb6/Xk=",0)</f>
        <v>#REF!</v>
      </c>
      <c r="DS43" t="e">
        <f>AND(#REF!,"AAAAACb6/Xo=")</f>
        <v>#REF!</v>
      </c>
      <c r="DT43" t="e">
        <f>AND(#REF!,"AAAAACb6/Xs=")</f>
        <v>#REF!</v>
      </c>
      <c r="DU43" t="e">
        <f>IF(#REF!,"AAAAACb6/Xw=",0)</f>
        <v>#REF!</v>
      </c>
      <c r="DV43" t="e">
        <f>AND(#REF!,"AAAAACb6/X0=")</f>
        <v>#REF!</v>
      </c>
      <c r="DW43" t="e">
        <f>AND(#REF!,"AAAAACb6/X4=")</f>
        <v>#REF!</v>
      </c>
      <c r="DX43" t="e">
        <f>IF(#REF!,"AAAAACb6/X8=",0)</f>
        <v>#REF!</v>
      </c>
      <c r="DY43" t="e">
        <f>AND(#REF!,"AAAAACb6/YA=")</f>
        <v>#REF!</v>
      </c>
      <c r="DZ43" t="e">
        <f>AND(#REF!,"AAAAACb6/YE=")</f>
        <v>#REF!</v>
      </c>
      <c r="EA43" t="e">
        <f>IF(#REF!,"AAAAACb6/YI=",0)</f>
        <v>#REF!</v>
      </c>
      <c r="EB43" t="e">
        <f>AND(#REF!,"AAAAACb6/YM=")</f>
        <v>#REF!</v>
      </c>
      <c r="EC43" t="e">
        <f>AND(#REF!,"AAAAACb6/YQ=")</f>
        <v>#REF!</v>
      </c>
      <c r="ED43" t="e">
        <f>IF(#REF!,"AAAAACb6/YU=",0)</f>
        <v>#REF!</v>
      </c>
      <c r="EE43" t="e">
        <f>AND(#REF!,"AAAAACb6/YY=")</f>
        <v>#REF!</v>
      </c>
      <c r="EF43" t="e">
        <f>AND(#REF!,"AAAAACb6/Yc=")</f>
        <v>#REF!</v>
      </c>
      <c r="EG43" t="e">
        <f>IF(#REF!,"AAAAACb6/Yg=",0)</f>
        <v>#REF!</v>
      </c>
      <c r="EH43" t="e">
        <f>AND(#REF!,"AAAAACb6/Yk=")</f>
        <v>#REF!</v>
      </c>
      <c r="EI43" t="e">
        <f>AND(#REF!,"AAAAACb6/Yo=")</f>
        <v>#REF!</v>
      </c>
      <c r="EJ43" t="e">
        <f>IF(#REF!,"AAAAACb6/Ys=",0)</f>
        <v>#REF!</v>
      </c>
      <c r="EK43" t="e">
        <f>AND(#REF!,"AAAAACb6/Yw=")</f>
        <v>#REF!</v>
      </c>
      <c r="EL43" t="e">
        <f>AND(#REF!,"AAAAACb6/Y0=")</f>
        <v>#REF!</v>
      </c>
      <c r="EM43" t="e">
        <f>IF(#REF!,"AAAAACb6/Y4=",0)</f>
        <v>#REF!</v>
      </c>
      <c r="EN43" t="e">
        <f>IF(#REF!,"AAAAACb6/Y8=",0)</f>
        <v>#REF!</v>
      </c>
      <c r="EO43" t="e">
        <f>IF(#REF!,"AAAAACb6/ZA=",0)</f>
        <v>#REF!</v>
      </c>
      <c r="EP43" t="e">
        <f>IF(#REF!,"AAAAACb6/ZE=",0)</f>
        <v>#REF!</v>
      </c>
    </row>
    <row r="44" spans="1:256">
      <c r="A44" t="b">
        <f>AND('Golden 20'!I22,"AAAAAHfH+QA=")</f>
        <v>1</v>
      </c>
      <c r="B44" t="e">
        <f>AND('Golden 20'!J22,"AAAAAHfH+QE=")</f>
        <v>#VALUE!</v>
      </c>
      <c r="C44" t="e">
        <f>AND('Golden 20'!P26,"AAAAAHfH+QI=")</f>
        <v>#VALUE!</v>
      </c>
      <c r="D44" t="e">
        <f>AND('Golden 20'!#REF!,"AAAAAHfH+QM=")</f>
        <v>#REF!</v>
      </c>
      <c r="E44" t="e">
        <f>AND('Golden 20'!#REF!,"AAAAAHfH+QQ=")</f>
        <v>#REF!</v>
      </c>
      <c r="F44" t="e">
        <f>AND(#REF!,"AAAAAHfH+QU=")</f>
        <v>#REF!</v>
      </c>
      <c r="G44" t="e">
        <f>AND(#REF!,"AAAAAHfH+QY=")</f>
        <v>#REF!</v>
      </c>
      <c r="H44" t="e">
        <f>AND(#REF!,"AAAAAHfH+Qc=")</f>
        <v>#REF!</v>
      </c>
      <c r="I44" t="e">
        <f>AND(#REF!,"AAAAAHfH+Qg=")</f>
        <v>#REF!</v>
      </c>
      <c r="J44" t="e">
        <f>AND(#REF!,"AAAAAHfH+Qk=")</f>
        <v>#REF!</v>
      </c>
      <c r="K44" t="e">
        <f>AND(#REF!,"AAAAAHfH+Qo=")</f>
        <v>#REF!</v>
      </c>
      <c r="L44" t="e">
        <f>AND(#REF!,"AAAAAHfH+Qs=")</f>
        <v>#REF!</v>
      </c>
      <c r="M44" t="e">
        <f>AND(#REF!,"AAAAAHfH+Qw=")</f>
        <v>#REF!</v>
      </c>
      <c r="N44" t="e">
        <f>AND(#REF!,"AAAAAHfH+Q0=")</f>
        <v>#REF!</v>
      </c>
      <c r="O44" t="e">
        <f>AND(#REF!,"AAAAAHfH+Q4=")</f>
        <v>#REF!</v>
      </c>
      <c r="P44" t="e">
        <f>AND(#REF!,"AAAAAHfH+Q8=")</f>
        <v>#REF!</v>
      </c>
      <c r="Q44" t="e">
        <f>AND(#REF!,"AAAAAHfH+RA=")</f>
        <v>#REF!</v>
      </c>
      <c r="R44" t="e">
        <f>AND(#REF!,"AAAAAHfH+RE=")</f>
        <v>#REF!</v>
      </c>
      <c r="S44" t="e">
        <f>AND(#REF!,"AAAAAHfH+RI=")</f>
        <v>#REF!</v>
      </c>
      <c r="T44" t="e">
        <f>AND(#REF!,"AAAAAHfH+RM=")</f>
        <v>#REF!</v>
      </c>
      <c r="U44" t="e">
        <f>AND(#REF!,"AAAAAHfH+RQ=")</f>
        <v>#REF!</v>
      </c>
      <c r="V44" t="e">
        <f>AND(#REF!,"AAAAAHfH+RU=")</f>
        <v>#REF!</v>
      </c>
      <c r="W44" t="e">
        <f>AND(#REF!,"AAAAAHfH+RY=")</f>
        <v>#REF!</v>
      </c>
      <c r="X44" t="e">
        <f>AND(#REF!,"AAAAAHfH+Rc=")</f>
        <v>#REF!</v>
      </c>
      <c r="Y44" t="e">
        <f>AND(#REF!,"AAAAAHfH+Rg=")</f>
        <v>#REF!</v>
      </c>
      <c r="Z44" t="e">
        <f>AND(#REF!,"AAAAAHfH+Rk=")</f>
        <v>#REF!</v>
      </c>
      <c r="AA44" t="e">
        <f>AND(#REF!,"AAAAAHfH+Ro=")</f>
        <v>#REF!</v>
      </c>
      <c r="AB44" t="e">
        <f>AND(#REF!,"AAAAAHfH+Rs=")</f>
        <v>#REF!</v>
      </c>
      <c r="AC44" t="e">
        <f>AND(#REF!,"AAAAAHfH+Rw=")</f>
        <v>#REF!</v>
      </c>
      <c r="AD44" t="e">
        <f>AND(#REF!,"AAAAAHfH+R0=")</f>
        <v>#REF!</v>
      </c>
      <c r="AE44" t="e">
        <f>AND(#REF!,"AAAAAHfH+R4=")</f>
        <v>#REF!</v>
      </c>
      <c r="AF44" t="e">
        <f>AND(#REF!,"AAAAAHfH+R8=")</f>
        <v>#REF!</v>
      </c>
      <c r="AG44" t="e">
        <f>AND(#REF!,"AAAAAHfH+SA=")</f>
        <v>#REF!</v>
      </c>
      <c r="AH44" t="e">
        <f>AND(#REF!,"AAAAAHfH+SE=")</f>
        <v>#REF!</v>
      </c>
      <c r="AI44" t="e">
        <f>AND(#REF!,"AAAAAHfH+SI=")</f>
        <v>#REF!</v>
      </c>
      <c r="AJ44" t="e">
        <f>AND(#REF!,"AAAAAHfH+SM=")</f>
        <v>#REF!</v>
      </c>
      <c r="AK44" t="e">
        <f>AND(#REF!,"AAAAAHfH+SQ=")</f>
        <v>#REF!</v>
      </c>
      <c r="AL44" t="e">
        <f>AND(#REF!,"AAAAAHfH+SU=")</f>
        <v>#REF!</v>
      </c>
      <c r="AM44" t="e">
        <f>AND(#REF!,"AAAAAHfH+SY=")</f>
        <v>#REF!</v>
      </c>
      <c r="AN44" t="e">
        <f>AND(#REF!,"AAAAAHfH+Sc=")</f>
        <v>#REF!</v>
      </c>
      <c r="AO44" t="e">
        <f>AND(#REF!,"AAAAAHfH+Sg=")</f>
        <v>#REF!</v>
      </c>
      <c r="AP44" t="e">
        <f>AND(#REF!,"AAAAAHfH+Sk=")</f>
        <v>#REF!</v>
      </c>
      <c r="AQ44" t="e">
        <f>AND(#REF!,"AAAAAHfH+So=")</f>
        <v>#REF!</v>
      </c>
      <c r="AR44" t="e">
        <f>AND(#REF!,"AAAAAHfH+Ss=")</f>
        <v>#REF!</v>
      </c>
      <c r="AS44" t="e">
        <f>AND(#REF!,"AAAAAHfH+Sw=")</f>
        <v>#REF!</v>
      </c>
      <c r="AT44" t="e">
        <f>AND(#REF!,"AAAAAHfH+S0=")</f>
        <v>#REF!</v>
      </c>
      <c r="AU44" t="e">
        <f>AND(#REF!,"AAAAAHfH+S4=")</f>
        <v>#REF!</v>
      </c>
      <c r="AV44" t="e">
        <f>AND(#REF!,"AAAAAHfH+S8=")</f>
        <v>#REF!</v>
      </c>
      <c r="AW44" t="e">
        <f>AND(#REF!,"AAAAAHfH+TA=")</f>
        <v>#REF!</v>
      </c>
      <c r="AX44" t="e">
        <f>AND(#REF!,"AAAAAHfH+TE=")</f>
        <v>#REF!</v>
      </c>
      <c r="AY44" t="e">
        <f>AND(#REF!,"AAAAAHfH+TI=")</f>
        <v>#REF!</v>
      </c>
      <c r="AZ44" t="e">
        <f>AND(#REF!,"AAAAAHfH+TM=")</f>
        <v>#REF!</v>
      </c>
      <c r="BA44" t="e">
        <f>AND(#REF!,"AAAAAHfH+TQ=")</f>
        <v>#REF!</v>
      </c>
      <c r="BB44" t="e">
        <f>AND(#REF!,"AAAAAHfH+TU=")</f>
        <v>#REF!</v>
      </c>
      <c r="BC44" t="e">
        <f>AND(#REF!,"AAAAAHfH+TY=")</f>
        <v>#REF!</v>
      </c>
      <c r="BD44" t="e">
        <f>AND(#REF!,"AAAAAHfH+Tc=")</f>
        <v>#REF!</v>
      </c>
      <c r="BE44" t="e">
        <f>AND(#REF!,"AAAAAHfH+Tg=")</f>
        <v>#REF!</v>
      </c>
      <c r="BF44" t="e">
        <f>AND(#REF!,"AAAAAHfH+Tk=")</f>
        <v>#REF!</v>
      </c>
      <c r="BG44" t="e">
        <f>AND(#REF!,"AAAAAHfH+To=")</f>
        <v>#REF!</v>
      </c>
      <c r="BH44" t="e">
        <f>AND(#REF!,"AAAAAHfH+Ts=")</f>
        <v>#REF!</v>
      </c>
      <c r="BI44" t="e">
        <f>AND(#REF!,"AAAAAHfH+Tw=")</f>
        <v>#REF!</v>
      </c>
      <c r="BJ44" t="e">
        <f>AND(#REF!,"AAAAAHfH+T0=")</f>
        <v>#REF!</v>
      </c>
      <c r="BK44" t="e">
        <f>AND(#REF!,"AAAAAHfH+T4=")</f>
        <v>#REF!</v>
      </c>
      <c r="BL44" t="e">
        <f>AND(#REF!,"AAAAAHfH+T8=")</f>
        <v>#REF!</v>
      </c>
      <c r="BM44" t="e">
        <f>AND(#REF!,"AAAAAHfH+UA=")</f>
        <v>#REF!</v>
      </c>
      <c r="BN44" t="e">
        <f>AND(#REF!,"AAAAAHfH+UE=")</f>
        <v>#REF!</v>
      </c>
      <c r="BO44" t="e">
        <f>AND(#REF!,"AAAAAHfH+UI=")</f>
        <v>#REF!</v>
      </c>
      <c r="BP44" t="e">
        <f>AND(#REF!,"AAAAAHfH+UM=")</f>
        <v>#REF!</v>
      </c>
      <c r="BQ44" t="e">
        <f>AND(#REF!,"AAAAAHfH+UQ=")</f>
        <v>#REF!</v>
      </c>
      <c r="BR44" t="e">
        <f>AND(#REF!,"AAAAAHfH+UU=")</f>
        <v>#REF!</v>
      </c>
      <c r="BS44" t="e">
        <f>AND(#REF!,"AAAAAHfH+UY=")</f>
        <v>#REF!</v>
      </c>
      <c r="BT44" t="e">
        <f>AND(#REF!,"AAAAAHfH+Uc=")</f>
        <v>#REF!</v>
      </c>
      <c r="BU44" t="e">
        <f>AND(#REF!,"AAAAAHfH+Ug=")</f>
        <v>#REF!</v>
      </c>
      <c r="BV44" t="e">
        <f>AND(#REF!,"AAAAAHfH+Uk=")</f>
        <v>#REF!</v>
      </c>
      <c r="BW44" t="e">
        <f>AND(#REF!,"AAAAAHfH+Uo=")</f>
        <v>#REF!</v>
      </c>
      <c r="BX44" t="e">
        <f>AND(#REF!,"AAAAAHfH+Us=")</f>
        <v>#REF!</v>
      </c>
      <c r="BY44" t="e">
        <f>AND(#REF!,"AAAAAHfH+Uw=")</f>
        <v>#REF!</v>
      </c>
      <c r="BZ44" t="e">
        <f>AND(#REF!,"AAAAAHfH+U0=")</f>
        <v>#REF!</v>
      </c>
      <c r="CA44" t="e">
        <f>AND(#REF!,"AAAAAHfH+U4=")</f>
        <v>#REF!</v>
      </c>
      <c r="CB44" t="e">
        <f>AND(#REF!,"AAAAAHfH+U8=")</f>
        <v>#REF!</v>
      </c>
      <c r="CC44" t="e">
        <f>AND(#REF!,"AAAAAHfH+VA=")</f>
        <v>#REF!</v>
      </c>
      <c r="CD44" t="e">
        <f>AND(#REF!,"AAAAAHfH+VE=")</f>
        <v>#REF!</v>
      </c>
      <c r="CE44" t="e">
        <f>AND(#REF!,"AAAAAHfH+VI=")</f>
        <v>#REF!</v>
      </c>
      <c r="CF44" t="e">
        <f>AND(#REF!,"AAAAAHfH+VM=")</f>
        <v>#REF!</v>
      </c>
      <c r="CG44" t="e">
        <f>AND(#REF!,"AAAAAHfH+VQ=")</f>
        <v>#REF!</v>
      </c>
      <c r="CH44" t="e">
        <f>AND(#REF!,"AAAAAHfH+VU=")</f>
        <v>#REF!</v>
      </c>
      <c r="CI44" t="e">
        <f>AND(#REF!,"AAAAAHfH+VY=")</f>
        <v>#REF!</v>
      </c>
      <c r="CJ44" t="e">
        <f>AND(#REF!,"AAAAAHfH+Vc=")</f>
        <v>#REF!</v>
      </c>
      <c r="CK44" t="e">
        <f>AND(#REF!,"AAAAAHfH+Vg=")</f>
        <v>#REF!</v>
      </c>
      <c r="CL44" t="e">
        <f>AND(#REF!,"AAAAAHfH+Vk=")</f>
        <v>#REF!</v>
      </c>
      <c r="CM44" t="e">
        <f>AND(#REF!,"AAAAAHfH+Vo=")</f>
        <v>#REF!</v>
      </c>
      <c r="CN44" t="e">
        <f>AND(#REF!,"AAAAAHfH+Vs=")</f>
        <v>#REF!</v>
      </c>
      <c r="CO44" t="e">
        <f>AND(#REF!,"AAAAAHfH+Vw=")</f>
        <v>#REF!</v>
      </c>
      <c r="CP44" t="e">
        <f>AND(#REF!,"AAAAAHfH+V0=")</f>
        <v>#REF!</v>
      </c>
      <c r="CQ44" t="e">
        <f>AND(#REF!,"AAAAAHfH+V4=")</f>
        <v>#REF!</v>
      </c>
      <c r="CR44" t="e">
        <f>AND(#REF!,"AAAAAHfH+V8=")</f>
        <v>#REF!</v>
      </c>
      <c r="CS44" t="e">
        <f>AND(#REF!,"AAAAAHfH+WA=")</f>
        <v>#REF!</v>
      </c>
      <c r="CT44" t="e">
        <f>AND(#REF!,"AAAAAHfH+WE=")</f>
        <v>#REF!</v>
      </c>
      <c r="CU44" t="e">
        <f>AND(#REF!,"AAAAAHfH+WI=")</f>
        <v>#REF!</v>
      </c>
      <c r="CV44" t="e">
        <f>AND(#REF!,"AAAAAHfH+WM=")</f>
        <v>#REF!</v>
      </c>
      <c r="CW44" t="e">
        <f>AND(#REF!,"AAAAAHfH+WQ=")</f>
        <v>#REF!</v>
      </c>
      <c r="CX44" t="e">
        <f>AND(#REF!,"AAAAAHfH+WU=")</f>
        <v>#REF!</v>
      </c>
      <c r="CY44" t="e">
        <f>AND(#REF!,"AAAAAHfH+WY=")</f>
        <v>#REF!</v>
      </c>
      <c r="CZ44" t="e">
        <f>AND(#REF!,"AAAAAHfH+Wc=")</f>
        <v>#REF!</v>
      </c>
      <c r="DA44" t="e">
        <f>AND(#REF!,"AAAAAHfH+Wg=")</f>
        <v>#REF!</v>
      </c>
      <c r="DB44" t="e">
        <f>AND(#REF!,"AAAAAHfH+Wk=")</f>
        <v>#REF!</v>
      </c>
      <c r="DC44" t="e">
        <f>AND(#REF!,"AAAAAHfH+Wo=")</f>
        <v>#REF!</v>
      </c>
      <c r="DD44" t="e">
        <f>AND(#REF!,"AAAAAHfH+Ws=")</f>
        <v>#REF!</v>
      </c>
      <c r="DE44" t="e">
        <f>AND(#REF!,"AAAAAHfH+Ww=")</f>
        <v>#REF!</v>
      </c>
      <c r="DF44" t="e">
        <f>AND(#REF!,"AAAAAHfH+W0=")</f>
        <v>#REF!</v>
      </c>
      <c r="DG44" t="e">
        <f>AND(#REF!,"AAAAAHfH+W4=")</f>
        <v>#REF!</v>
      </c>
      <c r="DH44" t="e">
        <f>AND(#REF!,"AAAAAHfH+W8=")</f>
        <v>#REF!</v>
      </c>
      <c r="DI44" t="e">
        <f>AND(#REF!,"AAAAAHfH+XA=")</f>
        <v>#REF!</v>
      </c>
      <c r="DJ44" t="e">
        <f>AND(#REF!,"AAAAAHfH+XE=")</f>
        <v>#REF!</v>
      </c>
      <c r="DK44" t="e">
        <f>AND(#REF!,"AAAAAHfH+XI=")</f>
        <v>#REF!</v>
      </c>
      <c r="DL44" t="e">
        <f>AND(#REF!,"AAAAAHfH+XM=")</f>
        <v>#REF!</v>
      </c>
      <c r="DM44" t="e">
        <f>AND(#REF!,"AAAAAHfH+XQ=")</f>
        <v>#REF!</v>
      </c>
      <c r="DN44" t="e">
        <f>AND(#REF!,"AAAAAHfH+XU=")</f>
        <v>#REF!</v>
      </c>
      <c r="DO44" t="e">
        <f>AND(#REF!,"AAAAAHfH+XY=")</f>
        <v>#REF!</v>
      </c>
      <c r="DP44" t="e">
        <f>AND(#REF!,"AAAAAHfH+Xc=")</f>
        <v>#REF!</v>
      </c>
      <c r="DQ44" t="e">
        <f>AND(#REF!,"AAAAAHfH+Xg=")</f>
        <v>#REF!</v>
      </c>
      <c r="DR44" t="e">
        <f>AND(#REF!,"AAAAAHfH+Xk=")</f>
        <v>#REF!</v>
      </c>
      <c r="DS44" t="e">
        <f>AND(#REF!,"AAAAAHfH+Xo=")</f>
        <v>#REF!</v>
      </c>
      <c r="DT44" t="e">
        <f>AND(#REF!,"AAAAAHfH+Xs=")</f>
        <v>#REF!</v>
      </c>
      <c r="DU44" t="e">
        <f>AND(#REF!,"AAAAAHfH+Xw=")</f>
        <v>#REF!</v>
      </c>
      <c r="DV44" t="e">
        <f>AND(#REF!,"AAAAAHfH+X0=")</f>
        <v>#REF!</v>
      </c>
      <c r="DW44" t="e">
        <f>AND(#REF!,"AAAAAHfH+X4=")</f>
        <v>#REF!</v>
      </c>
      <c r="DX44" t="e">
        <f>AND(#REF!,"AAAAAHfH+X8=")</f>
        <v>#REF!</v>
      </c>
      <c r="DY44" t="e">
        <f>AND(#REF!,"AAAAAHfH+YA=")</f>
        <v>#REF!</v>
      </c>
      <c r="DZ44" t="e">
        <f>AND(#REF!,"AAAAAHfH+YE=")</f>
        <v>#REF!</v>
      </c>
      <c r="EA44" t="e">
        <f>AND(#REF!,"AAAAAHfH+YI=")</f>
        <v>#REF!</v>
      </c>
      <c r="EB44" t="e">
        <f>AND(#REF!,"AAAAAHfH+YM=")</f>
        <v>#REF!</v>
      </c>
      <c r="EC44" t="e">
        <f>AND(#REF!,"AAAAAHfH+YQ=")</f>
        <v>#REF!</v>
      </c>
      <c r="ED44" t="e">
        <f>AND(#REF!,"AAAAAHfH+YU=")</f>
        <v>#REF!</v>
      </c>
      <c r="EE44" t="e">
        <f>AND(#REF!,"AAAAAHfH+YY=")</f>
        <v>#REF!</v>
      </c>
      <c r="EF44" t="e">
        <f>AND(#REF!,"AAAAAHfH+Yc=")</f>
        <v>#REF!</v>
      </c>
      <c r="EG44" t="e">
        <f>AND(#REF!,"AAAAAHfH+Yg=")</f>
        <v>#REF!</v>
      </c>
      <c r="EH44" t="e">
        <f>AND(#REF!,"AAAAAHfH+Yk=")</f>
        <v>#REF!</v>
      </c>
      <c r="EI44" t="e">
        <f>AND(#REF!,"AAAAAHfH+Yo=")</f>
        <v>#REF!</v>
      </c>
      <c r="EJ44" t="e">
        <f>AND(#REF!,"AAAAAHfH+Ys=")</f>
        <v>#REF!</v>
      </c>
      <c r="EK44" t="e">
        <f>AND(#REF!,"AAAAAHfH+Yw=")</f>
        <v>#REF!</v>
      </c>
      <c r="EL44" t="e">
        <f>AND(#REF!,"AAAAAHfH+Y0=")</f>
        <v>#REF!</v>
      </c>
      <c r="EM44" t="e">
        <f>AND(#REF!,"AAAAAHfH+Y4=")</f>
        <v>#REF!</v>
      </c>
      <c r="EN44" t="e">
        <f>AND(#REF!,"AAAAAHfH+Y8=")</f>
        <v>#REF!</v>
      </c>
      <c r="EO44" t="e">
        <f>AND(#REF!,"AAAAAHfH+ZA=")</f>
        <v>#REF!</v>
      </c>
      <c r="EP44" t="e">
        <f>AND(#REF!,"AAAAAHfH+ZE=")</f>
        <v>#REF!</v>
      </c>
      <c r="EQ44" t="e">
        <f>AND(#REF!,"AAAAAHfH+ZI=")</f>
        <v>#REF!</v>
      </c>
      <c r="ER44" t="e">
        <f>AND(#REF!,"AAAAAHfH+ZM=")</f>
        <v>#REF!</v>
      </c>
      <c r="ES44" t="e">
        <f>AND(#REF!,"AAAAAHfH+ZQ=")</f>
        <v>#REF!</v>
      </c>
      <c r="ET44" t="e">
        <f>AND(#REF!,"AAAAAHfH+ZU=")</f>
        <v>#REF!</v>
      </c>
      <c r="EU44" t="e">
        <f>AND(#REF!,"AAAAAHfH+ZY=")</f>
        <v>#REF!</v>
      </c>
      <c r="EV44" t="e">
        <f>AND(#REF!,"AAAAAHfH+Zc=")</f>
        <v>#REF!</v>
      </c>
      <c r="EW44" t="e">
        <f>AND(#REF!,"AAAAAHfH+Zg=")</f>
        <v>#REF!</v>
      </c>
      <c r="EX44" t="e">
        <f>AND(#REF!,"AAAAAHfH+Zk=")</f>
        <v>#REF!</v>
      </c>
      <c r="EY44" t="e">
        <f>AND(#REF!,"AAAAAHfH+Zo=")</f>
        <v>#REF!</v>
      </c>
      <c r="EZ44" t="e">
        <f>AND(#REF!,"AAAAAHfH+Zs=")</f>
        <v>#REF!</v>
      </c>
      <c r="FA44" t="e">
        <f>AND(#REF!,"AAAAAHfH+Zw=")</f>
        <v>#REF!</v>
      </c>
      <c r="FB44" t="e">
        <f>AND(#REF!,"AAAAAHfH+Z0=")</f>
        <v>#REF!</v>
      </c>
      <c r="FC44" t="e">
        <f>AND(#REF!,"AAAAAHfH+Z4=")</f>
        <v>#REF!</v>
      </c>
      <c r="FD44" t="e">
        <f>AND(#REF!,"AAAAAHfH+Z8=")</f>
        <v>#REF!</v>
      </c>
      <c r="FE44" t="e">
        <f>AND(#REF!,"AAAAAHfH+aA=")</f>
        <v>#REF!</v>
      </c>
      <c r="FF44" t="e">
        <f>AND(#REF!,"AAAAAHfH+aE=")</f>
        <v>#REF!</v>
      </c>
      <c r="FG44" t="e">
        <f>AND(#REF!,"AAAAAHfH+aI=")</f>
        <v>#REF!</v>
      </c>
      <c r="FH44" t="e">
        <f>AND(#REF!,"AAAAAHfH+aM=")</f>
        <v>#REF!</v>
      </c>
      <c r="FI44" t="e">
        <f>AND(#REF!,"AAAAAHfH+aQ=")</f>
        <v>#REF!</v>
      </c>
      <c r="FJ44" t="e">
        <f>AND(#REF!,"AAAAAHfH+aU=")</f>
        <v>#REF!</v>
      </c>
      <c r="FK44" t="e">
        <f>AND(#REF!,"AAAAAHfH+aY=")</f>
        <v>#REF!</v>
      </c>
      <c r="FL44" t="e">
        <f>AND(#REF!,"AAAAAHfH+ac=")</f>
        <v>#REF!</v>
      </c>
      <c r="FM44" t="e">
        <f>AND(#REF!,"AAAAAHfH+ag=")</f>
        <v>#REF!</v>
      </c>
      <c r="FN44" t="e">
        <f>AND(#REF!,"AAAAAHfH+ak=")</f>
        <v>#REF!</v>
      </c>
      <c r="FO44" t="e">
        <f>AND(#REF!,"AAAAAHfH+ao=")</f>
        <v>#REF!</v>
      </c>
      <c r="FP44" t="e">
        <f>AND(#REF!,"AAAAAHfH+as=")</f>
        <v>#REF!</v>
      </c>
      <c r="FQ44" t="e">
        <f>AND(#REF!,"AAAAAHfH+aw=")</f>
        <v>#REF!</v>
      </c>
      <c r="FR44" t="e">
        <f>AND(#REF!,"AAAAAHfH+a0=")</f>
        <v>#REF!</v>
      </c>
      <c r="FS44" t="e">
        <f>AND(#REF!,"AAAAAHfH+a4=")</f>
        <v>#REF!</v>
      </c>
      <c r="FT44" t="e">
        <f>AND(#REF!,"AAAAAHfH+a8=")</f>
        <v>#REF!</v>
      </c>
      <c r="FU44" t="e">
        <f>AND(#REF!,"AAAAAHfH+bA=")</f>
        <v>#REF!</v>
      </c>
      <c r="FV44" t="e">
        <f>AND(#REF!,"AAAAAHfH+bE=")</f>
        <v>#REF!</v>
      </c>
      <c r="FW44" t="e">
        <f>AND(#REF!,"AAAAAHfH+bI=")</f>
        <v>#REF!</v>
      </c>
      <c r="FX44" t="e">
        <f>AND(#REF!,"AAAAAHfH+bM=")</f>
        <v>#REF!</v>
      </c>
      <c r="FY44" t="e">
        <f>AND(#REF!,"AAAAAHfH+bQ=")</f>
        <v>#REF!</v>
      </c>
      <c r="FZ44" t="e">
        <f>AND(#REF!,"AAAAAHfH+bU=")</f>
        <v>#REF!</v>
      </c>
      <c r="GA44" t="e">
        <f>AND(#REF!,"AAAAAHfH+bY=")</f>
        <v>#REF!</v>
      </c>
      <c r="GB44" t="e">
        <f>AND(#REF!,"AAAAAHfH+bc=")</f>
        <v>#REF!</v>
      </c>
      <c r="GC44" t="e">
        <f>AND(#REF!,"AAAAAHfH+bg=")</f>
        <v>#REF!</v>
      </c>
      <c r="GD44" t="e">
        <f>AND(#REF!,"AAAAAHfH+bk=")</f>
        <v>#REF!</v>
      </c>
      <c r="GE44" t="e">
        <f>AND(#REF!,"AAAAAHfH+bo=")</f>
        <v>#REF!</v>
      </c>
      <c r="GF44" t="e">
        <f>AND(#REF!,"AAAAAHfH+bs=")</f>
        <v>#REF!</v>
      </c>
      <c r="GG44" t="e">
        <f>AND(#REF!,"AAAAAHfH+bw=")</f>
        <v>#REF!</v>
      </c>
      <c r="GH44" t="e">
        <f>AND(#REF!,"AAAAAHfH+b0=")</f>
        <v>#REF!</v>
      </c>
      <c r="GI44" t="e">
        <f>AND(#REF!,"AAAAAHfH+b4=")</f>
        <v>#REF!</v>
      </c>
      <c r="GJ44" t="e">
        <f>AND(#REF!,"AAAAAHfH+b8=")</f>
        <v>#REF!</v>
      </c>
      <c r="GK44" t="e">
        <f>AND(#REF!,"AAAAAHfH+cA=")</f>
        <v>#REF!</v>
      </c>
      <c r="GL44" t="e">
        <f>AND(#REF!,"AAAAAHfH+cE=")</f>
        <v>#REF!</v>
      </c>
      <c r="GM44" t="e">
        <f>AND(#REF!,"AAAAAHfH+cI=")</f>
        <v>#REF!</v>
      </c>
      <c r="GN44" t="e">
        <f>AND(#REF!,"AAAAAHfH+cM=")</f>
        <v>#REF!</v>
      </c>
      <c r="GO44" t="e">
        <f>AND(#REF!,"AAAAAHfH+cQ=")</f>
        <v>#REF!</v>
      </c>
      <c r="GP44" t="e">
        <f>AND(#REF!,"AAAAAHfH+cU=")</f>
        <v>#REF!</v>
      </c>
      <c r="GQ44" t="e">
        <f>AND(#REF!,"AAAAAHfH+cY=")</f>
        <v>#REF!</v>
      </c>
      <c r="GR44" t="e">
        <f>AND(#REF!,"AAAAAHfH+cc=")</f>
        <v>#REF!</v>
      </c>
      <c r="GS44" t="e">
        <f>AND(#REF!,"AAAAAHfH+cg=")</f>
        <v>#REF!</v>
      </c>
      <c r="GT44" t="e">
        <f>AND(#REF!,"AAAAAHfH+ck=")</f>
        <v>#REF!</v>
      </c>
      <c r="GU44" t="e">
        <f>AND(#REF!,"AAAAAHfH+co=")</f>
        <v>#REF!</v>
      </c>
      <c r="GV44" t="e">
        <f>AND(#REF!,"AAAAAHfH+cs=")</f>
        <v>#REF!</v>
      </c>
      <c r="GW44" t="e">
        <f>AND(#REF!,"AAAAAHfH+cw=")</f>
        <v>#REF!</v>
      </c>
      <c r="GX44" t="e">
        <f>AND(#REF!,"AAAAAHfH+c0=")</f>
        <v>#REF!</v>
      </c>
      <c r="GY44" t="e">
        <f>AND(#REF!,"AAAAAHfH+c4=")</f>
        <v>#REF!</v>
      </c>
      <c r="GZ44" t="e">
        <f>AND(#REF!,"AAAAAHfH+c8=")</f>
        <v>#REF!</v>
      </c>
      <c r="HA44" t="e">
        <f>AND(#REF!,"AAAAAHfH+dA=")</f>
        <v>#REF!</v>
      </c>
      <c r="HB44" t="e">
        <f>AND(#REF!,"AAAAAHfH+dE=")</f>
        <v>#REF!</v>
      </c>
      <c r="HC44" t="e">
        <f>AND(#REF!,"AAAAAHfH+dI=")</f>
        <v>#REF!</v>
      </c>
      <c r="HD44" t="e">
        <f>AND(#REF!,"AAAAAHfH+dM=")</f>
        <v>#REF!</v>
      </c>
      <c r="HE44" t="e">
        <f>AND(#REF!,"AAAAAHfH+dQ=")</f>
        <v>#REF!</v>
      </c>
      <c r="HF44" t="e">
        <f>AND(#REF!,"AAAAAHfH+dU=")</f>
        <v>#REF!</v>
      </c>
      <c r="HG44" t="e">
        <f>AND(#REF!,"AAAAAHfH+dY=")</f>
        <v>#REF!</v>
      </c>
      <c r="HH44" t="e">
        <f>AND(#REF!,"AAAAAHfH+dc=")</f>
        <v>#REF!</v>
      </c>
      <c r="HI44" t="e">
        <f>AND(#REF!,"AAAAAHfH+dg=")</f>
        <v>#REF!</v>
      </c>
      <c r="HJ44" t="e">
        <f>AND(#REF!,"AAAAAHfH+dk=")</f>
        <v>#REF!</v>
      </c>
      <c r="HK44" t="e">
        <f>AND(#REF!,"AAAAAHfH+do=")</f>
        <v>#REF!</v>
      </c>
      <c r="HL44" t="e">
        <f>AND(#REF!,"AAAAAHfH+ds=")</f>
        <v>#REF!</v>
      </c>
      <c r="HM44" t="e">
        <f>AND(#REF!,"AAAAAHfH+dw=")</f>
        <v>#REF!</v>
      </c>
      <c r="HN44" t="e">
        <f>AND(#REF!,"AAAAAHfH+d0=")</f>
        <v>#REF!</v>
      </c>
      <c r="HO44" t="e">
        <f>AND(#REF!,"AAAAAHfH+d4=")</f>
        <v>#REF!</v>
      </c>
      <c r="HP44" t="e">
        <f>AND(#REF!,"AAAAAHfH+d8=")</f>
        <v>#REF!</v>
      </c>
      <c r="HQ44" t="e">
        <f>AND(#REF!,"AAAAAHfH+eA=")</f>
        <v>#REF!</v>
      </c>
      <c r="HR44" t="e">
        <f>AND(#REF!,"AAAAAHfH+eE=")</f>
        <v>#REF!</v>
      </c>
      <c r="HS44" t="e">
        <f>AND(#REF!,"AAAAAHfH+eI=")</f>
        <v>#REF!</v>
      </c>
      <c r="HT44" t="e">
        <f>AND(#REF!,"AAAAAHfH+eM=")</f>
        <v>#REF!</v>
      </c>
      <c r="HU44" t="e">
        <f>AND(#REF!,"AAAAAHfH+eQ=")</f>
        <v>#REF!</v>
      </c>
      <c r="HV44" t="e">
        <f>AND(#REF!,"AAAAAHfH+eU=")</f>
        <v>#REF!</v>
      </c>
      <c r="HW44" t="e">
        <f>AND(#REF!,"AAAAAHfH+eY=")</f>
        <v>#REF!</v>
      </c>
      <c r="HX44" t="e">
        <f>AND(#REF!,"AAAAAHfH+ec=")</f>
        <v>#REF!</v>
      </c>
      <c r="HY44" t="e">
        <f>AND(#REF!,"AAAAAHfH+eg=")</f>
        <v>#REF!</v>
      </c>
      <c r="HZ44" t="e">
        <f>AND(#REF!,"AAAAAHfH+ek=")</f>
        <v>#REF!</v>
      </c>
      <c r="IA44" t="e">
        <f>AND(#REF!,"AAAAAHfH+eo=")</f>
        <v>#REF!</v>
      </c>
      <c r="IB44" t="e">
        <f>AND(#REF!,"AAAAAHfH+es=")</f>
        <v>#REF!</v>
      </c>
      <c r="IC44" t="e">
        <f>AND(#REF!,"AAAAAHfH+ew=")</f>
        <v>#REF!</v>
      </c>
      <c r="ID44" t="e">
        <f>AND(#REF!,"AAAAAHfH+e0=")</f>
        <v>#REF!</v>
      </c>
      <c r="IE44" t="e">
        <f>AND(#REF!,"AAAAAHfH+e4=")</f>
        <v>#REF!</v>
      </c>
      <c r="IF44" t="e">
        <f>AND(#REF!,"AAAAAHfH+e8=")</f>
        <v>#REF!</v>
      </c>
      <c r="IG44" t="e">
        <f>AND(#REF!,"AAAAAHfH+fA=")</f>
        <v>#REF!</v>
      </c>
      <c r="IH44" t="e">
        <f>AND(#REF!,"AAAAAHfH+fE=")</f>
        <v>#REF!</v>
      </c>
      <c r="II44" t="e">
        <f>AND(#REF!,"AAAAAHfH+fI=")</f>
        <v>#REF!</v>
      </c>
      <c r="IJ44" t="e">
        <f>AND(#REF!,"AAAAAHfH+fM=")</f>
        <v>#REF!</v>
      </c>
      <c r="IK44" t="e">
        <f>AND(#REF!,"AAAAAHfH+fQ=")</f>
        <v>#REF!</v>
      </c>
      <c r="IL44" t="e">
        <f>AND(#REF!,"AAAAAHfH+fU=")</f>
        <v>#REF!</v>
      </c>
      <c r="IM44" t="e">
        <f>AND(#REF!,"AAAAAHfH+fY=")</f>
        <v>#REF!</v>
      </c>
      <c r="IN44" t="e">
        <f>AND(#REF!,"AAAAAHfH+fc=")</f>
        <v>#REF!</v>
      </c>
      <c r="IO44" t="e">
        <f>AND(#REF!,"AAAAAHfH+fg=")</f>
        <v>#REF!</v>
      </c>
      <c r="IP44" t="e">
        <f>AND(#REF!,"AAAAAHfH+fk=")</f>
        <v>#REF!</v>
      </c>
      <c r="IQ44" t="e">
        <f>AND(#REF!,"AAAAAHfH+fo=")</f>
        <v>#REF!</v>
      </c>
      <c r="IR44" t="e">
        <f>AND(#REF!,"AAAAAHfH+fs=")</f>
        <v>#REF!</v>
      </c>
      <c r="IS44" t="e">
        <f>AND(#REF!,"AAAAAHfH+fw=")</f>
        <v>#REF!</v>
      </c>
      <c r="IT44" t="e">
        <f>AND(#REF!,"AAAAAHfH+f0=")</f>
        <v>#REF!</v>
      </c>
      <c r="IU44" t="e">
        <f>AND(#REF!,"AAAAAHfH+f4=")</f>
        <v>#REF!</v>
      </c>
      <c r="IV44" t="e">
        <f>AND(#REF!,"AAAAAHfH+f8=")</f>
        <v>#REF!</v>
      </c>
    </row>
    <row r="45" spans="1:256">
      <c r="A45" t="e">
        <f>AND(#REF!,"AAAAAF37fgA=")</f>
        <v>#REF!</v>
      </c>
      <c r="B45" t="e">
        <f>AND(#REF!,"AAAAAF37fgE=")</f>
        <v>#REF!</v>
      </c>
      <c r="C45" t="e">
        <f>AND(#REF!,"AAAAAF37fgI=")</f>
        <v>#REF!</v>
      </c>
      <c r="D45" t="e">
        <f>AND(#REF!,"AAAAAF37fgM=")</f>
        <v>#REF!</v>
      </c>
      <c r="E45" t="e">
        <f>AND(#REF!,"AAAAAF37fgQ=")</f>
        <v>#REF!</v>
      </c>
      <c r="F45" t="e">
        <f>AND(#REF!,"AAAAAF37fgU=")</f>
        <v>#REF!</v>
      </c>
      <c r="G45" t="e">
        <f>AND(#REF!,"AAAAAF37fgY=")</f>
        <v>#REF!</v>
      </c>
      <c r="H45" t="e">
        <f>AND(#REF!,"AAAAAF37fgc=")</f>
        <v>#REF!</v>
      </c>
      <c r="I45" t="e">
        <f>AND(#REF!,"AAAAAF37fgg=")</f>
        <v>#REF!</v>
      </c>
      <c r="J45" t="e">
        <f>AND(#REF!,"AAAAAF37fgk=")</f>
        <v>#REF!</v>
      </c>
      <c r="K45" t="e">
        <f>AND(#REF!,"AAAAAF37fgo=")</f>
        <v>#REF!</v>
      </c>
      <c r="L45" t="e">
        <f>AND(#REF!,"AAAAAF37fgs=")</f>
        <v>#REF!</v>
      </c>
      <c r="M45" t="e">
        <f>AND(#REF!,"AAAAAF37fgw=")</f>
        <v>#REF!</v>
      </c>
      <c r="N45" t="e">
        <f>AND(#REF!,"AAAAAF37fg0=")</f>
        <v>#REF!</v>
      </c>
      <c r="O45" t="e">
        <f>AND(#REF!,"AAAAAF37fg4=")</f>
        <v>#REF!</v>
      </c>
      <c r="P45" t="e">
        <f>AND(#REF!,"AAAAAF37fg8=")</f>
        <v>#REF!</v>
      </c>
      <c r="Q45" t="e">
        <f>AND(#REF!,"AAAAAF37fhA=")</f>
        <v>#REF!</v>
      </c>
      <c r="R45" t="e">
        <f>AND(#REF!,"AAAAAF37fhE=")</f>
        <v>#REF!</v>
      </c>
      <c r="S45" t="e">
        <f>AND(#REF!,"AAAAAF37fhI=")</f>
        <v>#REF!</v>
      </c>
      <c r="T45" t="e">
        <f>AND(#REF!,"AAAAAF37fhM=")</f>
        <v>#REF!</v>
      </c>
      <c r="U45" t="e">
        <f>AND(#REF!,"AAAAAF37fhQ=")</f>
        <v>#REF!</v>
      </c>
      <c r="V45" t="e">
        <f>AND(#REF!,"AAAAAF37fhU=")</f>
        <v>#REF!</v>
      </c>
      <c r="W45" t="e">
        <f>AND(#REF!,"AAAAAF37fhY=")</f>
        <v>#REF!</v>
      </c>
      <c r="X45" t="e">
        <f>AND(#REF!,"AAAAAF37fhc=")</f>
        <v>#REF!</v>
      </c>
      <c r="Y45" t="e">
        <f>AND(#REF!,"AAAAAF37fhg=")</f>
        <v>#REF!</v>
      </c>
      <c r="Z45" t="e">
        <f>AND(#REF!,"AAAAAF37fhk=")</f>
        <v>#REF!</v>
      </c>
      <c r="AA45" t="e">
        <f>AND(#REF!,"AAAAAF37fho=")</f>
        <v>#REF!</v>
      </c>
      <c r="AB45" t="e">
        <f>AND(#REF!,"AAAAAF37fhs=")</f>
        <v>#REF!</v>
      </c>
      <c r="AC45" t="e">
        <f>AND(#REF!,"AAAAAF37fhw=")</f>
        <v>#REF!</v>
      </c>
      <c r="AD45" t="e">
        <f>AND(#REF!,"AAAAAF37fh0=")</f>
        <v>#REF!</v>
      </c>
      <c r="AE45" t="e">
        <f>AND(#REF!,"AAAAAF37fh4=")</f>
        <v>#REF!</v>
      </c>
      <c r="AF45" t="e">
        <f>AND(#REF!,"AAAAAF37fh8=")</f>
        <v>#REF!</v>
      </c>
      <c r="AG45" t="e">
        <f>AND(#REF!,"AAAAAF37fiA=")</f>
        <v>#REF!</v>
      </c>
      <c r="AH45" t="e">
        <f>AND(#REF!,"AAAAAF37fiE=")</f>
        <v>#REF!</v>
      </c>
      <c r="AI45" t="e">
        <f>AND(#REF!,"AAAAAF37fiI=")</f>
        <v>#REF!</v>
      </c>
      <c r="AJ45" t="e">
        <f>AND(#REF!,"AAAAAF37fiM=")</f>
        <v>#REF!</v>
      </c>
      <c r="AK45" t="e">
        <f>AND(#REF!,"AAAAAF37fiQ=")</f>
        <v>#REF!</v>
      </c>
      <c r="AL45" t="e">
        <f>AND(#REF!,"AAAAAF37fiU=")</f>
        <v>#REF!</v>
      </c>
      <c r="AM45" t="e">
        <f>AND(#REF!,"AAAAAF37fiY=")</f>
        <v>#REF!</v>
      </c>
      <c r="AN45" t="e">
        <f>AND(#REF!,"AAAAAF37fic=")</f>
        <v>#REF!</v>
      </c>
      <c r="AO45" t="e">
        <f>AND(#REF!,"AAAAAF37fig=")</f>
        <v>#REF!</v>
      </c>
      <c r="AP45" t="e">
        <f>AND(#REF!,"AAAAAF37fik=")</f>
        <v>#REF!</v>
      </c>
      <c r="AQ45" t="e">
        <f>AND(#REF!,"AAAAAF37fio=")</f>
        <v>#REF!</v>
      </c>
      <c r="AR45" t="e">
        <f>AND(#REF!,"AAAAAF37fis=")</f>
        <v>#REF!</v>
      </c>
      <c r="AS45" t="e">
        <f>AND(#REF!,"AAAAAF37fiw=")</f>
        <v>#REF!</v>
      </c>
      <c r="AT45" t="e">
        <f>AND(#REF!,"AAAAAF37fi0=")</f>
        <v>#REF!</v>
      </c>
      <c r="AU45" t="e">
        <f>AND(#REF!,"AAAAAF37fi4=")</f>
        <v>#REF!</v>
      </c>
      <c r="AV45" t="e">
        <f>AND(#REF!,"AAAAAF37fi8=")</f>
        <v>#REF!</v>
      </c>
      <c r="AW45" t="e">
        <f>AND(#REF!,"AAAAAF37fjA=")</f>
        <v>#REF!</v>
      </c>
      <c r="AX45" t="e">
        <f>AND(#REF!,"AAAAAF37fjE=")</f>
        <v>#REF!</v>
      </c>
      <c r="AY45" t="e">
        <f>AND(#REF!,"AAAAAF37fjI=")</f>
        <v>#REF!</v>
      </c>
      <c r="AZ45" t="e">
        <f>AND(#REF!,"AAAAAF37fjM=")</f>
        <v>#REF!</v>
      </c>
      <c r="BA45" t="e">
        <f>AND(#REF!,"AAAAAF37fjQ=")</f>
        <v>#REF!</v>
      </c>
      <c r="BB45" t="e">
        <f>AND(#REF!,"AAAAAF37fjU=")</f>
        <v>#REF!</v>
      </c>
      <c r="BC45" t="e">
        <f>AND(#REF!,"AAAAAF37fjY=")</f>
        <v>#REF!</v>
      </c>
      <c r="BD45" t="e">
        <f>AND(#REF!,"AAAAAF37fjc=")</f>
        <v>#REF!</v>
      </c>
      <c r="BE45" t="e">
        <f>AND(#REF!,"AAAAAF37fjg=")</f>
        <v>#REF!</v>
      </c>
      <c r="BF45" t="e">
        <f>AND(#REF!,"AAAAAF37fjk=")</f>
        <v>#REF!</v>
      </c>
      <c r="BG45" t="e">
        <f>AND(#REF!,"AAAAAF37fjo=")</f>
        <v>#REF!</v>
      </c>
      <c r="BH45" t="e">
        <f>AND(#REF!,"AAAAAF37fjs=")</f>
        <v>#REF!</v>
      </c>
      <c r="BI45" t="e">
        <f>AND(#REF!,"AAAAAF37fjw=")</f>
        <v>#REF!</v>
      </c>
      <c r="BJ45" t="e">
        <f>AND(#REF!,"AAAAAF37fj0=")</f>
        <v>#REF!</v>
      </c>
      <c r="BK45" t="e">
        <f>AND(#REF!,"AAAAAF37fj4=")</f>
        <v>#REF!</v>
      </c>
      <c r="BL45" t="e">
        <f>AND(#REF!,"AAAAAF37fj8=")</f>
        <v>#REF!</v>
      </c>
      <c r="BM45" t="e">
        <f>AND(#REF!,"AAAAAF37fkA=")</f>
        <v>#REF!</v>
      </c>
      <c r="BN45" t="e">
        <f>AND(#REF!,"AAAAAF37fkE=")</f>
        <v>#REF!</v>
      </c>
      <c r="BO45" t="e">
        <f>AND(#REF!,"AAAAAF37fkI=")</f>
        <v>#REF!</v>
      </c>
      <c r="BP45" t="e">
        <f>AND(#REF!,"AAAAAF37fkM=")</f>
        <v>#REF!</v>
      </c>
      <c r="BQ45" t="e">
        <f>AND(#REF!,"AAAAAF37fkQ=")</f>
        <v>#REF!</v>
      </c>
      <c r="BR45" t="e">
        <f>AND(#REF!,"AAAAAF37fkU=")</f>
        <v>#REF!</v>
      </c>
      <c r="BS45" t="e">
        <f>AND(#REF!,"AAAAAF37fkY=")</f>
        <v>#REF!</v>
      </c>
      <c r="BT45" t="e">
        <f>AND(#REF!,"AAAAAF37fkc=")</f>
        <v>#REF!</v>
      </c>
      <c r="BU45" t="e">
        <f>AND(#REF!,"AAAAAF37fkg=")</f>
        <v>#REF!</v>
      </c>
      <c r="BV45" t="e">
        <f>AND(#REF!,"AAAAAF37fkk=")</f>
        <v>#REF!</v>
      </c>
      <c r="BW45" t="e">
        <f>AND(#REF!,"AAAAAF37fko=")</f>
        <v>#REF!</v>
      </c>
      <c r="BX45" t="e">
        <f>AND(#REF!,"AAAAAF37fks=")</f>
        <v>#REF!</v>
      </c>
      <c r="BY45" t="e">
        <f>AND(#REF!,"AAAAAF37fkw=")</f>
        <v>#REF!</v>
      </c>
      <c r="BZ45" t="e">
        <f>AND(#REF!,"AAAAAF37fk0=")</f>
        <v>#REF!</v>
      </c>
      <c r="CA45" t="e">
        <f>AND(#REF!,"AAAAAF37fk4=")</f>
        <v>#REF!</v>
      </c>
      <c r="CB45" t="e">
        <f>AND(#REF!,"AAAAAF37fk8=")</f>
        <v>#REF!</v>
      </c>
      <c r="CC45" t="e">
        <f>AND(#REF!,"AAAAAF37flA=")</f>
        <v>#REF!</v>
      </c>
      <c r="CD45" t="e">
        <f>AND(#REF!,"AAAAAF37flE=")</f>
        <v>#REF!</v>
      </c>
      <c r="CE45" t="e">
        <f>AND(#REF!,"AAAAAF37flI=")</f>
        <v>#REF!</v>
      </c>
      <c r="CF45" t="e">
        <f>AND(#REF!,"AAAAAF37flM=")</f>
        <v>#REF!</v>
      </c>
      <c r="CG45" t="e">
        <f>AND(#REF!,"AAAAAF37flQ=")</f>
        <v>#REF!</v>
      </c>
      <c r="CH45" t="e">
        <f>AND(#REF!,"AAAAAF37flU=")</f>
        <v>#REF!</v>
      </c>
      <c r="CI45" t="e">
        <f>AND(#REF!,"AAAAAF37flY=")</f>
        <v>#REF!</v>
      </c>
      <c r="CJ45" t="e">
        <f>AND(#REF!,"AAAAAF37flc=")</f>
        <v>#REF!</v>
      </c>
      <c r="CK45" t="e">
        <f>AND(#REF!,"AAAAAF37flg=")</f>
        <v>#REF!</v>
      </c>
      <c r="CL45" t="e">
        <f>AND(#REF!,"AAAAAF37flk=")</f>
        <v>#REF!</v>
      </c>
      <c r="CM45" t="e">
        <f>AND(#REF!,"AAAAAF37flo=")</f>
        <v>#REF!</v>
      </c>
      <c r="CN45" t="e">
        <f>AND(#REF!,"AAAAAF37fls=")</f>
        <v>#REF!</v>
      </c>
      <c r="CO45" t="e">
        <f>AND(#REF!,"AAAAAF37flw=")</f>
        <v>#REF!</v>
      </c>
      <c r="CP45" t="e">
        <f>AND(#REF!,"AAAAAF37fl0=")</f>
        <v>#REF!</v>
      </c>
      <c r="CQ45" t="e">
        <f>AND(#REF!,"AAAAAF37fl4=")</f>
        <v>#REF!</v>
      </c>
      <c r="CR45" t="e">
        <f>AND(#REF!,"AAAAAF37fl8=")</f>
        <v>#REF!</v>
      </c>
      <c r="CS45" t="e">
        <f>AND(#REF!,"AAAAAF37fmA=")</f>
        <v>#REF!</v>
      </c>
      <c r="CT45" t="e">
        <f>AND(#REF!,"AAAAAF37fmE=")</f>
        <v>#REF!</v>
      </c>
      <c r="CU45" t="e">
        <f>AND(#REF!,"AAAAAF37fmI=")</f>
        <v>#REF!</v>
      </c>
      <c r="CV45" t="e">
        <f>AND(#REF!,"AAAAAF37fmM=")</f>
        <v>#REF!</v>
      </c>
      <c r="CW45" t="e">
        <f>AND(#REF!,"AAAAAF37fmQ=")</f>
        <v>#REF!</v>
      </c>
      <c r="CX45" t="e">
        <f>AND(#REF!,"AAAAAF37fmU=")</f>
        <v>#REF!</v>
      </c>
      <c r="CY45" t="e">
        <f>AND(#REF!,"AAAAAF37fmY=")</f>
        <v>#REF!</v>
      </c>
      <c r="CZ45" t="e">
        <f>AND(#REF!,"AAAAAF37fmc=")</f>
        <v>#REF!</v>
      </c>
      <c r="DA45" t="e">
        <f>AND(#REF!,"AAAAAF37fmg=")</f>
        <v>#REF!</v>
      </c>
      <c r="DB45" t="e">
        <f>AND(#REF!,"AAAAAF37fmk=")</f>
        <v>#REF!</v>
      </c>
      <c r="DC45" t="e">
        <f>AND(#REF!,"AAAAAF37fmo=")</f>
        <v>#REF!</v>
      </c>
      <c r="DD45" t="e">
        <f>AND(#REF!,"AAAAAF37fms=")</f>
        <v>#REF!</v>
      </c>
      <c r="DE45" t="e">
        <f>AND(#REF!,"AAAAAF37fmw=")</f>
        <v>#REF!</v>
      </c>
      <c r="DF45" t="e">
        <f>AND(#REF!,"AAAAAF37fm0=")</f>
        <v>#REF!</v>
      </c>
      <c r="DG45" t="e">
        <f>AND(#REF!,"AAAAAF37fm4=")</f>
        <v>#REF!</v>
      </c>
      <c r="DH45" t="e">
        <f>AND(#REF!,"AAAAAF37fm8=")</f>
        <v>#REF!</v>
      </c>
      <c r="DI45" t="e">
        <f>AND(#REF!,"AAAAAF37fnA=")</f>
        <v>#REF!</v>
      </c>
      <c r="DJ45" t="e">
        <f>AND(#REF!,"AAAAAF37fnE=")</f>
        <v>#REF!</v>
      </c>
      <c r="DK45" t="e">
        <f>AND(#REF!,"AAAAAF37fnI=")</f>
        <v>#REF!</v>
      </c>
      <c r="DL45" t="e">
        <f>AND(#REF!,"AAAAAF37fnM=")</f>
        <v>#REF!</v>
      </c>
      <c r="DM45" t="e">
        <f>AND(#REF!,"AAAAAF37fnQ=")</f>
        <v>#REF!</v>
      </c>
      <c r="DN45" t="e">
        <f>AND(#REF!,"AAAAAF37fnU=")</f>
        <v>#REF!</v>
      </c>
      <c r="DO45" t="e">
        <f>AND(#REF!,"AAAAAF37fnY=")</f>
        <v>#REF!</v>
      </c>
      <c r="DP45" t="e">
        <f>AND(#REF!,"AAAAAF37fnc=")</f>
        <v>#REF!</v>
      </c>
      <c r="DQ45" t="e">
        <f>AND(#REF!,"AAAAAF37fng=")</f>
        <v>#REF!</v>
      </c>
      <c r="DR45" t="e">
        <f>AND(#REF!,"AAAAAF37fnk=")</f>
        <v>#REF!</v>
      </c>
      <c r="DS45" t="e">
        <f>AND(#REF!,"AAAAAF37fno=")</f>
        <v>#REF!</v>
      </c>
      <c r="DT45" t="e">
        <f>AND(#REF!,"AAAAAF37fns=")</f>
        <v>#REF!</v>
      </c>
      <c r="DU45" t="e">
        <f>AND(#REF!,"AAAAAF37fnw=")</f>
        <v>#REF!</v>
      </c>
      <c r="DV45" t="e">
        <f>AND(#REF!,"AAAAAF37fn0=")</f>
        <v>#REF!</v>
      </c>
      <c r="DW45" t="e">
        <f>AND(#REF!,"AAAAAF37fn4=")</f>
        <v>#REF!</v>
      </c>
      <c r="DX45" t="e">
        <f>AND(#REF!,"AAAAAF37fn8=")</f>
        <v>#REF!</v>
      </c>
      <c r="DY45" t="e">
        <f>AND(#REF!,"AAAAAF37foA=")</f>
        <v>#REF!</v>
      </c>
      <c r="DZ45" t="e">
        <f>AND(#REF!,"AAAAAF37foE=")</f>
        <v>#REF!</v>
      </c>
      <c r="EA45" t="e">
        <f>AND(#REF!,"AAAAAF37foI=")</f>
        <v>#REF!</v>
      </c>
      <c r="EB45" t="e">
        <f>AND(#REF!,"AAAAAF37foM=")</f>
        <v>#REF!</v>
      </c>
      <c r="EC45" t="e">
        <f>AND(#REF!,"AAAAAF37foQ=")</f>
        <v>#REF!</v>
      </c>
      <c r="ED45" t="e">
        <f>AND(#REF!,"AAAAAF37foU=")</f>
        <v>#REF!</v>
      </c>
      <c r="EE45" t="e">
        <f>AND(#REF!,"AAAAAF37foY=")</f>
        <v>#REF!</v>
      </c>
      <c r="EF45" t="e">
        <f>AND(#REF!,"AAAAAF37foc=")</f>
        <v>#REF!</v>
      </c>
      <c r="EG45" t="e">
        <f>AND(#REF!,"AAAAAF37fog=")</f>
        <v>#REF!</v>
      </c>
      <c r="EH45" t="e">
        <f>AND(#REF!,"AAAAAF37fok=")</f>
        <v>#REF!</v>
      </c>
      <c r="EI45" t="e">
        <f>AND(#REF!,"AAAAAF37foo=")</f>
        <v>#REF!</v>
      </c>
      <c r="EJ45" t="e">
        <f>AND(#REF!,"AAAAAF37fos=")</f>
        <v>#REF!</v>
      </c>
      <c r="EK45" t="e">
        <f>AND(#REF!,"AAAAAF37fow=")</f>
        <v>#REF!</v>
      </c>
      <c r="EL45" t="e">
        <f>AND(#REF!,"AAAAAF37fo0=")</f>
        <v>#REF!</v>
      </c>
      <c r="EM45" t="e">
        <f>AND(#REF!,"AAAAAF37fo4=")</f>
        <v>#REF!</v>
      </c>
      <c r="EN45" t="e">
        <f>AND(#REF!,"AAAAAF37fo8=")</f>
        <v>#REF!</v>
      </c>
      <c r="EO45" t="e">
        <f>AND(#REF!,"AAAAAF37fpA=")</f>
        <v>#REF!</v>
      </c>
      <c r="EP45" t="e">
        <f>AND(#REF!,"AAAAAF37fpE=")</f>
        <v>#REF!</v>
      </c>
      <c r="EQ45" t="e">
        <f>AND(#REF!,"AAAAAF37fpI=")</f>
        <v>#REF!</v>
      </c>
      <c r="ER45" t="e">
        <f>AND(#REF!,"AAAAAF37fpM=")</f>
        <v>#REF!</v>
      </c>
      <c r="ES45" t="e">
        <f>AND(#REF!,"AAAAAF37fpQ=")</f>
        <v>#REF!</v>
      </c>
      <c r="ET45" t="e">
        <f>AND(#REF!,"AAAAAF37fpU=")</f>
        <v>#REF!</v>
      </c>
      <c r="EU45" t="e">
        <f>AND(#REF!,"AAAAAF37fpY=")</f>
        <v>#REF!</v>
      </c>
      <c r="EV45" t="e">
        <f>AND(#REF!,"AAAAAF37fpc=")</f>
        <v>#REF!</v>
      </c>
      <c r="EW45" t="e">
        <f>AND(#REF!,"AAAAAF37fpg=")</f>
        <v>#REF!</v>
      </c>
      <c r="EX45" t="e">
        <f>AND(#REF!,"AAAAAF37fpk=")</f>
        <v>#REF!</v>
      </c>
      <c r="EY45" t="e">
        <f>AND(#REF!,"AAAAAF37fpo=")</f>
        <v>#REF!</v>
      </c>
      <c r="EZ45" t="e">
        <f>AND(#REF!,"AAAAAF37fps=")</f>
        <v>#REF!</v>
      </c>
      <c r="FA45" t="e">
        <f>AND(#REF!,"AAAAAF37fpw=")</f>
        <v>#REF!</v>
      </c>
      <c r="FB45" t="e">
        <f>AND(#REF!,"AAAAAF37fp0=")</f>
        <v>#REF!</v>
      </c>
      <c r="FC45" t="e">
        <f>AND(#REF!,"AAAAAF37fp4=")</f>
        <v>#REF!</v>
      </c>
      <c r="FD45" t="e">
        <f>AND(#REF!,"AAAAAF37fp8=")</f>
        <v>#REF!</v>
      </c>
      <c r="FE45" t="e">
        <f>AND(#REF!,"AAAAAF37fqA=")</f>
        <v>#REF!</v>
      </c>
      <c r="FF45" t="e">
        <f>AND(#REF!,"AAAAAF37fqE=")</f>
        <v>#REF!</v>
      </c>
      <c r="FG45" t="e">
        <f>AND(#REF!,"AAAAAF37fqI=")</f>
        <v>#REF!</v>
      </c>
      <c r="FH45" t="e">
        <f>AND(#REF!,"AAAAAF37fqM=")</f>
        <v>#REF!</v>
      </c>
      <c r="FI45" t="e">
        <f>AND(#REF!,"AAAAAF37fqQ=")</f>
        <v>#REF!</v>
      </c>
      <c r="FJ45" t="e">
        <f>AND(#REF!,"AAAAAF37fqU=")</f>
        <v>#REF!</v>
      </c>
      <c r="FK45" t="e">
        <f>AND(#REF!,"AAAAAF37fqY=")</f>
        <v>#REF!</v>
      </c>
      <c r="FL45" t="e">
        <f>AND(#REF!,"AAAAAF37fqc=")</f>
        <v>#REF!</v>
      </c>
      <c r="FM45" t="e">
        <f>AND(#REF!,"AAAAAF37fqg=")</f>
        <v>#REF!</v>
      </c>
      <c r="FN45" t="e">
        <f>IF(#REF!,"AAAAAF37fqk=",0)</f>
        <v>#REF!</v>
      </c>
      <c r="FO45" t="e">
        <f>AND(#REF!,"AAAAAF37fqo=")</f>
        <v>#REF!</v>
      </c>
      <c r="FP45" t="e">
        <f>AND(#REF!,"AAAAAF37fqs=")</f>
        <v>#REF!</v>
      </c>
      <c r="FQ45" t="e">
        <f>AND(#REF!,"AAAAAF37fqw=")</f>
        <v>#REF!</v>
      </c>
      <c r="FR45" t="e">
        <f>AND(#REF!,"AAAAAF37fq0=")</f>
        <v>#REF!</v>
      </c>
      <c r="FS45" t="e">
        <f>AND(#REF!,"AAAAAF37fq4=")</f>
        <v>#REF!</v>
      </c>
      <c r="FT45" t="e">
        <f>AND(#REF!,"AAAAAF37fq8=")</f>
        <v>#REF!</v>
      </c>
      <c r="FU45" t="e">
        <f>AND(#REF!,"AAAAAF37frA=")</f>
        <v>#REF!</v>
      </c>
      <c r="FV45" t="e">
        <f>AND(#REF!,"AAAAAF37frE=")</f>
        <v>#REF!</v>
      </c>
      <c r="FW45" t="e">
        <f>AND(#REF!,"AAAAAF37frI=")</f>
        <v>#REF!</v>
      </c>
      <c r="FX45" t="e">
        <f>AND(#REF!,"AAAAAF37frM=")</f>
        <v>#REF!</v>
      </c>
      <c r="FY45" t="e">
        <f>AND(#REF!,"AAAAAF37frQ=")</f>
        <v>#REF!</v>
      </c>
      <c r="FZ45" t="e">
        <f>AND(#REF!,"AAAAAF37frU=")</f>
        <v>#REF!</v>
      </c>
      <c r="GA45" t="e">
        <f>AND(#REF!,"AAAAAF37frY=")</f>
        <v>#REF!</v>
      </c>
      <c r="GB45" t="e">
        <f>AND(#REF!,"AAAAAF37frc=")</f>
        <v>#REF!</v>
      </c>
      <c r="GC45" t="e">
        <f>AND(#REF!,"AAAAAF37frg=")</f>
        <v>#REF!</v>
      </c>
      <c r="GD45" t="e">
        <f>AND(#REF!,"AAAAAF37frk=")</f>
        <v>#REF!</v>
      </c>
      <c r="GE45" t="e">
        <f>AND(#REF!,"AAAAAF37fro=")</f>
        <v>#REF!</v>
      </c>
      <c r="GF45" t="e">
        <f>AND(#REF!,"AAAAAF37frs=")</f>
        <v>#REF!</v>
      </c>
      <c r="GG45" t="e">
        <f>AND(#REF!,"AAAAAF37frw=")</f>
        <v>#REF!</v>
      </c>
      <c r="GH45" t="e">
        <f>AND(#REF!,"AAAAAF37fr0=")</f>
        <v>#REF!</v>
      </c>
      <c r="GI45" t="e">
        <f>AND(#REF!,"AAAAAF37fr4=")</f>
        <v>#REF!</v>
      </c>
      <c r="GJ45" t="e">
        <f>AND(#REF!,"AAAAAF37fr8=")</f>
        <v>#REF!</v>
      </c>
      <c r="GK45" t="e">
        <f>AND(#REF!,"AAAAAF37fsA=")</f>
        <v>#REF!</v>
      </c>
      <c r="GL45" t="e">
        <f>IF(#REF!,"AAAAAF37fsE=",0)</f>
        <v>#REF!</v>
      </c>
      <c r="GM45" t="e">
        <f>AND(#REF!,"AAAAAF37fsI=")</f>
        <v>#REF!</v>
      </c>
      <c r="GN45" t="e">
        <f>AND(#REF!,"AAAAAF37fsM=")</f>
        <v>#REF!</v>
      </c>
      <c r="GO45" t="e">
        <f>AND(#REF!,"AAAAAF37fsQ=")</f>
        <v>#REF!</v>
      </c>
      <c r="GP45" t="e">
        <f>AND(#REF!,"AAAAAF37fsU=")</f>
        <v>#REF!</v>
      </c>
      <c r="GQ45" t="e">
        <f>AND(#REF!,"AAAAAF37fsY=")</f>
        <v>#REF!</v>
      </c>
      <c r="GR45" t="e">
        <f>AND(#REF!,"AAAAAF37fsc=")</f>
        <v>#REF!</v>
      </c>
      <c r="GS45" t="e">
        <f>AND(#REF!,"AAAAAF37fsg=")</f>
        <v>#REF!</v>
      </c>
      <c r="GT45" t="e">
        <f>AND(#REF!,"AAAAAF37fsk=")</f>
        <v>#REF!</v>
      </c>
      <c r="GU45" t="e">
        <f>AND(#REF!,"AAAAAF37fso=")</f>
        <v>#REF!</v>
      </c>
      <c r="GV45" t="e">
        <f>AND(#REF!,"AAAAAF37fss=")</f>
        <v>#REF!</v>
      </c>
      <c r="GW45" t="e">
        <f>AND(#REF!,"AAAAAF37fsw=")</f>
        <v>#REF!</v>
      </c>
      <c r="GX45" t="e">
        <f>AND(#REF!,"AAAAAF37fs0=")</f>
        <v>#REF!</v>
      </c>
      <c r="GY45" t="e">
        <f>AND(#REF!,"AAAAAF37fs4=")</f>
        <v>#REF!</v>
      </c>
      <c r="GZ45" t="e">
        <f>AND(#REF!,"AAAAAF37fs8=")</f>
        <v>#REF!</v>
      </c>
      <c r="HA45" t="e">
        <f>AND(#REF!,"AAAAAF37ftA=")</f>
        <v>#REF!</v>
      </c>
      <c r="HB45" t="e">
        <f>AND(#REF!,"AAAAAF37ftE=")</f>
        <v>#REF!</v>
      </c>
      <c r="HC45" t="e">
        <f>AND(#REF!,"AAAAAF37ftI=")</f>
        <v>#REF!</v>
      </c>
      <c r="HD45" t="e">
        <f>AND(#REF!,"AAAAAF37ftM=")</f>
        <v>#REF!</v>
      </c>
      <c r="HE45" t="e">
        <f>AND(#REF!,"AAAAAF37ftQ=")</f>
        <v>#REF!</v>
      </c>
      <c r="HF45" t="e">
        <f>AND(#REF!,"AAAAAF37ftU=")</f>
        <v>#REF!</v>
      </c>
      <c r="HG45" t="e">
        <f>AND(#REF!,"AAAAAF37ftY=")</f>
        <v>#REF!</v>
      </c>
      <c r="HH45" t="e">
        <f>AND(#REF!,"AAAAAF37ftc=")</f>
        <v>#REF!</v>
      </c>
      <c r="HI45" t="e">
        <f>AND(#REF!,"AAAAAF37ftg=")</f>
        <v>#REF!</v>
      </c>
      <c r="HJ45" t="e">
        <f>IF(#REF!,"AAAAAF37ftk=",0)</f>
        <v>#REF!</v>
      </c>
      <c r="HK45" t="e">
        <f>AND(#REF!,"AAAAAF37fto=")</f>
        <v>#REF!</v>
      </c>
      <c r="HL45" t="e">
        <f>AND(#REF!,"AAAAAF37fts=")</f>
        <v>#REF!</v>
      </c>
      <c r="HM45" t="e">
        <f>AND(#REF!,"AAAAAF37ftw=")</f>
        <v>#REF!</v>
      </c>
      <c r="HN45" t="e">
        <f>AND(#REF!,"AAAAAF37ft0=")</f>
        <v>#REF!</v>
      </c>
      <c r="HO45" t="e">
        <f>AND(#REF!,"AAAAAF37ft4=")</f>
        <v>#REF!</v>
      </c>
      <c r="HP45" t="e">
        <f>AND(#REF!,"AAAAAF37ft8=")</f>
        <v>#REF!</v>
      </c>
      <c r="HQ45" t="e">
        <f>AND(#REF!,"AAAAAF37fuA=")</f>
        <v>#REF!</v>
      </c>
      <c r="HR45" t="e">
        <f>AND(#REF!,"AAAAAF37fuE=")</f>
        <v>#REF!</v>
      </c>
      <c r="HS45" t="e">
        <f>AND(#REF!,"AAAAAF37fuI=")</f>
        <v>#REF!</v>
      </c>
      <c r="HT45" t="e">
        <f>AND(#REF!,"AAAAAF37fuM=")</f>
        <v>#REF!</v>
      </c>
      <c r="HU45" t="e">
        <f>AND(#REF!,"AAAAAF37fuQ=")</f>
        <v>#REF!</v>
      </c>
      <c r="HV45" t="e">
        <f>AND(#REF!,"AAAAAF37fuU=")</f>
        <v>#REF!</v>
      </c>
      <c r="HW45" t="e">
        <f>AND(#REF!,"AAAAAF37fuY=")</f>
        <v>#REF!</v>
      </c>
      <c r="HX45" t="e">
        <f>AND(#REF!,"AAAAAF37fuc=")</f>
        <v>#REF!</v>
      </c>
      <c r="HY45" t="e">
        <f>AND(#REF!,"AAAAAF37fug=")</f>
        <v>#REF!</v>
      </c>
      <c r="HZ45" t="e">
        <f>AND(#REF!,"AAAAAF37fuk=")</f>
        <v>#REF!</v>
      </c>
      <c r="IA45" t="e">
        <f>AND(#REF!,"AAAAAF37fuo=")</f>
        <v>#REF!</v>
      </c>
      <c r="IB45" t="e">
        <f>AND(#REF!,"AAAAAF37fus=")</f>
        <v>#REF!</v>
      </c>
      <c r="IC45" t="e">
        <f>AND(#REF!,"AAAAAF37fuw=")</f>
        <v>#REF!</v>
      </c>
      <c r="ID45" t="e">
        <f>AND(#REF!,"AAAAAF37fu0=")</f>
        <v>#REF!</v>
      </c>
      <c r="IE45" t="e">
        <f>AND(#REF!,"AAAAAF37fu4=")</f>
        <v>#REF!</v>
      </c>
      <c r="IF45" t="e">
        <f>AND(#REF!,"AAAAAF37fu8=")</f>
        <v>#REF!</v>
      </c>
      <c r="IG45" t="e">
        <f>AND(#REF!,"AAAAAF37fvA=")</f>
        <v>#REF!</v>
      </c>
      <c r="IH45" t="e">
        <f>IF(#REF!,"AAAAAF37fvE=",0)</f>
        <v>#REF!</v>
      </c>
      <c r="II45" t="e">
        <f>AND(#REF!,"AAAAAF37fvI=")</f>
        <v>#REF!</v>
      </c>
      <c r="IJ45" t="e">
        <f>AND(#REF!,"AAAAAF37fvM=")</f>
        <v>#REF!</v>
      </c>
      <c r="IK45" t="e">
        <f>AND(#REF!,"AAAAAF37fvQ=")</f>
        <v>#REF!</v>
      </c>
      <c r="IL45" t="e">
        <f>AND(#REF!,"AAAAAF37fvU=")</f>
        <v>#REF!</v>
      </c>
      <c r="IM45" t="e">
        <f>AND(#REF!,"AAAAAF37fvY=")</f>
        <v>#REF!</v>
      </c>
      <c r="IN45" t="e">
        <f>AND(#REF!,"AAAAAF37fvc=")</f>
        <v>#REF!</v>
      </c>
      <c r="IO45" t="e">
        <f>AND(#REF!,"AAAAAF37fvg=")</f>
        <v>#REF!</v>
      </c>
      <c r="IP45" t="e">
        <f>AND(#REF!,"AAAAAF37fvk=")</f>
        <v>#REF!</v>
      </c>
      <c r="IQ45" t="e">
        <f>AND(#REF!,"AAAAAF37fvo=")</f>
        <v>#REF!</v>
      </c>
      <c r="IR45" t="e">
        <f>AND(#REF!,"AAAAAF37fvs=")</f>
        <v>#REF!</v>
      </c>
      <c r="IS45" t="e">
        <f>AND(#REF!,"AAAAAF37fvw=")</f>
        <v>#REF!</v>
      </c>
      <c r="IT45" t="e">
        <f>AND(#REF!,"AAAAAF37fv0=")</f>
        <v>#REF!</v>
      </c>
      <c r="IU45" t="e">
        <f>AND(#REF!,"AAAAAF37fv4=")</f>
        <v>#REF!</v>
      </c>
      <c r="IV45" t="e">
        <f>AND(#REF!,"AAAAAF37fv8=")</f>
        <v>#REF!</v>
      </c>
    </row>
    <row r="46" spans="1:256">
      <c r="A46" t="e">
        <f>AND(#REF!,"AAAAAC//7wA=")</f>
        <v>#REF!</v>
      </c>
      <c r="B46" t="e">
        <f>AND(#REF!,"AAAAAC//7wE=")</f>
        <v>#REF!</v>
      </c>
      <c r="C46" t="e">
        <f>AND(#REF!,"AAAAAC//7wI=")</f>
        <v>#REF!</v>
      </c>
      <c r="D46" t="e">
        <f>AND(#REF!,"AAAAAC//7wM=")</f>
        <v>#REF!</v>
      </c>
      <c r="E46" t="e">
        <f>AND(#REF!,"AAAAAC//7wQ=")</f>
        <v>#REF!</v>
      </c>
      <c r="F46" t="e">
        <f>AND(#REF!,"AAAAAC//7wU=")</f>
        <v>#REF!</v>
      </c>
      <c r="G46" t="e">
        <f>AND(#REF!,"AAAAAC//7wY=")</f>
        <v>#REF!</v>
      </c>
      <c r="H46" t="e">
        <f>AND(#REF!,"AAAAAC//7wc=")</f>
        <v>#REF!</v>
      </c>
      <c r="I46" t="e">
        <f>AND(#REF!,"AAAAAC//7wg=")</f>
        <v>#REF!</v>
      </c>
      <c r="J46" t="e">
        <f>IF(#REF!,"AAAAAC//7wk=",0)</f>
        <v>#REF!</v>
      </c>
      <c r="K46" t="e">
        <f>AND(#REF!,"AAAAAC//7wo=")</f>
        <v>#REF!</v>
      </c>
      <c r="L46" t="e">
        <f>AND(#REF!,"AAAAAC//7ws=")</f>
        <v>#REF!</v>
      </c>
      <c r="M46" t="e">
        <f>AND(#REF!,"AAAAAC//7ww=")</f>
        <v>#REF!</v>
      </c>
      <c r="N46" t="e">
        <f>AND(#REF!,"AAAAAC//7w0=")</f>
        <v>#REF!</v>
      </c>
      <c r="O46" t="e">
        <f>AND(#REF!,"AAAAAC//7w4=")</f>
        <v>#REF!</v>
      </c>
      <c r="P46" t="e">
        <f>AND(#REF!,"AAAAAC//7w8=")</f>
        <v>#REF!</v>
      </c>
      <c r="Q46" t="e">
        <f>AND(#REF!,"AAAAAC//7xA=")</f>
        <v>#REF!</v>
      </c>
      <c r="R46" t="e">
        <f>AND(#REF!,"AAAAAC//7xE=")</f>
        <v>#REF!</v>
      </c>
      <c r="S46" t="e">
        <f>AND(#REF!,"AAAAAC//7xI=")</f>
        <v>#REF!</v>
      </c>
      <c r="T46" t="e">
        <f>AND(#REF!,"AAAAAC//7xM=")</f>
        <v>#REF!</v>
      </c>
      <c r="U46" t="e">
        <f>AND(#REF!,"AAAAAC//7xQ=")</f>
        <v>#REF!</v>
      </c>
      <c r="V46" t="e">
        <f>AND(#REF!,"AAAAAC//7xU=")</f>
        <v>#REF!</v>
      </c>
      <c r="W46" t="e">
        <f>AND(#REF!,"AAAAAC//7xY=")</f>
        <v>#REF!</v>
      </c>
      <c r="X46" t="e">
        <f>AND(#REF!,"AAAAAC//7xc=")</f>
        <v>#REF!</v>
      </c>
      <c r="Y46" t="e">
        <f>AND(#REF!,"AAAAAC//7xg=")</f>
        <v>#REF!</v>
      </c>
      <c r="Z46" t="e">
        <f>AND(#REF!,"AAAAAC//7xk=")</f>
        <v>#REF!</v>
      </c>
      <c r="AA46" t="e">
        <f>AND(#REF!,"AAAAAC//7xo=")</f>
        <v>#REF!</v>
      </c>
      <c r="AB46" t="e">
        <f>AND(#REF!,"AAAAAC//7xs=")</f>
        <v>#REF!</v>
      </c>
      <c r="AC46" t="e">
        <f>AND(#REF!,"AAAAAC//7xw=")</f>
        <v>#REF!</v>
      </c>
      <c r="AD46" t="e">
        <f>AND(#REF!,"AAAAAC//7x0=")</f>
        <v>#REF!</v>
      </c>
      <c r="AE46" t="e">
        <f>AND(#REF!,"AAAAAC//7x4=")</f>
        <v>#REF!</v>
      </c>
      <c r="AF46" t="e">
        <f>AND(#REF!,"AAAAAC//7x8=")</f>
        <v>#REF!</v>
      </c>
      <c r="AG46" t="e">
        <f>AND(#REF!,"AAAAAC//7yA=")</f>
        <v>#REF!</v>
      </c>
      <c r="AH46" t="e">
        <f>IF(#REF!,"AAAAAC//7yE=",0)</f>
        <v>#REF!</v>
      </c>
      <c r="AI46" t="e">
        <f>AND(#REF!,"AAAAAC//7yI=")</f>
        <v>#REF!</v>
      </c>
      <c r="AJ46" t="e">
        <f>AND(#REF!,"AAAAAC//7yM=")</f>
        <v>#REF!</v>
      </c>
      <c r="AK46" t="e">
        <f>AND(#REF!,"AAAAAC//7yQ=")</f>
        <v>#REF!</v>
      </c>
      <c r="AL46" t="e">
        <f>AND(#REF!,"AAAAAC//7yU=")</f>
        <v>#REF!</v>
      </c>
      <c r="AM46" t="e">
        <f>AND(#REF!,"AAAAAC//7yY=")</f>
        <v>#REF!</v>
      </c>
      <c r="AN46" t="e">
        <f>AND(#REF!,"AAAAAC//7yc=")</f>
        <v>#REF!</v>
      </c>
      <c r="AO46" t="e">
        <f>AND(#REF!,"AAAAAC//7yg=")</f>
        <v>#REF!</v>
      </c>
      <c r="AP46" t="e">
        <f>AND(#REF!,"AAAAAC//7yk=")</f>
        <v>#REF!</v>
      </c>
      <c r="AQ46" t="e">
        <f>AND(#REF!,"AAAAAC//7yo=")</f>
        <v>#REF!</v>
      </c>
      <c r="AR46" t="e">
        <f>AND(#REF!,"AAAAAC//7ys=")</f>
        <v>#REF!</v>
      </c>
      <c r="AS46" t="e">
        <f>AND(#REF!,"AAAAAC//7yw=")</f>
        <v>#REF!</v>
      </c>
      <c r="AT46" t="e">
        <f>AND(#REF!,"AAAAAC//7y0=")</f>
        <v>#REF!</v>
      </c>
      <c r="AU46" t="e">
        <f>AND(#REF!,"AAAAAC//7y4=")</f>
        <v>#REF!</v>
      </c>
      <c r="AV46" t="e">
        <f>AND(#REF!,"AAAAAC//7y8=")</f>
        <v>#REF!</v>
      </c>
      <c r="AW46" t="e">
        <f>AND(#REF!,"AAAAAC//7zA=")</f>
        <v>#REF!</v>
      </c>
      <c r="AX46" t="e">
        <f>AND(#REF!,"AAAAAC//7zE=")</f>
        <v>#REF!</v>
      </c>
      <c r="AY46" t="e">
        <f>AND(#REF!,"AAAAAC//7zI=")</f>
        <v>#REF!</v>
      </c>
      <c r="AZ46" t="e">
        <f>AND(#REF!,"AAAAAC//7zM=")</f>
        <v>#REF!</v>
      </c>
      <c r="BA46" t="e">
        <f>AND(#REF!,"AAAAAC//7zQ=")</f>
        <v>#REF!</v>
      </c>
      <c r="BB46" t="e">
        <f>AND(#REF!,"AAAAAC//7zU=")</f>
        <v>#REF!</v>
      </c>
      <c r="BC46" t="e">
        <f>AND(#REF!,"AAAAAC//7zY=")</f>
        <v>#REF!</v>
      </c>
      <c r="BD46" t="e">
        <f>AND(#REF!,"AAAAAC//7zc=")</f>
        <v>#REF!</v>
      </c>
      <c r="BE46" t="e">
        <f>AND(#REF!,"AAAAAC//7zg=")</f>
        <v>#REF!</v>
      </c>
      <c r="BF46" t="e">
        <f>IF(#REF!,"AAAAAC//7zk=",0)</f>
        <v>#REF!</v>
      </c>
      <c r="BG46" t="e">
        <f>AND(#REF!,"AAAAAC//7zo=")</f>
        <v>#REF!</v>
      </c>
      <c r="BH46" t="e">
        <f>AND(#REF!,"AAAAAC//7zs=")</f>
        <v>#REF!</v>
      </c>
      <c r="BI46" t="e">
        <f>AND(#REF!,"AAAAAC//7zw=")</f>
        <v>#REF!</v>
      </c>
      <c r="BJ46" t="e">
        <f>AND(#REF!,"AAAAAC//7z0=")</f>
        <v>#REF!</v>
      </c>
      <c r="BK46" t="e">
        <f>AND(#REF!,"AAAAAC//7z4=")</f>
        <v>#REF!</v>
      </c>
      <c r="BL46" t="e">
        <f>AND(#REF!,"AAAAAC//7z8=")</f>
        <v>#REF!</v>
      </c>
      <c r="BM46" t="e">
        <f>AND(#REF!,"AAAAAC//70A=")</f>
        <v>#REF!</v>
      </c>
      <c r="BN46" t="e">
        <f>AND(#REF!,"AAAAAC//70E=")</f>
        <v>#REF!</v>
      </c>
      <c r="BO46" t="e">
        <f>AND(#REF!,"AAAAAC//70I=")</f>
        <v>#REF!</v>
      </c>
      <c r="BP46" t="e">
        <f>AND(#REF!,"AAAAAC//70M=")</f>
        <v>#REF!</v>
      </c>
      <c r="BQ46" t="e">
        <f>AND(#REF!,"AAAAAC//70Q=")</f>
        <v>#REF!</v>
      </c>
      <c r="BR46" t="e">
        <f>AND(#REF!,"AAAAAC//70U=")</f>
        <v>#REF!</v>
      </c>
      <c r="BS46" t="e">
        <f>AND(#REF!,"AAAAAC//70Y=")</f>
        <v>#REF!</v>
      </c>
      <c r="BT46" t="e">
        <f>AND(#REF!,"AAAAAC//70c=")</f>
        <v>#REF!</v>
      </c>
      <c r="BU46" t="e">
        <f>AND(#REF!,"AAAAAC//70g=")</f>
        <v>#REF!</v>
      </c>
      <c r="BV46" t="e">
        <f>AND(#REF!,"AAAAAC//70k=")</f>
        <v>#REF!</v>
      </c>
      <c r="BW46" t="e">
        <f>AND(#REF!,"AAAAAC//70o=")</f>
        <v>#REF!</v>
      </c>
      <c r="BX46" t="e">
        <f>AND(#REF!,"AAAAAC//70s=")</f>
        <v>#REF!</v>
      </c>
      <c r="BY46" t="e">
        <f>AND(#REF!,"AAAAAC//70w=")</f>
        <v>#REF!</v>
      </c>
      <c r="BZ46" t="e">
        <f>AND(#REF!,"AAAAAC//700=")</f>
        <v>#REF!</v>
      </c>
      <c r="CA46" t="e">
        <f>AND(#REF!,"AAAAAC//704=")</f>
        <v>#REF!</v>
      </c>
      <c r="CB46" t="e">
        <f>AND(#REF!,"AAAAAC//708=")</f>
        <v>#REF!</v>
      </c>
      <c r="CC46" t="e">
        <f>AND(#REF!,"AAAAAC//71A=")</f>
        <v>#REF!</v>
      </c>
      <c r="CD46" t="e">
        <f>IF(#REF!,"AAAAAC//71E=",0)</f>
        <v>#REF!</v>
      </c>
      <c r="CE46" t="e">
        <f>AND(#REF!,"AAAAAC//71I=")</f>
        <v>#REF!</v>
      </c>
      <c r="CF46" t="e">
        <f>AND(#REF!,"AAAAAC//71M=")</f>
        <v>#REF!</v>
      </c>
      <c r="CG46" t="e">
        <f>AND(#REF!,"AAAAAC//71Q=")</f>
        <v>#REF!</v>
      </c>
      <c r="CH46" t="e">
        <f>AND(#REF!,"AAAAAC//71U=")</f>
        <v>#REF!</v>
      </c>
      <c r="CI46" t="e">
        <f>AND(#REF!,"AAAAAC//71Y=")</f>
        <v>#REF!</v>
      </c>
      <c r="CJ46" t="e">
        <f>AND(#REF!,"AAAAAC//71c=")</f>
        <v>#REF!</v>
      </c>
      <c r="CK46" t="e">
        <f>AND(#REF!,"AAAAAC//71g=")</f>
        <v>#REF!</v>
      </c>
      <c r="CL46" t="e">
        <f>AND(#REF!,"AAAAAC//71k=")</f>
        <v>#REF!</v>
      </c>
      <c r="CM46" t="e">
        <f>AND(#REF!,"AAAAAC//71o=")</f>
        <v>#REF!</v>
      </c>
      <c r="CN46" t="e">
        <f>AND(#REF!,"AAAAAC//71s=")</f>
        <v>#REF!</v>
      </c>
      <c r="CO46" t="e">
        <f>AND(#REF!,"AAAAAC//71w=")</f>
        <v>#REF!</v>
      </c>
      <c r="CP46" t="e">
        <f>AND(#REF!,"AAAAAC//710=")</f>
        <v>#REF!</v>
      </c>
      <c r="CQ46" t="e">
        <f>AND(#REF!,"AAAAAC//714=")</f>
        <v>#REF!</v>
      </c>
      <c r="CR46" t="e">
        <f>AND(#REF!,"AAAAAC//718=")</f>
        <v>#REF!</v>
      </c>
      <c r="CS46" t="e">
        <f>AND(#REF!,"AAAAAC//72A=")</f>
        <v>#REF!</v>
      </c>
      <c r="CT46" t="e">
        <f>AND(#REF!,"AAAAAC//72E=")</f>
        <v>#REF!</v>
      </c>
      <c r="CU46" t="e">
        <f>AND(#REF!,"AAAAAC//72I=")</f>
        <v>#REF!</v>
      </c>
      <c r="CV46" t="e">
        <f>AND(#REF!,"AAAAAC//72M=")</f>
        <v>#REF!</v>
      </c>
      <c r="CW46" t="e">
        <f>AND(#REF!,"AAAAAC//72Q=")</f>
        <v>#REF!</v>
      </c>
      <c r="CX46" t="e">
        <f>AND(#REF!,"AAAAAC//72U=")</f>
        <v>#REF!</v>
      </c>
      <c r="CY46" t="e">
        <f>AND(#REF!,"AAAAAC//72Y=")</f>
        <v>#REF!</v>
      </c>
      <c r="CZ46" t="e">
        <f>AND(#REF!,"AAAAAC//72c=")</f>
        <v>#REF!</v>
      </c>
      <c r="DA46" t="e">
        <f>AND(#REF!,"AAAAAC//72g=")</f>
        <v>#REF!</v>
      </c>
      <c r="DB46" t="e">
        <f>IF(#REF!,"AAAAAC//72k=",0)</f>
        <v>#REF!</v>
      </c>
      <c r="DC46" t="e">
        <f>IF(#REF!,"AAAAAC//72o=",0)</f>
        <v>#REF!</v>
      </c>
      <c r="DD46" t="e">
        <f>IF(#REF!,"AAAAAC//72s=",0)</f>
        <v>#REF!</v>
      </c>
      <c r="DE46" t="e">
        <f>IF(#REF!,"AAAAAC//72w=",0)</f>
        <v>#REF!</v>
      </c>
      <c r="DF46" t="e">
        <f>IF(#REF!,"AAAAAC//720=",0)</f>
        <v>#REF!</v>
      </c>
      <c r="DG46" t="e">
        <f>IF(#REF!,"AAAAAC//724=",0)</f>
        <v>#REF!</v>
      </c>
      <c r="DH46" t="e">
        <f>IF(#REF!,"AAAAAC//728=",0)</f>
        <v>#REF!</v>
      </c>
      <c r="DI46" t="e">
        <f>IF(#REF!,"AAAAAC//73A=",0)</f>
        <v>#REF!</v>
      </c>
      <c r="DJ46" t="e">
        <f>IF(#REF!,"AAAAAC//73E=",0)</f>
        <v>#REF!</v>
      </c>
      <c r="DK46" t="e">
        <f>IF(#REF!,"AAAAAC//73I=",0)</f>
        <v>#REF!</v>
      </c>
      <c r="DL46" t="e">
        <f>IF(#REF!,"AAAAAC//73M=",0)</f>
        <v>#REF!</v>
      </c>
      <c r="DM46" t="e">
        <f>IF(#REF!,"AAAAAC//73Q=",0)</f>
        <v>#REF!</v>
      </c>
      <c r="DN46" t="e">
        <f>IF(#REF!,"AAAAAC//73U=",0)</f>
        <v>#REF!</v>
      </c>
      <c r="DO46" t="e">
        <f>IF(#REF!,"AAAAAC//73Y=",0)</f>
        <v>#REF!</v>
      </c>
      <c r="DP46" t="e">
        <f>IF(#REF!,"AAAAAC//73c=",0)</f>
        <v>#REF!</v>
      </c>
      <c r="DQ46" t="e">
        <f>IF(#REF!,"AAAAAC//73g=",0)</f>
        <v>#REF!</v>
      </c>
      <c r="DR46" t="e">
        <f>IF(#REF!,"AAAAAC//73k=",0)</f>
        <v>#REF!</v>
      </c>
      <c r="DS46" t="e">
        <f>IF(#REF!,"AAAAAC//73o=",0)</f>
        <v>#REF!</v>
      </c>
      <c r="DT46" t="e">
        <f>IF(#REF!,"AAAAAC//73s=",0)</f>
        <v>#REF!</v>
      </c>
      <c r="DU46" t="e">
        <f>IF(#REF!,"AAAAAC//73w=",0)</f>
        <v>#REF!</v>
      </c>
      <c r="DV46" t="e">
        <f>IF(#REF!,"AAAAAC//730=",0)</f>
        <v>#REF!</v>
      </c>
      <c r="DW46" t="e">
        <f>IF(#REF!,"AAAAAC//734=",0)</f>
        <v>#REF!</v>
      </c>
      <c r="DX46" t="e">
        <f>IF(#REF!,"AAAAAC//738=",0)</f>
        <v>#REF!</v>
      </c>
      <c r="DY46" t="e">
        <f>IF(#REF!,"AAAAAC//74A=",0)</f>
        <v>#REF!</v>
      </c>
      <c r="DZ46" t="e">
        <f>IF(#REF!,"AAAAAC//74E=",0)</f>
        <v>#REF!</v>
      </c>
      <c r="EA46" t="e">
        <f>IF(#REF!,"AAAAAC//74I=",0)</f>
        <v>#REF!</v>
      </c>
      <c r="EB46" t="e">
        <f>IF(#REF!,"AAAAAC//74M=",0)</f>
        <v>#REF!</v>
      </c>
      <c r="EC46" t="e">
        <f>IF(#REF!,"AAAAAC//74Q=",0)</f>
        <v>#REF!</v>
      </c>
      <c r="ED46" t="e">
        <f>IF(#REF!,"AAAAAC//74U=",0)</f>
        <v>#REF!</v>
      </c>
      <c r="EE46" t="e">
        <f>IF(#REF!,"AAAAAC//74Y=",0)</f>
        <v>#REF!</v>
      </c>
      <c r="EF46" t="e">
        <f>IF(#REF!,"AAAAAC//74c=",0)</f>
        <v>#REF!</v>
      </c>
      <c r="EG46" t="e">
        <f>IF(#REF!,"AAAAAC//74g=",0)</f>
        <v>#REF!</v>
      </c>
      <c r="EH46" t="e">
        <f>IF(#REF!,"AAAAAC//74k=",0)</f>
        <v>#REF!</v>
      </c>
      <c r="EI46" t="e">
        <f>IF(#REF!,"AAAAAC//74o=",0)</f>
        <v>#REF!</v>
      </c>
      <c r="EJ46" t="e">
        <f>IF(#REF!,"AAAAAC//74s=",0)</f>
        <v>#REF!</v>
      </c>
      <c r="EK46" t="e">
        <f>IF(#REF!,"AAAAAC//74w=",0)</f>
        <v>#REF!</v>
      </c>
      <c r="EL46" t="e">
        <f>IF(#REF!,"AAAAAC//740=",0)</f>
        <v>#REF!</v>
      </c>
      <c r="EM46" t="e">
        <f>IF(#REF!,"AAAAAC//744=",0)</f>
        <v>#REF!</v>
      </c>
      <c r="EN46" t="e">
        <f>IF(#REF!,"AAAAAC//748=",0)</f>
        <v>#REF!</v>
      </c>
      <c r="EO46" t="e">
        <f>IF(#REF!,"AAAAAC//75A=",0)</f>
        <v>#REF!</v>
      </c>
      <c r="EP46" t="e">
        <f>IF(#REF!,"AAAAAC//75E=",0)</f>
        <v>#REF!</v>
      </c>
      <c r="EQ46" t="e">
        <f>IF(#REF!,"AAAAAC//75I=",0)</f>
        <v>#REF!</v>
      </c>
      <c r="ER46" t="e">
        <f>AND([1]Labo!R1,"AAAAAC//75M=")</f>
        <v>#VALUE!</v>
      </c>
      <c r="ES46" t="b">
        <f>AND([1]Labo!S1,"AAAAAC//75Q=")</f>
        <v>1</v>
      </c>
      <c r="ET46" t="e">
        <f>AND([1]Labo!T1,"AAAAAC//75U=")</f>
        <v>#VALUE!</v>
      </c>
      <c r="EU46" t="e">
        <f>AND([1]Labo!R2,"AAAAAC//75Y=")</f>
        <v>#VALUE!</v>
      </c>
      <c r="EV46" t="b">
        <f>AND([1]Labo!S2,"AAAAAC//75c=")</f>
        <v>1</v>
      </c>
      <c r="EW46" t="e">
        <f>AND([1]Labo!T2,"AAAAAC//75g=")</f>
        <v>#VALUE!</v>
      </c>
      <c r="EX46" t="e">
        <f>AND([1]Labo!R3,"AAAAAC//75k=")</f>
        <v>#VALUE!</v>
      </c>
      <c r="EY46" t="b">
        <f>AND([1]Labo!S3,"AAAAAC//75o=")</f>
        <v>1</v>
      </c>
      <c r="EZ46" t="e">
        <f>AND([1]Labo!T3,"AAAAAC//75s=")</f>
        <v>#VALUE!</v>
      </c>
      <c r="FA46" t="e">
        <f>AND([1]Labo!R4,"AAAAAC//75w=")</f>
        <v>#VALUE!</v>
      </c>
      <c r="FB46" t="b">
        <f>AND([1]Labo!S4,"AAAAAC//750=")</f>
        <v>1</v>
      </c>
      <c r="FC46" t="e">
        <f>AND([1]Labo!T4,"AAAAAC//754=")</f>
        <v>#VALUE!</v>
      </c>
      <c r="FD46" t="e">
        <f>AND([1]Labo!R5,"AAAAAC//758=")</f>
        <v>#VALUE!</v>
      </c>
      <c r="FE46" t="b">
        <f>AND([1]Labo!S5,"AAAAAC//76A=")</f>
        <v>1</v>
      </c>
      <c r="FF46" t="e">
        <f>AND([1]Labo!T5,"AAAAAC//76E=")</f>
        <v>#VALUE!</v>
      </c>
      <c r="FG46" t="e">
        <f>AND([1]Labo!R6,"AAAAAC//76I=")</f>
        <v>#VALUE!</v>
      </c>
      <c r="FH46" t="b">
        <f>AND([1]Labo!S6,"AAAAAC//76M=")</f>
        <v>1</v>
      </c>
      <c r="FI46" t="e">
        <f>AND([1]Labo!T6,"AAAAAC//76Q=")</f>
        <v>#VALUE!</v>
      </c>
      <c r="FJ46" t="e">
        <f>AND([1]Labo!R7,"AAAAAC//76U=")</f>
        <v>#VALUE!</v>
      </c>
      <c r="FK46" t="b">
        <f>AND([1]Labo!S7,"AAAAAC//76Y=")</f>
        <v>1</v>
      </c>
      <c r="FL46" t="e">
        <f>AND([1]Labo!T7,"AAAAAC//76c=")</f>
        <v>#VALUE!</v>
      </c>
      <c r="FM46" t="e">
        <f>AND([1]Labo!R8,"AAAAAC//76g=")</f>
        <v>#VALUE!</v>
      </c>
      <c r="FN46" t="b">
        <f>AND([1]Labo!S8,"AAAAAC//76k=")</f>
        <v>1</v>
      </c>
      <c r="FO46" t="e">
        <f>AND([1]Labo!T8,"AAAAAC//76o=")</f>
        <v>#VALUE!</v>
      </c>
      <c r="FP46" t="e">
        <f>AND([1]Labo!R9,"AAAAAC//76s=")</f>
        <v>#VALUE!</v>
      </c>
      <c r="FQ46" t="b">
        <f>AND([1]Labo!S9,"AAAAAC//76w=")</f>
        <v>1</v>
      </c>
      <c r="FR46" t="e">
        <f>AND([1]Labo!T9,"AAAAAC//760=")</f>
        <v>#VALUE!</v>
      </c>
      <c r="FS46" t="e">
        <f>AND([1]Labo!R10,"AAAAAC//764=")</f>
        <v>#VALUE!</v>
      </c>
      <c r="FT46" t="b">
        <f>AND([1]Labo!S10,"AAAAAC//768=")</f>
        <v>1</v>
      </c>
      <c r="FU46" t="e">
        <f>AND([1]Labo!T10,"AAAAAC//77A=")</f>
        <v>#VALUE!</v>
      </c>
      <c r="FV46" t="e">
        <f>AND([1]Labo!R11,"AAAAAC//77E=")</f>
        <v>#VALUE!</v>
      </c>
      <c r="FW46" t="b">
        <f>AND([1]Labo!S11,"AAAAAC//77I=")</f>
        <v>1</v>
      </c>
      <c r="FX46" t="e">
        <f>AND([1]Labo!T11,"AAAAAC//77M=")</f>
        <v>#VALUE!</v>
      </c>
      <c r="FY46" t="e">
        <f>AND([1]Labo!R12,"AAAAAC//77Q=")</f>
        <v>#VALUE!</v>
      </c>
      <c r="FZ46" t="b">
        <f>AND([1]Labo!S12,"AAAAAC//77U=")</f>
        <v>1</v>
      </c>
      <c r="GA46" t="e">
        <f>AND([1]Labo!T12,"AAAAAC//77Y=")</f>
        <v>#VALUE!</v>
      </c>
      <c r="GB46" t="e">
        <f>AND([1]Labo!R13,"AAAAAC//77c=")</f>
        <v>#VALUE!</v>
      </c>
      <c r="GC46" t="b">
        <f>AND([1]Labo!S13,"AAAAAC//77g=")</f>
        <v>1</v>
      </c>
      <c r="GD46" t="e">
        <f>AND([1]Labo!T13,"AAAAAC//77k=")</f>
        <v>#VALUE!</v>
      </c>
      <c r="GE46" t="e">
        <f>AND([1]Labo!R14,"AAAAAC//77o=")</f>
        <v>#VALUE!</v>
      </c>
      <c r="GF46" t="b">
        <f>AND([1]Labo!S14,"AAAAAC//77s=")</f>
        <v>1</v>
      </c>
      <c r="GG46" t="e">
        <f>AND([1]Labo!T14,"AAAAAC//77w=")</f>
        <v>#VALUE!</v>
      </c>
      <c r="GH46" t="e">
        <f>AND([1]Labo!R15,"AAAAAC//770=")</f>
        <v>#VALUE!</v>
      </c>
      <c r="GI46" t="b">
        <f>AND([1]Labo!S15,"AAAAAC//774=")</f>
        <v>1</v>
      </c>
      <c r="GJ46" t="e">
        <f>AND([1]Labo!T15,"AAAAAC//778=")</f>
        <v>#VALUE!</v>
      </c>
      <c r="GK46" t="e">
        <f>AND([1]Labo!R16,"AAAAAC//78A=")</f>
        <v>#VALUE!</v>
      </c>
      <c r="GL46" t="b">
        <f>AND([1]Labo!S16,"AAAAAC//78E=")</f>
        <v>1</v>
      </c>
      <c r="GM46" t="e">
        <f>AND([1]Labo!T16,"AAAAAC//78I=")</f>
        <v>#VALUE!</v>
      </c>
      <c r="GN46" t="e">
        <f>AND([1]Labo!R17,"AAAAAC//78M=")</f>
        <v>#VALUE!</v>
      </c>
      <c r="GO46" t="b">
        <f>AND([1]Labo!S17,"AAAAAC//78Q=")</f>
        <v>1</v>
      </c>
      <c r="GP46" t="e">
        <f>AND([1]Labo!T17,"AAAAAC//78U=")</f>
        <v>#VALUE!</v>
      </c>
      <c r="GQ46" t="e">
        <f>AND([1]Labo!R18,"AAAAAC//78Y=")</f>
        <v>#VALUE!</v>
      </c>
      <c r="GR46" t="b">
        <f>AND([1]Labo!S18,"AAAAAC//78c=")</f>
        <v>1</v>
      </c>
      <c r="GS46" t="e">
        <f>AND([1]Labo!T18,"AAAAAC//78g=")</f>
        <v>#VALUE!</v>
      </c>
      <c r="GT46" t="e">
        <f>AND([1]Labo!R19,"AAAAAC//78k=")</f>
        <v>#VALUE!</v>
      </c>
      <c r="GU46" t="b">
        <f>AND([1]Labo!S19,"AAAAAC//78o=")</f>
        <v>1</v>
      </c>
      <c r="GV46" t="e">
        <f>AND([1]Labo!T19,"AAAAAC//78s=")</f>
        <v>#VALUE!</v>
      </c>
      <c r="GW46" t="e">
        <f>AND([1]Labo!R20,"AAAAAC//78w=")</f>
        <v>#VALUE!</v>
      </c>
      <c r="GX46" t="b">
        <f>AND([1]Labo!S20,"AAAAAC//780=")</f>
        <v>1</v>
      </c>
      <c r="GY46" t="e">
        <f>AND([1]Labo!T20,"AAAAAC//784=")</f>
        <v>#VALUE!</v>
      </c>
      <c r="GZ46" t="e">
        <f>AND([1]Labo!R21,"AAAAAC//788=")</f>
        <v>#VALUE!</v>
      </c>
      <c r="HA46" t="b">
        <f>AND([1]Labo!S21,"AAAAAC//79A=")</f>
        <v>1</v>
      </c>
      <c r="HB46" t="e">
        <f>AND([1]Labo!T21,"AAAAAC//79E=")</f>
        <v>#VALUE!</v>
      </c>
      <c r="HC46" t="e">
        <f>AND([1]Labo!R22,"AAAAAC//79I=")</f>
        <v>#VALUE!</v>
      </c>
      <c r="HD46" t="b">
        <f>AND([1]Labo!S22,"AAAAAC//79M=")</f>
        <v>1</v>
      </c>
      <c r="HE46" t="e">
        <f>AND([1]Labo!T22,"AAAAAC//79Q=")</f>
        <v>#VALUE!</v>
      </c>
      <c r="HF46" t="e">
        <f>AND([1]Labo!R23,"AAAAAC//79U=")</f>
        <v>#VALUE!</v>
      </c>
      <c r="HG46" t="b">
        <f>AND([1]Labo!S23,"AAAAAC//79Y=")</f>
        <v>1</v>
      </c>
      <c r="HH46" t="e">
        <f>AND([1]Labo!T23,"AAAAAC//79c=")</f>
        <v>#VALUE!</v>
      </c>
      <c r="HI46" t="e">
        <f>AND([1]Labo!R24,"AAAAAC//79g=")</f>
        <v>#VALUE!</v>
      </c>
      <c r="HJ46" t="b">
        <f>AND([1]Labo!S24,"AAAAAC//79k=")</f>
        <v>1</v>
      </c>
      <c r="HK46" t="e">
        <f>AND([1]Labo!T24,"AAAAAC//79o=")</f>
        <v>#VALUE!</v>
      </c>
      <c r="HL46" t="e">
        <f>AND([1]Labo!R25,"AAAAAC//79s=")</f>
        <v>#VALUE!</v>
      </c>
      <c r="HM46" t="b">
        <f>AND([1]Labo!S25,"AAAAAC//79w=")</f>
        <v>1</v>
      </c>
      <c r="HN46" t="e">
        <f>AND([1]Labo!T25,"AAAAAC//790=")</f>
        <v>#VALUE!</v>
      </c>
      <c r="HO46" t="e">
        <f>AND([1]Labo!A26,"AAAAAC//794=")</f>
        <v>#VALUE!</v>
      </c>
      <c r="HP46" t="e">
        <f>AND([1]Labo!B26,"AAAAAC//798=")</f>
        <v>#VALUE!</v>
      </c>
      <c r="HQ46" t="e">
        <f>AND([1]Labo!L26,"AAAAAC//7+A=")</f>
        <v>#VALUE!</v>
      </c>
      <c r="HR46" t="e">
        <f>AND([1]Labo!P26,"AAAAAC//7+E=")</f>
        <v>#VALUE!</v>
      </c>
      <c r="HS46" t="e">
        <f>AND([1]Labo!Q26,"AAAAAC//7+I=")</f>
        <v>#VALUE!</v>
      </c>
      <c r="HT46" t="e">
        <f>AND([1]Labo!R26,"AAAAAC//7+M=")</f>
        <v>#VALUE!</v>
      </c>
      <c r="HU46" t="b">
        <f>AND([1]Labo!S26,"AAAAAC//7+Q=")</f>
        <v>1</v>
      </c>
      <c r="HV46" t="e">
        <f>AND([1]Labo!T26,"AAAAAC//7+U=")</f>
        <v>#VALUE!</v>
      </c>
      <c r="HW46" t="b">
        <f>AND([1]Labo!A27,"AAAAAC//7+Y=")</f>
        <v>1</v>
      </c>
      <c r="HX46" t="e">
        <f>AND([1]Labo!B27,"AAAAAC//7+c=")</f>
        <v>#VALUE!</v>
      </c>
      <c r="HY46" t="e">
        <f>AND([1]Labo!L27,"AAAAAC//7+g=")</f>
        <v>#VALUE!</v>
      </c>
      <c r="HZ46" t="b">
        <f>AND([1]Labo!D23,"AAAAAC//7+k=")</f>
        <v>1</v>
      </c>
      <c r="IA46" t="e">
        <f>AND([1]Labo!E23,"AAAAAC//7+o=")</f>
        <v>#VALUE!</v>
      </c>
      <c r="IB46" t="e">
        <f>AND([1]Labo!O27,"AAAAAC//7+s=")</f>
        <v>#VALUE!</v>
      </c>
      <c r="IC46" t="e">
        <f>AND([1]Labo!P27,"AAAAAC//7+w=")</f>
        <v>#VALUE!</v>
      </c>
      <c r="ID46" t="e">
        <f>AND([1]Labo!Q27,"AAAAAC//7+0=")</f>
        <v>#VALUE!</v>
      </c>
      <c r="IE46" t="e">
        <f>AND([1]Labo!R27,"AAAAAC//7+4=")</f>
        <v>#VALUE!</v>
      </c>
      <c r="IF46" t="b">
        <f>AND([1]Labo!S27,"AAAAAC//7+8=")</f>
        <v>1</v>
      </c>
      <c r="IG46" t="e">
        <f>AND([1]Labo!T27,"AAAAAC//7/A=")</f>
        <v>#VALUE!</v>
      </c>
      <c r="IH46" t="b">
        <f>AND([1]Labo!A28,"AAAAAC//7/E=")</f>
        <v>1</v>
      </c>
      <c r="II46" t="e">
        <f>AND([1]Labo!B28,"AAAAAC//7/I=")</f>
        <v>#VALUE!</v>
      </c>
      <c r="IJ46" t="e">
        <f>AND([1]Labo!L28,"AAAAAC//7/M=")</f>
        <v>#VALUE!</v>
      </c>
      <c r="IK46" t="b">
        <f>AND([1]Labo!D24,"AAAAAC//7/Q=")</f>
        <v>1</v>
      </c>
      <c r="IL46" t="e">
        <f>AND([1]Labo!E24,"AAAAAC//7/U=")</f>
        <v>#VALUE!</v>
      </c>
      <c r="IM46" t="e">
        <f>AND([1]Labo!O28,"AAAAAC//7/Y=")</f>
        <v>#VALUE!</v>
      </c>
      <c r="IN46" t="e">
        <f>AND([1]Labo!P28,"AAAAAC//7/c=")</f>
        <v>#VALUE!</v>
      </c>
      <c r="IO46" t="e">
        <f>AND([1]Labo!Q28,"AAAAAC//7/g=")</f>
        <v>#VALUE!</v>
      </c>
      <c r="IP46" t="e">
        <f>AND([1]Labo!R28,"AAAAAC//7/k=")</f>
        <v>#VALUE!</v>
      </c>
      <c r="IQ46" t="b">
        <f>AND([1]Labo!S28,"AAAAAC//7/o=")</f>
        <v>1</v>
      </c>
      <c r="IR46" t="e">
        <f>AND([1]Labo!T28,"AAAAAC//7/s=")</f>
        <v>#VALUE!</v>
      </c>
      <c r="IS46" t="e">
        <f>AND([1]Labo!B29,"AAAAAC//7/w=")</f>
        <v>#VALUE!</v>
      </c>
      <c r="IT46" t="e">
        <f>AND([1]Labo!L29,"AAAAAC//7/0=")</f>
        <v>#VALUE!</v>
      </c>
      <c r="IU46" t="b">
        <f>AND([1]Labo!D25,"AAAAAC//7/4=")</f>
        <v>1</v>
      </c>
      <c r="IV46" t="e">
        <f>AND([1]Labo!E25,"AAAAAC//7/8=")</f>
        <v>#VALUE!</v>
      </c>
    </row>
    <row r="47" spans="1:256">
      <c r="A47" t="e">
        <f>AND([1]Labo!O29,"AAAAAEs/bwA=")</f>
        <v>#VALUE!</v>
      </c>
      <c r="B47" t="e">
        <f>AND([1]Labo!P29,"AAAAAEs/bwE=")</f>
        <v>#VALUE!</v>
      </c>
      <c r="C47" t="e">
        <f>AND([1]Labo!Q29,"AAAAAEs/bwI=")</f>
        <v>#VALUE!</v>
      </c>
      <c r="D47" t="e">
        <f>AND([1]Labo!R29,"AAAAAEs/bwM=")</f>
        <v>#VALUE!</v>
      </c>
      <c r="E47" t="b">
        <f>AND([1]Labo!S29,"AAAAAEs/bwQ=")</f>
        <v>1</v>
      </c>
      <c r="F47" t="e">
        <f>AND([1]Labo!T29,"AAAAAEs/bwU=")</f>
        <v>#VALUE!</v>
      </c>
      <c r="G47" t="e">
        <f>AND([1]Labo!B30,"AAAAAEs/bwY=")</f>
        <v>#VALUE!</v>
      </c>
      <c r="H47" t="e">
        <f>AND([1]Labo!L30,"AAAAAEs/bwc=")</f>
        <v>#VALUE!</v>
      </c>
      <c r="I47" t="b">
        <f>AND([1]Labo!D26,"AAAAAEs/bwg=")</f>
        <v>1</v>
      </c>
      <c r="J47" t="e">
        <f>AND([1]Labo!E26,"AAAAAEs/bwk=")</f>
        <v>#VALUE!</v>
      </c>
      <c r="K47" t="e">
        <f>AND([1]Labo!O30,"AAAAAEs/bwo=")</f>
        <v>#VALUE!</v>
      </c>
      <c r="L47" t="e">
        <f>AND([1]Labo!P30,"AAAAAEs/bws=")</f>
        <v>#VALUE!</v>
      </c>
      <c r="M47" t="e">
        <f>AND([1]Labo!Q30,"AAAAAEs/bww=")</f>
        <v>#VALUE!</v>
      </c>
      <c r="N47" t="e">
        <f>AND([1]Labo!R30,"AAAAAEs/bw0=")</f>
        <v>#VALUE!</v>
      </c>
      <c r="O47" t="b">
        <f>AND([1]Labo!S30,"AAAAAEs/bw4=")</f>
        <v>1</v>
      </c>
      <c r="P47" t="e">
        <f>AND([1]Labo!T30,"AAAAAEs/bw8=")</f>
        <v>#VALUE!</v>
      </c>
      <c r="Q47" t="b">
        <f>AND([1]Labo!A31,"AAAAAEs/bxA=")</f>
        <v>1</v>
      </c>
      <c r="R47" t="e">
        <f>AND([1]Labo!B31,"AAAAAEs/bxE=")</f>
        <v>#VALUE!</v>
      </c>
      <c r="S47" t="e">
        <f>AND([1]Labo!L31,"AAAAAEs/bxI=")</f>
        <v>#VALUE!</v>
      </c>
      <c r="T47" t="b">
        <f>AND([1]Labo!D27,"AAAAAEs/bxM=")</f>
        <v>1</v>
      </c>
      <c r="U47" t="e">
        <f>AND([1]Labo!E27,"AAAAAEs/bxQ=")</f>
        <v>#VALUE!</v>
      </c>
      <c r="V47" t="e">
        <f>AND([1]Labo!O31,"AAAAAEs/bxU=")</f>
        <v>#VALUE!</v>
      </c>
      <c r="W47" t="e">
        <f>AND([1]Labo!P31,"AAAAAEs/bxY=")</f>
        <v>#VALUE!</v>
      </c>
      <c r="X47" t="e">
        <f>AND([1]Labo!Q31,"AAAAAEs/bxc=")</f>
        <v>#VALUE!</v>
      </c>
      <c r="Y47" t="e">
        <f>AND([1]Labo!R31,"AAAAAEs/bxg=")</f>
        <v>#VALUE!</v>
      </c>
      <c r="Z47" t="b">
        <f>AND([1]Labo!S31,"AAAAAEs/bxk=")</f>
        <v>1</v>
      </c>
      <c r="AA47" t="e">
        <f>AND([1]Labo!T31,"AAAAAEs/bxo=")</f>
        <v>#VALUE!</v>
      </c>
      <c r="AB47" t="e">
        <f>AND([1]Labo!L32,"AAAAAEs/bxs=")</f>
        <v>#VALUE!</v>
      </c>
      <c r="AC47" t="b">
        <f>AND([1]Labo!D28,"AAAAAEs/bxw=")</f>
        <v>1</v>
      </c>
      <c r="AD47" t="e">
        <f>AND([1]Labo!O32,"AAAAAEs/bx0=")</f>
        <v>#VALUE!</v>
      </c>
      <c r="AE47" t="e">
        <f>AND([1]Labo!P32,"AAAAAEs/bx4=")</f>
        <v>#VALUE!</v>
      </c>
      <c r="AF47" t="e">
        <f>AND([1]Labo!Q32,"AAAAAEs/bx8=")</f>
        <v>#VALUE!</v>
      </c>
      <c r="AG47" t="e">
        <f>AND([1]Labo!R32,"AAAAAEs/byA=")</f>
        <v>#VALUE!</v>
      </c>
      <c r="AH47" t="b">
        <f>AND([1]Labo!S32,"AAAAAEs/byE=")</f>
        <v>1</v>
      </c>
      <c r="AI47" t="e">
        <f>AND([1]Labo!T32,"AAAAAEs/byI=")</f>
        <v>#VALUE!</v>
      </c>
      <c r="AJ47" t="e">
        <f>AND([1]Labo!L33,"AAAAAEs/byM=")</f>
        <v>#VALUE!</v>
      </c>
      <c r="AK47" t="b">
        <f>AND([1]Labo!D29,"AAAAAEs/byQ=")</f>
        <v>1</v>
      </c>
      <c r="AL47" t="e">
        <f>AND([1]Labo!E29,"AAAAAEs/byU=")</f>
        <v>#VALUE!</v>
      </c>
      <c r="AM47" t="e">
        <f>AND([1]Labo!O33,"AAAAAEs/byY=")</f>
        <v>#VALUE!</v>
      </c>
      <c r="AN47" t="e">
        <f>AND([1]Labo!P33,"AAAAAEs/byc=")</f>
        <v>#VALUE!</v>
      </c>
      <c r="AO47" t="e">
        <f>AND([1]Labo!Q33,"AAAAAEs/byg=")</f>
        <v>#VALUE!</v>
      </c>
      <c r="AP47" t="e">
        <f>AND([1]Labo!R33,"AAAAAEs/byk=")</f>
        <v>#VALUE!</v>
      </c>
      <c r="AQ47" t="b">
        <f>AND([1]Labo!S33,"AAAAAEs/byo=")</f>
        <v>1</v>
      </c>
      <c r="AR47" t="e">
        <f>AND([1]Labo!T33,"AAAAAEs/bys=")</f>
        <v>#VALUE!</v>
      </c>
      <c r="AS47" t="e">
        <f>AND([1]Labo!L34,"AAAAAEs/byw=")</f>
        <v>#VALUE!</v>
      </c>
      <c r="AT47" t="b">
        <f>AND([1]Labo!D30,"AAAAAEs/by0=")</f>
        <v>1</v>
      </c>
      <c r="AU47" t="e">
        <f>AND([1]Labo!E30,"AAAAAEs/by4=")</f>
        <v>#VALUE!</v>
      </c>
      <c r="AV47" t="e">
        <f>AND([1]Labo!O34,"AAAAAEs/by8=")</f>
        <v>#VALUE!</v>
      </c>
      <c r="AW47" t="e">
        <f>AND([1]Labo!P34,"AAAAAEs/bzA=")</f>
        <v>#VALUE!</v>
      </c>
      <c r="AX47" t="e">
        <f>AND([1]Labo!Q34,"AAAAAEs/bzE=")</f>
        <v>#VALUE!</v>
      </c>
      <c r="AY47" t="e">
        <f>AND([1]Labo!R34,"AAAAAEs/bzI=")</f>
        <v>#VALUE!</v>
      </c>
      <c r="AZ47" t="e">
        <f>AND([1]Labo!S34,"AAAAAEs/bzM=")</f>
        <v>#VALUE!</v>
      </c>
      <c r="BA47" t="e">
        <f>AND([1]Labo!T34,"AAAAAEs/bzQ=")</f>
        <v>#VALUE!</v>
      </c>
      <c r="BB47" t="b">
        <f>AND([1]Labo!A35,"AAAAAEs/bzU=")</f>
        <v>1</v>
      </c>
      <c r="BC47" t="e">
        <f>AND([1]Labo!L35,"AAAAAEs/bzY=")</f>
        <v>#VALUE!</v>
      </c>
      <c r="BD47" t="b">
        <f>AND([1]Labo!D31,"AAAAAEs/bzc=")</f>
        <v>1</v>
      </c>
      <c r="BE47" t="e">
        <f>AND([1]Labo!E31,"AAAAAEs/bzg=")</f>
        <v>#VALUE!</v>
      </c>
      <c r="BF47" t="e">
        <f>AND([1]Labo!O35,"AAAAAEs/bzk=")</f>
        <v>#VALUE!</v>
      </c>
      <c r="BG47" t="e">
        <f>AND([1]Labo!P35,"AAAAAEs/bzo=")</f>
        <v>#VALUE!</v>
      </c>
      <c r="BH47" t="e">
        <f>AND([1]Labo!Q35,"AAAAAEs/bzs=")</f>
        <v>#VALUE!</v>
      </c>
      <c r="BI47" t="e">
        <f>AND([1]Labo!R35,"AAAAAEs/bzw=")</f>
        <v>#VALUE!</v>
      </c>
      <c r="BJ47" t="e">
        <f>AND([1]Labo!S35,"AAAAAEs/bz0=")</f>
        <v>#VALUE!</v>
      </c>
      <c r="BK47" t="e">
        <f>AND([1]Labo!T35,"AAAAAEs/bz4=")</f>
        <v>#VALUE!</v>
      </c>
      <c r="BL47" t="b">
        <f>AND([1]Labo!D13,"AAAAAEs/bz8=")</f>
        <v>1</v>
      </c>
      <c r="BM47" t="e">
        <f>AND([1]Labo!E13,"AAAAAEs/b0A=")</f>
        <v>#VALUE!</v>
      </c>
      <c r="BN47" t="e">
        <f>AND([1]Labo!L36,"AAAAAEs/b0E=")</f>
        <v>#VALUE!</v>
      </c>
      <c r="BO47" t="b">
        <f>AND([1]Labo!D32,"AAAAAEs/b0I=")</f>
        <v>1</v>
      </c>
      <c r="BP47" t="e">
        <f>AND([1]Labo!E32,"AAAAAEs/b0M=")</f>
        <v>#VALUE!</v>
      </c>
      <c r="BQ47" t="e">
        <f>AND([1]Labo!O36,"AAAAAEs/b0Q=")</f>
        <v>#VALUE!</v>
      </c>
      <c r="BR47" t="e">
        <f>AND([1]Labo!P36,"AAAAAEs/b0U=")</f>
        <v>#VALUE!</v>
      </c>
      <c r="BS47" t="e">
        <f>AND([1]Labo!Q36,"AAAAAEs/b0Y=")</f>
        <v>#VALUE!</v>
      </c>
      <c r="BT47" t="e">
        <f>AND([1]Labo!R36,"AAAAAEs/b0c=")</f>
        <v>#VALUE!</v>
      </c>
      <c r="BU47" t="e">
        <f>AND([1]Labo!S36,"AAAAAEs/b0g=")</f>
        <v>#VALUE!</v>
      </c>
      <c r="BV47" t="e">
        <f>AND([1]Labo!T36,"AAAAAEs/b0k=")</f>
        <v>#VALUE!</v>
      </c>
      <c r="BW47" t="b">
        <f>AND([1]Labo!D14,"AAAAAEs/b0o=")</f>
        <v>1</v>
      </c>
      <c r="BX47" t="e">
        <f>AND([1]Labo!E14,"AAAAAEs/b0s=")</f>
        <v>#VALUE!</v>
      </c>
      <c r="BY47" t="e">
        <f>AND([1]Labo!L37,"AAAAAEs/b0w=")</f>
        <v>#VALUE!</v>
      </c>
      <c r="BZ47" t="b">
        <f>AND([1]Labo!D33,"AAAAAEs/b00=")</f>
        <v>1</v>
      </c>
      <c r="CA47" t="e">
        <f>AND([1]Labo!E33,"AAAAAEs/b04=")</f>
        <v>#VALUE!</v>
      </c>
      <c r="CB47" t="e">
        <f>AND([1]Labo!O37,"AAAAAEs/b08=")</f>
        <v>#VALUE!</v>
      </c>
      <c r="CC47" t="e">
        <f>AND([1]Labo!P37,"AAAAAEs/b1A=")</f>
        <v>#VALUE!</v>
      </c>
      <c r="CD47" t="e">
        <f>AND([1]Labo!Q37,"AAAAAEs/b1E=")</f>
        <v>#VALUE!</v>
      </c>
      <c r="CE47" t="e">
        <f>AND([1]Labo!R37,"AAAAAEs/b1I=")</f>
        <v>#VALUE!</v>
      </c>
      <c r="CF47" t="e">
        <f>AND([1]Labo!S37,"AAAAAEs/b1M=")</f>
        <v>#VALUE!</v>
      </c>
      <c r="CG47" t="e">
        <f>AND([1]Labo!T37,"AAAAAEs/b1Q=")</f>
        <v>#VALUE!</v>
      </c>
      <c r="CH47" t="b">
        <f>AND([1]Labo!D15,"AAAAAEs/b1U=")</f>
        <v>1</v>
      </c>
      <c r="CI47" t="e">
        <f>AND([1]Labo!E15,"AAAAAEs/b1Y=")</f>
        <v>#VALUE!</v>
      </c>
      <c r="CJ47" t="e">
        <f>AND([1]Labo!L38,"AAAAAEs/b1c=")</f>
        <v>#VALUE!</v>
      </c>
      <c r="CK47" t="b">
        <f>AND([1]Labo!D34,"AAAAAEs/b1g=")</f>
        <v>1</v>
      </c>
      <c r="CL47" t="e">
        <f>AND([1]Labo!E34,"AAAAAEs/b1k=")</f>
        <v>#VALUE!</v>
      </c>
      <c r="CM47" t="e">
        <f>AND([1]Labo!O38,"AAAAAEs/b1o=")</f>
        <v>#VALUE!</v>
      </c>
      <c r="CN47" t="e">
        <f>AND([1]Labo!P38,"AAAAAEs/b1s=")</f>
        <v>#VALUE!</v>
      </c>
      <c r="CO47" t="e">
        <f>AND([1]Labo!Q38,"AAAAAEs/b1w=")</f>
        <v>#VALUE!</v>
      </c>
      <c r="CP47" t="e">
        <f>AND([1]Labo!R38,"AAAAAEs/b10=")</f>
        <v>#VALUE!</v>
      </c>
      <c r="CQ47" t="e">
        <f>AND([1]Labo!S38,"AAAAAEs/b14=")</f>
        <v>#VALUE!</v>
      </c>
      <c r="CR47" t="e">
        <f>AND([1]Labo!T38,"AAAAAEs/b18=")</f>
        <v>#VALUE!</v>
      </c>
      <c r="CS47" t="b">
        <f>AND([1]Labo!D16,"AAAAAEs/b2A=")</f>
        <v>1</v>
      </c>
      <c r="CT47" t="e">
        <f>AND([1]Labo!E16,"AAAAAEs/b2E=")</f>
        <v>#VALUE!</v>
      </c>
      <c r="CU47" t="e">
        <f>AND([1]Labo!L39,"AAAAAEs/b2I=")</f>
        <v>#VALUE!</v>
      </c>
      <c r="CV47" t="b">
        <f>AND([1]Labo!D35,"AAAAAEs/b2M=")</f>
        <v>1</v>
      </c>
      <c r="CW47" t="e">
        <f>AND([1]Labo!E35,"AAAAAEs/b2Q=")</f>
        <v>#VALUE!</v>
      </c>
      <c r="CX47" t="e">
        <f>AND([1]Labo!O39,"AAAAAEs/b2U=")</f>
        <v>#VALUE!</v>
      </c>
      <c r="CY47" t="e">
        <f>AND([1]Labo!P39,"AAAAAEs/b2Y=")</f>
        <v>#VALUE!</v>
      </c>
      <c r="CZ47" t="e">
        <f>AND([1]Labo!Q39,"AAAAAEs/b2c=")</f>
        <v>#VALUE!</v>
      </c>
      <c r="DA47" t="e">
        <f>AND([1]Labo!R39,"AAAAAEs/b2g=")</f>
        <v>#VALUE!</v>
      </c>
      <c r="DB47" t="e">
        <f>AND([1]Labo!S39,"AAAAAEs/b2k=")</f>
        <v>#VALUE!</v>
      </c>
      <c r="DC47" t="e">
        <f>AND([1]Labo!T39,"AAAAAEs/b2o=")</f>
        <v>#VALUE!</v>
      </c>
      <c r="DD47" t="e">
        <f>AND([1]Labo!B40,"AAAAAEs/b2s=")</f>
        <v>#VALUE!</v>
      </c>
      <c r="DE47" t="b">
        <f>AND([1]Labo!D17,"AAAAAEs/b2w=")</f>
        <v>1</v>
      </c>
      <c r="DF47" t="e">
        <f>AND([1]Labo!E17,"AAAAAEs/b20=")</f>
        <v>#VALUE!</v>
      </c>
      <c r="DG47" t="e">
        <f>AND([1]Labo!L40,"AAAAAEs/b24=")</f>
        <v>#VALUE!</v>
      </c>
      <c r="DH47" t="b">
        <f>AND([1]Labo!D36,"AAAAAEs/b28=")</f>
        <v>1</v>
      </c>
      <c r="DI47" t="e">
        <f>AND([1]Labo!E36,"AAAAAEs/b3A=")</f>
        <v>#VALUE!</v>
      </c>
      <c r="DJ47" t="e">
        <f>AND([1]Labo!O40,"AAAAAEs/b3E=")</f>
        <v>#VALUE!</v>
      </c>
      <c r="DK47" t="e">
        <f>AND([1]Labo!P40,"AAAAAEs/b3I=")</f>
        <v>#VALUE!</v>
      </c>
      <c r="DL47" t="e">
        <f>AND([1]Labo!Q40,"AAAAAEs/b3M=")</f>
        <v>#VALUE!</v>
      </c>
      <c r="DM47" t="e">
        <f>AND([1]Labo!R40,"AAAAAEs/b3Q=")</f>
        <v>#VALUE!</v>
      </c>
      <c r="DN47" t="e">
        <f>AND([1]Labo!S40,"AAAAAEs/b3U=")</f>
        <v>#VALUE!</v>
      </c>
      <c r="DO47" t="e">
        <f>AND([1]Labo!T40,"AAAAAEs/b3Y=")</f>
        <v>#VALUE!</v>
      </c>
      <c r="DP47" t="b">
        <f>AND([1]Labo!A41,"AAAAAEs/b3c=")</f>
        <v>1</v>
      </c>
      <c r="DQ47" t="e">
        <f>AND([1]Labo!B41,"AAAAAEs/b3g=")</f>
        <v>#VALUE!</v>
      </c>
      <c r="DR47" t="b">
        <f>AND([1]Labo!D18,"AAAAAEs/b3k=")</f>
        <v>1</v>
      </c>
      <c r="DS47" t="e">
        <f>AND([1]Labo!E18,"AAAAAEs/b3o=")</f>
        <v>#VALUE!</v>
      </c>
      <c r="DT47" t="e">
        <f>AND([1]Labo!L41,"AAAAAEs/b3s=")</f>
        <v>#VALUE!</v>
      </c>
      <c r="DU47" t="b">
        <f>AND([1]Labo!D37,"AAAAAEs/b3w=")</f>
        <v>1</v>
      </c>
      <c r="DV47" t="e">
        <f>AND([1]Labo!E37,"AAAAAEs/b30=")</f>
        <v>#VALUE!</v>
      </c>
      <c r="DW47" t="e">
        <f>AND([1]Labo!O41,"AAAAAEs/b34=")</f>
        <v>#VALUE!</v>
      </c>
      <c r="DX47" t="e">
        <f>AND([1]Labo!P41,"AAAAAEs/b38=")</f>
        <v>#VALUE!</v>
      </c>
      <c r="DY47" t="e">
        <f>AND([1]Labo!Q41,"AAAAAEs/b4A=")</f>
        <v>#VALUE!</v>
      </c>
      <c r="DZ47" t="e">
        <f>AND([1]Labo!R41,"AAAAAEs/b4E=")</f>
        <v>#VALUE!</v>
      </c>
      <c r="EA47" t="e">
        <f>AND([1]Labo!S41,"AAAAAEs/b4I=")</f>
        <v>#VALUE!</v>
      </c>
      <c r="EB47" t="e">
        <f>AND([1]Labo!T41,"AAAAAEs/b4M=")</f>
        <v>#VALUE!</v>
      </c>
      <c r="EC47" t="b">
        <f>AND([1]Labo!A42,"AAAAAEs/b4Q=")</f>
        <v>1</v>
      </c>
      <c r="ED47" t="e">
        <f>AND([1]Labo!B42,"AAAAAEs/b4U=")</f>
        <v>#VALUE!</v>
      </c>
      <c r="EE47" t="e">
        <f>AND([1]Labo!#REF!,"AAAAAEs/b4Y=")</f>
        <v>#REF!</v>
      </c>
      <c r="EF47" t="e">
        <f>AND([1]Labo!#REF!,"AAAAAEs/b4c=")</f>
        <v>#REF!</v>
      </c>
      <c r="EG47" t="e">
        <f>AND([1]Labo!L42,"AAAAAEs/b4g=")</f>
        <v>#VALUE!</v>
      </c>
      <c r="EH47" t="b">
        <f>AND([1]Labo!D38,"AAAAAEs/b4k=")</f>
        <v>1</v>
      </c>
      <c r="EI47" t="e">
        <f>AND([1]Labo!E38,"AAAAAEs/b4o=")</f>
        <v>#VALUE!</v>
      </c>
      <c r="EJ47" t="e">
        <f>AND([1]Labo!O42,"AAAAAEs/b4s=")</f>
        <v>#VALUE!</v>
      </c>
      <c r="EK47" t="e">
        <f>AND([1]Labo!P42,"AAAAAEs/b4w=")</f>
        <v>#VALUE!</v>
      </c>
      <c r="EL47" t="e">
        <f>AND([1]Labo!Q42,"AAAAAEs/b40=")</f>
        <v>#VALUE!</v>
      </c>
      <c r="EM47" t="e">
        <f>AND([1]Labo!R42,"AAAAAEs/b44=")</f>
        <v>#VALUE!</v>
      </c>
      <c r="EN47" t="e">
        <f>AND([1]Labo!S42,"AAAAAEs/b48=")</f>
        <v>#VALUE!</v>
      </c>
      <c r="EO47" t="e">
        <f>AND([1]Labo!T42,"AAAAAEs/b5A=")</f>
        <v>#VALUE!</v>
      </c>
      <c r="EP47" t="e">
        <f>AND([1]Labo!B43,"AAAAAEs/b5E=")</f>
        <v>#VALUE!</v>
      </c>
      <c r="EQ47" t="e">
        <f>AND([1]Labo!#REF!,"AAAAAEs/b5I=")</f>
        <v>#REF!</v>
      </c>
      <c r="ER47" t="e">
        <f>AND([1]Labo!#REF!,"AAAAAEs/b5M=")</f>
        <v>#REF!</v>
      </c>
      <c r="ES47" t="e">
        <f>AND([1]Labo!L43,"AAAAAEs/b5Q=")</f>
        <v>#VALUE!</v>
      </c>
      <c r="ET47" t="b">
        <f>AND([1]Labo!D39,"AAAAAEs/b5U=")</f>
        <v>1</v>
      </c>
      <c r="EU47" t="e">
        <f>AND([1]Labo!E39,"AAAAAEs/b5Y=")</f>
        <v>#VALUE!</v>
      </c>
      <c r="EV47" t="e">
        <f>AND([1]Labo!O43,"AAAAAEs/b5c=")</f>
        <v>#VALUE!</v>
      </c>
      <c r="EW47" t="e">
        <f>AND([1]Labo!P43,"AAAAAEs/b5g=")</f>
        <v>#VALUE!</v>
      </c>
      <c r="EX47" t="e">
        <f>AND([1]Labo!Q43,"AAAAAEs/b5k=")</f>
        <v>#VALUE!</v>
      </c>
      <c r="EY47" t="e">
        <f>AND([1]Labo!R43,"AAAAAEs/b5o=")</f>
        <v>#VALUE!</v>
      </c>
      <c r="EZ47" t="e">
        <f>AND([1]Labo!S43,"AAAAAEs/b5s=")</f>
        <v>#VALUE!</v>
      </c>
      <c r="FA47" t="e">
        <f>AND([1]Labo!T43,"AAAAAEs/b5w=")</f>
        <v>#VALUE!</v>
      </c>
      <c r="FB47" t="b">
        <f>AND([1]Labo!A44,"AAAAAEs/b50=")</f>
        <v>1</v>
      </c>
      <c r="FC47" t="e">
        <f>AND([1]Labo!#REF!,"AAAAAEs/b54=")</f>
        <v>#REF!</v>
      </c>
      <c r="FD47" t="e">
        <f>AND([1]Labo!#REF!,"AAAAAEs/b58=")</f>
        <v>#REF!</v>
      </c>
      <c r="FE47" t="e">
        <f>AND([1]Labo!L44,"AAAAAEs/b6A=")</f>
        <v>#VALUE!</v>
      </c>
      <c r="FF47" t="b">
        <f>AND([1]Labo!D40,"AAAAAEs/b6E=")</f>
        <v>1</v>
      </c>
      <c r="FG47" t="e">
        <f>AND([1]Labo!E40,"AAAAAEs/b6I=")</f>
        <v>#VALUE!</v>
      </c>
      <c r="FH47" t="e">
        <f>AND([1]Labo!O44,"AAAAAEs/b6M=")</f>
        <v>#VALUE!</v>
      </c>
      <c r="FI47" t="e">
        <f>AND([1]Labo!P44,"AAAAAEs/b6Q=")</f>
        <v>#VALUE!</v>
      </c>
      <c r="FJ47" t="e">
        <f>AND([1]Labo!Q44,"AAAAAEs/b6U=")</f>
        <v>#VALUE!</v>
      </c>
      <c r="FK47" t="e">
        <f>AND([1]Labo!R44,"AAAAAEs/b6Y=")</f>
        <v>#VALUE!</v>
      </c>
      <c r="FL47" t="e">
        <f>AND([1]Labo!S44,"AAAAAEs/b6c=")</f>
        <v>#VALUE!</v>
      </c>
      <c r="FM47" t="e">
        <f>AND([1]Labo!T44,"AAAAAEs/b6g=")</f>
        <v>#VALUE!</v>
      </c>
      <c r="FN47" t="b">
        <f>AND([1]Labo!A45,"AAAAAEs/b6k=")</f>
        <v>1</v>
      </c>
      <c r="FO47" t="e">
        <f>AND([1]Labo!B45,"AAAAAEs/b6o=")</f>
        <v>#VALUE!</v>
      </c>
      <c r="FP47" t="e">
        <f>AND([1]Labo!#REF!,"AAAAAEs/b6s=")</f>
        <v>#REF!</v>
      </c>
      <c r="FQ47" t="e">
        <f>AND([1]Labo!#REF!,"AAAAAEs/b6w=")</f>
        <v>#REF!</v>
      </c>
      <c r="FR47" t="e">
        <f>AND([1]Labo!L45,"AAAAAEs/b60=")</f>
        <v>#VALUE!</v>
      </c>
      <c r="FS47" t="b">
        <f>AND([1]Labo!D41,"AAAAAEs/b64=")</f>
        <v>1</v>
      </c>
      <c r="FT47" t="e">
        <f>AND([1]Labo!E41,"AAAAAEs/b68=")</f>
        <v>#VALUE!</v>
      </c>
      <c r="FU47" t="e">
        <f>AND([1]Labo!O45,"AAAAAEs/b7A=")</f>
        <v>#VALUE!</v>
      </c>
      <c r="FV47" t="e">
        <f>AND([1]Labo!P45,"AAAAAEs/b7E=")</f>
        <v>#VALUE!</v>
      </c>
      <c r="FW47" t="e">
        <f>AND([1]Labo!Q45,"AAAAAEs/b7I=")</f>
        <v>#VALUE!</v>
      </c>
      <c r="FX47" t="e">
        <f>AND([1]Labo!R45,"AAAAAEs/b7M=")</f>
        <v>#VALUE!</v>
      </c>
      <c r="FY47" t="e">
        <f>AND([1]Labo!S45,"AAAAAEs/b7Q=")</f>
        <v>#VALUE!</v>
      </c>
      <c r="FZ47" t="e">
        <f>AND([1]Labo!T45,"AAAAAEs/b7U=")</f>
        <v>#VALUE!</v>
      </c>
      <c r="GA47">
        <f>IF([1]Labo!$A46:$AMJ46,"AAAAAEs/b7Y=",0)</f>
        <v>0</v>
      </c>
      <c r="GB47" t="b">
        <f>AND([1]Labo!A46,"AAAAAEs/b7c=")</f>
        <v>1</v>
      </c>
      <c r="GC47" t="e">
        <f>AND([1]Labo!B46,"AAAAAEs/b7g=")</f>
        <v>#VALUE!</v>
      </c>
      <c r="GD47" t="e">
        <f>AND([1]Labo!C46,"AAAAAEs/b7k=")</f>
        <v>#VALUE!</v>
      </c>
      <c r="GE47" t="e">
        <f>AND([1]Labo!#REF!,"AAAAAEs/b7o=")</f>
        <v>#REF!</v>
      </c>
      <c r="GF47" t="e">
        <f>AND([1]Labo!#REF!,"AAAAAEs/b7s=")</f>
        <v>#REF!</v>
      </c>
      <c r="GG47" t="e">
        <f>AND([1]Labo!#REF!,"AAAAAEs/b7w=")</f>
        <v>#REF!</v>
      </c>
      <c r="GH47" t="e">
        <f>AND([1]Labo!G46,"AAAAAEs/b70=")</f>
        <v>#VALUE!</v>
      </c>
      <c r="GI47" t="e">
        <f>AND([1]Labo!H46,"AAAAAEs/b74=")</f>
        <v>#VALUE!</v>
      </c>
      <c r="GJ47" t="e">
        <f>AND([1]Labo!I46,"AAAAAEs/b78=")</f>
        <v>#VALUE!</v>
      </c>
      <c r="GK47" t="e">
        <f>AND([1]Labo!J46,"AAAAAEs/b8A=")</f>
        <v>#VALUE!</v>
      </c>
      <c r="GL47" t="e">
        <f>AND([1]Labo!K46,"AAAAAEs/b8E=")</f>
        <v>#VALUE!</v>
      </c>
      <c r="GM47" t="e">
        <f>AND([1]Labo!L46,"AAAAAEs/b8I=")</f>
        <v>#VALUE!</v>
      </c>
      <c r="GN47" t="b">
        <f>AND([1]Labo!D42,"AAAAAEs/b8M=")</f>
        <v>1</v>
      </c>
      <c r="GO47" t="e">
        <f>AND([1]Labo!E42,"AAAAAEs/b8Q=")</f>
        <v>#VALUE!</v>
      </c>
      <c r="GP47" t="e">
        <f>AND([1]Labo!O46,"AAAAAEs/b8U=")</f>
        <v>#VALUE!</v>
      </c>
      <c r="GQ47" t="e">
        <f>AND([1]Labo!P46,"AAAAAEs/b8Y=")</f>
        <v>#VALUE!</v>
      </c>
      <c r="GR47" t="e">
        <f>AND([1]Labo!Q46,"AAAAAEs/b8c=")</f>
        <v>#VALUE!</v>
      </c>
      <c r="GS47" t="e">
        <f>AND([1]Labo!R46,"AAAAAEs/b8g=")</f>
        <v>#VALUE!</v>
      </c>
      <c r="GT47" t="e">
        <f>AND([1]Labo!S46,"AAAAAEs/b8k=")</f>
        <v>#VALUE!</v>
      </c>
      <c r="GU47" t="e">
        <f>AND([1]Labo!T46,"AAAAAEs/b8o=")</f>
        <v>#VALUE!</v>
      </c>
      <c r="GV47">
        <f>IF([1]Labo!$A47:$AMJ47,"AAAAAEs/b8s=",0)</f>
        <v>0</v>
      </c>
      <c r="GW47" t="b">
        <f>AND([1]Labo!A47,"AAAAAEs/b8w=")</f>
        <v>1</v>
      </c>
      <c r="GX47" t="e">
        <f>AND([1]Labo!B47,"AAAAAEs/b80=")</f>
        <v>#VALUE!</v>
      </c>
      <c r="GY47" t="e">
        <f>AND([1]Labo!C47,"AAAAAEs/b84=")</f>
        <v>#VALUE!</v>
      </c>
      <c r="GZ47" t="e">
        <f>AND([1]Labo!D47,"AAAAAEs/b88=")</f>
        <v>#VALUE!</v>
      </c>
      <c r="HA47" t="e">
        <f>AND([1]Labo!#REF!,"AAAAAEs/b9A=")</f>
        <v>#REF!</v>
      </c>
      <c r="HB47" t="e">
        <f>AND([1]Labo!#REF!,"AAAAAEs/b9E=")</f>
        <v>#REF!</v>
      </c>
      <c r="HC47" t="e">
        <f>AND([1]Labo!G47,"AAAAAEs/b9I=")</f>
        <v>#VALUE!</v>
      </c>
      <c r="HD47" t="e">
        <f>AND([1]Labo!H47,"AAAAAEs/b9M=")</f>
        <v>#VALUE!</v>
      </c>
      <c r="HE47" t="e">
        <f>AND([1]Labo!I47,"AAAAAEs/b9Q=")</f>
        <v>#VALUE!</v>
      </c>
      <c r="HF47" t="e">
        <f>AND([1]Labo!J47,"AAAAAEs/b9U=")</f>
        <v>#VALUE!</v>
      </c>
      <c r="HG47" t="e">
        <f>AND([1]Labo!K47,"AAAAAEs/b9Y=")</f>
        <v>#VALUE!</v>
      </c>
      <c r="HH47" t="e">
        <f>AND([1]Labo!L47,"AAAAAEs/b9c=")</f>
        <v>#VALUE!</v>
      </c>
      <c r="HI47" t="b">
        <f>AND([1]Labo!D43,"AAAAAEs/b9g=")</f>
        <v>1</v>
      </c>
      <c r="HJ47" t="e">
        <f>AND([1]Labo!E43,"AAAAAEs/b9k=")</f>
        <v>#VALUE!</v>
      </c>
      <c r="HK47" t="e">
        <f>AND([1]Labo!O47,"AAAAAEs/b9o=")</f>
        <v>#VALUE!</v>
      </c>
      <c r="HL47" t="e">
        <f>AND([1]Labo!P47,"AAAAAEs/b9s=")</f>
        <v>#VALUE!</v>
      </c>
      <c r="HM47" t="e">
        <f>AND([1]Labo!Q47,"AAAAAEs/b9w=")</f>
        <v>#VALUE!</v>
      </c>
      <c r="HN47" t="e">
        <f>AND([1]Labo!R47,"AAAAAEs/b90=")</f>
        <v>#VALUE!</v>
      </c>
      <c r="HO47" t="e">
        <f>AND([1]Labo!S47,"AAAAAEs/b94=")</f>
        <v>#VALUE!</v>
      </c>
      <c r="HP47" t="e">
        <f>AND([1]Labo!T47,"AAAAAEs/b98=")</f>
        <v>#VALUE!</v>
      </c>
      <c r="HQ47">
        <f>IF([1]Labo!$A48:$AMJ48,"AAAAAEs/b+A=",0)</f>
        <v>0</v>
      </c>
      <c r="HR47" t="b">
        <f>AND([1]Labo!A48,"AAAAAEs/b+E=")</f>
        <v>1</v>
      </c>
      <c r="HS47" t="e">
        <f>AND([1]Labo!B48,"AAAAAEs/b+I=")</f>
        <v>#VALUE!</v>
      </c>
      <c r="HT47" t="e">
        <f>AND([1]Labo!C48,"AAAAAEs/b+M=")</f>
        <v>#VALUE!</v>
      </c>
      <c r="HU47" t="e">
        <f>AND([1]Labo!D48,"AAAAAEs/b+Q=")</f>
        <v>#VALUE!</v>
      </c>
      <c r="HV47" t="e">
        <f>AND([1]Labo!#REF!,"AAAAAEs/b+U=")</f>
        <v>#REF!</v>
      </c>
      <c r="HW47" t="e">
        <f>AND([1]Labo!#REF!,"AAAAAEs/b+Y=")</f>
        <v>#REF!</v>
      </c>
      <c r="HX47" t="e">
        <f>AND([1]Labo!G48,"AAAAAEs/b+c=")</f>
        <v>#VALUE!</v>
      </c>
      <c r="HY47" t="e">
        <f>AND([1]Labo!H48,"AAAAAEs/b+g=")</f>
        <v>#VALUE!</v>
      </c>
      <c r="HZ47" t="e">
        <f>AND([1]Labo!I48,"AAAAAEs/b+k=")</f>
        <v>#VALUE!</v>
      </c>
      <c r="IA47" t="e">
        <f>AND([1]Labo!J48,"AAAAAEs/b+o=")</f>
        <v>#VALUE!</v>
      </c>
      <c r="IB47" t="e">
        <f>AND([1]Labo!K48,"AAAAAEs/b+s=")</f>
        <v>#VALUE!</v>
      </c>
      <c r="IC47" t="e">
        <f>AND([1]Labo!L48,"AAAAAEs/b+w=")</f>
        <v>#VALUE!</v>
      </c>
      <c r="ID47" t="b">
        <f>AND([1]Labo!D44,"AAAAAEs/b+0=")</f>
        <v>1</v>
      </c>
      <c r="IE47" t="e">
        <f>AND([1]Labo!E44,"AAAAAEs/b+4=")</f>
        <v>#VALUE!</v>
      </c>
      <c r="IF47" t="e">
        <f>AND([1]Labo!O48,"AAAAAEs/b+8=")</f>
        <v>#VALUE!</v>
      </c>
      <c r="IG47" t="e">
        <f>AND([1]Labo!P48,"AAAAAEs/b/A=")</f>
        <v>#VALUE!</v>
      </c>
      <c r="IH47" t="e">
        <f>AND([1]Labo!Q48,"AAAAAEs/b/E=")</f>
        <v>#VALUE!</v>
      </c>
      <c r="II47" t="e">
        <f>AND([1]Labo!R48,"AAAAAEs/b/I=")</f>
        <v>#VALUE!</v>
      </c>
      <c r="IJ47" t="e">
        <f>AND([1]Labo!S48,"AAAAAEs/b/M=")</f>
        <v>#VALUE!</v>
      </c>
      <c r="IK47" t="e">
        <f>AND([1]Labo!T48,"AAAAAEs/b/Q=")</f>
        <v>#VALUE!</v>
      </c>
      <c r="IL47">
        <f>IF([1]Labo!$A49:$AMJ49,"AAAAAEs/b/U=",0)</f>
        <v>0</v>
      </c>
      <c r="IM47" t="b">
        <f>AND([1]Labo!A49,"AAAAAEs/b/Y=")</f>
        <v>1</v>
      </c>
      <c r="IN47" t="e">
        <f>AND([1]Labo!B49,"AAAAAEs/b/c=")</f>
        <v>#VALUE!</v>
      </c>
      <c r="IO47" t="e">
        <f>AND([1]Labo!C49,"AAAAAEs/b/g=")</f>
        <v>#VALUE!</v>
      </c>
      <c r="IP47" t="e">
        <f>AND([1]Labo!D49,"AAAAAEs/b/k=")</f>
        <v>#VALUE!</v>
      </c>
      <c r="IQ47" t="e">
        <f>AND([1]Labo!#REF!,"AAAAAEs/b/o=")</f>
        <v>#REF!</v>
      </c>
      <c r="IR47" t="e">
        <f>AND([1]Labo!#REF!,"AAAAAEs/b/s=")</f>
        <v>#REF!</v>
      </c>
      <c r="IS47" t="e">
        <f>AND([1]Labo!G49,"AAAAAEs/b/w=")</f>
        <v>#VALUE!</v>
      </c>
      <c r="IT47" t="e">
        <f>AND([1]Labo!H49,"AAAAAEs/b/0=")</f>
        <v>#VALUE!</v>
      </c>
      <c r="IU47" t="e">
        <f>AND([1]Labo!I49,"AAAAAEs/b/4=")</f>
        <v>#VALUE!</v>
      </c>
      <c r="IV47" t="e">
        <f>AND([1]Labo!J49,"AAAAAEs/b/8=")</f>
        <v>#VALUE!</v>
      </c>
    </row>
    <row r="48" spans="1:256">
      <c r="A48" t="e">
        <f>AND([1]Labo!K49,"AAAAAFdv9wA=")</f>
        <v>#VALUE!</v>
      </c>
      <c r="B48" t="e">
        <f>AND([1]Labo!L49,"AAAAAFdv9wE=")</f>
        <v>#VALUE!</v>
      </c>
      <c r="C48" t="b">
        <f>AND([1]Labo!D45,"AAAAAFdv9wI=")</f>
        <v>1</v>
      </c>
      <c r="D48" t="e">
        <f>AND([1]Labo!E45,"AAAAAFdv9wM=")</f>
        <v>#VALUE!</v>
      </c>
      <c r="E48" t="e">
        <f>AND([1]Labo!O49,"AAAAAFdv9wQ=")</f>
        <v>#VALUE!</v>
      </c>
      <c r="F48" t="e">
        <f>AND([1]Labo!P49,"AAAAAFdv9wU=")</f>
        <v>#VALUE!</v>
      </c>
      <c r="G48" t="e">
        <f>AND([1]Labo!Q49,"AAAAAFdv9wY=")</f>
        <v>#VALUE!</v>
      </c>
      <c r="H48" t="e">
        <f>AND([1]Labo!R49,"AAAAAFdv9wc=")</f>
        <v>#VALUE!</v>
      </c>
      <c r="I48" t="e">
        <f>AND([1]Labo!S49,"AAAAAFdv9wg=")</f>
        <v>#VALUE!</v>
      </c>
      <c r="J48" t="e">
        <f>AND([1]Labo!T49,"AAAAAFdv9wk=")</f>
        <v>#VALUE!</v>
      </c>
      <c r="K48">
        <f>IF([1]Labo!$A50:$AMJ50,"AAAAAFdv9wo=",0)</f>
        <v>0</v>
      </c>
      <c r="L48" t="b">
        <f>AND([1]Labo!A50,"AAAAAFdv9ws=")</f>
        <v>1</v>
      </c>
      <c r="M48" t="e">
        <f>AND([1]Labo!B50,"AAAAAFdv9ww=")</f>
        <v>#VALUE!</v>
      </c>
      <c r="N48" t="e">
        <f>AND([1]Labo!C50,"AAAAAFdv9w0=")</f>
        <v>#VALUE!</v>
      </c>
      <c r="O48" t="e">
        <f>AND([1]Labo!D50,"AAAAAFdv9w4=")</f>
        <v>#VALUE!</v>
      </c>
      <c r="P48" t="e">
        <f>AND([1]Labo!#REF!,"AAAAAFdv9w8=")</f>
        <v>#REF!</v>
      </c>
      <c r="Q48" t="e">
        <f>AND([1]Labo!#REF!,"AAAAAFdv9xA=")</f>
        <v>#REF!</v>
      </c>
      <c r="R48" t="e">
        <f>AND([1]Labo!G50,"AAAAAFdv9xE=")</f>
        <v>#VALUE!</v>
      </c>
      <c r="S48" t="e">
        <f>AND([1]Labo!H50,"AAAAAFdv9xI=")</f>
        <v>#VALUE!</v>
      </c>
      <c r="T48" t="e">
        <f>AND([1]Labo!I50,"AAAAAFdv9xM=")</f>
        <v>#VALUE!</v>
      </c>
      <c r="U48" t="e">
        <f>AND([1]Labo!J50,"AAAAAFdv9xQ=")</f>
        <v>#VALUE!</v>
      </c>
      <c r="V48" t="e">
        <f>AND([1]Labo!K50,"AAAAAFdv9xU=")</f>
        <v>#VALUE!</v>
      </c>
      <c r="W48" t="e">
        <f>AND([1]Labo!L50,"AAAAAFdv9xY=")</f>
        <v>#VALUE!</v>
      </c>
      <c r="X48" t="b">
        <f>AND([1]Labo!D46,"AAAAAFdv9xc=")</f>
        <v>1</v>
      </c>
      <c r="Y48" t="e">
        <f>AND([1]Labo!E46,"AAAAAFdv9xg=")</f>
        <v>#VALUE!</v>
      </c>
      <c r="Z48" t="e">
        <f>AND([1]Labo!O50,"AAAAAFdv9xk=")</f>
        <v>#VALUE!</v>
      </c>
      <c r="AA48" t="e">
        <f>AND([1]Labo!P50,"AAAAAFdv9xo=")</f>
        <v>#VALUE!</v>
      </c>
      <c r="AB48" t="e">
        <f>AND([1]Labo!Q50,"AAAAAFdv9xs=")</f>
        <v>#VALUE!</v>
      </c>
      <c r="AC48" t="e">
        <f>AND([1]Labo!R50,"AAAAAFdv9xw=")</f>
        <v>#VALUE!</v>
      </c>
      <c r="AD48" t="e">
        <f>AND([1]Labo!S50,"AAAAAFdv9x0=")</f>
        <v>#VALUE!</v>
      </c>
      <c r="AE48" t="e">
        <f>AND([1]Labo!T50,"AAAAAFdv9x4=")</f>
        <v>#VALUE!</v>
      </c>
      <c r="AF48">
        <f>IF([1]Labo!$A51:$AMJ51,"AAAAAFdv9x8=",0)</f>
        <v>0</v>
      </c>
      <c r="AG48" t="b">
        <f>AND([1]Labo!A51,"AAAAAFdv9yA=")</f>
        <v>1</v>
      </c>
      <c r="AH48" t="e">
        <f>AND([1]Labo!B51,"AAAAAFdv9yE=")</f>
        <v>#VALUE!</v>
      </c>
      <c r="AI48" t="e">
        <f>AND([1]Labo!C51,"AAAAAFdv9yI=")</f>
        <v>#VALUE!</v>
      </c>
      <c r="AJ48" t="e">
        <f>AND([1]Labo!D51,"AAAAAFdv9yM=")</f>
        <v>#VALUE!</v>
      </c>
      <c r="AK48" t="e">
        <f>AND([1]Labo!#REF!,"AAAAAFdv9yQ=")</f>
        <v>#REF!</v>
      </c>
      <c r="AL48" t="e">
        <f>AND([1]Labo!#REF!,"AAAAAFdv9yU=")</f>
        <v>#REF!</v>
      </c>
      <c r="AM48" t="e">
        <f>AND([1]Labo!G51,"AAAAAFdv9yY=")</f>
        <v>#VALUE!</v>
      </c>
      <c r="AN48" t="e">
        <f>AND([1]Labo!H51,"AAAAAFdv9yc=")</f>
        <v>#VALUE!</v>
      </c>
      <c r="AO48" t="e">
        <f>AND([1]Labo!I51,"AAAAAFdv9yg=")</f>
        <v>#VALUE!</v>
      </c>
      <c r="AP48" t="e">
        <f>AND([1]Labo!J51,"AAAAAFdv9yk=")</f>
        <v>#VALUE!</v>
      </c>
      <c r="AQ48" t="e">
        <f>AND([1]Labo!K51,"AAAAAFdv9yo=")</f>
        <v>#VALUE!</v>
      </c>
      <c r="AR48" t="e">
        <f>AND([1]Labo!L51,"AAAAAFdv9ys=")</f>
        <v>#VALUE!</v>
      </c>
      <c r="AS48" t="e">
        <f>AND([1]Labo!M51,"AAAAAFdv9yw=")</f>
        <v>#VALUE!</v>
      </c>
      <c r="AT48" t="e">
        <f>AND([1]Labo!N51,"AAAAAFdv9y0=")</f>
        <v>#VALUE!</v>
      </c>
      <c r="AU48" t="e">
        <f>AND([1]Labo!O51,"AAAAAFdv9y4=")</f>
        <v>#VALUE!</v>
      </c>
      <c r="AV48" t="e">
        <f>AND([1]Labo!P51,"AAAAAFdv9y8=")</f>
        <v>#VALUE!</v>
      </c>
      <c r="AW48" t="e">
        <f>AND([1]Labo!Q51,"AAAAAFdv9zA=")</f>
        <v>#VALUE!</v>
      </c>
      <c r="AX48" t="e">
        <f>AND([1]Labo!R51,"AAAAAFdv9zE=")</f>
        <v>#VALUE!</v>
      </c>
      <c r="AY48" t="e">
        <f>AND([1]Labo!S51,"AAAAAFdv9zI=")</f>
        <v>#VALUE!</v>
      </c>
      <c r="AZ48" t="e">
        <f>AND([1]Labo!T51,"AAAAAFdv9zM=")</f>
        <v>#VALUE!</v>
      </c>
      <c r="BA48">
        <f>IF([1]Labo!$A52:$AMJ52,"AAAAAFdv9zQ=",0)</f>
        <v>0</v>
      </c>
      <c r="BB48" t="b">
        <f>AND([1]Labo!A52,"AAAAAFdv9zU=")</f>
        <v>1</v>
      </c>
      <c r="BC48" t="e">
        <f>AND([1]Labo!B52,"AAAAAFdv9zY=")</f>
        <v>#VALUE!</v>
      </c>
      <c r="BD48" t="e">
        <f>AND([1]Labo!C52,"AAAAAFdv9zc=")</f>
        <v>#VALUE!</v>
      </c>
      <c r="BE48" t="e">
        <f>AND([1]Labo!D52,"AAAAAFdv9zg=")</f>
        <v>#VALUE!</v>
      </c>
      <c r="BF48" t="e">
        <f>AND([1]Labo!#REF!,"AAAAAFdv9zk=")</f>
        <v>#REF!</v>
      </c>
      <c r="BG48" t="e">
        <f>AND([1]Labo!#REF!,"AAAAAFdv9zo=")</f>
        <v>#REF!</v>
      </c>
      <c r="BH48" t="e">
        <f>AND([1]Labo!G52,"AAAAAFdv9zs=")</f>
        <v>#VALUE!</v>
      </c>
      <c r="BI48" t="e">
        <f>AND([1]Labo!H52,"AAAAAFdv9zw=")</f>
        <v>#VALUE!</v>
      </c>
      <c r="BJ48" t="e">
        <f>AND([1]Labo!I52,"AAAAAFdv9z0=")</f>
        <v>#VALUE!</v>
      </c>
      <c r="BK48" t="e">
        <f>AND([1]Labo!J52,"AAAAAFdv9z4=")</f>
        <v>#VALUE!</v>
      </c>
      <c r="BL48" t="e">
        <f>AND([1]Labo!K52,"AAAAAFdv9z8=")</f>
        <v>#VALUE!</v>
      </c>
      <c r="BM48" t="e">
        <f>AND([1]Labo!L52,"AAAAAFdv90A=")</f>
        <v>#VALUE!</v>
      </c>
      <c r="BN48" t="e">
        <f>AND([1]Labo!M52,"AAAAAFdv90E=")</f>
        <v>#VALUE!</v>
      </c>
      <c r="BO48" t="e">
        <f>AND([1]Labo!N52,"AAAAAFdv90I=")</f>
        <v>#VALUE!</v>
      </c>
      <c r="BP48" t="e">
        <f>AND([1]Labo!O52,"AAAAAFdv90M=")</f>
        <v>#VALUE!</v>
      </c>
      <c r="BQ48" t="e">
        <f>AND([1]Labo!P52,"AAAAAFdv90Q=")</f>
        <v>#VALUE!</v>
      </c>
      <c r="BR48" t="e">
        <f>AND([1]Labo!Q52,"AAAAAFdv90U=")</f>
        <v>#VALUE!</v>
      </c>
      <c r="BS48" t="e">
        <f>AND([1]Labo!R52,"AAAAAFdv90Y=")</f>
        <v>#VALUE!</v>
      </c>
      <c r="BT48" t="e">
        <f>AND([1]Labo!S52,"AAAAAFdv90c=")</f>
        <v>#VALUE!</v>
      </c>
      <c r="BU48" t="e">
        <f>AND([1]Labo!T52,"AAAAAFdv90g=")</f>
        <v>#VALUE!</v>
      </c>
      <c r="BV48">
        <f>IF([1]Labo!$A53:$AMJ53,"AAAAAFdv90k=",0)</f>
        <v>0</v>
      </c>
      <c r="BW48" t="b">
        <f>AND([1]Labo!A53,"AAAAAFdv90o=")</f>
        <v>1</v>
      </c>
      <c r="BX48" t="e">
        <f>AND([1]Labo!B53,"AAAAAFdv90s=")</f>
        <v>#VALUE!</v>
      </c>
      <c r="BY48" t="e">
        <f>AND([1]Labo!C53,"AAAAAFdv90w=")</f>
        <v>#VALUE!</v>
      </c>
      <c r="BZ48" t="e">
        <f>AND([1]Labo!D53,"AAAAAFdv900=")</f>
        <v>#VALUE!</v>
      </c>
      <c r="CA48" t="e">
        <f>AND([1]Labo!#REF!,"AAAAAFdv904=")</f>
        <v>#REF!</v>
      </c>
      <c r="CB48" t="e">
        <f>AND([1]Labo!#REF!,"AAAAAFdv908=")</f>
        <v>#REF!</v>
      </c>
      <c r="CC48" t="e">
        <f>AND([1]Labo!G53,"AAAAAFdv91A=")</f>
        <v>#VALUE!</v>
      </c>
      <c r="CD48" t="e">
        <f>AND([1]Labo!H53,"AAAAAFdv91E=")</f>
        <v>#VALUE!</v>
      </c>
      <c r="CE48" t="e">
        <f>AND([1]Labo!I53,"AAAAAFdv91I=")</f>
        <v>#VALUE!</v>
      </c>
      <c r="CF48" t="e">
        <f>AND([1]Labo!J53,"AAAAAFdv91M=")</f>
        <v>#VALUE!</v>
      </c>
      <c r="CG48" t="e">
        <f>AND([1]Labo!K53,"AAAAAFdv91Q=")</f>
        <v>#VALUE!</v>
      </c>
      <c r="CH48" t="e">
        <f>AND([1]Labo!L53,"AAAAAFdv91U=")</f>
        <v>#VALUE!</v>
      </c>
      <c r="CI48" t="e">
        <f>AND([1]Labo!M53,"AAAAAFdv91Y=")</f>
        <v>#VALUE!</v>
      </c>
      <c r="CJ48" t="e">
        <f>AND([1]Labo!N53,"AAAAAFdv91c=")</f>
        <v>#VALUE!</v>
      </c>
      <c r="CK48" t="e">
        <f>AND([1]Labo!O53,"AAAAAFdv91g=")</f>
        <v>#VALUE!</v>
      </c>
      <c r="CL48" t="e">
        <f>AND([1]Labo!P53,"AAAAAFdv91k=")</f>
        <v>#VALUE!</v>
      </c>
      <c r="CM48" t="e">
        <f>AND([1]Labo!Q53,"AAAAAFdv91o=")</f>
        <v>#VALUE!</v>
      </c>
      <c r="CN48" t="e">
        <f>AND([1]Labo!R53,"AAAAAFdv91s=")</f>
        <v>#VALUE!</v>
      </c>
      <c r="CO48" t="e">
        <f>AND([1]Labo!S53,"AAAAAFdv91w=")</f>
        <v>#VALUE!</v>
      </c>
      <c r="CP48" t="e">
        <f>AND([1]Labo!T53,"AAAAAFdv910=")</f>
        <v>#VALUE!</v>
      </c>
      <c r="CQ48">
        <f>IF([1]Labo!$A54:$AMJ54,"AAAAAFdv914=",0)</f>
        <v>0</v>
      </c>
      <c r="CR48" t="b">
        <f>AND([1]Labo!A54,"AAAAAFdv918=")</f>
        <v>1</v>
      </c>
      <c r="CS48" t="e">
        <f>AND([1]Labo!B54,"AAAAAFdv92A=")</f>
        <v>#VALUE!</v>
      </c>
      <c r="CT48" t="e">
        <f>AND([1]Labo!C54,"AAAAAFdv92E=")</f>
        <v>#VALUE!</v>
      </c>
      <c r="CU48" t="e">
        <f>AND([1]Labo!D54,"AAAAAFdv92I=")</f>
        <v>#VALUE!</v>
      </c>
      <c r="CV48" t="e">
        <f>AND([1]Labo!#REF!,"AAAAAFdv92M=")</f>
        <v>#REF!</v>
      </c>
      <c r="CW48" t="e">
        <f>AND([1]Labo!#REF!,"AAAAAFdv92Q=")</f>
        <v>#REF!</v>
      </c>
      <c r="CX48" t="e">
        <f>AND([1]Labo!G54,"AAAAAFdv92U=")</f>
        <v>#VALUE!</v>
      </c>
      <c r="CY48" t="e">
        <f>AND([1]Labo!H54,"AAAAAFdv92Y=")</f>
        <v>#VALUE!</v>
      </c>
      <c r="CZ48" t="e">
        <f>AND([1]Labo!I54,"AAAAAFdv92c=")</f>
        <v>#VALUE!</v>
      </c>
      <c r="DA48" t="e">
        <f>AND([1]Labo!J54,"AAAAAFdv92g=")</f>
        <v>#VALUE!</v>
      </c>
      <c r="DB48" t="e">
        <f>AND([1]Labo!K54,"AAAAAFdv92k=")</f>
        <v>#VALUE!</v>
      </c>
      <c r="DC48" t="e">
        <f>AND([1]Labo!L54,"AAAAAFdv92o=")</f>
        <v>#VALUE!</v>
      </c>
      <c r="DD48" t="e">
        <f>AND([1]Labo!M54,"AAAAAFdv92s=")</f>
        <v>#VALUE!</v>
      </c>
      <c r="DE48" t="e">
        <f>AND([1]Labo!N54,"AAAAAFdv92w=")</f>
        <v>#VALUE!</v>
      </c>
      <c r="DF48" t="e">
        <f>AND([1]Labo!O54,"AAAAAFdv920=")</f>
        <v>#VALUE!</v>
      </c>
      <c r="DG48" t="e">
        <f>AND([1]Labo!P54,"AAAAAFdv924=")</f>
        <v>#VALUE!</v>
      </c>
      <c r="DH48" t="e">
        <f>AND([1]Labo!Q54,"AAAAAFdv928=")</f>
        <v>#VALUE!</v>
      </c>
      <c r="DI48" t="e">
        <f>AND([1]Labo!R54,"AAAAAFdv93A=")</f>
        <v>#VALUE!</v>
      </c>
      <c r="DJ48" t="e">
        <f>AND([1]Labo!S54,"AAAAAFdv93E=")</f>
        <v>#VALUE!</v>
      </c>
      <c r="DK48" t="e">
        <f>AND([1]Labo!T54,"AAAAAFdv93I=")</f>
        <v>#VALUE!</v>
      </c>
      <c r="DL48">
        <f>IF([1]Labo!$A55:$AMJ55,"AAAAAFdv93M=",0)</f>
        <v>0</v>
      </c>
      <c r="DM48" t="b">
        <f>AND([1]Labo!A55,"AAAAAFdv93Q=")</f>
        <v>1</v>
      </c>
      <c r="DN48" t="e">
        <f>AND([1]Labo!B55,"AAAAAFdv93U=")</f>
        <v>#VALUE!</v>
      </c>
      <c r="DO48" t="e">
        <f>AND([1]Labo!C55,"AAAAAFdv93Y=")</f>
        <v>#VALUE!</v>
      </c>
      <c r="DP48" t="e">
        <f>AND([1]Labo!D55,"AAAAAFdv93c=")</f>
        <v>#VALUE!</v>
      </c>
      <c r="DQ48" t="e">
        <f>AND([1]Labo!#REF!,"AAAAAFdv93g=")</f>
        <v>#REF!</v>
      </c>
      <c r="DR48" t="e">
        <f>AND([1]Labo!#REF!,"AAAAAFdv93k=")</f>
        <v>#REF!</v>
      </c>
      <c r="DS48" t="e">
        <f>AND([1]Labo!G55,"AAAAAFdv93o=")</f>
        <v>#VALUE!</v>
      </c>
      <c r="DT48" t="e">
        <f>AND([1]Labo!H55,"AAAAAFdv93s=")</f>
        <v>#VALUE!</v>
      </c>
      <c r="DU48" t="e">
        <f>AND([1]Labo!I55,"AAAAAFdv93w=")</f>
        <v>#VALUE!</v>
      </c>
      <c r="DV48" t="e">
        <f>AND([1]Labo!J55,"AAAAAFdv930=")</f>
        <v>#VALUE!</v>
      </c>
      <c r="DW48" t="e">
        <f>AND([1]Labo!K55,"AAAAAFdv934=")</f>
        <v>#VALUE!</v>
      </c>
      <c r="DX48" t="e">
        <f>AND([1]Labo!L55,"AAAAAFdv938=")</f>
        <v>#VALUE!</v>
      </c>
      <c r="DY48" t="e">
        <f>AND([1]Labo!M55,"AAAAAFdv94A=")</f>
        <v>#VALUE!</v>
      </c>
      <c r="DZ48" t="e">
        <f>AND([1]Labo!N55,"AAAAAFdv94E=")</f>
        <v>#VALUE!</v>
      </c>
      <c r="EA48" t="e">
        <f>AND([1]Labo!O55,"AAAAAFdv94I=")</f>
        <v>#VALUE!</v>
      </c>
      <c r="EB48" t="e">
        <f>AND([1]Labo!P55,"AAAAAFdv94M=")</f>
        <v>#VALUE!</v>
      </c>
      <c r="EC48" t="e">
        <f>AND([1]Labo!Q55,"AAAAAFdv94Q=")</f>
        <v>#VALUE!</v>
      </c>
      <c r="ED48" t="e">
        <f>AND([1]Labo!R55,"AAAAAFdv94U=")</f>
        <v>#VALUE!</v>
      </c>
      <c r="EE48" t="e">
        <f>AND([1]Labo!S55,"AAAAAFdv94Y=")</f>
        <v>#VALUE!</v>
      </c>
      <c r="EF48" t="e">
        <f>AND([1]Labo!T55,"AAAAAFdv94c=")</f>
        <v>#VALUE!</v>
      </c>
      <c r="EG48">
        <f>IF([1]Labo!$A56:$AMJ56,"AAAAAFdv94g=",0)</f>
        <v>0</v>
      </c>
      <c r="EH48">
        <f>IF([1]Labo!$A57:$AMJ57,"AAAAAFdv94k=",0)</f>
        <v>0</v>
      </c>
      <c r="EI48">
        <f>IF([1]Labo!$A58:$AMJ58,"AAAAAFdv94o=",0)</f>
        <v>0</v>
      </c>
      <c r="EJ48">
        <f>IF([1]Labo!$A59:$AMJ59,"AAAAAFdv94s=",0)</f>
        <v>0</v>
      </c>
      <c r="EK48">
        <f>IF([1]Labo!$A60:$AMJ60,"AAAAAFdv94w=",0)</f>
        <v>0</v>
      </c>
      <c r="EL48">
        <f>IF([1]Labo!$A61:$AMJ61,"AAAAAFdv940=",0)</f>
        <v>0</v>
      </c>
      <c r="EM48">
        <f>IF([1]Labo!$A62:$AMJ62,"AAAAAFdv944=",0)</f>
        <v>0</v>
      </c>
      <c r="EN48">
        <f>IF([1]Labo!R:R,"AAAAAFdv948=",0)</f>
        <v>0</v>
      </c>
      <c r="EO48">
        <f>IF([1]Labo!S:S,"AAAAAFdv95A=",0)</f>
        <v>0</v>
      </c>
      <c r="EP48">
        <f>IF([1]Labo!T:T,"AAAAAFdv95E=",0)</f>
        <v>0</v>
      </c>
    </row>
    <row r="49" spans="1:256">
      <c r="A49" t="e">
        <f>AND(#REF!,"AAAAACYa9wA=")</f>
        <v>#REF!</v>
      </c>
      <c r="B49" t="e">
        <f>AND(#REF!,"AAAAACYa9wE=")</f>
        <v>#REF!</v>
      </c>
      <c r="C49" t="e">
        <f>AND(#REF!,"AAAAACYa9wI=")</f>
        <v>#REF!</v>
      </c>
      <c r="D49" t="e">
        <f>AND(#REF!,"AAAAACYa9wM=")</f>
        <v>#REF!</v>
      </c>
      <c r="E49" t="e">
        <f>AND(#REF!,"AAAAACYa9wQ=")</f>
        <v>#REF!</v>
      </c>
      <c r="F49" t="e">
        <f>AND(#REF!,"AAAAACYa9wU=")</f>
        <v>#REF!</v>
      </c>
      <c r="G49" t="e">
        <f>AND(#REF!,"AAAAACYa9wY=")</f>
        <v>#REF!</v>
      </c>
      <c r="H49" t="e">
        <f>AND(#REF!,"AAAAACYa9wc=")</f>
        <v>#REF!</v>
      </c>
      <c r="I49" t="e">
        <f>AND(#REF!,"AAAAACYa9wg=")</f>
        <v>#REF!</v>
      </c>
      <c r="J49" t="e">
        <f>AND(#REF!,"AAAAACYa9wk=")</f>
        <v>#REF!</v>
      </c>
      <c r="K49" t="e">
        <f>AND(#REF!,"AAAAACYa9wo=")</f>
        <v>#REF!</v>
      </c>
      <c r="L49" t="e">
        <f>AND(#REF!,"AAAAACYa9ws=")</f>
        <v>#REF!</v>
      </c>
      <c r="M49" t="e">
        <f>AND(#REF!,"AAAAACYa9ww=")</f>
        <v>#REF!</v>
      </c>
      <c r="N49" t="e">
        <f>AND(#REF!,"AAAAACYa9w0=")</f>
        <v>#REF!</v>
      </c>
      <c r="O49" t="e">
        <f>AND(#REF!,"AAAAACYa9w4=")</f>
        <v>#REF!</v>
      </c>
      <c r="P49" t="e">
        <f>AND(#REF!,"AAAAACYa9w8=")</f>
        <v>#REF!</v>
      </c>
      <c r="Q49" t="e">
        <f>AND(#REF!,"AAAAACYa9xA=")</f>
        <v>#REF!</v>
      </c>
      <c r="R49" t="e">
        <f>AND(#REF!,"AAAAACYa9xE=")</f>
        <v>#REF!</v>
      </c>
      <c r="S49" t="e">
        <f>AND(#REF!,"AAAAACYa9xI=")</f>
        <v>#REF!</v>
      </c>
      <c r="T49" t="e">
        <f>AND(#REF!,"AAAAACYa9xM=")</f>
        <v>#REF!</v>
      </c>
      <c r="U49" t="e">
        <f>AND(#REF!,"AAAAACYa9xQ=")</f>
        <v>#REF!</v>
      </c>
      <c r="V49" t="e">
        <f>AND(#REF!,"AAAAACYa9xU=")</f>
        <v>#REF!</v>
      </c>
      <c r="W49" t="e">
        <f>AND(#REF!,"AAAAACYa9xY=")</f>
        <v>#REF!</v>
      </c>
      <c r="X49" t="e">
        <f>AND(#REF!,"AAAAACYa9xc=")</f>
        <v>#REF!</v>
      </c>
      <c r="Y49" t="e">
        <f>AND(#REF!,"AAAAACYa9xg=")</f>
        <v>#REF!</v>
      </c>
      <c r="Z49" t="e">
        <f>AND(#REF!,"AAAAACYa9xk=")</f>
        <v>#REF!</v>
      </c>
      <c r="AA49" t="e">
        <f>AND(#REF!,"AAAAACYa9xo=")</f>
        <v>#REF!</v>
      </c>
      <c r="AB49" t="e">
        <f>AND(#REF!,"AAAAACYa9xs=")</f>
        <v>#REF!</v>
      </c>
      <c r="AC49" t="e">
        <f>AND(#REF!,"AAAAACYa9xw=")</f>
        <v>#REF!</v>
      </c>
      <c r="AD49" t="e">
        <f>AND(#REF!,"AAAAACYa9x0=")</f>
        <v>#REF!</v>
      </c>
      <c r="AE49" t="e">
        <f>AND(#REF!,"AAAAACYa9x4=")</f>
        <v>#REF!</v>
      </c>
      <c r="AF49" t="e">
        <f>AND(#REF!,"AAAAACYa9x8=")</f>
        <v>#REF!</v>
      </c>
      <c r="AG49" t="e">
        <f>AND(#REF!,"AAAAACYa9yA=")</f>
        <v>#REF!</v>
      </c>
      <c r="AH49" t="e">
        <f>AND(#REF!,"AAAAACYa9yE=")</f>
        <v>#REF!</v>
      </c>
      <c r="AI49" t="e">
        <f>AND(#REF!,"AAAAACYa9yI=")</f>
        <v>#REF!</v>
      </c>
      <c r="AJ49" t="e">
        <f>AND(#REF!,"AAAAACYa9yM=")</f>
        <v>#REF!</v>
      </c>
      <c r="AK49" t="e">
        <f>AND(#REF!,"AAAAACYa9yQ=")</f>
        <v>#REF!</v>
      </c>
      <c r="AL49" t="e">
        <f>AND(#REF!,"AAAAACYa9yU=")</f>
        <v>#REF!</v>
      </c>
      <c r="AM49" t="e">
        <f>AND(#REF!,"AAAAACYa9yY=")</f>
        <v>#REF!</v>
      </c>
      <c r="AN49" t="e">
        <f>AND(#REF!,"AAAAACYa9yc=")</f>
        <v>#REF!</v>
      </c>
      <c r="AO49" t="e">
        <f>AND(#REF!,"AAAAACYa9yg=")</f>
        <v>#REF!</v>
      </c>
      <c r="AP49" t="e">
        <f>AND(#REF!,"AAAAACYa9yk=")</f>
        <v>#REF!</v>
      </c>
      <c r="AQ49" t="e">
        <f>AND(#REF!,"AAAAACYa9yo=")</f>
        <v>#REF!</v>
      </c>
      <c r="AR49" t="e">
        <f>AND(#REF!,"AAAAACYa9ys=")</f>
        <v>#REF!</v>
      </c>
      <c r="AS49" t="e">
        <f>AND(#REF!,"AAAAACYa9yw=")</f>
        <v>#REF!</v>
      </c>
      <c r="AT49" t="e">
        <f>AND(#REF!,"AAAAACYa9y0=")</f>
        <v>#REF!</v>
      </c>
      <c r="AU49" t="e">
        <f>AND(#REF!,"AAAAACYa9y4=")</f>
        <v>#REF!</v>
      </c>
      <c r="AV49" t="e">
        <f>AND(#REF!,"AAAAACYa9y8=")</f>
        <v>#REF!</v>
      </c>
      <c r="AW49" t="e">
        <f>AND(#REF!,"AAAAACYa9zA=")</f>
        <v>#REF!</v>
      </c>
      <c r="AX49" t="e">
        <f>AND(#REF!,"AAAAACYa9zE=")</f>
        <v>#REF!</v>
      </c>
      <c r="AY49" t="e">
        <f>AND(#REF!,"AAAAACYa9zI=")</f>
        <v>#REF!</v>
      </c>
      <c r="AZ49" t="e">
        <f>AND(#REF!,"AAAAACYa9zM=")</f>
        <v>#REF!</v>
      </c>
      <c r="BA49" t="e">
        <f>AND(#REF!,"AAAAACYa9zQ=")</f>
        <v>#REF!</v>
      </c>
      <c r="BB49" t="e">
        <f>AND(#REF!,"AAAAACYa9zU=")</f>
        <v>#REF!</v>
      </c>
      <c r="BC49" t="e">
        <f>AND(#REF!,"AAAAACYa9zY=")</f>
        <v>#REF!</v>
      </c>
      <c r="BD49" t="e">
        <f>AND(#REF!,"AAAAACYa9zc=")</f>
        <v>#REF!</v>
      </c>
      <c r="BE49" t="e">
        <f>AND(#REF!,"AAAAACYa9zg=")</f>
        <v>#REF!</v>
      </c>
      <c r="BF49" t="e">
        <f>AND(#REF!,"AAAAACYa9zk=")</f>
        <v>#REF!</v>
      </c>
      <c r="BG49" t="e">
        <f>AND(#REF!,"AAAAACYa9zo=")</f>
        <v>#REF!</v>
      </c>
      <c r="BH49" t="e">
        <f>AND(#REF!,"AAAAACYa9zs=")</f>
        <v>#REF!</v>
      </c>
      <c r="BI49" t="e">
        <f>AND(#REF!,"AAAAACYa9zw=")</f>
        <v>#REF!</v>
      </c>
      <c r="BJ49" t="e">
        <f>AND(#REF!,"AAAAACYa9z0=")</f>
        <v>#REF!</v>
      </c>
      <c r="BK49" t="e">
        <f>AND(#REF!,"AAAAACYa9z4=")</f>
        <v>#REF!</v>
      </c>
      <c r="BL49" t="e">
        <f>AND(#REF!,"AAAAACYa9z8=")</f>
        <v>#REF!</v>
      </c>
      <c r="BM49" t="e">
        <f>AND(#REF!,"AAAAACYa90A=")</f>
        <v>#REF!</v>
      </c>
      <c r="BN49" t="e">
        <f>AND(#REF!,"AAAAACYa90E=")</f>
        <v>#REF!</v>
      </c>
      <c r="BO49" t="e">
        <f>AND(#REF!,"AAAAACYa90I=")</f>
        <v>#REF!</v>
      </c>
      <c r="BP49" t="e">
        <f>AND(#REF!,"AAAAACYa90M=")</f>
        <v>#REF!</v>
      </c>
      <c r="BQ49" t="e">
        <f>AND(#REF!,"AAAAACYa90Q=")</f>
        <v>#REF!</v>
      </c>
      <c r="BR49" t="e">
        <f>AND(#REF!,"AAAAACYa90U=")</f>
        <v>#REF!</v>
      </c>
      <c r="BS49" t="e">
        <f>AND(#REF!,"AAAAACYa90Y=")</f>
        <v>#REF!</v>
      </c>
      <c r="BT49" t="e">
        <f>AND(#REF!,"AAAAACYa90c=")</f>
        <v>#REF!</v>
      </c>
      <c r="BU49" t="e">
        <f>AND(#REF!,"AAAAACYa90g=")</f>
        <v>#REF!</v>
      </c>
      <c r="BV49" t="e">
        <f>AND(#REF!,"AAAAACYa90k=")</f>
        <v>#REF!</v>
      </c>
      <c r="BW49" t="e">
        <f>AND(#REF!,"AAAAACYa90o=")</f>
        <v>#REF!</v>
      </c>
      <c r="BX49" t="e">
        <f>AND(#REF!,"AAAAACYa90s=")</f>
        <v>#REF!</v>
      </c>
      <c r="BY49" t="e">
        <f>AND(#REF!,"AAAAACYa90w=")</f>
        <v>#REF!</v>
      </c>
      <c r="BZ49" t="e">
        <f>AND(#REF!,"AAAAACYa900=")</f>
        <v>#REF!</v>
      </c>
      <c r="CA49" t="e">
        <f>AND(#REF!,"AAAAACYa904=")</f>
        <v>#REF!</v>
      </c>
      <c r="CB49" t="e">
        <f>AND(#REF!,"AAAAACYa908=")</f>
        <v>#REF!</v>
      </c>
      <c r="CC49" t="e">
        <f>AND(#REF!,"AAAAACYa91A=")</f>
        <v>#REF!</v>
      </c>
      <c r="CD49" t="e">
        <f>AND(#REF!,"AAAAACYa91E=")</f>
        <v>#REF!</v>
      </c>
      <c r="CE49" t="e">
        <f>AND(#REF!,"AAAAACYa91I=")</f>
        <v>#REF!</v>
      </c>
      <c r="CF49" t="e">
        <f>AND(#REF!,"AAAAACYa91M=")</f>
        <v>#REF!</v>
      </c>
      <c r="CG49" t="e">
        <f>AND(#REF!,"AAAAACYa91Q=")</f>
        <v>#REF!</v>
      </c>
      <c r="CH49" t="e">
        <f>AND(#REF!,"AAAAACYa91U=")</f>
        <v>#REF!</v>
      </c>
      <c r="CI49" t="e">
        <f>AND(#REF!,"AAAAACYa91Y=")</f>
        <v>#REF!</v>
      </c>
      <c r="CJ49" t="e">
        <f>AND(#REF!,"AAAAACYa91c=")</f>
        <v>#REF!</v>
      </c>
      <c r="CK49" t="e">
        <f>AND(#REF!,"AAAAACYa91g=")</f>
        <v>#REF!</v>
      </c>
      <c r="CL49" t="e">
        <f>AND(#REF!,"AAAAACYa91k=")</f>
        <v>#REF!</v>
      </c>
      <c r="CM49" t="e">
        <f>AND(#REF!,"AAAAACYa91o=")</f>
        <v>#REF!</v>
      </c>
      <c r="CN49" t="e">
        <f>AND(#REF!,"AAAAACYa91s=")</f>
        <v>#REF!</v>
      </c>
      <c r="CO49" t="e">
        <f>AND(#REF!,"AAAAACYa91w=")</f>
        <v>#REF!</v>
      </c>
      <c r="CP49" t="e">
        <f>AND(#REF!,"AAAAACYa910=")</f>
        <v>#REF!</v>
      </c>
      <c r="CQ49" t="e">
        <f>AND(#REF!,"AAAAACYa914=")</f>
        <v>#REF!</v>
      </c>
      <c r="CR49" t="e">
        <f>AND(#REF!,"AAAAACYa918=")</f>
        <v>#REF!</v>
      </c>
      <c r="CS49" t="e">
        <f>AND(#REF!,"AAAAACYa92A=")</f>
        <v>#REF!</v>
      </c>
      <c r="CT49" t="e">
        <f>AND(#REF!,"AAAAACYa92E=")</f>
        <v>#REF!</v>
      </c>
      <c r="CU49" t="e">
        <f>AND(#REF!,"AAAAACYa92I=")</f>
        <v>#REF!</v>
      </c>
      <c r="CV49" t="e">
        <f>AND(#REF!,"AAAAACYa92M=")</f>
        <v>#REF!</v>
      </c>
      <c r="CW49" t="e">
        <f>AND(#REF!,"AAAAACYa92Q=")</f>
        <v>#REF!</v>
      </c>
      <c r="CX49" t="e">
        <f>AND(#REF!,"AAAAACYa92U=")</f>
        <v>#REF!</v>
      </c>
      <c r="CY49" t="e">
        <f>AND(#REF!,"AAAAACYa92Y=")</f>
        <v>#REF!</v>
      </c>
      <c r="CZ49" t="e">
        <f>AND(#REF!,"AAAAACYa92c=")</f>
        <v>#REF!</v>
      </c>
      <c r="DA49" t="e">
        <f>AND(#REF!,"AAAAACYa92g=")</f>
        <v>#REF!</v>
      </c>
      <c r="DB49" t="e">
        <f>AND(#REF!,"AAAAACYa92k=")</f>
        <v>#REF!</v>
      </c>
      <c r="DC49" t="e">
        <f>AND(#REF!,"AAAAACYa92o=")</f>
        <v>#REF!</v>
      </c>
      <c r="DD49" t="e">
        <f>AND(#REF!,"AAAAACYa92s=")</f>
        <v>#REF!</v>
      </c>
      <c r="DE49" t="e">
        <f>AND(#REF!,"AAAAACYa92w=")</f>
        <v>#REF!</v>
      </c>
      <c r="DF49" t="e">
        <f>AND(#REF!,"AAAAACYa920=")</f>
        <v>#REF!</v>
      </c>
      <c r="DG49" t="e">
        <f>AND(#REF!,"AAAAACYa924=")</f>
        <v>#REF!</v>
      </c>
      <c r="DH49" t="e">
        <f>AND(#REF!,"AAAAACYa928=")</f>
        <v>#REF!</v>
      </c>
      <c r="DI49" t="e">
        <f>AND(#REF!,"AAAAACYa93A=")</f>
        <v>#REF!</v>
      </c>
      <c r="DJ49" t="e">
        <f>AND(#REF!,"AAAAACYa93E=")</f>
        <v>#REF!</v>
      </c>
      <c r="DK49" t="e">
        <f>AND(#REF!,"AAAAACYa93I=")</f>
        <v>#REF!</v>
      </c>
    </row>
    <row r="50" spans="1:256">
      <c r="A50" t="e">
        <f>AND('Golden 20'!Q22,"AAAAADffCgA=")</f>
        <v>#VALUE!</v>
      </c>
      <c r="B50" t="e">
        <f>AND('Golden 20'!R22,"AAAAADffCgE=")</f>
        <v>#VALUE!</v>
      </c>
      <c r="C50">
        <f>IF('Golden 20'!34:34,"AAAAADffCgI=",0)</f>
        <v>0</v>
      </c>
      <c r="D50" t="e">
        <f>AND('Golden 20'!A34,"AAAAADffCgM=")</f>
        <v>#VALUE!</v>
      </c>
      <c r="E50" t="e">
        <f>AND('Golden 20'!B34,"AAAAADffCgQ=")</f>
        <v>#VALUE!</v>
      </c>
      <c r="F50" t="e">
        <f>AND('Golden 20'!E34,"AAAAADffCgU=")</f>
        <v>#VALUE!</v>
      </c>
      <c r="G50" t="e">
        <f>AND('Golden 20'!F34,"AAAAADffCgY=")</f>
        <v>#VALUE!</v>
      </c>
      <c r="H50" t="e">
        <f>AND('Golden 20'!#REF!,"AAAAADffCgc=")</f>
        <v>#REF!</v>
      </c>
      <c r="I50" t="e">
        <f>AND('Golden 20'!#REF!,"AAAAADffCgg=")</f>
        <v>#REF!</v>
      </c>
      <c r="J50" t="e">
        <f>AND('Golden 20'!O34,"AAAAADffCgk=")</f>
        <v>#VALUE!</v>
      </c>
      <c r="K50" t="e">
        <f>AND('Golden 20'!P34,"AAAAADffCgo=")</f>
        <v>#VALUE!</v>
      </c>
      <c r="L50" t="e">
        <f>AND('Golden 20'!I34,"AAAAADffCgs=")</f>
        <v>#VALUE!</v>
      </c>
      <c r="M50" t="e">
        <f>AND('Golden 20'!J34,"AAAAADffCgw=")</f>
        <v>#VALUE!</v>
      </c>
      <c r="N50" t="b">
        <f>AND('Golden 20'!M35,"AAAAADffCg0=")</f>
        <v>1</v>
      </c>
      <c r="O50" t="e">
        <f>AND('Golden 20'!N35,"AAAAADffCg4=")</f>
        <v>#VALUE!</v>
      </c>
      <c r="P50">
        <f>IF('Golden 20'!35:35,"AAAAADffCg8=",0)</f>
        <v>0</v>
      </c>
      <c r="Q50" t="e">
        <f>AND('Golden 20'!A35,"AAAAADffChA=")</f>
        <v>#VALUE!</v>
      </c>
      <c r="R50" t="e">
        <f>AND('Golden 20'!B35,"AAAAADffChE=")</f>
        <v>#VALUE!</v>
      </c>
      <c r="S50" t="e">
        <f>AND('Golden 20'!#REF!,"AAAAADffChI=")</f>
        <v>#REF!</v>
      </c>
      <c r="T50" t="e">
        <f>AND('Golden 20'!#REF!,"AAAAADffChM=")</f>
        <v>#REF!</v>
      </c>
      <c r="U50" t="e">
        <f>AND('Golden 20'!E35,"AAAAADffChQ=")</f>
        <v>#VALUE!</v>
      </c>
      <c r="V50" t="e">
        <f>AND('Golden 20'!F35,"AAAAADffChU=")</f>
        <v>#VALUE!</v>
      </c>
      <c r="W50" t="e">
        <f>AND('Golden 20'!O35,"AAAAADffChY=")</f>
        <v>#VALUE!</v>
      </c>
      <c r="X50" t="e">
        <f>AND('Golden 20'!P35,"AAAAADffChc=")</f>
        <v>#VALUE!</v>
      </c>
      <c r="Y50" t="e">
        <f>AND('Golden 20'!I35,"AAAAADffChg=")</f>
        <v>#VALUE!</v>
      </c>
      <c r="Z50" t="e">
        <f>AND('Golden 20'!J35,"AAAAADffChk=")</f>
        <v>#VALUE!</v>
      </c>
      <c r="AA50" t="e">
        <f>AND('Golden 20'!#REF!,"AAAAADffCho=")</f>
        <v>#REF!</v>
      </c>
      <c r="AB50" t="e">
        <f>AND('Golden 20'!#REF!,"AAAAADffChs=")</f>
        <v>#REF!</v>
      </c>
      <c r="AC50">
        <f>IF('Golden 20'!36:36,"AAAAADffChw=",0)</f>
        <v>0</v>
      </c>
      <c r="AD50" t="e">
        <f>AND('Golden 20'!A36,"AAAAADffCh0=")</f>
        <v>#VALUE!</v>
      </c>
      <c r="AE50" t="e">
        <f>AND('Golden 20'!B36,"AAAAADffCh4=")</f>
        <v>#VALUE!</v>
      </c>
      <c r="AF50" t="e">
        <f>AND('Golden 20'!#REF!,"AAAAADffCh8=")</f>
        <v>#REF!</v>
      </c>
      <c r="AG50" t="e">
        <f>AND('Golden 20'!#REF!,"AAAAADffCiA=")</f>
        <v>#REF!</v>
      </c>
      <c r="AH50" t="e">
        <f>AND('Golden 20'!E36,"AAAAADffCiE=")</f>
        <v>#VALUE!</v>
      </c>
      <c r="AI50" t="e">
        <f>AND('Golden 20'!F36,"AAAAADffCiI=")</f>
        <v>#VALUE!</v>
      </c>
      <c r="AJ50" t="e">
        <f>AND('Golden 20'!O36,"AAAAADffCiM=")</f>
        <v>#VALUE!</v>
      </c>
      <c r="AK50" t="e">
        <f>AND('Golden 20'!P36,"AAAAADffCiQ=")</f>
        <v>#VALUE!</v>
      </c>
      <c r="AL50" t="e">
        <f>AND('Golden 20'!I36,"AAAAADffCiU=")</f>
        <v>#VALUE!</v>
      </c>
      <c r="AM50" t="e">
        <f>AND('Golden 20'!J36,"AAAAADffCiY=")</f>
        <v>#VALUE!</v>
      </c>
      <c r="AN50" t="e">
        <f>AND('Golden 20'!#REF!,"AAAAADffCic=")</f>
        <v>#REF!</v>
      </c>
      <c r="AO50" t="e">
        <f>AND('Golden 20'!#REF!,"AAAAADffCig=")</f>
        <v>#REF!</v>
      </c>
    </row>
    <row r="51" spans="1:256">
      <c r="A51" t="e">
        <f>AND('Golden 20'!#REF!,"AAAAAH/f3wA=")</f>
        <v>#REF!</v>
      </c>
      <c r="B51" t="e">
        <f>AND('Golden 20'!#REF!,"AAAAAH/f3wE=")</f>
        <v>#REF!</v>
      </c>
      <c r="C51" t="b">
        <f>AND('Golden 20'!K22,"AAAAAH/f3wI=")</f>
        <v>1</v>
      </c>
      <c r="D51" t="e">
        <f>AND('Golden 20'!L22,"AAAAAH/f3wM=")</f>
        <v>#VALUE!</v>
      </c>
      <c r="E51" t="e">
        <f>AND('Golden 20'!Q23,"AAAAAH/f3wQ=")</f>
        <v>#VALUE!</v>
      </c>
      <c r="F51" t="e">
        <f>AND('Golden 20'!R23,"AAAAAH/f3wU=")</f>
        <v>#VALUE!</v>
      </c>
      <c r="G51" t="e">
        <f>AND('Golden 20'!#REF!,"AAAAAH/f3wY=")</f>
        <v>#REF!</v>
      </c>
      <c r="H51" t="e">
        <f>AND('Golden 20'!#REF!,"AAAAAH/f3wc=")</f>
        <v>#REF!</v>
      </c>
      <c r="I51" t="b">
        <f>AND('Golden 20'!E28,"AAAAAH/f3wg=")</f>
        <v>1</v>
      </c>
      <c r="J51" t="e">
        <f>AND('Golden 20'!F28,"AAAAAH/f3wk=")</f>
        <v>#VALUE!</v>
      </c>
      <c r="K51" t="b">
        <f>AND('Golden 20'!E29,"AAAAAH/f3wo=")</f>
        <v>1</v>
      </c>
      <c r="L51" t="e">
        <f>AND('Golden 20'!F29,"AAAAAH/f3ws=")</f>
        <v>#VALUE!</v>
      </c>
      <c r="M51" t="b">
        <f>AND('Golden 20'!E30,"AAAAAH/f3ww=")</f>
        <v>1</v>
      </c>
      <c r="N51" t="e">
        <f>AND('Golden 20'!F30,"AAAAAH/f3w0=")</f>
        <v>#VALUE!</v>
      </c>
      <c r="O51" t="e">
        <f>AND('Golden 20'!A29,"AAAAAH/f3w4=")</f>
        <v>#VALUE!</v>
      </c>
      <c r="P51" t="e">
        <f>AND('Golden 20'!B29,"AAAAAH/f3w8=")</f>
        <v>#VALUE!</v>
      </c>
      <c r="Q51" t="b">
        <f>AND('Golden 20'!E31,"AAAAAH/f3xA=")</f>
        <v>1</v>
      </c>
      <c r="R51" t="e">
        <f>AND('Golden 20'!F31,"AAAAAH/f3xE=")</f>
        <v>#VALUE!</v>
      </c>
      <c r="S51" t="e">
        <f>AND('Golden 20'!A31,"AAAAAH/f3xI=")</f>
        <v>#VALUE!</v>
      </c>
      <c r="T51" t="e">
        <f>AND('Golden 20'!B31,"AAAAAH/f3xM=")</f>
        <v>#VALUE!</v>
      </c>
      <c r="U51" t="e">
        <f>AND('Golden 20'!A32,"AAAAAH/f3xQ=")</f>
        <v>#VALUE!</v>
      </c>
      <c r="V51" t="e">
        <f>AND('Golden 20'!B32,"AAAAAH/f3xU=")</f>
        <v>#VALUE!</v>
      </c>
      <c r="W51" t="e">
        <f>AND('Golden 20'!E32,"AAAAAH/f3xY=")</f>
        <v>#VALUE!</v>
      </c>
      <c r="X51" t="e">
        <f>AND('Golden 20'!F32,"AAAAAH/f3xc=")</f>
        <v>#VALUE!</v>
      </c>
      <c r="Y51" t="e">
        <f>AND('Golden 20'!#REF!,"AAAAAH/f3xg=")</f>
        <v>#REF!</v>
      </c>
      <c r="Z51" t="e">
        <f>AND('Golden 20'!#REF!,"AAAAAH/f3xk=")</f>
        <v>#REF!</v>
      </c>
      <c r="AA51" t="e">
        <f>AND(#REF!,"AAAAAH/f3xo=")</f>
        <v>#REF!</v>
      </c>
      <c r="AB51" t="e">
        <f>AND(#REF!,"AAAAAH/f3xs=")</f>
        <v>#REF!</v>
      </c>
      <c r="AC51" t="e">
        <f>AND(#REF!,"AAAAAH/f3xw=")</f>
        <v>#REF!</v>
      </c>
      <c r="AD51" t="e">
        <f>AND(#REF!,"AAAAAH/f3x0=")</f>
        <v>#REF!</v>
      </c>
      <c r="AE51" t="e">
        <f>AND(#REF!,"AAAAAH/f3x4=")</f>
        <v>#REF!</v>
      </c>
      <c r="AF51" t="e">
        <f>AND(#REF!,"AAAAAH/f3x8=")</f>
        <v>#REF!</v>
      </c>
      <c r="AG51" t="e">
        <f>AND(#REF!,"AAAAAH/f3yA=")</f>
        <v>#REF!</v>
      </c>
      <c r="AH51" t="e">
        <f>AND(#REF!,"AAAAAH/f3yE=")</f>
        <v>#REF!</v>
      </c>
      <c r="AI51" t="e">
        <f>AND(#REF!,"AAAAAH/f3yI=")</f>
        <v>#REF!</v>
      </c>
      <c r="AJ51" t="e">
        <f>AND(#REF!,"AAAAAH/f3yM=")</f>
        <v>#REF!</v>
      </c>
      <c r="AK51" t="e">
        <f>AND(#REF!,"AAAAAH/f3yQ=")</f>
        <v>#REF!</v>
      </c>
      <c r="AL51" t="e">
        <f>AND(#REF!,"AAAAAH/f3yU=")</f>
        <v>#REF!</v>
      </c>
      <c r="AM51" t="e">
        <f>AND(#REF!,"AAAAAH/f3yY=")</f>
        <v>#REF!</v>
      </c>
      <c r="AN51" t="e">
        <f>AND(#REF!,"AAAAAH/f3yc=")</f>
        <v>#REF!</v>
      </c>
      <c r="AO51" t="e">
        <f>AND(#REF!,"AAAAAH/f3yg=")</f>
        <v>#REF!</v>
      </c>
      <c r="AP51" t="e">
        <f>AND(#REF!,"AAAAAH/f3yk=")</f>
        <v>#REF!</v>
      </c>
      <c r="AQ51" t="e">
        <f>AND(#REF!,"AAAAAH/f3yo=")</f>
        <v>#REF!</v>
      </c>
      <c r="AR51" t="e">
        <f>AND(#REF!,"AAAAAH/f3ys=")</f>
        <v>#REF!</v>
      </c>
      <c r="AS51" t="e">
        <f>AND(#REF!,"AAAAAH/f3yw=")</f>
        <v>#REF!</v>
      </c>
      <c r="AT51" t="e">
        <f>AND(#REF!,"AAAAAH/f3y0=")</f>
        <v>#REF!</v>
      </c>
      <c r="AU51" t="e">
        <f>AND(#REF!,"AAAAAH/f3y4=")</f>
        <v>#REF!</v>
      </c>
      <c r="AV51" t="e">
        <f>AND(#REF!,"AAAAAH/f3y8=")</f>
        <v>#REF!</v>
      </c>
      <c r="AW51" t="e">
        <f>AND(#REF!,"AAAAAH/f3zA=")</f>
        <v>#REF!</v>
      </c>
      <c r="AX51" t="e">
        <f>AND(#REF!,"AAAAAH/f3zE=")</f>
        <v>#REF!</v>
      </c>
      <c r="AY51" t="e">
        <f>AND(#REF!,"AAAAAH/f3zI=")</f>
        <v>#REF!</v>
      </c>
      <c r="AZ51" t="e">
        <f>AND([1]Labo!G22,"AAAAAH/f3zM=")</f>
        <v>#VALUE!</v>
      </c>
      <c r="BA51" t="e">
        <f>AND([1]Labo!H22,"AAAAAH/f3zQ=")</f>
        <v>#VALUE!</v>
      </c>
      <c r="BB51" t="e">
        <f>AND([1]Labo!#REF!,"AAAAAH/f3zU=")</f>
        <v>#REF!</v>
      </c>
      <c r="BC51" t="e">
        <f>AND([1]Labo!#REF!,"AAAAAH/f3zY=")</f>
        <v>#REF!</v>
      </c>
      <c r="BD51" t="e">
        <f>AND([1]Labo!#REF!,"AAAAAH/f3zc=")</f>
        <v>#REF!</v>
      </c>
      <c r="BE51" t="e">
        <f>AND([1]Labo!#REF!,"AAAAAH/f3zg=")</f>
        <v>#REF!</v>
      </c>
      <c r="BF51" t="e">
        <f>AND([1]Labo!#REF!,"AAAAAH/f3zk=")</f>
        <v>#REF!</v>
      </c>
      <c r="BG51" t="e">
        <f>AND([1]Labo!#REF!,"AAAAAH/f3zo=")</f>
        <v>#REF!</v>
      </c>
      <c r="BH51" t="e">
        <f>AND([1]Labo!#REF!,"AAAAAH/f3zs=")</f>
        <v>#REF!</v>
      </c>
      <c r="BI51" t="e">
        <f>AND([1]Labo!#REF!,"AAAAAH/f3zw=")</f>
        <v>#REF!</v>
      </c>
      <c r="BJ51" t="e">
        <f>AND([1]Labo!#REF!,"AAAAAH/f3z0=")</f>
        <v>#REF!</v>
      </c>
      <c r="BK51" t="e">
        <f>AND([1]Labo!#REF!,"AAAAAH/f3z4=")</f>
        <v>#REF!</v>
      </c>
      <c r="BL51" t="e">
        <f>AND([1]Labo!#REF!,"AAAAAH/f3z8=")</f>
        <v>#REF!</v>
      </c>
      <c r="BM51" t="e">
        <f>AND([1]Labo!#REF!,"AAAAAH/f30A=")</f>
        <v>#REF!</v>
      </c>
      <c r="BN51" t="e">
        <f>AND([1]Labo!#REF!,"AAAAAH/f30E=")</f>
        <v>#REF!</v>
      </c>
      <c r="BO51" t="e">
        <f>AND([1]Labo!#REF!,"AAAAAH/f30I=")</f>
        <v>#REF!</v>
      </c>
      <c r="BP51" t="e">
        <f>AND([1]Labo!#REF!,"AAAAAH/f30M=")</f>
        <v>#REF!</v>
      </c>
      <c r="BQ51" t="e">
        <f>AND([1]Labo!#REF!,"AAAAAH/f30Q=")</f>
        <v>#REF!</v>
      </c>
      <c r="BR51" t="e">
        <f>AND([1]Labo!#REF!,"AAAAAH/f30U=")</f>
        <v>#REF!</v>
      </c>
      <c r="BS51" t="e">
        <f>AND([1]Labo!#REF!,"AAAAAH/f30Y=")</f>
        <v>#REF!</v>
      </c>
      <c r="BT51" t="e">
        <f>AND([1]Labo!#REF!,"AAAAAH/f30c=")</f>
        <v>#REF!</v>
      </c>
      <c r="BU51" t="e">
        <f>AND([1]Labo!#REF!,"AAAAAH/f30g=")</f>
        <v>#REF!</v>
      </c>
      <c r="BV51" t="e">
        <f>AND([1]Labo!#REF!,"AAAAAH/f30k=")</f>
        <v>#REF!</v>
      </c>
      <c r="BW51" t="e">
        <f>AND([1]Labo!#REF!,"AAAAAH/f30o=")</f>
        <v>#REF!</v>
      </c>
      <c r="BX51" t="e">
        <f>AND([1]Labo!#REF!,"AAAAAH/f30s=")</f>
        <v>#REF!</v>
      </c>
      <c r="BY51" t="e">
        <f>AND([1]Labo!#REF!,"AAAAAH/f30w=")</f>
        <v>#REF!</v>
      </c>
      <c r="BZ51" t="e">
        <f>AND([1]Labo!#REF!,"AAAAAH/f300=")</f>
        <v>#REF!</v>
      </c>
      <c r="CA51" t="e">
        <f>AND([1]Labo!#REF!,"AAAAAH/f304=")</f>
        <v>#REF!</v>
      </c>
      <c r="CB51" t="e">
        <f>AND([1]Labo!#REF!,"AAAAAH/f308=")</f>
        <v>#REF!</v>
      </c>
      <c r="CC51" t="e">
        <f>AND([1]Labo!#REF!,"AAAAAH/f31A=")</f>
        <v>#REF!</v>
      </c>
      <c r="CD51" t="e">
        <f>AND([1]Labo!#REF!,"AAAAAH/f31E=")</f>
        <v>#REF!</v>
      </c>
      <c r="CE51" t="e">
        <f>AND([1]Labo!#REF!,"AAAAAH/f31I=")</f>
        <v>#REF!</v>
      </c>
      <c r="CF51" t="e">
        <f>AND([1]Labo!#REF!,"AAAAAH/f31M=")</f>
        <v>#REF!</v>
      </c>
      <c r="CG51" t="e">
        <f>AND([1]Labo!#REF!,"AAAAAH/f31Q=")</f>
        <v>#REF!</v>
      </c>
      <c r="CH51" t="e">
        <f>AND([1]Labo!#REF!,"AAAAAH/f31U=")</f>
        <v>#REF!</v>
      </c>
      <c r="CI51" t="e">
        <f>AND([1]Labo!#REF!,"AAAAAH/f31Y=")</f>
        <v>#REF!</v>
      </c>
      <c r="CJ51" t="e">
        <f>AND([1]Labo!#REF!,"AAAAAH/f31c=")</f>
        <v>#REF!</v>
      </c>
      <c r="CK51" t="e">
        <f>AND([1]Labo!#REF!,"AAAAAH/f31g=")</f>
        <v>#REF!</v>
      </c>
      <c r="CL51" t="e">
        <f>AND([1]Labo!#REF!,"AAAAAH/f31k=")</f>
        <v>#REF!</v>
      </c>
      <c r="CM51" t="e">
        <f>AND([1]Labo!#REF!,"AAAAAH/f31o=")</f>
        <v>#REF!</v>
      </c>
      <c r="CN51" t="e">
        <f>AND([1]Labo!A56,"AAAAAH/f31s=")</f>
        <v>#VALUE!</v>
      </c>
      <c r="CO51" t="e">
        <f>AND([1]Labo!B56,"AAAAAH/f31w=")</f>
        <v>#VALUE!</v>
      </c>
      <c r="CP51" t="e">
        <f>AND([1]Labo!C56,"AAAAAH/f310=")</f>
        <v>#VALUE!</v>
      </c>
      <c r="CQ51" t="e">
        <f>AND([1]Labo!D56,"AAAAAH/f314=")</f>
        <v>#VALUE!</v>
      </c>
      <c r="CR51" t="e">
        <f>AND([1]Labo!G56,"AAAAAH/f318=")</f>
        <v>#VALUE!</v>
      </c>
      <c r="CS51" t="e">
        <f>AND([1]Labo!H56,"AAAAAH/f32A=")</f>
        <v>#VALUE!</v>
      </c>
      <c r="CT51" t="e">
        <f>AND([1]Labo!I56,"AAAAAH/f32E=")</f>
        <v>#VALUE!</v>
      </c>
      <c r="CU51" t="e">
        <f>AND([1]Labo!J56,"AAAAAH/f32I=")</f>
        <v>#VALUE!</v>
      </c>
      <c r="CV51" t="e">
        <f>AND([1]Labo!K56,"AAAAAH/f32M=")</f>
        <v>#VALUE!</v>
      </c>
      <c r="CW51" t="e">
        <f>AND([1]Labo!L56,"AAAAAH/f32Q=")</f>
        <v>#VALUE!</v>
      </c>
      <c r="CX51" t="e">
        <f>AND([1]Labo!M56,"AAAAAH/f32U=")</f>
        <v>#VALUE!</v>
      </c>
      <c r="CY51" t="e">
        <f>AND([1]Labo!N56,"AAAAAH/f32Y=")</f>
        <v>#VALUE!</v>
      </c>
      <c r="CZ51" t="e">
        <f>AND([1]Labo!O56,"AAAAAH/f32c=")</f>
        <v>#VALUE!</v>
      </c>
      <c r="DA51" t="e">
        <f>AND([1]Labo!P56,"AAAAAH/f32g=")</f>
        <v>#VALUE!</v>
      </c>
      <c r="DB51" t="e">
        <f>AND([1]Labo!Q56,"AAAAAH/f32k=")</f>
        <v>#VALUE!</v>
      </c>
      <c r="DC51" t="e">
        <f>AND([1]Labo!R56,"AAAAAH/f32o=")</f>
        <v>#VALUE!</v>
      </c>
      <c r="DD51" t="e">
        <f>AND([1]Labo!S56,"AAAAAH/f32s=")</f>
        <v>#VALUE!</v>
      </c>
      <c r="DE51" t="e">
        <f>AND([1]Labo!T56,"AAAAAH/f32w=")</f>
        <v>#VALUE!</v>
      </c>
      <c r="DF51" t="e">
        <f>AND([1]Labo!A57,"AAAAAH/f320=")</f>
        <v>#VALUE!</v>
      </c>
      <c r="DG51" t="e">
        <f>AND([1]Labo!B57,"AAAAAH/f324=")</f>
        <v>#VALUE!</v>
      </c>
      <c r="DH51" t="e">
        <f>AND([1]Labo!C57,"AAAAAH/f328=")</f>
        <v>#VALUE!</v>
      </c>
      <c r="DI51" t="e">
        <f>AND([1]Labo!D57,"AAAAAH/f33A=")</f>
        <v>#VALUE!</v>
      </c>
      <c r="DJ51" t="e">
        <f>AND([1]Labo!G57,"AAAAAH/f33E=")</f>
        <v>#VALUE!</v>
      </c>
      <c r="DK51" t="e">
        <f>AND([1]Labo!H57,"AAAAAH/f33I=")</f>
        <v>#VALUE!</v>
      </c>
      <c r="DL51" t="e">
        <f>AND([1]Labo!I57,"AAAAAH/f33M=")</f>
        <v>#VALUE!</v>
      </c>
      <c r="DM51" t="e">
        <f>AND([1]Labo!J57,"AAAAAH/f33Q=")</f>
        <v>#VALUE!</v>
      </c>
      <c r="DN51" t="e">
        <f>AND([1]Labo!K57,"AAAAAH/f33U=")</f>
        <v>#VALUE!</v>
      </c>
      <c r="DO51" t="e">
        <f>AND([1]Labo!L57,"AAAAAH/f33Y=")</f>
        <v>#VALUE!</v>
      </c>
      <c r="DP51" t="e">
        <f>AND([1]Labo!M57,"AAAAAH/f33c=")</f>
        <v>#VALUE!</v>
      </c>
      <c r="DQ51" t="e">
        <f>AND([1]Labo!N57,"AAAAAH/f33g=")</f>
        <v>#VALUE!</v>
      </c>
      <c r="DR51" t="e">
        <f>AND([1]Labo!O57,"AAAAAH/f33k=")</f>
        <v>#VALUE!</v>
      </c>
      <c r="DS51" t="e">
        <f>AND([1]Labo!P57,"AAAAAH/f33o=")</f>
        <v>#VALUE!</v>
      </c>
      <c r="DT51" t="e">
        <f>AND([1]Labo!Q57,"AAAAAH/f33s=")</f>
        <v>#VALUE!</v>
      </c>
      <c r="DU51" t="e">
        <f>AND([1]Labo!R57,"AAAAAH/f33w=")</f>
        <v>#VALUE!</v>
      </c>
      <c r="DV51" t="e">
        <f>AND([1]Labo!S57,"AAAAAH/f330=")</f>
        <v>#VALUE!</v>
      </c>
      <c r="DW51" t="e">
        <f>AND([1]Labo!T57,"AAAAAH/f334=")</f>
        <v>#VALUE!</v>
      </c>
      <c r="DX51" t="e">
        <f>AND([1]Labo!A58,"AAAAAH/f338=")</f>
        <v>#VALUE!</v>
      </c>
      <c r="DY51" t="e">
        <f>AND([1]Labo!B58,"AAAAAH/f34A=")</f>
        <v>#VALUE!</v>
      </c>
      <c r="DZ51" t="e">
        <f>AND([1]Labo!C58,"AAAAAH/f34E=")</f>
        <v>#VALUE!</v>
      </c>
      <c r="EA51" t="e">
        <f>AND([1]Labo!D58,"AAAAAH/f34I=")</f>
        <v>#VALUE!</v>
      </c>
      <c r="EB51" t="e">
        <f>AND([1]Labo!G58,"AAAAAH/f34M=")</f>
        <v>#VALUE!</v>
      </c>
      <c r="EC51" t="e">
        <f>AND([1]Labo!H58,"AAAAAH/f34Q=")</f>
        <v>#VALUE!</v>
      </c>
      <c r="ED51" t="e">
        <f>AND([1]Labo!I58,"AAAAAH/f34U=")</f>
        <v>#VALUE!</v>
      </c>
      <c r="EE51" t="e">
        <f>AND([1]Labo!J58,"AAAAAH/f34Y=")</f>
        <v>#VALUE!</v>
      </c>
      <c r="EF51" t="e">
        <f>AND([1]Labo!K58,"AAAAAH/f34c=")</f>
        <v>#VALUE!</v>
      </c>
      <c r="EG51" t="e">
        <f>AND([1]Labo!L58,"AAAAAH/f34g=")</f>
        <v>#VALUE!</v>
      </c>
      <c r="EH51" t="e">
        <f>AND([1]Labo!M58,"AAAAAH/f34k=")</f>
        <v>#VALUE!</v>
      </c>
      <c r="EI51" t="e">
        <f>AND([1]Labo!N58,"AAAAAH/f34o=")</f>
        <v>#VALUE!</v>
      </c>
      <c r="EJ51" t="e">
        <f>AND([1]Labo!O58,"AAAAAH/f34s=")</f>
        <v>#VALUE!</v>
      </c>
      <c r="EK51" t="e">
        <f>AND([1]Labo!P58,"AAAAAH/f34w=")</f>
        <v>#VALUE!</v>
      </c>
      <c r="EL51" t="e">
        <f>AND([1]Labo!Q58,"AAAAAH/f340=")</f>
        <v>#VALUE!</v>
      </c>
      <c r="EM51" t="e">
        <f>AND([1]Labo!R58,"AAAAAH/f344=")</f>
        <v>#VALUE!</v>
      </c>
      <c r="EN51" t="e">
        <f>AND([1]Labo!S58,"AAAAAH/f348=")</f>
        <v>#VALUE!</v>
      </c>
      <c r="EO51" t="e">
        <f>AND([1]Labo!T58,"AAAAAH/f35A=")</f>
        <v>#VALUE!</v>
      </c>
      <c r="EP51" t="b">
        <f>AND([1]Labo!A59,"AAAAAH/f35E=")</f>
        <v>0</v>
      </c>
      <c r="EQ51" t="b">
        <f>AND([1]Labo!B59,"AAAAAH/f35I=")</f>
        <v>0</v>
      </c>
      <c r="ER51" t="e">
        <f>AND([1]Labo!C59,"AAAAAH/f35M=")</f>
        <v>#VALUE!</v>
      </c>
      <c r="ES51" t="e">
        <f>AND([1]Labo!D59,"AAAAAH/f35Q=")</f>
        <v>#VALUE!</v>
      </c>
      <c r="ET51" t="e">
        <f>AND([1]Labo!G59,"AAAAAH/f35U=")</f>
        <v>#VALUE!</v>
      </c>
      <c r="EU51" t="e">
        <f>AND([1]Labo!H59,"AAAAAH/f35Y=")</f>
        <v>#VALUE!</v>
      </c>
      <c r="EV51" t="e">
        <f>AND([1]Labo!I59,"AAAAAH/f35c=")</f>
        <v>#VALUE!</v>
      </c>
      <c r="EW51" t="e">
        <f>AND([1]Labo!J59,"AAAAAH/f35g=")</f>
        <v>#VALUE!</v>
      </c>
      <c r="EX51" t="e">
        <f>AND([1]Labo!K59,"AAAAAH/f35k=")</f>
        <v>#VALUE!</v>
      </c>
      <c r="EY51" t="e">
        <f>AND([1]Labo!L59,"AAAAAH/f35o=")</f>
        <v>#VALUE!</v>
      </c>
      <c r="EZ51" t="e">
        <f>AND([1]Labo!M59,"AAAAAH/f35s=")</f>
        <v>#VALUE!</v>
      </c>
      <c r="FA51" t="e">
        <f>AND([1]Labo!N59,"AAAAAH/f35w=")</f>
        <v>#VALUE!</v>
      </c>
      <c r="FB51" t="e">
        <f>AND([1]Labo!O59,"AAAAAH/f350=")</f>
        <v>#VALUE!</v>
      </c>
      <c r="FC51" t="e">
        <f>AND([1]Labo!P59,"AAAAAH/f354=")</f>
        <v>#VALUE!</v>
      </c>
      <c r="FD51" t="e">
        <f>AND([1]Labo!Q59,"AAAAAH/f358=")</f>
        <v>#VALUE!</v>
      </c>
      <c r="FE51" t="e">
        <f>AND([1]Labo!R59,"AAAAAH/f36A=")</f>
        <v>#VALUE!</v>
      </c>
      <c r="FF51" t="e">
        <f>AND([1]Labo!S59,"AAAAAH/f36E=")</f>
        <v>#VALUE!</v>
      </c>
      <c r="FG51" t="e">
        <f>AND([1]Labo!T59,"AAAAAH/f36I=")</f>
        <v>#VALUE!</v>
      </c>
      <c r="FH51" t="b">
        <f>AND([1]Labo!A60,"AAAAAH/f36M=")</f>
        <v>0</v>
      </c>
      <c r="FI51" t="b">
        <f>AND([1]Labo!B60,"AAAAAH/f36Q=")</f>
        <v>0</v>
      </c>
      <c r="FJ51" t="e">
        <f>AND([1]Labo!C60,"AAAAAH/f36U=")</f>
        <v>#VALUE!</v>
      </c>
      <c r="FK51" t="e">
        <f>AND([1]Labo!D60,"AAAAAH/f36Y=")</f>
        <v>#VALUE!</v>
      </c>
      <c r="FL51" t="e">
        <f>AND([1]Labo!G60,"AAAAAH/f36c=")</f>
        <v>#VALUE!</v>
      </c>
      <c r="FM51" t="e">
        <f>AND([1]Labo!H60,"AAAAAH/f36g=")</f>
        <v>#VALUE!</v>
      </c>
      <c r="FN51" t="e">
        <f>AND([1]Labo!I60,"AAAAAH/f36k=")</f>
        <v>#VALUE!</v>
      </c>
      <c r="FO51" t="e">
        <f>AND([1]Labo!J60,"AAAAAH/f36o=")</f>
        <v>#VALUE!</v>
      </c>
      <c r="FP51" t="e">
        <f>AND([1]Labo!K60,"AAAAAH/f36s=")</f>
        <v>#VALUE!</v>
      </c>
      <c r="FQ51" t="e">
        <f>AND([1]Labo!L60,"AAAAAH/f36w=")</f>
        <v>#VALUE!</v>
      </c>
      <c r="FR51" t="e">
        <f>AND([1]Labo!M60,"AAAAAH/f360=")</f>
        <v>#VALUE!</v>
      </c>
      <c r="FS51" t="e">
        <f>AND([1]Labo!N60,"AAAAAH/f364=")</f>
        <v>#VALUE!</v>
      </c>
      <c r="FT51" t="e">
        <f>AND([1]Labo!O60,"AAAAAH/f368=")</f>
        <v>#VALUE!</v>
      </c>
      <c r="FU51" t="e">
        <f>AND([1]Labo!P60,"AAAAAH/f37A=")</f>
        <v>#VALUE!</v>
      </c>
      <c r="FV51" t="e">
        <f>AND([1]Labo!Q60,"AAAAAH/f37E=")</f>
        <v>#VALUE!</v>
      </c>
      <c r="FW51" t="e">
        <f>AND([1]Labo!R60,"AAAAAH/f37I=")</f>
        <v>#VALUE!</v>
      </c>
      <c r="FX51" t="e">
        <f>AND([1]Labo!S60,"AAAAAH/f37M=")</f>
        <v>#VALUE!</v>
      </c>
      <c r="FY51" t="e">
        <f>AND([1]Labo!T60,"AAAAAH/f37Q=")</f>
        <v>#VALUE!</v>
      </c>
      <c r="FZ51" t="b">
        <f>AND([1]Labo!A61,"AAAAAH/f37U=")</f>
        <v>0</v>
      </c>
      <c r="GA51" t="b">
        <f>AND([1]Labo!B61,"AAAAAH/f37Y=")</f>
        <v>0</v>
      </c>
      <c r="GB51" t="e">
        <f>AND([1]Labo!C61,"AAAAAH/f37c=")</f>
        <v>#VALUE!</v>
      </c>
      <c r="GC51" t="e">
        <f>AND([1]Labo!D61,"AAAAAH/f37g=")</f>
        <v>#VALUE!</v>
      </c>
      <c r="GD51" t="e">
        <f>AND([1]Labo!G61,"AAAAAH/f37k=")</f>
        <v>#VALUE!</v>
      </c>
      <c r="GE51" t="e">
        <f>AND([1]Labo!H61,"AAAAAH/f37o=")</f>
        <v>#VALUE!</v>
      </c>
      <c r="GF51" t="e">
        <f>AND([1]Labo!I61,"AAAAAH/f37s=")</f>
        <v>#VALUE!</v>
      </c>
      <c r="GG51" t="e">
        <f>AND([1]Labo!J61,"AAAAAH/f37w=")</f>
        <v>#VALUE!</v>
      </c>
      <c r="GH51" t="e">
        <f>AND([1]Labo!K61,"AAAAAH/f370=")</f>
        <v>#VALUE!</v>
      </c>
      <c r="GI51" t="e">
        <f>AND([1]Labo!L61,"AAAAAH/f374=")</f>
        <v>#VALUE!</v>
      </c>
      <c r="GJ51" t="e">
        <f>AND([1]Labo!M61,"AAAAAH/f378=")</f>
        <v>#VALUE!</v>
      </c>
      <c r="GK51" t="e">
        <f>AND([1]Labo!N61,"AAAAAH/f38A=")</f>
        <v>#VALUE!</v>
      </c>
      <c r="GL51" t="e">
        <f>AND([1]Labo!O61,"AAAAAH/f38E=")</f>
        <v>#VALUE!</v>
      </c>
      <c r="GM51" t="e">
        <f>AND([1]Labo!P61,"AAAAAH/f38I=")</f>
        <v>#VALUE!</v>
      </c>
      <c r="GN51" t="e">
        <f>AND([1]Labo!Q61,"AAAAAH/f38M=")</f>
        <v>#VALUE!</v>
      </c>
      <c r="GO51" t="e">
        <f>AND([1]Labo!R61,"AAAAAH/f38Q=")</f>
        <v>#VALUE!</v>
      </c>
      <c r="GP51" t="e">
        <f>AND([1]Labo!S61,"AAAAAH/f38U=")</f>
        <v>#VALUE!</v>
      </c>
      <c r="GQ51" t="e">
        <f>AND([1]Labo!T61,"AAAAAH/f38Y=")</f>
        <v>#VALUE!</v>
      </c>
    </row>
    <row r="52" spans="1:256">
      <c r="A52" t="b">
        <f>AND('Golden 20'!C1,"AAAAAATbxwA=")</f>
        <v>1</v>
      </c>
      <c r="B52" t="e">
        <f>AND('Golden 20'!D1,"AAAAAATbxwE=")</f>
        <v>#VALUE!</v>
      </c>
      <c r="C52" t="b">
        <f>AND('Golden 20'!G1,"AAAAAATbxwI=")</f>
        <v>1</v>
      </c>
      <c r="D52" t="e">
        <f>AND('Golden 20'!H1,"AAAAAATbxwM=")</f>
        <v>#VALUE!</v>
      </c>
      <c r="E52" t="b">
        <f>AND('Golden 20'!C2,"AAAAAATbxwQ=")</f>
        <v>1</v>
      </c>
      <c r="F52" t="e">
        <f>AND('Golden 20'!D2,"AAAAAATbxwU=")</f>
        <v>#VALUE!</v>
      </c>
      <c r="G52" t="b">
        <f>AND('Golden 20'!G2,"AAAAAATbxwY=")</f>
        <v>1</v>
      </c>
      <c r="H52" t="e">
        <f>AND('Golden 20'!H2,"AAAAAATbxwc=")</f>
        <v>#VALUE!</v>
      </c>
      <c r="I52" t="b">
        <f>AND('Golden 20'!C3,"AAAAAATbxwg=")</f>
        <v>1</v>
      </c>
      <c r="J52" t="e">
        <f>AND('Golden 20'!D3,"AAAAAATbxwk=")</f>
        <v>#VALUE!</v>
      </c>
      <c r="K52" t="b">
        <f>AND('Golden 20'!G3,"AAAAAATbxwo=")</f>
        <v>1</v>
      </c>
      <c r="L52" t="e">
        <f>AND('Golden 20'!H3,"AAAAAATbxws=")</f>
        <v>#VALUE!</v>
      </c>
      <c r="M52" t="b">
        <f>AND('Golden 20'!C4,"AAAAAATbxww=")</f>
        <v>1</v>
      </c>
      <c r="N52" t="e">
        <f>AND('Golden 20'!D4,"AAAAAATbxw0=")</f>
        <v>#VALUE!</v>
      </c>
      <c r="O52" t="b">
        <f>AND('Golden 20'!G4,"AAAAAATbxw4=")</f>
        <v>1</v>
      </c>
      <c r="P52" t="e">
        <f>AND('Golden 20'!H4,"AAAAAATbxw8=")</f>
        <v>#VALUE!</v>
      </c>
      <c r="Q52" t="b">
        <f>AND('Golden 20'!C5,"AAAAAATbxxA=")</f>
        <v>1</v>
      </c>
      <c r="R52" t="e">
        <f>AND('Golden 20'!D5,"AAAAAATbxxE=")</f>
        <v>#VALUE!</v>
      </c>
      <c r="S52" t="b">
        <f>AND('Golden 20'!G5,"AAAAAATbxxI=")</f>
        <v>1</v>
      </c>
      <c r="T52" t="e">
        <f>AND('Golden 20'!H5,"AAAAAATbxxM=")</f>
        <v>#VALUE!</v>
      </c>
      <c r="U52" t="b">
        <f>AND('Golden 20'!C6,"AAAAAATbxxQ=")</f>
        <v>1</v>
      </c>
      <c r="V52" t="e">
        <f>AND('Golden 20'!D6,"AAAAAATbxxU=")</f>
        <v>#VALUE!</v>
      </c>
      <c r="W52" t="b">
        <f>AND('Golden 20'!G6,"AAAAAATbxxY=")</f>
        <v>1</v>
      </c>
      <c r="X52" t="e">
        <f>AND('Golden 20'!H6,"AAAAAATbxxc=")</f>
        <v>#VALUE!</v>
      </c>
      <c r="Y52" t="b">
        <f>AND('Golden 20'!C7,"AAAAAATbxxg=")</f>
        <v>1</v>
      </c>
      <c r="Z52" t="e">
        <f>AND('Golden 20'!D7,"AAAAAATbxxk=")</f>
        <v>#VALUE!</v>
      </c>
      <c r="AA52" t="b">
        <f>AND('Golden 20'!G7,"AAAAAATbxxo=")</f>
        <v>1</v>
      </c>
      <c r="AB52" t="e">
        <f>AND('Golden 20'!H7,"AAAAAATbxxs=")</f>
        <v>#VALUE!</v>
      </c>
      <c r="AC52" t="b">
        <f>AND('Golden 20'!C8,"AAAAAATbxxw=")</f>
        <v>1</v>
      </c>
      <c r="AD52" t="e">
        <f>AND('Golden 20'!D8,"AAAAAATbxx0=")</f>
        <v>#VALUE!</v>
      </c>
      <c r="AE52" t="b">
        <f>AND('Golden 20'!G8,"AAAAAATbxx4=")</f>
        <v>1</v>
      </c>
      <c r="AF52" t="e">
        <f>AND('Golden 20'!H8,"AAAAAATbxx8=")</f>
        <v>#VALUE!</v>
      </c>
      <c r="AG52" t="b">
        <f>AND('Golden 20'!C9,"AAAAAATbxyA=")</f>
        <v>1</v>
      </c>
      <c r="AH52" t="e">
        <f>AND('Golden 20'!D9,"AAAAAATbxyE=")</f>
        <v>#VALUE!</v>
      </c>
      <c r="AI52" t="b">
        <f>AND('Golden 20'!G9,"AAAAAATbxyI=")</f>
        <v>1</v>
      </c>
      <c r="AJ52" t="e">
        <f>AND('Golden 20'!H9,"AAAAAATbxyM=")</f>
        <v>#VALUE!</v>
      </c>
      <c r="AK52" t="b">
        <f>AND('Golden 20'!C10,"AAAAAATbxyQ=")</f>
        <v>1</v>
      </c>
      <c r="AL52" t="e">
        <f>AND('Golden 20'!D10,"AAAAAATbxyU=")</f>
        <v>#VALUE!</v>
      </c>
      <c r="AM52" t="b">
        <f>AND('Golden 20'!G10,"AAAAAATbxyY=")</f>
        <v>1</v>
      </c>
      <c r="AN52" t="e">
        <f>AND('Golden 20'!H10,"AAAAAATbxyc=")</f>
        <v>#VALUE!</v>
      </c>
      <c r="AO52" t="b">
        <f>AND('Golden 20'!C11,"AAAAAATbxyg=")</f>
        <v>1</v>
      </c>
      <c r="AP52" t="e">
        <f>AND('Golden 20'!D11,"AAAAAATbxyk=")</f>
        <v>#VALUE!</v>
      </c>
      <c r="AQ52" t="b">
        <f>AND('Golden 20'!G11,"AAAAAATbxyo=")</f>
        <v>1</v>
      </c>
      <c r="AR52" t="e">
        <f>AND('Golden 20'!H11,"AAAAAATbxys=")</f>
        <v>#VALUE!</v>
      </c>
      <c r="AS52" t="b">
        <f>AND('Golden 20'!C12,"AAAAAATbxyw=")</f>
        <v>1</v>
      </c>
      <c r="AT52" t="e">
        <f>AND('Golden 20'!D12,"AAAAAATbxy0=")</f>
        <v>#VALUE!</v>
      </c>
      <c r="AU52" t="b">
        <f>AND('Golden 20'!G12,"AAAAAATbxy4=")</f>
        <v>1</v>
      </c>
      <c r="AV52" t="e">
        <f>AND('Golden 20'!H12,"AAAAAATbxy8=")</f>
        <v>#VALUE!</v>
      </c>
      <c r="AW52" t="b">
        <f>AND('Golden 20'!C13,"AAAAAATbxzA=")</f>
        <v>1</v>
      </c>
      <c r="AX52" t="e">
        <f>AND('Golden 20'!D13,"AAAAAATbxzE=")</f>
        <v>#VALUE!</v>
      </c>
      <c r="AY52" t="b">
        <f>AND('Golden 20'!G13,"AAAAAATbxzI=")</f>
        <v>1</v>
      </c>
      <c r="AZ52" t="e">
        <f>AND('Golden 20'!H13,"AAAAAATbxzM=")</f>
        <v>#VALUE!</v>
      </c>
      <c r="BA52" t="b">
        <f>AND('Golden 20'!C14,"AAAAAATbxzQ=")</f>
        <v>1</v>
      </c>
      <c r="BB52" t="e">
        <f>AND('Golden 20'!D14,"AAAAAATbxzU=")</f>
        <v>#VALUE!</v>
      </c>
      <c r="BC52" t="b">
        <f>AND('Golden 20'!G14,"AAAAAATbxzY=")</f>
        <v>1</v>
      </c>
      <c r="BD52" t="e">
        <f>AND('Golden 20'!H14,"AAAAAATbxzc=")</f>
        <v>#VALUE!</v>
      </c>
      <c r="BE52" t="b">
        <f>AND('Golden 20'!C15,"AAAAAATbxzg=")</f>
        <v>1</v>
      </c>
      <c r="BF52" t="e">
        <f>AND('Golden 20'!D15,"AAAAAATbxzk=")</f>
        <v>#VALUE!</v>
      </c>
      <c r="BG52" t="b">
        <f>AND('Golden 20'!G15,"AAAAAATbxzo=")</f>
        <v>1</v>
      </c>
      <c r="BH52" t="e">
        <f>AND('Golden 20'!H15,"AAAAAATbxzs=")</f>
        <v>#VALUE!</v>
      </c>
      <c r="BI52" t="b">
        <f>AND('Golden 20'!C16,"AAAAAATbxzw=")</f>
        <v>1</v>
      </c>
      <c r="BJ52" t="e">
        <f>AND('Golden 20'!D16,"AAAAAATbxz0=")</f>
        <v>#VALUE!</v>
      </c>
      <c r="BK52" t="b">
        <f>AND('Golden 20'!G16,"AAAAAATbxz4=")</f>
        <v>1</v>
      </c>
      <c r="BL52" t="e">
        <f>AND('Golden 20'!H16,"AAAAAATbxz8=")</f>
        <v>#VALUE!</v>
      </c>
      <c r="BM52" t="b">
        <f>AND('Golden 20'!C17,"AAAAAATbx0A=")</f>
        <v>1</v>
      </c>
      <c r="BN52" t="e">
        <f>AND('Golden 20'!D17,"AAAAAATbx0E=")</f>
        <v>#VALUE!</v>
      </c>
      <c r="BO52" t="b">
        <f>AND('Golden 20'!G17,"AAAAAATbx0I=")</f>
        <v>1</v>
      </c>
      <c r="BP52" t="e">
        <f>AND('Golden 20'!H17,"AAAAAATbx0M=")</f>
        <v>#VALUE!</v>
      </c>
      <c r="BQ52" t="b">
        <f>AND('Golden 20'!C18,"AAAAAATbx0Q=")</f>
        <v>1</v>
      </c>
      <c r="BR52" t="e">
        <f>AND('Golden 20'!D18,"AAAAAATbx0U=")</f>
        <v>#VALUE!</v>
      </c>
      <c r="BS52" t="b">
        <f>AND('Golden 20'!G18,"AAAAAATbx0Y=")</f>
        <v>1</v>
      </c>
      <c r="BT52" t="e">
        <f>AND('Golden 20'!H18,"AAAAAATbx0c=")</f>
        <v>#VALUE!</v>
      </c>
      <c r="BU52" t="b">
        <f>AND('Golden 20'!C19,"AAAAAATbx0g=")</f>
        <v>1</v>
      </c>
      <c r="BV52" t="e">
        <f>AND('Golden 20'!D19,"AAAAAATbx0k=")</f>
        <v>#VALUE!</v>
      </c>
      <c r="BW52" t="b">
        <f>AND('Golden 20'!G19,"AAAAAATbx0o=")</f>
        <v>1</v>
      </c>
      <c r="BX52" t="e">
        <f>AND('Golden 20'!H19,"AAAAAATbx0s=")</f>
        <v>#VALUE!</v>
      </c>
      <c r="BY52" t="b">
        <f>AND('Golden 20'!I24,"AAAAAATbx0w=")</f>
        <v>1</v>
      </c>
      <c r="BZ52" t="e">
        <f>AND('Golden 20'!J24,"AAAAAATbx00=")</f>
        <v>#VALUE!</v>
      </c>
      <c r="CA52" t="b">
        <f>AND('Golden 20'!C20,"AAAAAATbx04=")</f>
        <v>1</v>
      </c>
      <c r="CB52" t="e">
        <f>AND('Golden 20'!D20,"AAAAAATbx08=")</f>
        <v>#VALUE!</v>
      </c>
      <c r="CC52" t="b">
        <f>AND('Golden 20'!G20,"AAAAAATbx1A=")</f>
        <v>1</v>
      </c>
      <c r="CD52" t="e">
        <f>AND('Golden 20'!H20,"AAAAAATbx1E=")</f>
        <v>#VALUE!</v>
      </c>
      <c r="CE52" t="b">
        <f>AND('Golden 20'!I25,"AAAAAATbx1I=")</f>
        <v>1</v>
      </c>
      <c r="CF52" t="e">
        <f>AND('Golden 20'!J25,"AAAAAATbx1M=")</f>
        <v>#VALUE!</v>
      </c>
      <c r="CG52" t="b">
        <f>AND('Golden 20'!C21,"AAAAAATbx1Q=")</f>
        <v>1</v>
      </c>
      <c r="CH52" t="e">
        <f>AND('Golden 20'!D21,"AAAAAATbx1U=")</f>
        <v>#VALUE!</v>
      </c>
      <c r="CI52" t="b">
        <f>AND('Golden 20'!G21,"AAAAAATbx1Y=")</f>
        <v>1</v>
      </c>
      <c r="CJ52" t="e">
        <f>AND('Golden 20'!H21,"AAAAAATbx1c=")</f>
        <v>#VALUE!</v>
      </c>
      <c r="CK52" t="e">
        <f>AND('Golden 20'!#REF!,"AAAAAATbx1g=")</f>
        <v>#REF!</v>
      </c>
      <c r="CL52" t="e">
        <f>AND('Golden 20'!#REF!,"AAAAAATbx1k=")</f>
        <v>#REF!</v>
      </c>
      <c r="CM52" t="e">
        <f>AND('Golden 20'!C22,"AAAAAATbx1o=")</f>
        <v>#VALUE!</v>
      </c>
      <c r="CN52" t="e">
        <f>AND('Golden 20'!D22,"AAAAAATbx1s=")</f>
        <v>#VALUE!</v>
      </c>
      <c r="CO52" t="b">
        <f>AND('Golden 20'!G22,"AAAAAATbx1w=")</f>
        <v>1</v>
      </c>
      <c r="CP52" t="e">
        <f>AND('Golden 20'!H22,"AAAAAATbx10=")</f>
        <v>#VALUE!</v>
      </c>
      <c r="CQ52" t="b">
        <f>AND('Golden 20'!I17,"AAAAAATbx14=")</f>
        <v>1</v>
      </c>
      <c r="CR52" t="e">
        <f>AND('Golden 20'!J17,"AAAAAATbx18=")</f>
        <v>#VALUE!</v>
      </c>
      <c r="CS52" t="e">
        <f>AND('Golden 20'!C23,"AAAAAATbx2A=")</f>
        <v>#VALUE!</v>
      </c>
      <c r="CT52" t="e">
        <f>AND('Golden 20'!D23,"AAAAAATbx2E=")</f>
        <v>#VALUE!</v>
      </c>
      <c r="CU52" t="e">
        <f>AND('Golden 20'!G23,"AAAAAATbx2I=")</f>
        <v>#VALUE!</v>
      </c>
      <c r="CV52" t="e">
        <f>AND('Golden 20'!H23,"AAAAAATbx2M=")</f>
        <v>#VALUE!</v>
      </c>
      <c r="CW52" t="b">
        <f>AND('Golden 20'!I16,"AAAAAATbx2Q=")</f>
        <v>1</v>
      </c>
      <c r="CX52" t="e">
        <f>AND('Golden 20'!J16,"AAAAAATbx2U=")</f>
        <v>#VALUE!</v>
      </c>
      <c r="CY52" t="e">
        <f>AND('Golden 20'!#REF!,"AAAAAATbx2Y=")</f>
        <v>#REF!</v>
      </c>
      <c r="CZ52" t="e">
        <f>AND('Golden 20'!#REF!,"AAAAAATbx2c=")</f>
        <v>#REF!</v>
      </c>
      <c r="DA52" t="e">
        <f>AND('Golden 20'!G24,"AAAAAATbx2g=")</f>
        <v>#VALUE!</v>
      </c>
      <c r="DB52" t="e">
        <f>AND('Golden 20'!H24,"AAAAAATbx2k=")</f>
        <v>#VALUE!</v>
      </c>
      <c r="DC52" t="e">
        <f>AND('Golden 20'!#REF!,"AAAAAATbx2o=")</f>
        <v>#REF!</v>
      </c>
      <c r="DD52" t="e">
        <f>AND('Golden 20'!#REF!,"AAAAAATbx2s=")</f>
        <v>#REF!</v>
      </c>
      <c r="DE52" t="b">
        <f>AND('Golden 20'!K24,"AAAAAATbx2w=")</f>
        <v>1</v>
      </c>
      <c r="DF52" t="e">
        <f>AND('Golden 20'!L24,"AAAAAATbx20=")</f>
        <v>#VALUE!</v>
      </c>
      <c r="DG52" t="e">
        <f>AND('Golden 20'!C25,"AAAAAATbx24=")</f>
        <v>#VALUE!</v>
      </c>
      <c r="DH52" t="e">
        <f>AND('Golden 20'!D25,"AAAAAATbx28=")</f>
        <v>#VALUE!</v>
      </c>
      <c r="DI52" t="e">
        <f>AND('Golden 20'!G25,"AAAAAATbx3A=")</f>
        <v>#VALUE!</v>
      </c>
      <c r="DJ52" t="e">
        <f>AND('Golden 20'!H25,"AAAAAATbx3E=")</f>
        <v>#VALUE!</v>
      </c>
      <c r="DK52" t="e">
        <f>AND('Golden 20'!#REF!,"AAAAAATbx3I=")</f>
        <v>#REF!</v>
      </c>
      <c r="DL52" t="e">
        <f>AND('Golden 20'!#REF!,"AAAAAATbx3M=")</f>
        <v>#REF!</v>
      </c>
      <c r="DM52" t="e">
        <f>AND('Golden 20'!K25,"AAAAAATbx3Q=")</f>
        <v>#VALUE!</v>
      </c>
      <c r="DN52" t="e">
        <f>AND('Golden 20'!L25,"AAAAAATbx3U=")</f>
        <v>#VALUE!</v>
      </c>
      <c r="DO52" t="e">
        <f>AND('Golden 20'!C26,"AAAAAATbx3Y=")</f>
        <v>#VALUE!</v>
      </c>
      <c r="DP52" t="e">
        <f>AND('Golden 20'!D26,"AAAAAATbx3c=")</f>
        <v>#VALUE!</v>
      </c>
      <c r="DQ52" t="e">
        <f>AND('Golden 20'!G26,"AAAAAATbx3g=")</f>
        <v>#VALUE!</v>
      </c>
      <c r="DR52" t="e">
        <f>AND('Golden 20'!H26,"AAAAAATbx3k=")</f>
        <v>#VALUE!</v>
      </c>
      <c r="DS52" t="e">
        <f>AND('Golden 20'!C27,"AAAAAATbx3o=")</f>
        <v>#VALUE!</v>
      </c>
      <c r="DT52" t="e">
        <f>AND('Golden 20'!D27,"AAAAAATbx3s=")</f>
        <v>#VALUE!</v>
      </c>
      <c r="DU52" t="e">
        <f>AND('Golden 20'!G27,"AAAAAATbx3w=")</f>
        <v>#VALUE!</v>
      </c>
      <c r="DV52" t="e">
        <f>AND('Golden 20'!H27,"AAAAAATbx30=")</f>
        <v>#VALUE!</v>
      </c>
      <c r="DW52" t="e">
        <f>AND('Golden 20'!I27,"AAAAAATbx34=")</f>
        <v>#VALUE!</v>
      </c>
      <c r="DX52" t="e">
        <f>AND('Golden 20'!J27,"AAAAAATbx38=")</f>
        <v>#VALUE!</v>
      </c>
      <c r="DY52" t="e">
        <f>AND('Golden 20'!C28,"AAAAAATbx4A=")</f>
        <v>#VALUE!</v>
      </c>
      <c r="DZ52" t="e">
        <f>AND('Golden 20'!D28,"AAAAAATbx4E=")</f>
        <v>#VALUE!</v>
      </c>
      <c r="EA52" t="e">
        <f>AND('Golden 20'!G28,"AAAAAATbx4I=")</f>
        <v>#VALUE!</v>
      </c>
      <c r="EB52" t="e">
        <f>AND('Golden 20'!H28,"AAAAAATbx4M=")</f>
        <v>#VALUE!</v>
      </c>
      <c r="EC52" t="e">
        <f>AND('Golden 20'!K28,"AAAAAATbx4Q=")</f>
        <v>#VALUE!</v>
      </c>
      <c r="ED52" t="e">
        <f>AND('Golden 20'!L28,"AAAAAATbx4U=")</f>
        <v>#VALUE!</v>
      </c>
      <c r="EE52" t="e">
        <f>AND('Golden 20'!C29,"AAAAAATbx4Y=")</f>
        <v>#VALUE!</v>
      </c>
      <c r="EF52" t="e">
        <f>AND('Golden 20'!D29,"AAAAAATbx4c=")</f>
        <v>#VALUE!</v>
      </c>
      <c r="EG52" t="e">
        <f>AND('Golden 20'!#REF!,"AAAAAATbx4g=")</f>
        <v>#REF!</v>
      </c>
      <c r="EH52" t="e">
        <f>AND('Golden 20'!#REF!,"AAAAAATbx4k=")</f>
        <v>#REF!</v>
      </c>
      <c r="EI52" t="e">
        <f>AND('Golden 20'!G29,"AAAAAATbx4o=")</f>
        <v>#VALUE!</v>
      </c>
      <c r="EJ52" t="e">
        <f>AND('Golden 20'!H29,"AAAAAATbx4s=")</f>
        <v>#VALUE!</v>
      </c>
      <c r="EK52" t="e">
        <f>AND('Golden 20'!I29,"AAAAAATbx4w=")</f>
        <v>#VALUE!</v>
      </c>
      <c r="EL52" t="e">
        <f>AND('Golden 20'!J29,"AAAAAATbx40=")</f>
        <v>#VALUE!</v>
      </c>
      <c r="EM52" t="e">
        <f>AND('Golden 20'!C30,"AAAAAATbx44=")</f>
        <v>#VALUE!</v>
      </c>
      <c r="EN52" t="e">
        <f>AND('Golden 20'!D30,"AAAAAATbx48=")</f>
        <v>#VALUE!</v>
      </c>
      <c r="EO52" t="e">
        <f>AND('Golden 20'!G30,"AAAAAATbx5A=")</f>
        <v>#VALUE!</v>
      </c>
      <c r="EP52" t="e">
        <f>AND('Golden 20'!H30,"AAAAAATbx5E=")</f>
        <v>#VALUE!</v>
      </c>
      <c r="EQ52" t="e">
        <f>AND('Golden 20'!J30,"AAAAAATbx5I=")</f>
        <v>#VALUE!</v>
      </c>
      <c r="ER52" t="e">
        <f>AND('Golden 20'!K30,"AAAAAATbx5M=")</f>
        <v>#VALUE!</v>
      </c>
      <c r="ES52" t="e">
        <f>AND('Golden 20'!L30,"AAAAAATbx5Q=")</f>
        <v>#VALUE!</v>
      </c>
      <c r="ET52" t="e">
        <f>AND('Golden 20'!C31,"AAAAAATbx5U=")</f>
        <v>#VALUE!</v>
      </c>
      <c r="EU52" t="e">
        <f>AND('Golden 20'!D31,"AAAAAATbx5Y=")</f>
        <v>#VALUE!</v>
      </c>
      <c r="EV52" t="e">
        <f>AND('Golden 20'!G31,"AAAAAATbx5c=")</f>
        <v>#VALUE!</v>
      </c>
      <c r="EW52" t="e">
        <f>AND('Golden 20'!H31,"AAAAAATbx5g=")</f>
        <v>#VALUE!</v>
      </c>
      <c r="EX52" t="e">
        <f>AND('Golden 20'!K31,"AAAAAATbx5k=")</f>
        <v>#VALUE!</v>
      </c>
      <c r="EY52" t="e">
        <f>AND('Golden 20'!L31,"AAAAAATbx5o=")</f>
        <v>#VALUE!</v>
      </c>
      <c r="EZ52" t="e">
        <f>AND('Golden 20'!C32,"AAAAAATbx5s=")</f>
        <v>#VALUE!</v>
      </c>
      <c r="FA52" t="e">
        <f>AND('Golden 20'!D32,"AAAAAATbx5w=")</f>
        <v>#VALUE!</v>
      </c>
      <c r="FB52" t="e">
        <f>AND('Golden 20'!G32,"AAAAAATbx50=")</f>
        <v>#VALUE!</v>
      </c>
      <c r="FC52" t="e">
        <f>AND('Golden 20'!H32,"AAAAAATbx54=")</f>
        <v>#VALUE!</v>
      </c>
      <c r="FD52" t="e">
        <f>AND('Golden 20'!K32,"AAAAAATbx58=")</f>
        <v>#VALUE!</v>
      </c>
      <c r="FE52" t="e">
        <f>AND('Golden 20'!L32,"AAAAAATbx6A=")</f>
        <v>#VALUE!</v>
      </c>
      <c r="FF52" t="e">
        <f>AND('Golden 20'!C33,"AAAAAATbx6E=")</f>
        <v>#VALUE!</v>
      </c>
      <c r="FG52" t="e">
        <f>AND('Golden 20'!D33,"AAAAAATbx6I=")</f>
        <v>#VALUE!</v>
      </c>
      <c r="FH52" t="e">
        <f>AND('Golden 20'!G33,"AAAAAATbx6M=")</f>
        <v>#VALUE!</v>
      </c>
      <c r="FI52" t="e">
        <f>AND('Golden 20'!H33,"AAAAAATbx6Q=")</f>
        <v>#VALUE!</v>
      </c>
      <c r="FJ52" t="e">
        <f>AND('Golden 20'!K33,"AAAAAATbx6U=")</f>
        <v>#VALUE!</v>
      </c>
      <c r="FK52" t="e">
        <f>AND('Golden 20'!L33,"AAAAAATbx6Y=")</f>
        <v>#VALUE!</v>
      </c>
      <c r="FL52" t="e">
        <f>AND('Golden 20'!C34,"AAAAAATbx6c=")</f>
        <v>#VALUE!</v>
      </c>
      <c r="FM52" t="e">
        <f>AND('Golden 20'!D34,"AAAAAATbx6g=")</f>
        <v>#VALUE!</v>
      </c>
      <c r="FN52" t="e">
        <f>AND('Golden 20'!G34,"AAAAAATbx6k=")</f>
        <v>#VALUE!</v>
      </c>
      <c r="FO52" t="e">
        <f>AND('Golden 20'!H34,"AAAAAATbx6o=")</f>
        <v>#VALUE!</v>
      </c>
      <c r="FP52" t="e">
        <f>AND('Golden 20'!K34,"AAAAAATbx6s=")</f>
        <v>#VALUE!</v>
      </c>
      <c r="FQ52" t="e">
        <f>AND('Golden 20'!L34,"AAAAAATbx6w=")</f>
        <v>#VALUE!</v>
      </c>
      <c r="FR52" t="e">
        <f>AND('Golden 20'!C35,"AAAAAATbx60=")</f>
        <v>#VALUE!</v>
      </c>
      <c r="FS52" t="e">
        <f>AND('Golden 20'!D35,"AAAAAATbx64=")</f>
        <v>#VALUE!</v>
      </c>
      <c r="FT52" t="e">
        <f>AND('Golden 20'!G35,"AAAAAATbx68=")</f>
        <v>#VALUE!</v>
      </c>
      <c r="FU52" t="e">
        <f>AND('Golden 20'!H35,"AAAAAATbx7A=")</f>
        <v>#VALUE!</v>
      </c>
      <c r="FV52" t="e">
        <f>AND('Golden 20'!K35,"AAAAAATbx7E=")</f>
        <v>#VALUE!</v>
      </c>
      <c r="FW52" t="e">
        <f>AND('Golden 20'!L35,"AAAAAATbx7I=")</f>
        <v>#VALUE!</v>
      </c>
      <c r="FX52" t="e">
        <f>AND('Golden 20'!C36,"AAAAAATbx7M=")</f>
        <v>#VALUE!</v>
      </c>
      <c r="FY52" t="e">
        <f>AND('Golden 20'!D36,"AAAAAATbx7Q=")</f>
        <v>#VALUE!</v>
      </c>
      <c r="FZ52" t="e">
        <f>AND('Golden 20'!G36,"AAAAAATbx7U=")</f>
        <v>#VALUE!</v>
      </c>
      <c r="GA52" t="e">
        <f>AND('Golden 20'!H36,"AAAAAATbx7Y=")</f>
        <v>#VALUE!</v>
      </c>
      <c r="GB52" t="e">
        <f>AND('Golden 20'!K36,"AAAAAATbx7c=")</f>
        <v>#VALUE!</v>
      </c>
      <c r="GC52" t="e">
        <f>AND('Golden 20'!L36,"AAAAAATbx7g=")</f>
        <v>#VALUE!</v>
      </c>
      <c r="GD52">
        <f>IF('Golden 20'!C:C,"AAAAAATbx7k=",0)</f>
        <v>0</v>
      </c>
      <c r="GE52">
        <f>IF('Golden 20'!D:D,"AAAAAATbx7o=",0)</f>
        <v>0</v>
      </c>
      <c r="GF52">
        <f>IF('Golden 20'!G:G,"AAAAAATbx7s=",0)</f>
        <v>0</v>
      </c>
      <c r="GG52">
        <f>IF('Golden 20'!H:H,"AAAAAATbx7w=",0)</f>
        <v>0</v>
      </c>
      <c r="GH52" t="e">
        <f>AND([1]Labo!M25,"AAAAAATbx70=")</f>
        <v>#VALUE!</v>
      </c>
      <c r="GI52" t="e">
        <f>AND([1]Labo!N25,"AAAAAATbx74=")</f>
        <v>#VALUE!</v>
      </c>
      <c r="GJ52" t="e">
        <f>AND([1]Labo!M26,"AAAAAATbx78=")</f>
        <v>#VALUE!</v>
      </c>
      <c r="GK52" t="e">
        <f>AND([1]Labo!N26,"AAAAAATbx8A=")</f>
        <v>#VALUE!</v>
      </c>
      <c r="GL52" t="e">
        <f>AND([1]Labo!M27,"AAAAAATbx8E=")</f>
        <v>#VALUE!</v>
      </c>
      <c r="GM52" t="e">
        <f>AND([1]Labo!N27,"AAAAAATbx8I=")</f>
        <v>#VALUE!</v>
      </c>
      <c r="GN52" t="e">
        <f>AND([1]Labo!M28,"AAAAAATbx8M=")</f>
        <v>#VALUE!</v>
      </c>
      <c r="GO52" t="e">
        <f>AND([1]Labo!N28,"AAAAAATbx8Q=")</f>
        <v>#VALUE!</v>
      </c>
      <c r="GP52" t="e">
        <f>AND([1]Labo!M29,"AAAAAATbx8U=")</f>
        <v>#VALUE!</v>
      </c>
      <c r="GQ52" t="e">
        <f>AND([1]Labo!N29,"AAAAAATbx8Y=")</f>
        <v>#VALUE!</v>
      </c>
      <c r="GR52" t="e">
        <f>AND([1]Labo!M30,"AAAAAATbx8c=")</f>
        <v>#VALUE!</v>
      </c>
      <c r="GS52" t="e">
        <f>AND([1]Labo!N30,"AAAAAATbx8g=")</f>
        <v>#VALUE!</v>
      </c>
      <c r="GT52" t="e">
        <f>AND([1]Labo!M31,"AAAAAATbx8k=")</f>
        <v>#VALUE!</v>
      </c>
      <c r="GU52" t="e">
        <f>AND([1]Labo!N31,"AAAAAATbx8o=")</f>
        <v>#VALUE!</v>
      </c>
      <c r="GV52" t="e">
        <f>AND([1]Labo!M32,"AAAAAATbx8s=")</f>
        <v>#VALUE!</v>
      </c>
      <c r="GW52" t="e">
        <f>AND([1]Labo!N32,"AAAAAATbx8w=")</f>
        <v>#VALUE!</v>
      </c>
      <c r="GX52" t="e">
        <f>AND([1]Labo!M33,"AAAAAATbx80=")</f>
        <v>#VALUE!</v>
      </c>
      <c r="GY52" t="e">
        <f>AND([1]Labo!N33,"AAAAAATbx84=")</f>
        <v>#VALUE!</v>
      </c>
      <c r="GZ52" t="e">
        <f>AND([1]Labo!M34,"AAAAAATbx88=")</f>
        <v>#VALUE!</v>
      </c>
      <c r="HA52" t="e">
        <f>AND([1]Labo!N34,"AAAAAATbx9A=")</f>
        <v>#VALUE!</v>
      </c>
      <c r="HB52" t="e">
        <f>AND([1]Labo!M35,"AAAAAATbx9E=")</f>
        <v>#VALUE!</v>
      </c>
      <c r="HC52" t="e">
        <f>AND([1]Labo!N35,"AAAAAATbx9I=")</f>
        <v>#VALUE!</v>
      </c>
      <c r="HD52" t="e">
        <f>AND([1]Labo!M36,"AAAAAATbx9M=")</f>
        <v>#VALUE!</v>
      </c>
      <c r="HE52" t="e">
        <f>AND([1]Labo!N36,"AAAAAATbx9Q=")</f>
        <v>#VALUE!</v>
      </c>
      <c r="HF52" t="e">
        <f>AND([1]Labo!M37,"AAAAAATbx9U=")</f>
        <v>#VALUE!</v>
      </c>
      <c r="HG52" t="e">
        <f>AND([1]Labo!N37,"AAAAAATbx9Y=")</f>
        <v>#VALUE!</v>
      </c>
      <c r="HH52" t="e">
        <f>AND([1]Labo!M38,"AAAAAATbx9c=")</f>
        <v>#VALUE!</v>
      </c>
      <c r="HI52" t="e">
        <f>AND([1]Labo!N38,"AAAAAATbx9g=")</f>
        <v>#VALUE!</v>
      </c>
      <c r="HJ52" t="e">
        <f>AND([1]Labo!M39,"AAAAAATbx9k=")</f>
        <v>#VALUE!</v>
      </c>
      <c r="HK52" t="e">
        <f>AND([1]Labo!N39,"AAAAAATbx9o=")</f>
        <v>#VALUE!</v>
      </c>
      <c r="HL52" t="e">
        <f>AND([1]Labo!M40,"AAAAAATbx9s=")</f>
        <v>#VALUE!</v>
      </c>
      <c r="HM52" t="e">
        <f>AND([1]Labo!N40,"AAAAAATbx9w=")</f>
        <v>#VALUE!</v>
      </c>
      <c r="HN52" t="e">
        <f>AND([1]Labo!M41,"AAAAAATbx90=")</f>
        <v>#VALUE!</v>
      </c>
      <c r="HO52" t="e">
        <f>AND([1]Labo!N41,"AAAAAATbx94=")</f>
        <v>#VALUE!</v>
      </c>
      <c r="HP52" t="e">
        <f>AND([1]Labo!M42,"AAAAAATbx98=")</f>
        <v>#VALUE!</v>
      </c>
      <c r="HQ52" t="e">
        <f>AND([1]Labo!N42,"AAAAAATbx+A=")</f>
        <v>#VALUE!</v>
      </c>
      <c r="HR52" t="e">
        <f>AND([1]Labo!M43,"AAAAAATbx+E=")</f>
        <v>#VALUE!</v>
      </c>
      <c r="HS52" t="e">
        <f>AND([1]Labo!N43,"AAAAAATbx+I=")</f>
        <v>#VALUE!</v>
      </c>
      <c r="HT52" t="e">
        <f>AND([1]Labo!F44,"AAAAAATbx+M=")</f>
        <v>#VALUE!</v>
      </c>
      <c r="HU52" t="e">
        <f>AND([1]Labo!M44,"AAAAAATbx+Q=")</f>
        <v>#VALUE!</v>
      </c>
      <c r="HV52" t="e">
        <f>AND([1]Labo!N44,"AAAAAATbx+U=")</f>
        <v>#VALUE!</v>
      </c>
      <c r="HW52" t="e">
        <f>AND([1]Labo!F45,"AAAAAATbx+Y=")</f>
        <v>#VALUE!</v>
      </c>
      <c r="HX52" t="e">
        <f>AND([1]Labo!M45,"AAAAAATbx+c=")</f>
        <v>#VALUE!</v>
      </c>
      <c r="HY52" t="e">
        <f>AND([1]Labo!N45,"AAAAAATbx+g=")</f>
        <v>#VALUE!</v>
      </c>
      <c r="HZ52" t="e">
        <f>AND([1]Labo!F46,"AAAAAATbx+k=")</f>
        <v>#VALUE!</v>
      </c>
      <c r="IA52" t="e">
        <f>AND([1]Labo!M46,"AAAAAATbx+o=")</f>
        <v>#VALUE!</v>
      </c>
      <c r="IB52" t="e">
        <f>AND([1]Labo!N46,"AAAAAATbx+s=")</f>
        <v>#VALUE!</v>
      </c>
      <c r="IC52" t="e">
        <f>AND([1]Labo!E47,"AAAAAATbx+w=")</f>
        <v>#VALUE!</v>
      </c>
      <c r="ID52" t="e">
        <f>AND([1]Labo!F47,"AAAAAATbx+0=")</f>
        <v>#VALUE!</v>
      </c>
      <c r="IE52" t="e">
        <f>AND([1]Labo!M47,"AAAAAATbx+4=")</f>
        <v>#VALUE!</v>
      </c>
      <c r="IF52" t="e">
        <f>AND([1]Labo!N47,"AAAAAATbx+8=")</f>
        <v>#VALUE!</v>
      </c>
      <c r="IG52" t="e">
        <f>AND([1]Labo!E48,"AAAAAATbx/A=")</f>
        <v>#VALUE!</v>
      </c>
      <c r="IH52" t="e">
        <f>AND([1]Labo!F48,"AAAAAATbx/E=")</f>
        <v>#VALUE!</v>
      </c>
      <c r="II52" t="e">
        <f>AND([1]Labo!M48,"AAAAAATbx/I=")</f>
        <v>#VALUE!</v>
      </c>
      <c r="IJ52" t="e">
        <f>AND([1]Labo!N48,"AAAAAATbx/M=")</f>
        <v>#VALUE!</v>
      </c>
      <c r="IK52" t="e">
        <f>AND([1]Labo!E49,"AAAAAATbx/Q=")</f>
        <v>#VALUE!</v>
      </c>
      <c r="IL52" t="e">
        <f>AND([1]Labo!F49,"AAAAAATbx/U=")</f>
        <v>#VALUE!</v>
      </c>
      <c r="IM52" t="e">
        <f>AND([1]Labo!M49,"AAAAAATbx/Y=")</f>
        <v>#VALUE!</v>
      </c>
      <c r="IN52" t="e">
        <f>AND([1]Labo!N49,"AAAAAATbx/c=")</f>
        <v>#VALUE!</v>
      </c>
      <c r="IO52" t="e">
        <f>AND([1]Labo!E50,"AAAAAATbx/g=")</f>
        <v>#VALUE!</v>
      </c>
      <c r="IP52" t="e">
        <f>AND([1]Labo!F50,"AAAAAATbx/k=")</f>
        <v>#VALUE!</v>
      </c>
      <c r="IQ52" t="e">
        <f>AND([1]Labo!M50,"AAAAAATbx/o=")</f>
        <v>#VALUE!</v>
      </c>
      <c r="IR52" t="e">
        <f>AND([1]Labo!N50,"AAAAAATbx/s=")</f>
        <v>#VALUE!</v>
      </c>
      <c r="IS52" t="e">
        <f>AND([1]Labo!E51,"AAAAAATbx/w=")</f>
        <v>#VALUE!</v>
      </c>
      <c r="IT52" t="e">
        <f>AND([1]Labo!F51,"AAAAAATbx/0=")</f>
        <v>#VALUE!</v>
      </c>
      <c r="IU52" t="e">
        <f>AND([1]Labo!E52,"AAAAAATbx/4=")</f>
        <v>#VALUE!</v>
      </c>
      <c r="IV52" t="e">
        <f>AND([1]Labo!F52,"AAAAAATbx/8=")</f>
        <v>#VALUE!</v>
      </c>
    </row>
    <row r="53" spans="1:256">
      <c r="A53" t="e">
        <f>AND([1]Labo!E53,"AAAAAFPm7wA=")</f>
        <v>#VALUE!</v>
      </c>
      <c r="B53" t="e">
        <f>AND([1]Labo!F53,"AAAAAFPm7wE=")</f>
        <v>#VALUE!</v>
      </c>
      <c r="C53" t="e">
        <f>AND([1]Labo!E54,"AAAAAFPm7wI=")</f>
        <v>#VALUE!</v>
      </c>
      <c r="D53" t="e">
        <f>AND([1]Labo!F54,"AAAAAFPm7wM=")</f>
        <v>#VALUE!</v>
      </c>
      <c r="E53" t="e">
        <f>AND([1]Labo!E55,"AAAAAFPm7wQ=")</f>
        <v>#VALUE!</v>
      </c>
      <c r="F53" t="e">
        <f>AND([1]Labo!F55,"AAAAAFPm7wU=")</f>
        <v>#VALUE!</v>
      </c>
    </row>
    <row r="54" spans="1:256">
      <c r="A54" t="e">
        <f>AND('Golden 20'!#REF!,"AAAAAHvP/wA=")</f>
        <v>#REF!</v>
      </c>
      <c r="B54" t="e">
        <f>AND('Golden 20'!#REF!,"AAAAAHvP/wE=")</f>
        <v>#REF!</v>
      </c>
      <c r="C54" t="e">
        <f>AND('Golden 20'!#REF!,"AAAAAHvP/wI=")</f>
        <v>#REF!</v>
      </c>
      <c r="D54" t="e">
        <f>AND('Golden 20'!#REF!,"AAAAAHvP/wM=")</f>
        <v>#REF!</v>
      </c>
      <c r="E54" t="e">
        <f>AND('Golden 20'!#REF!,"AAAAAHvP/wQ=")</f>
        <v>#REF!</v>
      </c>
      <c r="F54" t="e">
        <f>AND('Golden 20'!#REF!,"AAAAAHvP/wU=")</f>
        <v>#REF!</v>
      </c>
      <c r="G54" t="e">
        <f>AND('Golden 20'!#REF!,"AAAAAHvP/wY=")</f>
        <v>#REF!</v>
      </c>
      <c r="H54" t="e">
        <f>AND('Golden 20'!#REF!,"AAAAAHvP/wc=")</f>
        <v>#REF!</v>
      </c>
      <c r="I54" t="e">
        <f>AND('Golden 20'!#REF!,"AAAAAHvP/wg=")</f>
        <v>#REF!</v>
      </c>
      <c r="J54" t="e">
        <f>AND('Golden 20'!#REF!,"AAAAAHvP/wk=")</f>
        <v>#REF!</v>
      </c>
      <c r="K54" t="e">
        <f>AND('Golden 20'!#REF!,"AAAAAHvP/wo=")</f>
        <v>#REF!</v>
      </c>
      <c r="L54" t="e">
        <f>AND('Golden 20'!#REF!,"AAAAAHvP/ws=")</f>
        <v>#REF!</v>
      </c>
      <c r="M54" t="e">
        <f>AND('Golden 20'!#REF!,"AAAAAHvP/ww=")</f>
        <v>#REF!</v>
      </c>
      <c r="N54" t="e">
        <f>AND('Golden 20'!#REF!,"AAAAAHvP/w0=")</f>
        <v>#REF!</v>
      </c>
      <c r="O54" t="e">
        <f>AND('Golden 20'!#REF!,"AAAAAHvP/w4=")</f>
        <v>#REF!</v>
      </c>
      <c r="P54" t="e">
        <f>AND('Golden 20'!#REF!,"AAAAAHvP/w8=")</f>
        <v>#REF!</v>
      </c>
      <c r="Q54" t="e">
        <f>AND('Golden 20'!#REF!,"AAAAAHvP/xA=")</f>
        <v>#REF!</v>
      </c>
      <c r="R54" t="e">
        <f>AND('Golden 20'!#REF!,"AAAAAHvP/xE=")</f>
        <v>#REF!</v>
      </c>
      <c r="S54" t="e">
        <f>AND('Golden 20'!#REF!,"AAAAAHvP/xI=")</f>
        <v>#REF!</v>
      </c>
      <c r="T54" t="e">
        <f>AND('Golden 20'!#REF!,"AAAAAHvP/xM=")</f>
        <v>#REF!</v>
      </c>
      <c r="U54" t="e">
        <f>AND('Golden 20'!#REF!,"AAAAAHvP/xQ=")</f>
        <v>#REF!</v>
      </c>
      <c r="V54" t="e">
        <f>AND('Golden 20'!#REF!,"AAAAAHvP/xU=")</f>
        <v>#REF!</v>
      </c>
      <c r="W54" t="e">
        <f>AND('Golden 20'!#REF!,"AAAAAHvP/xY=")</f>
        <v>#REF!</v>
      </c>
      <c r="X54" t="e">
        <f>AND('Golden 20'!#REF!,"AAAAAHvP/xc=")</f>
        <v>#REF!</v>
      </c>
      <c r="Y54" t="e">
        <f>AND('Golden 20'!#REF!,"AAAAAHvP/xg=")</f>
        <v>#REF!</v>
      </c>
      <c r="Z54" t="e">
        <f>AND('Golden 20'!#REF!,"AAAAAHvP/xk=")</f>
        <v>#REF!</v>
      </c>
      <c r="AA54" t="e">
        <f>AND('Golden 20'!#REF!,"AAAAAHvP/xo=")</f>
        <v>#REF!</v>
      </c>
      <c r="AB54" t="e">
        <f>AND('Golden 20'!#REF!,"AAAAAHvP/xs=")</f>
        <v>#REF!</v>
      </c>
      <c r="AC54" t="e">
        <f>AND('Golden 20'!#REF!,"AAAAAHvP/xw=")</f>
        <v>#REF!</v>
      </c>
      <c r="AD54" t="e">
        <f>AND('Golden 20'!#REF!,"AAAAAHvP/x0=")</f>
        <v>#REF!</v>
      </c>
      <c r="AE54" t="e">
        <f>AND('Golden 20'!#REF!,"AAAAAHvP/x4=")</f>
        <v>#REF!</v>
      </c>
      <c r="AF54" t="e">
        <f>AND('Golden 20'!#REF!,"AAAAAHvP/x8=")</f>
        <v>#REF!</v>
      </c>
      <c r="AG54" t="e">
        <f>AND('Golden 20'!#REF!,"AAAAAHvP/yA=")</f>
        <v>#REF!</v>
      </c>
      <c r="AH54" t="e">
        <f>AND('Golden 20'!#REF!,"AAAAAHvP/yE=")</f>
        <v>#REF!</v>
      </c>
      <c r="AI54" t="e">
        <f>AND('Golden 20'!#REF!,"AAAAAHvP/yI=")</f>
        <v>#REF!</v>
      </c>
      <c r="AJ54" t="e">
        <f>AND('Golden 20'!#REF!,"AAAAAHvP/yM=")</f>
        <v>#REF!</v>
      </c>
      <c r="AK54" t="e">
        <f>AND('Golden 20'!#REF!,"AAAAAHvP/yQ=")</f>
        <v>#REF!</v>
      </c>
      <c r="AL54" t="e">
        <f>AND('Golden 20'!#REF!,"AAAAAHvP/yU=")</f>
        <v>#REF!</v>
      </c>
      <c r="AM54" t="e">
        <f>AND('Golden 20'!#REF!,"AAAAAHvP/yY=")</f>
        <v>#REF!</v>
      </c>
      <c r="AN54" t="e">
        <f>AND('Golden 20'!#REF!,"AAAAAHvP/yc=")</f>
        <v>#REF!</v>
      </c>
      <c r="AO54" t="e">
        <f>AND('Golden 20'!#REF!,"AAAAAHvP/yg=")</f>
        <v>#REF!</v>
      </c>
      <c r="AP54" t="e">
        <f>AND('Golden 20'!#REF!,"AAAAAHvP/yk=")</f>
        <v>#REF!</v>
      </c>
      <c r="AQ54" t="e">
        <f>AND('Golden 20'!#REF!,"AAAAAHvP/yo=")</f>
        <v>#REF!</v>
      </c>
      <c r="AR54" t="e">
        <f>AND('Golden 20'!#REF!,"AAAAAHvP/ys=")</f>
        <v>#REF!</v>
      </c>
      <c r="AS54" t="e">
        <f>AND('Golden 20'!#REF!,"AAAAAHvP/yw=")</f>
        <v>#REF!</v>
      </c>
      <c r="AT54" t="e">
        <f>AND('Golden 20'!#REF!,"AAAAAHvP/y0=")</f>
        <v>#REF!</v>
      </c>
      <c r="AU54" t="e">
        <f>AND('Golden 20'!#REF!,"AAAAAHvP/y4=")</f>
        <v>#REF!</v>
      </c>
      <c r="AV54" t="e">
        <f>AND('Golden 20'!#REF!,"AAAAAHvP/y8=")</f>
        <v>#REF!</v>
      </c>
      <c r="AW54" t="e">
        <f>AND('Golden 20'!#REF!,"AAAAAHvP/zA=")</f>
        <v>#REF!</v>
      </c>
      <c r="AX54" t="e">
        <f>AND('Golden 20'!#REF!,"AAAAAHvP/zE=")</f>
        <v>#REF!</v>
      </c>
      <c r="AY54" t="e">
        <f>AND('Golden 20'!#REF!,"AAAAAHvP/zI=")</f>
        <v>#REF!</v>
      </c>
      <c r="AZ54" t="e">
        <f>AND('Golden 20'!#REF!,"AAAAAHvP/zM=")</f>
        <v>#REF!</v>
      </c>
      <c r="BA54" t="e">
        <f>AND('Golden 20'!#REF!,"AAAAAHvP/zQ=")</f>
        <v>#REF!</v>
      </c>
      <c r="BB54" t="e">
        <f>AND('Golden 20'!#REF!,"AAAAAHvP/zU=")</f>
        <v>#REF!</v>
      </c>
      <c r="BC54" t="e">
        <f>AND('Golden 20'!#REF!,"AAAAAHvP/zY=")</f>
        <v>#REF!</v>
      </c>
      <c r="BD54" t="e">
        <f>AND('Golden 20'!#REF!,"AAAAAHvP/zc=")</f>
        <v>#REF!</v>
      </c>
      <c r="BE54" t="e">
        <f>AND('Golden 20'!#REF!,"AAAAAHvP/zg=")</f>
        <v>#REF!</v>
      </c>
      <c r="BF54" t="e">
        <f>AND('Golden 20'!#REF!,"AAAAAHvP/zk=")</f>
        <v>#REF!</v>
      </c>
      <c r="BG54" t="e">
        <f>AND('Golden 20'!#REF!,"AAAAAHvP/zo=")</f>
        <v>#REF!</v>
      </c>
      <c r="BH54" t="e">
        <f>AND('Golden 20'!#REF!,"AAAAAHvP/zs=")</f>
        <v>#REF!</v>
      </c>
      <c r="BI54" t="e">
        <f>AND('Golden 20'!#REF!,"AAAAAHvP/zw=")</f>
        <v>#REF!</v>
      </c>
      <c r="BJ54" t="e">
        <f>AND('Golden 20'!#REF!,"AAAAAHvP/z0=")</f>
        <v>#REF!</v>
      </c>
      <c r="BK54" t="e">
        <f>AND('Golden 20'!#REF!,"AAAAAHvP/z4=")</f>
        <v>#REF!</v>
      </c>
      <c r="BL54" t="e">
        <f>AND('Golden 20'!#REF!,"AAAAAHvP/z8=")</f>
        <v>#REF!</v>
      </c>
      <c r="BM54" t="e">
        <f>AND('Golden 20'!#REF!,"AAAAAHvP/0A=")</f>
        <v>#REF!</v>
      </c>
      <c r="BN54" t="e">
        <f>AND('Golden 20'!#REF!,"AAAAAHvP/0E=")</f>
        <v>#REF!</v>
      </c>
      <c r="BO54" t="e">
        <f>AND('Golden 20'!#REF!,"AAAAAHvP/0I=")</f>
        <v>#REF!</v>
      </c>
      <c r="BP54" t="e">
        <f>AND('Golden 20'!#REF!,"AAAAAHvP/0M=")</f>
        <v>#REF!</v>
      </c>
      <c r="BQ54" t="e">
        <f>AND('Golden 20'!#REF!,"AAAAAHvP/0Q=")</f>
        <v>#REF!</v>
      </c>
      <c r="BR54" t="e">
        <f>AND('Golden 20'!#REF!,"AAAAAHvP/0U=")</f>
        <v>#REF!</v>
      </c>
      <c r="BS54" t="e">
        <f>AND('Golden 20'!#REF!,"AAAAAHvP/0Y=")</f>
        <v>#REF!</v>
      </c>
      <c r="BT54" t="e">
        <f>AND('Golden 20'!#REF!,"AAAAAHvP/0c=")</f>
        <v>#REF!</v>
      </c>
      <c r="BU54" t="e">
        <f>AND('Golden 20'!#REF!,"AAAAAHvP/0g=")</f>
        <v>#REF!</v>
      </c>
      <c r="BV54" t="e">
        <f>AND('Golden 20'!#REF!,"AAAAAHvP/0k=")</f>
        <v>#REF!</v>
      </c>
      <c r="BW54" t="e">
        <f>AND('Golden 20'!#REF!,"AAAAAHvP/0o=")</f>
        <v>#REF!</v>
      </c>
      <c r="BX54" t="e">
        <f>AND('Golden 20'!#REF!,"AAAAAHvP/0s=")</f>
        <v>#REF!</v>
      </c>
      <c r="BY54" t="e">
        <f>AND('Golden 20'!#REF!,"AAAAAHvP/0w=")</f>
        <v>#REF!</v>
      </c>
      <c r="BZ54" t="e">
        <f>AND('Golden 20'!#REF!,"AAAAAHvP/00=")</f>
        <v>#REF!</v>
      </c>
      <c r="CA54" t="e">
        <f>AND('Golden 20'!#REF!,"AAAAAHvP/04=")</f>
        <v>#REF!</v>
      </c>
      <c r="CB54" t="e">
        <f>AND('Golden 20'!#REF!,"AAAAAHvP/08=")</f>
        <v>#REF!</v>
      </c>
      <c r="CC54" t="e">
        <f>AND('Golden 20'!#REF!,"AAAAAHvP/1A=")</f>
        <v>#REF!</v>
      </c>
      <c r="CD54" t="e">
        <f>AND('Golden 20'!#REF!,"AAAAAHvP/1E=")</f>
        <v>#REF!</v>
      </c>
      <c r="CE54" t="e">
        <f>AND('Golden 20'!#REF!,"AAAAAHvP/1I=")</f>
        <v>#REF!</v>
      </c>
      <c r="CF54" t="e">
        <f>AND('Golden 20'!#REF!,"AAAAAHvP/1M=")</f>
        <v>#REF!</v>
      </c>
      <c r="CG54" t="e">
        <f>AND('Golden 20'!#REF!,"AAAAAHvP/1Q=")</f>
        <v>#REF!</v>
      </c>
      <c r="CH54" t="e">
        <f>AND('Golden 20'!#REF!,"AAAAAHvP/1U=")</f>
        <v>#REF!</v>
      </c>
      <c r="CI54" t="e">
        <f>AND('Golden 20'!#REF!,"AAAAAHvP/1Y=")</f>
        <v>#REF!</v>
      </c>
      <c r="CJ54" t="e">
        <f>IF('Golden 20'!#REF!,"AAAAAHvP/1c=",0)</f>
        <v>#REF!</v>
      </c>
      <c r="CK54" t="e">
        <f>IF('Golden 20'!#REF!,"AAAAAHvP/1g=",0)</f>
        <v>#REF!</v>
      </c>
      <c r="CL54" t="e">
        <f>IF('Golden 20'!#REF!,"AAAAAHvP/1k=",0)</f>
        <v>#REF!</v>
      </c>
    </row>
    <row r="55" spans="1:256">
      <c r="A55" t="e">
        <f>AND('Golden 20'!#REF!,"AAAAAD/XTgA=")</f>
        <v>#REF!</v>
      </c>
      <c r="B55" t="e">
        <f>AND('Golden 20'!#REF!,"AAAAAD/XTgE=")</f>
        <v>#REF!</v>
      </c>
      <c r="C55" t="e">
        <f>AND('Golden 20'!#REF!,"AAAAAD/XTgI=")</f>
        <v>#REF!</v>
      </c>
      <c r="D55" t="e">
        <f>AND('Golden 20'!#REF!,"AAAAAD/XTgM=")</f>
        <v>#REF!</v>
      </c>
      <c r="E55" t="e">
        <f>AND('Golden 20'!I26,"AAAAAD/XTgQ=")</f>
        <v>#VALUE!</v>
      </c>
      <c r="F55" t="e">
        <f>AND('Golden 20'!J26,"AAAAAD/XTgU=")</f>
        <v>#VALUE!</v>
      </c>
      <c r="G55" t="b">
        <f>AND('Golden 20'!E1,"AAAAAD/XTgY=")</f>
        <v>1</v>
      </c>
    </row>
    <row r="56" spans="1:256">
      <c r="A56" t="e">
        <f>AND('Golden 20'!#REF!,"AAAAAFf8/wA=")</f>
        <v>#REF!</v>
      </c>
      <c r="B56" t="b">
        <f>AND('Golden 20'!U1,"AAAAAFf8/wE=")</f>
        <v>1</v>
      </c>
      <c r="C56" t="e">
        <f>AND('Golden 20'!V1,"AAAAAFf8/wI=")</f>
        <v>#VALUE!</v>
      </c>
      <c r="D56" t="e">
        <f>AND('Golden 20'!#REF!,"AAAAAFf8/wM=")</f>
        <v>#REF!</v>
      </c>
      <c r="E56" t="e">
        <f>AND('Golden 20'!#REF!,"AAAAAFf8/wQ=")</f>
        <v>#REF!</v>
      </c>
      <c r="F56" t="e">
        <f>AND('Golden 20'!#REF!,"AAAAAFf8/wU=")</f>
        <v>#REF!</v>
      </c>
      <c r="G56" t="e">
        <f>AND('Golden 20'!#REF!,"AAAAAFf8/wY=")</f>
        <v>#REF!</v>
      </c>
      <c r="H56" t="b">
        <f>AND('Golden 20'!U3,"AAAAAFf8/wc=")</f>
        <v>1</v>
      </c>
      <c r="I56" t="e">
        <f>AND('Golden 20'!V3,"AAAAAFf8/wg=")</f>
        <v>#VALUE!</v>
      </c>
      <c r="J56" t="e">
        <f>AND('Golden 20'!#REF!,"AAAAAFf8/wk=")</f>
        <v>#REF!</v>
      </c>
      <c r="K56" t="e">
        <f>AND('Golden 20'!#REF!,"AAAAAFf8/wo=")</f>
        <v>#REF!</v>
      </c>
      <c r="L56" t="e">
        <f>AND('Golden 20'!#REF!,"AAAAAFf8/ws=")</f>
        <v>#REF!</v>
      </c>
      <c r="M56" t="e">
        <f>AND('Golden 20'!#REF!,"AAAAAFf8/ww=")</f>
        <v>#REF!</v>
      </c>
      <c r="N56" t="b">
        <f>AND('Golden 20'!U2,"AAAAAFf8/w0=")</f>
        <v>1</v>
      </c>
      <c r="O56" t="e">
        <f>AND('Golden 20'!V2,"AAAAAFf8/w4=")</f>
        <v>#VALUE!</v>
      </c>
      <c r="P56" t="e">
        <f>AND('Golden 20'!#REF!,"AAAAAFf8/w8=")</f>
        <v>#REF!</v>
      </c>
      <c r="Q56" t="e">
        <f>AND('Golden 20'!#REF!,"AAAAAFf8/xA=")</f>
        <v>#REF!</v>
      </c>
      <c r="R56" t="e">
        <f>AND('Golden 20'!#REF!,"AAAAAFf8/xE=")</f>
        <v>#REF!</v>
      </c>
      <c r="S56" t="e">
        <f>AND('Golden 20'!#REF!,"AAAAAFf8/xI=")</f>
        <v>#REF!</v>
      </c>
      <c r="T56" t="b">
        <f>AND('Golden 20'!U4,"AAAAAFf8/xM=")</f>
        <v>1</v>
      </c>
      <c r="U56" t="e">
        <f>AND('Golden 20'!V4,"AAAAAFf8/xQ=")</f>
        <v>#VALUE!</v>
      </c>
      <c r="V56" t="e">
        <f>AND('Golden 20'!#REF!,"AAAAAFf8/xU=")</f>
        <v>#REF!</v>
      </c>
      <c r="W56" t="e">
        <f>AND('Golden 20'!#REF!,"AAAAAFf8/xY=")</f>
        <v>#REF!</v>
      </c>
      <c r="X56" t="e">
        <f>AND('Golden 20'!#REF!,"AAAAAFf8/xc=")</f>
        <v>#REF!</v>
      </c>
      <c r="Y56" t="e">
        <f>AND('Golden 20'!#REF!,"AAAAAFf8/xg=")</f>
        <v>#REF!</v>
      </c>
      <c r="Z56" t="b">
        <f>AND('Golden 20'!U5,"AAAAAFf8/xk=")</f>
        <v>1</v>
      </c>
      <c r="AA56" t="e">
        <f>AND('Golden 20'!V5,"AAAAAFf8/xo=")</f>
        <v>#VALUE!</v>
      </c>
      <c r="AB56" t="e">
        <f>AND('Golden 20'!#REF!,"AAAAAFf8/xs=")</f>
        <v>#REF!</v>
      </c>
      <c r="AC56" t="e">
        <f>AND('Golden 20'!#REF!,"AAAAAFf8/xw=")</f>
        <v>#REF!</v>
      </c>
      <c r="AD56" t="e">
        <f>AND('Golden 20'!#REF!,"AAAAAFf8/x0=")</f>
        <v>#REF!</v>
      </c>
      <c r="AE56" t="e">
        <f>AND('Golden 20'!#REF!,"AAAAAFf8/x4=")</f>
        <v>#REF!</v>
      </c>
      <c r="AF56" t="b">
        <f>AND('Golden 20'!U6,"AAAAAFf8/x8=")</f>
        <v>1</v>
      </c>
      <c r="AG56" t="e">
        <f>AND('Golden 20'!V6,"AAAAAFf8/yA=")</f>
        <v>#VALUE!</v>
      </c>
      <c r="AH56" t="e">
        <f>AND('Golden 20'!#REF!,"AAAAAFf8/yE=")</f>
        <v>#REF!</v>
      </c>
      <c r="AI56" t="e">
        <f>AND('Golden 20'!#REF!,"AAAAAFf8/yI=")</f>
        <v>#REF!</v>
      </c>
      <c r="AJ56" t="e">
        <f>AND('Golden 20'!#REF!,"AAAAAFf8/yM=")</f>
        <v>#REF!</v>
      </c>
      <c r="AK56" t="e">
        <f>AND('Golden 20'!#REF!,"AAAAAFf8/yQ=")</f>
        <v>#REF!</v>
      </c>
      <c r="AL56" t="e">
        <f>AND('Golden 20'!#REF!,"AAAAAFf8/yU=")</f>
        <v>#REF!</v>
      </c>
      <c r="AM56" t="e">
        <f>AND('Golden 20'!#REF!,"AAAAAFf8/yY=")</f>
        <v>#REF!</v>
      </c>
      <c r="AN56" t="e">
        <f>AND('Golden 20'!#REF!,"AAAAAFf8/yc=")</f>
        <v>#REF!</v>
      </c>
      <c r="AO56" t="e">
        <f>AND('Golden 20'!#REF!,"AAAAAFf8/yg=")</f>
        <v>#REF!</v>
      </c>
      <c r="AP56" t="e">
        <f>AND('Golden 20'!#REF!,"AAAAAFf8/yk=")</f>
        <v>#REF!</v>
      </c>
      <c r="AQ56" t="e">
        <f>AND('Golden 20'!#REF!,"AAAAAFf8/yo=")</f>
        <v>#REF!</v>
      </c>
      <c r="AR56" t="b">
        <f>AND('Golden 20'!U8,"AAAAAFf8/ys=")</f>
        <v>1</v>
      </c>
      <c r="AS56" t="e">
        <f>AND('Golden 20'!V9,"AAAAAFf8/yw=")</f>
        <v>#VALUE!</v>
      </c>
      <c r="AT56" t="e">
        <f>AND('Golden 20'!#REF!,"AAAAAFf8/y0=")</f>
        <v>#REF!</v>
      </c>
      <c r="AU56" t="e">
        <f>AND('Golden 20'!#REF!,"AAAAAFf8/y4=")</f>
        <v>#REF!</v>
      </c>
      <c r="AV56" t="e">
        <f>AND('Golden 20'!#REF!,"AAAAAFf8/y8=")</f>
        <v>#REF!</v>
      </c>
      <c r="AW56" t="e">
        <f>AND('Golden 20'!#REF!,"AAAAAFf8/zA=")</f>
        <v>#REF!</v>
      </c>
      <c r="AX56" t="b">
        <f>AND('Golden 20'!U9,"AAAAAFf8/zE=")</f>
        <v>1</v>
      </c>
      <c r="AY56" t="e">
        <f>AND('Golden 20'!V8,"AAAAAFf8/zI=")</f>
        <v>#VALUE!</v>
      </c>
      <c r="AZ56" t="e">
        <f>AND('Golden 20'!#REF!,"AAAAAFf8/zM=")</f>
        <v>#REF!</v>
      </c>
      <c r="BA56" t="e">
        <f>AND('Golden 20'!#REF!,"AAAAAFf8/zQ=")</f>
        <v>#REF!</v>
      </c>
      <c r="BB56" t="e">
        <f>AND('Golden 20'!#REF!,"AAAAAFf8/zU=")</f>
        <v>#REF!</v>
      </c>
      <c r="BC56" t="e">
        <f>AND('Golden 20'!#REF!,"AAAAAFf8/zY=")</f>
        <v>#REF!</v>
      </c>
      <c r="BD56" t="b">
        <f>AND('Golden 20'!U11,"AAAAAFf8/zc=")</f>
        <v>1</v>
      </c>
      <c r="BE56" t="e">
        <f>AND('Golden 20'!V11,"AAAAAFf8/zg=")</f>
        <v>#VALUE!</v>
      </c>
      <c r="BF56" t="e">
        <f>AND('Golden 20'!#REF!,"AAAAAFf8/zk=")</f>
        <v>#REF!</v>
      </c>
      <c r="BG56" t="e">
        <f>AND('Golden 20'!#REF!,"AAAAAFf8/zo=")</f>
        <v>#REF!</v>
      </c>
      <c r="BH56" t="e">
        <f>AND('Golden 20'!#REF!,"AAAAAFf8/zs=")</f>
        <v>#REF!</v>
      </c>
      <c r="BI56" t="e">
        <f>AND('Golden 20'!#REF!,"AAAAAFf8/zw=")</f>
        <v>#REF!</v>
      </c>
      <c r="BJ56" t="b">
        <f>AND('Golden 20'!U18,"AAAAAFf8/z0=")</f>
        <v>1</v>
      </c>
      <c r="BK56" t="e">
        <f>AND('Golden 20'!V18,"AAAAAFf8/z4=")</f>
        <v>#VALUE!</v>
      </c>
      <c r="BL56" t="e">
        <f>AND('Golden 20'!#REF!,"AAAAAFf8/z8=")</f>
        <v>#REF!</v>
      </c>
      <c r="BM56" t="e">
        <f>AND('Golden 20'!#REF!,"AAAAAFf8/0A=")</f>
        <v>#REF!</v>
      </c>
      <c r="BN56" t="e">
        <f>AND('Golden 20'!#REF!,"AAAAAFf8/0E=")</f>
        <v>#REF!</v>
      </c>
      <c r="BO56" t="e">
        <f>AND('Golden 20'!#REF!,"AAAAAFf8/0I=")</f>
        <v>#REF!</v>
      </c>
      <c r="BP56" t="b">
        <f>AND('Golden 20'!U17,"AAAAAFf8/0M=")</f>
        <v>1</v>
      </c>
      <c r="BQ56" t="e">
        <f>AND('Golden 20'!V17,"AAAAAFf8/0Q=")</f>
        <v>#VALUE!</v>
      </c>
      <c r="BR56" t="e">
        <f>AND('Golden 20'!#REF!,"AAAAAFf8/0U=")</f>
        <v>#REF!</v>
      </c>
      <c r="BS56" t="e">
        <f>AND('Golden 20'!#REF!,"AAAAAFf8/0Y=")</f>
        <v>#REF!</v>
      </c>
      <c r="BT56" t="e">
        <f>AND('Golden 20'!#REF!,"AAAAAFf8/0c=")</f>
        <v>#REF!</v>
      </c>
      <c r="BU56" t="e">
        <f>AND('Golden 20'!#REF!,"AAAAAFf8/0g=")</f>
        <v>#REF!</v>
      </c>
      <c r="BV56" t="b">
        <f>AND('Golden 20'!U12,"AAAAAFf8/0k=")</f>
        <v>1</v>
      </c>
      <c r="BW56" t="e">
        <f>AND('Golden 20'!V12,"AAAAAFf8/0o=")</f>
        <v>#VALUE!</v>
      </c>
      <c r="BX56" t="e">
        <f>AND('Golden 20'!#REF!,"AAAAAFf8/0s=")</f>
        <v>#REF!</v>
      </c>
      <c r="BY56" t="e">
        <f>AND('Golden 20'!#REF!,"AAAAAFf8/0w=")</f>
        <v>#REF!</v>
      </c>
      <c r="BZ56" t="e">
        <f>AND('Golden 20'!#REF!,"AAAAAFf8/00=")</f>
        <v>#REF!</v>
      </c>
      <c r="CA56" t="e">
        <f>AND('Golden 20'!#REF!,"AAAAAFf8/04=")</f>
        <v>#REF!</v>
      </c>
      <c r="CB56" t="b">
        <f>AND('Golden 20'!U13,"AAAAAFf8/08=")</f>
        <v>1</v>
      </c>
      <c r="CC56" t="e">
        <f>AND('Golden 20'!V13,"AAAAAFf8/1A=")</f>
        <v>#VALUE!</v>
      </c>
      <c r="CD56" t="e">
        <f>AND('Golden 20'!#REF!,"AAAAAFf8/1E=")</f>
        <v>#REF!</v>
      </c>
      <c r="CE56" t="e">
        <f>AND('Golden 20'!#REF!,"AAAAAFf8/1I=")</f>
        <v>#REF!</v>
      </c>
      <c r="CF56" t="e">
        <f>AND('Golden 20'!#REF!,"AAAAAFf8/1M=")</f>
        <v>#REF!</v>
      </c>
      <c r="CG56" t="e">
        <f>AND('Golden 20'!#REF!,"AAAAAFf8/1Q=")</f>
        <v>#REF!</v>
      </c>
      <c r="CH56" t="b">
        <f>AND('Golden 20'!U14,"AAAAAFf8/1U=")</f>
        <v>1</v>
      </c>
      <c r="CI56" t="e">
        <f>AND('Golden 20'!V14,"AAAAAFf8/1Y=")</f>
        <v>#VALUE!</v>
      </c>
      <c r="CJ56" t="e">
        <f>AND('Golden 20'!#REF!,"AAAAAFf8/1c=")</f>
        <v>#REF!</v>
      </c>
      <c r="CK56" t="e">
        <f>AND('Golden 20'!#REF!,"AAAAAFf8/1g=")</f>
        <v>#REF!</v>
      </c>
      <c r="CL56" t="e">
        <f>AND('Golden 20'!#REF!,"AAAAAFf8/1k=")</f>
        <v>#REF!</v>
      </c>
      <c r="CM56" t="e">
        <f>AND('Golden 20'!#REF!,"AAAAAFf8/1o=")</f>
        <v>#REF!</v>
      </c>
      <c r="CN56" t="b">
        <f>AND('Golden 20'!U15,"AAAAAFf8/1s=")</f>
        <v>1</v>
      </c>
      <c r="CO56" t="e">
        <f>AND('Golden 20'!V15,"AAAAAFf8/1w=")</f>
        <v>#VALUE!</v>
      </c>
      <c r="CP56" t="e">
        <f>AND('Golden 20'!#REF!,"AAAAAFf8/10=")</f>
        <v>#REF!</v>
      </c>
      <c r="CQ56" t="e">
        <f>AND('Golden 20'!#REF!,"AAAAAFf8/14=")</f>
        <v>#REF!</v>
      </c>
      <c r="CR56" t="e">
        <f>AND('Golden 20'!#REF!,"AAAAAFf8/18=")</f>
        <v>#REF!</v>
      </c>
      <c r="CS56" t="e">
        <f>AND('Golden 20'!#REF!,"AAAAAFf8/2A=")</f>
        <v>#REF!</v>
      </c>
      <c r="CT56" t="b">
        <f>AND('Golden 20'!U10,"AAAAAFf8/2E=")</f>
        <v>1</v>
      </c>
      <c r="CU56" t="e">
        <f>AND('Golden 20'!V10,"AAAAAFf8/2I=")</f>
        <v>#VALUE!</v>
      </c>
      <c r="CV56" t="e">
        <f>AND('Golden 20'!#REF!,"AAAAAFf8/2M=")</f>
        <v>#REF!</v>
      </c>
      <c r="CW56" t="e">
        <f>AND('Golden 20'!#REF!,"AAAAAFf8/2Q=")</f>
        <v>#REF!</v>
      </c>
      <c r="CX56" t="e">
        <f>AND('Golden 20'!#REF!,"AAAAAFf8/2U=")</f>
        <v>#REF!</v>
      </c>
      <c r="CY56" t="e">
        <f>AND('Golden 20'!#REF!,"AAAAAFf8/2Y=")</f>
        <v>#REF!</v>
      </c>
      <c r="CZ56" t="b">
        <f>AND('Golden 20'!U7,"AAAAAFf8/2c=")</f>
        <v>1</v>
      </c>
      <c r="DA56" t="e">
        <f>AND('Golden 20'!V7,"AAAAAFf8/2g=")</f>
        <v>#VALUE!</v>
      </c>
      <c r="DB56" t="e">
        <f>AND('Golden 20'!#REF!,"AAAAAFf8/2k=")</f>
        <v>#REF!</v>
      </c>
      <c r="DC56" t="e">
        <f>AND('Golden 20'!#REF!,"AAAAAFf8/2o=")</f>
        <v>#REF!</v>
      </c>
      <c r="DD56" t="e">
        <f>AND('Golden 20'!#REF!,"AAAAAFf8/2s=")</f>
        <v>#REF!</v>
      </c>
      <c r="DE56" t="e">
        <f>AND('Golden 20'!#REF!,"AAAAAFf8/2w=")</f>
        <v>#REF!</v>
      </c>
      <c r="DF56" t="b">
        <f>AND('Golden 20'!U19,"AAAAAFf8/20=")</f>
        <v>1</v>
      </c>
      <c r="DG56" t="e">
        <f>AND('Golden 20'!V19,"AAAAAFf8/24=")</f>
        <v>#VALUE!</v>
      </c>
      <c r="DH56" t="e">
        <f>AND('Golden 20'!#REF!,"AAAAAFf8/28=")</f>
        <v>#REF!</v>
      </c>
      <c r="DI56" t="e">
        <f>AND('Golden 20'!#REF!,"AAAAAFf8/3A=")</f>
        <v>#REF!</v>
      </c>
      <c r="DJ56" t="e">
        <f>AND('Golden 20'!#REF!,"AAAAAFf8/3E=")</f>
        <v>#REF!</v>
      </c>
      <c r="DK56" t="e">
        <f>AND('Golden 20'!#REF!,"AAAAAFf8/3I=")</f>
        <v>#REF!</v>
      </c>
      <c r="DL56" t="b">
        <f>AND('Golden 20'!U16,"AAAAAFf8/3M=")</f>
        <v>1</v>
      </c>
      <c r="DM56" t="e">
        <f>AND('Golden 20'!V16,"AAAAAFf8/3Q=")</f>
        <v>#VALUE!</v>
      </c>
      <c r="DN56" t="e">
        <f>AND('Golden 20'!#REF!,"AAAAAFf8/3U=")</f>
        <v>#REF!</v>
      </c>
      <c r="DO56" t="e">
        <f>AND('Golden 20'!#REF!,"AAAAAFf8/3Y=")</f>
        <v>#REF!</v>
      </c>
      <c r="DP56" t="e">
        <f>AND('Golden 20'!#REF!,"AAAAAFf8/3c=")</f>
        <v>#REF!</v>
      </c>
      <c r="DQ56" t="e">
        <f>AND('Golden 20'!#REF!,"AAAAAFf8/3g=")</f>
        <v>#REF!</v>
      </c>
      <c r="DR56" t="e">
        <f>AND('Golden 20'!U21,"AAAAAFf8/3k=")</f>
        <v>#VALUE!</v>
      </c>
      <c r="DS56" t="e">
        <f>AND('Golden 20'!V21,"AAAAAFf8/3o=")</f>
        <v>#VALUE!</v>
      </c>
      <c r="DT56" t="e">
        <f>AND('Golden 20'!#REF!,"AAAAAFf8/3s=")</f>
        <v>#REF!</v>
      </c>
      <c r="DU56" t="e">
        <f>AND('Golden 20'!#REF!,"AAAAAFf8/3w=")</f>
        <v>#REF!</v>
      </c>
      <c r="DV56" t="e">
        <f>AND('Golden 20'!#REF!,"AAAAAFf8/30=")</f>
        <v>#REF!</v>
      </c>
      <c r="DW56" t="e">
        <f>AND('Golden 20'!#REF!,"AAAAAFf8/34=")</f>
        <v>#REF!</v>
      </c>
      <c r="DX56" t="e">
        <f>AND('Golden 20'!U22,"AAAAAFf8/38=")</f>
        <v>#VALUE!</v>
      </c>
      <c r="DY56" t="e">
        <f>AND('Golden 20'!V22,"AAAAAFf8/4A=")</f>
        <v>#VALUE!</v>
      </c>
      <c r="DZ56" t="e">
        <f>AND('Golden 20'!#REF!,"AAAAAFf8/4E=")</f>
        <v>#REF!</v>
      </c>
      <c r="EA56" t="e">
        <f>AND('Golden 20'!#REF!,"AAAAAFf8/4I=")</f>
        <v>#REF!</v>
      </c>
      <c r="EB56" t="e">
        <f>AND('Golden 20'!#REF!,"AAAAAFf8/4M=")</f>
        <v>#REF!</v>
      </c>
      <c r="EC56" t="e">
        <f>AND('Golden 20'!#REF!,"AAAAAFf8/4Q=")</f>
        <v>#REF!</v>
      </c>
      <c r="ED56" t="e">
        <f>AND('Golden 20'!U23,"AAAAAFf8/4U=")</f>
        <v>#VALUE!</v>
      </c>
      <c r="EE56" t="e">
        <f>AND('Golden 20'!V23,"AAAAAFf8/4Y=")</f>
        <v>#VALUE!</v>
      </c>
      <c r="EF56" t="e">
        <f>AND('Golden 20'!#REF!,"AAAAAFf8/4c=")</f>
        <v>#REF!</v>
      </c>
      <c r="EG56" t="e">
        <f>AND('Golden 20'!#REF!,"AAAAAFf8/4g=")</f>
        <v>#REF!</v>
      </c>
      <c r="EH56" t="e">
        <f>AND('Golden 20'!#REF!,"AAAAAFf8/4k=")</f>
        <v>#REF!</v>
      </c>
      <c r="EI56" t="e">
        <f>AND('Golden 20'!#REF!,"AAAAAFf8/4o=")</f>
        <v>#REF!</v>
      </c>
      <c r="EJ56" t="e">
        <f>AND('Golden 20'!U24,"AAAAAFf8/4s=")</f>
        <v>#VALUE!</v>
      </c>
      <c r="EK56" t="e">
        <f>AND('Golden 20'!V24,"AAAAAFf8/4w=")</f>
        <v>#VALUE!</v>
      </c>
      <c r="EL56" t="e">
        <f>AND('Golden 20'!#REF!,"AAAAAFf8/40=")</f>
        <v>#REF!</v>
      </c>
      <c r="EM56" t="e">
        <f>AND('Golden 20'!#REF!,"AAAAAFf8/44=")</f>
        <v>#REF!</v>
      </c>
      <c r="EN56" t="e">
        <f>AND('Golden 20'!#REF!,"AAAAAFf8/48=")</f>
        <v>#REF!</v>
      </c>
      <c r="EO56" t="e">
        <f>AND('Golden 20'!#REF!,"AAAAAFf8/5A=")</f>
        <v>#REF!</v>
      </c>
      <c r="EP56" t="e">
        <f>AND('Golden 20'!U25,"AAAAAFf8/5E=")</f>
        <v>#VALUE!</v>
      </c>
      <c r="EQ56" t="e">
        <f>AND('Golden 20'!V25,"AAAAAFf8/5I=")</f>
        <v>#VALUE!</v>
      </c>
      <c r="ER56" t="e">
        <f>AND('Golden 20'!#REF!,"AAAAAFf8/5M=")</f>
        <v>#REF!</v>
      </c>
      <c r="ES56" t="e">
        <f>AND('Golden 20'!#REF!,"AAAAAFf8/5Q=")</f>
        <v>#REF!</v>
      </c>
      <c r="ET56" t="e">
        <f>AND('Golden 20'!#REF!,"AAAAAFf8/5U=")</f>
        <v>#REF!</v>
      </c>
      <c r="EU56" t="e">
        <f>AND('Golden 20'!#REF!,"AAAAAFf8/5Y=")</f>
        <v>#REF!</v>
      </c>
      <c r="EV56" t="e">
        <f>AND('Golden 20'!U26,"AAAAAFf8/5c=")</f>
        <v>#VALUE!</v>
      </c>
      <c r="EW56" t="e">
        <f>AND('Golden 20'!V26,"AAAAAFf8/5g=")</f>
        <v>#VALUE!</v>
      </c>
      <c r="EX56" t="e">
        <f>AND('Golden 20'!#REF!,"AAAAAFf8/5k=")</f>
        <v>#REF!</v>
      </c>
      <c r="EY56" t="e">
        <f>AND('Golden 20'!#REF!,"AAAAAFf8/5o=")</f>
        <v>#REF!</v>
      </c>
      <c r="EZ56" t="e">
        <f>AND('Golden 20'!#REF!,"AAAAAFf8/5s=")</f>
        <v>#REF!</v>
      </c>
      <c r="FA56" t="e">
        <f>AND('Golden 20'!#REF!,"AAAAAFf8/5w=")</f>
        <v>#REF!</v>
      </c>
      <c r="FB56" t="e">
        <f>AND('Golden 20'!U27,"AAAAAFf8/50=")</f>
        <v>#VALUE!</v>
      </c>
      <c r="FC56" t="e">
        <f>AND('Golden 20'!V27,"AAAAAFf8/54=")</f>
        <v>#VALUE!</v>
      </c>
      <c r="FD56" t="e">
        <f>AND('Golden 20'!#REF!,"AAAAAFf8/58=")</f>
        <v>#REF!</v>
      </c>
      <c r="FE56" t="e">
        <f>AND('Golden 20'!#REF!,"AAAAAFf8/6A=")</f>
        <v>#REF!</v>
      </c>
      <c r="FF56" t="e">
        <f>AND('Golden 20'!#REF!,"AAAAAFf8/6E=")</f>
        <v>#REF!</v>
      </c>
      <c r="FG56" t="e">
        <f>AND('Golden 20'!#REF!,"AAAAAFf8/6I=")</f>
        <v>#REF!</v>
      </c>
      <c r="FH56" t="e">
        <f>AND('Golden 20'!U28,"AAAAAFf8/6M=")</f>
        <v>#VALUE!</v>
      </c>
      <c r="FI56" t="e">
        <f>AND('Golden 20'!V28,"AAAAAFf8/6Q=")</f>
        <v>#VALUE!</v>
      </c>
      <c r="FJ56" t="e">
        <f>AND('Golden 20'!#REF!,"AAAAAFf8/6U=")</f>
        <v>#REF!</v>
      </c>
      <c r="FK56" t="e">
        <f>AND('Golden 20'!#REF!,"AAAAAFf8/6Y=")</f>
        <v>#REF!</v>
      </c>
      <c r="FL56" t="e">
        <f>AND('Golden 20'!#REF!,"AAAAAFf8/6c=")</f>
        <v>#REF!</v>
      </c>
      <c r="FM56" t="e">
        <f>AND('Golden 20'!#REF!,"AAAAAFf8/6g=")</f>
        <v>#REF!</v>
      </c>
      <c r="FN56" t="e">
        <f>AND('Golden 20'!U29,"AAAAAFf8/6k=")</f>
        <v>#VALUE!</v>
      </c>
      <c r="FO56" t="e">
        <f>AND('Golden 20'!V29,"AAAAAFf8/6o=")</f>
        <v>#VALUE!</v>
      </c>
      <c r="FP56" t="e">
        <f>AND('Golden 20'!#REF!,"AAAAAFf8/6s=")</f>
        <v>#REF!</v>
      </c>
      <c r="FQ56" t="e">
        <f>AND('Golden 20'!#REF!,"AAAAAFf8/6w=")</f>
        <v>#REF!</v>
      </c>
      <c r="FR56" t="e">
        <f>AND('Golden 20'!#REF!,"AAAAAFf8/60=")</f>
        <v>#REF!</v>
      </c>
      <c r="FS56" t="e">
        <f>AND('Golden 20'!#REF!,"AAAAAFf8/64=")</f>
        <v>#REF!</v>
      </c>
      <c r="FT56" t="e">
        <f>AND('Golden 20'!#REF!,"AAAAAFf8/68=")</f>
        <v>#REF!</v>
      </c>
      <c r="FU56" t="e">
        <f>AND('Golden 20'!#REF!,"AAAAAFf8/7A=")</f>
        <v>#REF!</v>
      </c>
      <c r="FV56" t="e">
        <f>AND('Golden 20'!#REF!,"AAAAAFf8/7E=")</f>
        <v>#REF!</v>
      </c>
      <c r="FW56" t="e">
        <f>AND('Golden 20'!Q30,"AAAAAFf8/7I=")</f>
        <v>#VALUE!</v>
      </c>
      <c r="FX56" t="e">
        <f>AND('Golden 20'!R30,"AAAAAFf8/7M=")</f>
        <v>#VALUE!</v>
      </c>
      <c r="FY56" t="e">
        <f>AND('Golden 20'!#REF!,"AAAAAFf8/7Q=")</f>
        <v>#REF!</v>
      </c>
      <c r="FZ56" t="e">
        <f>AND('Golden 20'!#REF!,"AAAAAFf8/7U=")</f>
        <v>#REF!</v>
      </c>
      <c r="GA56" t="e">
        <f>AND('Golden 20'!S30,"AAAAAFf8/7Y=")</f>
        <v>#VALUE!</v>
      </c>
      <c r="GB56" t="e">
        <f>AND('Golden 20'!T30,"AAAAAFf8/7c=")</f>
        <v>#VALUE!</v>
      </c>
      <c r="GC56" t="e">
        <f>AND('Golden 20'!#REF!,"AAAAAFf8/7g=")</f>
        <v>#REF!</v>
      </c>
      <c r="GD56" t="e">
        <f>AND('Golden 20'!#REF!,"AAAAAFf8/7k=")</f>
        <v>#REF!</v>
      </c>
      <c r="GE56" t="e">
        <f>AND('Golden 20'!#REF!,"AAAAAFf8/7o=")</f>
        <v>#REF!</v>
      </c>
      <c r="GF56" t="e">
        <f>AND('Golden 20'!#REF!,"AAAAAFf8/7s=")</f>
        <v>#REF!</v>
      </c>
      <c r="GG56" t="e">
        <f>AND('Golden 20'!#REF!,"AAAAAFf8/7w=")</f>
        <v>#REF!</v>
      </c>
      <c r="GH56" t="e">
        <f>AND('Golden 20'!#REF!,"AAAAAFf8/70=")</f>
        <v>#REF!</v>
      </c>
      <c r="GI56" t="e">
        <f>AND('Golden 20'!U30,"AAAAAFf8/74=")</f>
        <v>#VALUE!</v>
      </c>
      <c r="GJ56" t="e">
        <f>AND('Golden 20'!V30,"AAAAAFf8/78=")</f>
        <v>#VALUE!</v>
      </c>
      <c r="GK56" t="e">
        <f>AND('Golden 20'!#REF!,"AAAAAFf8/8A=")</f>
        <v>#REF!</v>
      </c>
      <c r="GL56" t="e">
        <f>AND('Golden 20'!#REF!,"AAAAAFf8/8E=")</f>
        <v>#REF!</v>
      </c>
      <c r="GM56" t="e">
        <f>AND('Golden 20'!#REF!,"AAAAAFf8/8I=")</f>
        <v>#REF!</v>
      </c>
      <c r="GN56" t="e">
        <f>AND('Golden 20'!#REF!,"AAAAAFf8/8M=")</f>
        <v>#REF!</v>
      </c>
      <c r="GO56" t="e">
        <f>AND('Golden 20'!#REF!,"AAAAAFf8/8Q=")</f>
        <v>#REF!</v>
      </c>
      <c r="GP56" t="e">
        <f>AND('Golden 20'!#REF!,"AAAAAFf8/8U=")</f>
        <v>#REF!</v>
      </c>
      <c r="GQ56" t="e">
        <f>AND('Golden 20'!#REF!,"AAAAAFf8/8Y=")</f>
        <v>#REF!</v>
      </c>
      <c r="GR56" t="e">
        <f>AND('Golden 20'!Q31,"AAAAAFf8/8c=")</f>
        <v>#VALUE!</v>
      </c>
      <c r="GS56" t="e">
        <f>AND('Golden 20'!R31,"AAAAAFf8/8g=")</f>
        <v>#VALUE!</v>
      </c>
      <c r="GT56" t="e">
        <f>AND('Golden 20'!#REF!,"AAAAAFf8/8k=")</f>
        <v>#REF!</v>
      </c>
      <c r="GU56" t="e">
        <f>AND('Golden 20'!#REF!,"AAAAAFf8/8o=")</f>
        <v>#REF!</v>
      </c>
      <c r="GV56" t="e">
        <f>AND('Golden 20'!S31,"AAAAAFf8/8s=")</f>
        <v>#VALUE!</v>
      </c>
      <c r="GW56" t="e">
        <f>AND('Golden 20'!T31,"AAAAAFf8/8w=")</f>
        <v>#VALUE!</v>
      </c>
      <c r="GX56" t="e">
        <f>AND('Golden 20'!#REF!,"AAAAAFf8/80=")</f>
        <v>#REF!</v>
      </c>
      <c r="GY56" t="e">
        <f>AND('Golden 20'!#REF!,"AAAAAFf8/84=")</f>
        <v>#REF!</v>
      </c>
      <c r="GZ56" t="e">
        <f>AND('Golden 20'!#REF!,"AAAAAFf8/88=")</f>
        <v>#REF!</v>
      </c>
      <c r="HA56" t="e">
        <f>AND('Golden 20'!#REF!,"AAAAAFf8/9A=")</f>
        <v>#REF!</v>
      </c>
      <c r="HB56" t="e">
        <f>AND('Golden 20'!#REF!,"AAAAAFf8/9E=")</f>
        <v>#REF!</v>
      </c>
      <c r="HC56" t="e">
        <f>AND('Golden 20'!#REF!,"AAAAAFf8/9I=")</f>
        <v>#REF!</v>
      </c>
      <c r="HD56" t="e">
        <f>AND('Golden 20'!U31,"AAAAAFf8/9M=")</f>
        <v>#VALUE!</v>
      </c>
      <c r="HE56" t="e">
        <f>AND('Golden 20'!V31,"AAAAAFf8/9Q=")</f>
        <v>#VALUE!</v>
      </c>
      <c r="HF56" t="e">
        <f>AND('Golden 20'!#REF!,"AAAAAFf8/9U=")</f>
        <v>#REF!</v>
      </c>
      <c r="HG56" t="e">
        <f>AND('Golden 20'!#REF!,"AAAAAFf8/9Y=")</f>
        <v>#REF!</v>
      </c>
      <c r="HH56" t="e">
        <f>AND('Golden 20'!#REF!,"AAAAAFf8/9c=")</f>
        <v>#REF!</v>
      </c>
      <c r="HI56" t="e">
        <f>AND('Golden 20'!#REF!,"AAAAAFf8/9g=")</f>
        <v>#REF!</v>
      </c>
      <c r="HJ56" t="e">
        <f>AND('Golden 20'!#REF!,"AAAAAFf8/9k=")</f>
        <v>#REF!</v>
      </c>
      <c r="HK56" t="e">
        <f>AND('Golden 20'!#REF!,"AAAAAFf8/9o=")</f>
        <v>#REF!</v>
      </c>
      <c r="HL56" t="e">
        <f>AND('Golden 20'!#REF!,"AAAAAFf8/9s=")</f>
        <v>#REF!</v>
      </c>
      <c r="HM56" t="e">
        <f>AND('Golden 20'!Q32,"AAAAAFf8/9w=")</f>
        <v>#VALUE!</v>
      </c>
      <c r="HN56" t="e">
        <f>AND('Golden 20'!R32,"AAAAAFf8/90=")</f>
        <v>#VALUE!</v>
      </c>
      <c r="HO56" t="e">
        <f>AND('Golden 20'!#REF!,"AAAAAFf8/94=")</f>
        <v>#REF!</v>
      </c>
      <c r="HP56" t="e">
        <f>AND('Golden 20'!#REF!,"AAAAAFf8/98=")</f>
        <v>#REF!</v>
      </c>
      <c r="HQ56" t="e">
        <f>AND('Golden 20'!S32,"AAAAAFf8/+A=")</f>
        <v>#VALUE!</v>
      </c>
      <c r="HR56" t="e">
        <f>AND('Golden 20'!T32,"AAAAAFf8/+E=")</f>
        <v>#VALUE!</v>
      </c>
      <c r="HS56" t="e">
        <f>AND('Golden 20'!#REF!,"AAAAAFf8/+I=")</f>
        <v>#REF!</v>
      </c>
      <c r="HT56" t="e">
        <f>AND('Golden 20'!#REF!,"AAAAAFf8/+M=")</f>
        <v>#REF!</v>
      </c>
      <c r="HU56" t="e">
        <f>AND('Golden 20'!#REF!,"AAAAAFf8/+Q=")</f>
        <v>#REF!</v>
      </c>
      <c r="HV56" t="e">
        <f>AND('Golden 20'!#REF!,"AAAAAFf8/+U=")</f>
        <v>#REF!</v>
      </c>
      <c r="HW56" t="e">
        <f>AND('Golden 20'!#REF!,"AAAAAFf8/+Y=")</f>
        <v>#REF!</v>
      </c>
      <c r="HX56" t="e">
        <f>AND('Golden 20'!#REF!,"AAAAAFf8/+c=")</f>
        <v>#REF!</v>
      </c>
      <c r="HY56" t="e">
        <f>AND('Golden 20'!U32,"AAAAAFf8/+g=")</f>
        <v>#VALUE!</v>
      </c>
      <c r="HZ56" t="e">
        <f>AND('Golden 20'!V32,"AAAAAFf8/+k=")</f>
        <v>#VALUE!</v>
      </c>
      <c r="IA56" t="e">
        <f>AND('Golden 20'!#REF!,"AAAAAFf8/+o=")</f>
        <v>#REF!</v>
      </c>
      <c r="IB56" t="e">
        <f>AND('Golden 20'!#REF!,"AAAAAFf8/+s=")</f>
        <v>#REF!</v>
      </c>
      <c r="IC56" t="e">
        <f>AND('Golden 20'!#REF!,"AAAAAFf8/+w=")</f>
        <v>#REF!</v>
      </c>
      <c r="ID56" t="e">
        <f>AND('Golden 20'!#REF!,"AAAAAFf8/+0=")</f>
        <v>#REF!</v>
      </c>
      <c r="IE56" t="e">
        <f>AND('Golden 20'!#REF!,"AAAAAFf8/+4=")</f>
        <v>#REF!</v>
      </c>
      <c r="IF56" t="e">
        <f>AND('Golden 20'!#REF!,"AAAAAFf8/+8=")</f>
        <v>#REF!</v>
      </c>
      <c r="IG56" t="e">
        <f>AND('Golden 20'!#REF!,"AAAAAFf8//A=")</f>
        <v>#REF!</v>
      </c>
      <c r="IH56" t="e">
        <f>AND('Golden 20'!Q33,"AAAAAFf8//E=")</f>
        <v>#VALUE!</v>
      </c>
      <c r="II56" t="e">
        <f>AND('Golden 20'!R33,"AAAAAFf8//I=")</f>
        <v>#VALUE!</v>
      </c>
      <c r="IJ56" t="e">
        <f>AND('Golden 20'!#REF!,"AAAAAFf8//M=")</f>
        <v>#REF!</v>
      </c>
      <c r="IK56" t="e">
        <f>AND('Golden 20'!#REF!,"AAAAAFf8//Q=")</f>
        <v>#REF!</v>
      </c>
      <c r="IL56" t="e">
        <f>AND('Golden 20'!S33,"AAAAAFf8//U=")</f>
        <v>#VALUE!</v>
      </c>
      <c r="IM56" t="e">
        <f>AND('Golden 20'!T33,"AAAAAFf8//Y=")</f>
        <v>#VALUE!</v>
      </c>
      <c r="IN56" t="e">
        <f>AND('Golden 20'!#REF!,"AAAAAFf8//c=")</f>
        <v>#REF!</v>
      </c>
      <c r="IO56" t="e">
        <f>AND('Golden 20'!#REF!,"AAAAAFf8//g=")</f>
        <v>#REF!</v>
      </c>
      <c r="IP56" t="e">
        <f>AND('Golden 20'!#REF!,"AAAAAFf8//k=")</f>
        <v>#REF!</v>
      </c>
      <c r="IQ56" t="e">
        <f>AND('Golden 20'!#REF!,"AAAAAFf8//o=")</f>
        <v>#REF!</v>
      </c>
      <c r="IR56" t="e">
        <f>AND('Golden 20'!#REF!,"AAAAAFf8//s=")</f>
        <v>#REF!</v>
      </c>
      <c r="IS56" t="e">
        <f>AND('Golden 20'!#REF!,"AAAAAFf8//w=")</f>
        <v>#REF!</v>
      </c>
      <c r="IT56" t="e">
        <f>AND('Golden 20'!U33,"AAAAAFf8//0=")</f>
        <v>#VALUE!</v>
      </c>
      <c r="IU56" t="e">
        <f>AND('Golden 20'!V33,"AAAAAFf8//4=")</f>
        <v>#VALUE!</v>
      </c>
      <c r="IV56" t="e">
        <f>AND('Golden 20'!#REF!,"AAAAAFf8//8=")</f>
        <v>#REF!</v>
      </c>
    </row>
    <row r="57" spans="1:256">
      <c r="A57" t="e">
        <f>AND('Golden 20'!#REF!,"AAAAAALn+wA=")</f>
        <v>#REF!</v>
      </c>
      <c r="B57" t="e">
        <f>AND('Golden 20'!#REF!,"AAAAAALn+wE=")</f>
        <v>#REF!</v>
      </c>
      <c r="C57" t="e">
        <f>AND('Golden 20'!#REF!,"AAAAAALn+wI=")</f>
        <v>#REF!</v>
      </c>
      <c r="D57" t="e">
        <f>AND('Golden 20'!#REF!,"AAAAAALn+wM=")</f>
        <v>#REF!</v>
      </c>
      <c r="E57" t="e">
        <f>AND('Golden 20'!#REF!,"AAAAAALn+wQ=")</f>
        <v>#REF!</v>
      </c>
      <c r="F57" t="e">
        <f>AND('Golden 20'!#REF!,"AAAAAALn+wU=")</f>
        <v>#REF!</v>
      </c>
      <c r="G57" t="e">
        <f>AND('Golden 20'!Q34,"AAAAAALn+wY=")</f>
        <v>#VALUE!</v>
      </c>
      <c r="H57" t="e">
        <f>AND('Golden 20'!R34,"AAAAAALn+wc=")</f>
        <v>#VALUE!</v>
      </c>
      <c r="I57" t="e">
        <f>AND('Golden 20'!#REF!,"AAAAAALn+wg=")</f>
        <v>#REF!</v>
      </c>
      <c r="J57" t="e">
        <f>AND('Golden 20'!#REF!,"AAAAAALn+wk=")</f>
        <v>#REF!</v>
      </c>
      <c r="K57" t="e">
        <f>AND('Golden 20'!S34,"AAAAAALn+wo=")</f>
        <v>#VALUE!</v>
      </c>
      <c r="L57" t="e">
        <f>AND('Golden 20'!T34,"AAAAAALn+ws=")</f>
        <v>#VALUE!</v>
      </c>
      <c r="M57" t="e">
        <f>AND('Golden 20'!#REF!,"AAAAAALn+ww=")</f>
        <v>#REF!</v>
      </c>
      <c r="N57" t="e">
        <f>AND('Golden 20'!#REF!,"AAAAAALn+w0=")</f>
        <v>#REF!</v>
      </c>
      <c r="O57" t="e">
        <f>AND('Golden 20'!#REF!,"AAAAAALn+w4=")</f>
        <v>#REF!</v>
      </c>
      <c r="P57" t="e">
        <f>AND('Golden 20'!#REF!,"AAAAAALn+w8=")</f>
        <v>#REF!</v>
      </c>
      <c r="Q57" t="e">
        <f>AND('Golden 20'!#REF!,"AAAAAALn+xA=")</f>
        <v>#REF!</v>
      </c>
      <c r="R57" t="e">
        <f>AND('Golden 20'!#REF!,"AAAAAALn+xE=")</f>
        <v>#REF!</v>
      </c>
      <c r="S57" t="e">
        <f>AND('Golden 20'!U34,"AAAAAALn+xI=")</f>
        <v>#VALUE!</v>
      </c>
      <c r="T57" t="e">
        <f>AND('Golden 20'!V34,"AAAAAALn+xM=")</f>
        <v>#VALUE!</v>
      </c>
      <c r="U57" t="e">
        <f>AND('Golden 20'!#REF!,"AAAAAALn+xQ=")</f>
        <v>#REF!</v>
      </c>
      <c r="V57" t="e">
        <f>AND('Golden 20'!#REF!,"AAAAAALn+xU=")</f>
        <v>#REF!</v>
      </c>
      <c r="W57" t="e">
        <f>AND('Golden 20'!#REF!,"AAAAAALn+xY=")</f>
        <v>#REF!</v>
      </c>
      <c r="X57" t="e">
        <f>AND('Golden 20'!#REF!,"AAAAAALn+xc=")</f>
        <v>#REF!</v>
      </c>
      <c r="Y57" t="e">
        <f>AND('Golden 20'!#REF!,"AAAAAALn+xg=")</f>
        <v>#REF!</v>
      </c>
      <c r="Z57" t="e">
        <f>AND('Golden 20'!#REF!,"AAAAAALn+xk=")</f>
        <v>#REF!</v>
      </c>
      <c r="AA57" t="e">
        <f>AND('Golden 20'!#REF!,"AAAAAALn+xo=")</f>
        <v>#REF!</v>
      </c>
      <c r="AB57" t="e">
        <f>AND('Golden 20'!Q35,"AAAAAALn+xs=")</f>
        <v>#VALUE!</v>
      </c>
      <c r="AC57" t="e">
        <f>AND('Golden 20'!R35,"AAAAAALn+xw=")</f>
        <v>#VALUE!</v>
      </c>
      <c r="AD57" t="e">
        <f>AND('Golden 20'!#REF!,"AAAAAALn+x0=")</f>
        <v>#REF!</v>
      </c>
      <c r="AE57" t="e">
        <f>AND('Golden 20'!#REF!,"AAAAAALn+x4=")</f>
        <v>#REF!</v>
      </c>
      <c r="AF57" t="e">
        <f>AND('Golden 20'!S35,"AAAAAALn+x8=")</f>
        <v>#VALUE!</v>
      </c>
      <c r="AG57" t="e">
        <f>AND('Golden 20'!T35,"AAAAAALn+yA=")</f>
        <v>#VALUE!</v>
      </c>
      <c r="AH57" t="e">
        <f>AND('Golden 20'!#REF!,"AAAAAALn+yE=")</f>
        <v>#REF!</v>
      </c>
      <c r="AI57" t="e">
        <f>AND('Golden 20'!#REF!,"AAAAAALn+yI=")</f>
        <v>#REF!</v>
      </c>
      <c r="AJ57" t="e">
        <f>AND('Golden 20'!#REF!,"AAAAAALn+yM=")</f>
        <v>#REF!</v>
      </c>
      <c r="AK57" t="e">
        <f>AND('Golden 20'!#REF!,"AAAAAALn+yQ=")</f>
        <v>#REF!</v>
      </c>
      <c r="AL57" t="e">
        <f>AND('Golden 20'!#REF!,"AAAAAALn+yU=")</f>
        <v>#REF!</v>
      </c>
      <c r="AM57" t="e">
        <f>AND('Golden 20'!#REF!,"AAAAAALn+yY=")</f>
        <v>#REF!</v>
      </c>
      <c r="AN57" t="e">
        <f>AND('Golden 20'!U35,"AAAAAALn+yc=")</f>
        <v>#VALUE!</v>
      </c>
      <c r="AO57" t="e">
        <f>AND('Golden 20'!V35,"AAAAAALn+yg=")</f>
        <v>#VALUE!</v>
      </c>
      <c r="AP57" t="e">
        <f>AND('Golden 20'!#REF!,"AAAAAALn+yk=")</f>
        <v>#REF!</v>
      </c>
      <c r="AQ57" t="e">
        <f>AND('Golden 20'!#REF!,"AAAAAALn+yo=")</f>
        <v>#REF!</v>
      </c>
      <c r="AR57" t="e">
        <f>AND('Golden 20'!#REF!,"AAAAAALn+ys=")</f>
        <v>#REF!</v>
      </c>
      <c r="AS57" t="e">
        <f>AND('Golden 20'!#REF!,"AAAAAALn+yw=")</f>
        <v>#REF!</v>
      </c>
      <c r="AT57" t="e">
        <f>AND('Golden 20'!#REF!,"AAAAAALn+y0=")</f>
        <v>#REF!</v>
      </c>
      <c r="AU57" t="e">
        <f>AND('Golden 20'!#REF!,"AAAAAALn+y4=")</f>
        <v>#REF!</v>
      </c>
      <c r="AV57" t="e">
        <f>AND('Golden 20'!#REF!,"AAAAAALn+y8=")</f>
        <v>#REF!</v>
      </c>
      <c r="AW57" t="e">
        <f>AND('Golden 20'!Q36,"AAAAAALn+zA=")</f>
        <v>#VALUE!</v>
      </c>
      <c r="AX57" t="e">
        <f>AND('Golden 20'!R36,"AAAAAALn+zE=")</f>
        <v>#VALUE!</v>
      </c>
      <c r="AY57" t="e">
        <f>AND('Golden 20'!#REF!,"AAAAAALn+zI=")</f>
        <v>#REF!</v>
      </c>
      <c r="AZ57" t="e">
        <f>AND('Golden 20'!#REF!,"AAAAAALn+zM=")</f>
        <v>#REF!</v>
      </c>
      <c r="BA57" t="e">
        <f>AND('Golden 20'!S36,"AAAAAALn+zQ=")</f>
        <v>#VALUE!</v>
      </c>
      <c r="BB57" t="e">
        <f>AND('Golden 20'!T36,"AAAAAALn+zU=")</f>
        <v>#VALUE!</v>
      </c>
      <c r="BC57" t="e">
        <f>AND('Golden 20'!#REF!,"AAAAAALn+zY=")</f>
        <v>#REF!</v>
      </c>
      <c r="BD57" t="e">
        <f>AND('Golden 20'!#REF!,"AAAAAALn+zc=")</f>
        <v>#REF!</v>
      </c>
      <c r="BE57" t="e">
        <f>AND('Golden 20'!#REF!,"AAAAAALn+zg=")</f>
        <v>#REF!</v>
      </c>
      <c r="BF57" t="e">
        <f>AND('Golden 20'!#REF!,"AAAAAALn+zk=")</f>
        <v>#REF!</v>
      </c>
      <c r="BG57" t="e">
        <f>AND('Golden 20'!#REF!,"AAAAAALn+zo=")</f>
        <v>#REF!</v>
      </c>
      <c r="BH57" t="e">
        <f>AND('Golden 20'!#REF!,"AAAAAALn+zs=")</f>
        <v>#REF!</v>
      </c>
      <c r="BI57" t="e">
        <f>AND('Golden 20'!U36,"AAAAAALn+zw=")</f>
        <v>#VALUE!</v>
      </c>
      <c r="BJ57" t="e">
        <f>AND('Golden 20'!V36,"AAAAAALn+z0=")</f>
        <v>#VALUE!</v>
      </c>
      <c r="BK57" t="e">
        <f>AND('Golden 20'!#REF!,"AAAAAALn+z4=")</f>
        <v>#REF!</v>
      </c>
      <c r="BL57" t="e">
        <f>AND('Golden 20'!#REF!,"AAAAAALn+z8=")</f>
        <v>#REF!</v>
      </c>
      <c r="BM57" t="e">
        <f>AND('Golden 20'!#REF!,"AAAAAALn+0A=")</f>
        <v>#REF!</v>
      </c>
      <c r="BN57">
        <f>IF('Golden 20'!37:37,"AAAAAALn+0E=",0)</f>
        <v>0</v>
      </c>
      <c r="BO57" t="e">
        <f>AND('Golden 20'!A37,"AAAAAALn+0I=")</f>
        <v>#VALUE!</v>
      </c>
      <c r="BP57" t="e">
        <f>AND('Golden 20'!B37,"AAAAAALn+0M=")</f>
        <v>#VALUE!</v>
      </c>
      <c r="BQ57" t="e">
        <f>AND('Golden 20'!C37,"AAAAAALn+0Q=")</f>
        <v>#VALUE!</v>
      </c>
      <c r="BR57" t="e">
        <f>AND('Golden 20'!D37,"AAAAAALn+0U=")</f>
        <v>#VALUE!</v>
      </c>
      <c r="BS57" t="e">
        <f>AND('Golden 20'!#REF!,"AAAAAALn+0Y=")</f>
        <v>#REF!</v>
      </c>
      <c r="BT57" t="e">
        <f>AND('Golden 20'!#REF!,"AAAAAALn+0c=")</f>
        <v>#REF!</v>
      </c>
      <c r="BU57" t="e">
        <f>AND('Golden 20'!E37,"AAAAAALn+0g=")</f>
        <v>#VALUE!</v>
      </c>
      <c r="BV57" t="e">
        <f>AND('Golden 20'!F37,"AAAAAALn+0k=")</f>
        <v>#VALUE!</v>
      </c>
      <c r="BW57">
        <f>IF('Golden 20'!38:38,"AAAAAALn+0o=",0)</f>
        <v>0</v>
      </c>
      <c r="BX57" t="e">
        <f>AND('Golden 20'!A38,"AAAAAALn+0s=")</f>
        <v>#VALUE!</v>
      </c>
      <c r="BY57" t="e">
        <f>AND('Golden 20'!B38,"AAAAAALn+0w=")</f>
        <v>#VALUE!</v>
      </c>
      <c r="BZ57" t="e">
        <f>AND('Golden 20'!C38,"AAAAAALn+00=")</f>
        <v>#VALUE!</v>
      </c>
      <c r="CA57" t="e">
        <f>AND('Golden 20'!D38,"AAAAAALn+04=")</f>
        <v>#VALUE!</v>
      </c>
      <c r="CB57" t="e">
        <f>AND('Golden 20'!#REF!,"AAAAAALn+08=")</f>
        <v>#REF!</v>
      </c>
      <c r="CC57" t="e">
        <f>AND('Golden 20'!#REF!,"AAAAAALn+1A=")</f>
        <v>#REF!</v>
      </c>
      <c r="CD57" t="e">
        <f>AND('Golden 20'!E38,"AAAAAALn+1E=")</f>
        <v>#VALUE!</v>
      </c>
      <c r="CE57" t="e">
        <f>AND('Golden 20'!F38,"AAAAAALn+1I=")</f>
        <v>#VALUE!</v>
      </c>
      <c r="CF57">
        <f>IF('Golden 20'!39:39,"AAAAAALn+1M=",0)</f>
        <v>0</v>
      </c>
      <c r="CG57" t="e">
        <f>AND('Golden 20'!A39,"AAAAAALn+1Q=")</f>
        <v>#VALUE!</v>
      </c>
      <c r="CH57" t="e">
        <f>AND('Golden 20'!B39,"AAAAAALn+1U=")</f>
        <v>#VALUE!</v>
      </c>
      <c r="CI57" t="e">
        <f>AND('Golden 20'!C39,"AAAAAALn+1Y=")</f>
        <v>#VALUE!</v>
      </c>
      <c r="CJ57" t="e">
        <f>AND('Golden 20'!D39,"AAAAAALn+1c=")</f>
        <v>#VALUE!</v>
      </c>
      <c r="CK57" t="e">
        <f>AND('Golden 20'!#REF!,"AAAAAALn+1g=")</f>
        <v>#REF!</v>
      </c>
      <c r="CL57" t="e">
        <f>AND('Golden 20'!#REF!,"AAAAAALn+1k=")</f>
        <v>#REF!</v>
      </c>
      <c r="CM57" t="e">
        <f>AND('Golden 20'!E39,"AAAAAALn+1o=")</f>
        <v>#VALUE!</v>
      </c>
      <c r="CN57" t="e">
        <f>AND('Golden 20'!F39,"AAAAAALn+1s=")</f>
        <v>#VALUE!</v>
      </c>
      <c r="CO57">
        <f>IF('Golden 20'!40:40,"AAAAAALn+1w=",0)</f>
        <v>0</v>
      </c>
      <c r="CP57" t="e">
        <f>AND('Golden 20'!A40,"AAAAAALn+10=")</f>
        <v>#VALUE!</v>
      </c>
      <c r="CQ57" t="e">
        <f>AND('Golden 20'!B40,"AAAAAALn+14=")</f>
        <v>#VALUE!</v>
      </c>
      <c r="CR57" t="e">
        <f>AND('Golden 20'!C40,"AAAAAALn+18=")</f>
        <v>#VALUE!</v>
      </c>
      <c r="CS57" t="e">
        <f>AND('Golden 20'!D40,"AAAAAALn+2A=")</f>
        <v>#VALUE!</v>
      </c>
      <c r="CT57" t="e">
        <f>AND('Golden 20'!#REF!,"AAAAAALn+2E=")</f>
        <v>#REF!</v>
      </c>
      <c r="CU57" t="e">
        <f>AND('Golden 20'!#REF!,"AAAAAALn+2I=")</f>
        <v>#REF!</v>
      </c>
      <c r="CV57" t="e">
        <f>AND('Golden 20'!E40,"AAAAAALn+2M=")</f>
        <v>#VALUE!</v>
      </c>
      <c r="CW57" t="e">
        <f>AND('Golden 20'!F40,"AAAAAALn+2Q=")</f>
        <v>#VALUE!</v>
      </c>
      <c r="CX57">
        <f>IF('Golden 20'!41:41,"AAAAAALn+2U=",0)</f>
        <v>0</v>
      </c>
      <c r="CY57" t="e">
        <f>AND('Golden 20'!A41,"AAAAAALn+2Y=")</f>
        <v>#VALUE!</v>
      </c>
      <c r="CZ57" t="e">
        <f>AND('Golden 20'!B41,"AAAAAALn+2c=")</f>
        <v>#VALUE!</v>
      </c>
      <c r="DA57" t="e">
        <f>AND('Golden 20'!C41,"AAAAAALn+2g=")</f>
        <v>#VALUE!</v>
      </c>
      <c r="DB57" t="e">
        <f>AND('Golden 20'!D41,"AAAAAALn+2k=")</f>
        <v>#VALUE!</v>
      </c>
      <c r="DC57" t="e">
        <f>AND('Golden 20'!#REF!,"AAAAAALn+2o=")</f>
        <v>#REF!</v>
      </c>
      <c r="DD57" t="e">
        <f>AND('Golden 20'!#REF!,"AAAAAALn+2s=")</f>
        <v>#REF!</v>
      </c>
      <c r="DE57" t="e">
        <f>AND('Golden 20'!E41,"AAAAAALn+2w=")</f>
        <v>#VALUE!</v>
      </c>
      <c r="DF57" t="e">
        <f>AND('Golden 20'!F41,"AAAAAALn+20=")</f>
        <v>#VALUE!</v>
      </c>
      <c r="DG57" t="e">
        <f>IF('Golden 20'!#REF!,"AAAAAALn+24=",0)</f>
        <v>#REF!</v>
      </c>
      <c r="DH57">
        <f>IF('Golden 20'!U:U,"AAAAAALn+28=",0)</f>
        <v>0</v>
      </c>
      <c r="DI57">
        <f>IF('Golden 20'!V:V,"AAAAAALn+3A=",0)</f>
        <v>0</v>
      </c>
      <c r="DJ57" t="e">
        <f>IF('Golden 20'!#REF!,"AAAAAALn+3E=",0)</f>
        <v>#REF!</v>
      </c>
      <c r="DK57" t="e">
        <f>IF('Golden 20'!#REF!,"AAAAAALn+3I=",0)</f>
        <v>#REF!</v>
      </c>
      <c r="DL57" t="e">
        <f>IF('Golden 20'!#REF!,"AAAAAALn+3M=",0)</f>
        <v>#REF!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BT36"/>
  <sheetViews>
    <sheetView topLeftCell="BC1" zoomScaleNormal="100" workbookViewId="0">
      <selection activeCell="BD32" sqref="BD32"/>
    </sheetView>
  </sheetViews>
  <sheetFormatPr baseColWidth="10" defaultColWidth="9.140625" defaultRowHeight="15"/>
  <cols>
    <col min="1" max="1" width="3" customWidth="1"/>
    <col min="2" max="2" width="26.42578125" customWidth="1"/>
    <col min="3" max="3" width="3" customWidth="1"/>
    <col min="4" max="4" width="37.42578125" customWidth="1"/>
    <col min="5" max="5" width="3" customWidth="1"/>
    <col min="6" max="6" width="26.42578125" customWidth="1"/>
    <col min="7" max="7" width="3" customWidth="1"/>
    <col min="8" max="8" width="22.85546875" customWidth="1"/>
    <col min="9" max="9" width="3" style="65" customWidth="1"/>
    <col min="10" max="10" width="22.5703125" customWidth="1"/>
    <col min="11" max="11" width="3" customWidth="1"/>
    <col min="12" max="12" width="21" customWidth="1"/>
    <col min="13" max="13" width="3" customWidth="1"/>
    <col min="14" max="14" width="25" customWidth="1"/>
    <col min="15" max="15" width="3" customWidth="1"/>
    <col min="16" max="16" width="22" customWidth="1"/>
    <col min="17" max="17" width="3" customWidth="1"/>
    <col min="18" max="18" width="21.5703125" customWidth="1"/>
    <col min="19" max="19" width="3" customWidth="1"/>
    <col min="20" max="20" width="22" customWidth="1"/>
    <col min="21" max="21" width="3" customWidth="1"/>
    <col min="22" max="22" width="31.140625" customWidth="1"/>
    <col min="23" max="23" width="3" customWidth="1"/>
    <col min="24" max="24" width="29" customWidth="1"/>
    <col min="25" max="25" width="3" customWidth="1"/>
    <col min="26" max="26" width="23.42578125" customWidth="1"/>
    <col min="27" max="27" width="3" customWidth="1"/>
    <col min="28" max="28" width="21" customWidth="1"/>
    <col min="29" max="29" width="3" customWidth="1"/>
    <col min="30" max="30" width="20.5703125" customWidth="1"/>
    <col min="31" max="31" width="3" style="65" customWidth="1"/>
    <col min="32" max="32" width="27" style="65" customWidth="1"/>
    <col min="33" max="33" width="3" customWidth="1"/>
    <col min="34" max="34" width="19.85546875" customWidth="1"/>
    <col min="35" max="35" width="3" customWidth="1"/>
    <col min="36" max="36" width="22" customWidth="1"/>
    <col min="37" max="37" width="3" customWidth="1"/>
    <col min="38" max="38" width="21.5703125" customWidth="1"/>
    <col min="39" max="39" width="3" customWidth="1"/>
    <col min="40" max="40" width="29.5703125" customWidth="1"/>
    <col min="41" max="41" width="3" customWidth="1"/>
    <col min="42" max="42" width="23.42578125" customWidth="1"/>
    <col min="43" max="43" width="3" style="65" customWidth="1"/>
    <col min="44" max="44" width="29.5703125" customWidth="1"/>
    <col min="45" max="45" width="3" customWidth="1"/>
    <col min="46" max="46" width="25" customWidth="1"/>
    <col min="47" max="47" width="3" customWidth="1"/>
    <col min="48" max="48" width="25" customWidth="1"/>
    <col min="49" max="49" width="3.42578125" customWidth="1"/>
    <col min="50" max="50" width="25" customWidth="1"/>
    <col min="51" max="51" width="3" style="26" customWidth="1"/>
    <col min="52" max="52" width="20.140625" style="26" customWidth="1"/>
    <col min="53" max="53" width="3" customWidth="1"/>
    <col min="54" max="54" width="24" customWidth="1"/>
    <col min="55" max="55" width="3" customWidth="1"/>
    <col min="56" max="56" width="28.42578125" customWidth="1"/>
    <col min="57" max="57" width="3" customWidth="1"/>
    <col min="58" max="58" width="20" customWidth="1"/>
    <col min="59" max="59" width="3" customWidth="1"/>
    <col min="60" max="60" width="35" customWidth="1"/>
    <col min="61" max="61" width="3" bestFit="1" customWidth="1"/>
    <col min="62" max="62" width="21.85546875" bestFit="1" customWidth="1"/>
    <col min="63" max="63" width="3" bestFit="1" customWidth="1"/>
    <col min="64" max="64" width="23.28515625" bestFit="1" customWidth="1"/>
    <col min="65" max="65" width="3" bestFit="1" customWidth="1"/>
    <col min="66" max="66" width="22.5703125" bestFit="1" customWidth="1"/>
    <col min="67" max="67" width="3" bestFit="1" customWidth="1"/>
    <col min="68" max="68" width="18.28515625" bestFit="1" customWidth="1"/>
    <col min="69" max="69" width="3" bestFit="1" customWidth="1"/>
    <col min="70" max="70" width="22.5703125" bestFit="1" customWidth="1"/>
    <col min="71" max="71" width="3" bestFit="1" customWidth="1"/>
    <col min="72" max="72" width="23.140625" bestFit="1" customWidth="1"/>
    <col min="73" max="1025" width="10.7109375" customWidth="1"/>
  </cols>
  <sheetData>
    <row r="1" spans="1:72" s="149" customFormat="1">
      <c r="A1" s="170">
        <f>SUM(A2:A1760)</f>
        <v>60</v>
      </c>
      <c r="B1" s="178" t="s">
        <v>282</v>
      </c>
      <c r="C1" s="170">
        <f>SUM(C2:C1760)</f>
        <v>60</v>
      </c>
      <c r="D1" s="178" t="s">
        <v>283</v>
      </c>
      <c r="E1" s="170">
        <f>SUM(E2:E1760)</f>
        <v>60</v>
      </c>
      <c r="F1" s="178" t="s">
        <v>284</v>
      </c>
      <c r="G1" s="170">
        <f>SUM(G2:G1760)</f>
        <v>60</v>
      </c>
      <c r="H1" s="178" t="s">
        <v>285</v>
      </c>
      <c r="I1" s="170">
        <f>SUM(I2:I1760)</f>
        <v>60</v>
      </c>
      <c r="J1" s="178" t="s">
        <v>2829</v>
      </c>
      <c r="K1" s="176">
        <f>SUM(K2:K30)</f>
        <v>60</v>
      </c>
      <c r="L1" s="177" t="s">
        <v>286</v>
      </c>
      <c r="M1" s="176">
        <f>SUM(M2:M33)</f>
        <v>60</v>
      </c>
      <c r="N1" s="177" t="s">
        <v>287</v>
      </c>
      <c r="O1" s="176">
        <f>SUM(O2:O23)</f>
        <v>60</v>
      </c>
      <c r="P1" s="177" t="s">
        <v>288</v>
      </c>
      <c r="Q1" s="185">
        <f>SUM(Q2:Q31)</f>
        <v>60</v>
      </c>
      <c r="R1" s="177" t="s">
        <v>289</v>
      </c>
      <c r="S1" s="176">
        <f>SUM(S2:S29)</f>
        <v>60</v>
      </c>
      <c r="T1" s="177" t="s">
        <v>290</v>
      </c>
      <c r="U1" s="176">
        <f>SUM(U2:U25)</f>
        <v>60</v>
      </c>
      <c r="V1" s="177" t="s">
        <v>291</v>
      </c>
      <c r="W1" s="176">
        <f>SUM(W2:W24)</f>
        <v>60</v>
      </c>
      <c r="X1" s="177" t="s">
        <v>292</v>
      </c>
      <c r="Y1" s="176">
        <f>SUM(Y2:Y27)</f>
        <v>60</v>
      </c>
      <c r="Z1" s="177" t="s">
        <v>293</v>
      </c>
      <c r="AA1" s="176">
        <f>SUM(AA2:AA21)</f>
        <v>60</v>
      </c>
      <c r="AB1" s="177" t="s">
        <v>294</v>
      </c>
      <c r="AC1" s="176">
        <f>SUM(AC2:AC25)</f>
        <v>60</v>
      </c>
      <c r="AD1" s="177" t="s">
        <v>295</v>
      </c>
      <c r="AE1" s="176">
        <f>SUM(AE2:AE27)</f>
        <v>60</v>
      </c>
      <c r="AF1" s="177" t="s">
        <v>2923</v>
      </c>
      <c r="AG1" s="176">
        <f>SUM(AG2:AG29)</f>
        <v>60</v>
      </c>
      <c r="AH1" s="177" t="s">
        <v>296</v>
      </c>
      <c r="AI1" s="176">
        <f>SUM(AI2:AI19)</f>
        <v>60</v>
      </c>
      <c r="AJ1" s="177" t="s">
        <v>297</v>
      </c>
      <c r="AK1" s="176">
        <f>SUM(AK2:AK29)</f>
        <v>60</v>
      </c>
      <c r="AL1" s="186" t="s">
        <v>298</v>
      </c>
      <c r="AM1" s="176">
        <v>60</v>
      </c>
      <c r="AN1" s="177" t="s">
        <v>299</v>
      </c>
      <c r="AO1" s="185">
        <f>SUM(AO2:AO24)</f>
        <v>60</v>
      </c>
      <c r="AP1" s="177" t="s">
        <v>300</v>
      </c>
      <c r="AQ1" s="176">
        <f>SUM(AQ2:AQ24)</f>
        <v>60</v>
      </c>
      <c r="AR1" s="177" t="s">
        <v>301</v>
      </c>
      <c r="AS1" s="176">
        <f>SUM(AS2:AS28)</f>
        <v>60</v>
      </c>
      <c r="AT1" s="177" t="s">
        <v>302</v>
      </c>
      <c r="AU1" s="176">
        <f>SUM(AU2:AU23)</f>
        <v>60</v>
      </c>
      <c r="AV1" s="177" t="s">
        <v>303</v>
      </c>
      <c r="AW1" s="176">
        <f>SUM(AW2:AW22)</f>
        <v>60</v>
      </c>
      <c r="AX1" s="186" t="s">
        <v>304</v>
      </c>
      <c r="AY1" s="176">
        <f>SUM(AY2:AY27)</f>
        <v>60</v>
      </c>
      <c r="AZ1" s="177" t="s">
        <v>305</v>
      </c>
      <c r="BA1" s="185">
        <f>SUM(BA2:BA23)</f>
        <v>60</v>
      </c>
      <c r="BB1" s="177" t="s">
        <v>306</v>
      </c>
      <c r="BC1" s="176">
        <f>SUM(BC2:BC20)</f>
        <v>60</v>
      </c>
      <c r="BD1" s="177" t="s">
        <v>307</v>
      </c>
      <c r="BE1" s="176">
        <f>SUM(BE2:BE18)</f>
        <v>60</v>
      </c>
      <c r="BF1" s="177" t="s">
        <v>308</v>
      </c>
      <c r="BG1" s="179">
        <f>SUM(BG2:BG30)</f>
        <v>60</v>
      </c>
      <c r="BH1" s="178" t="s">
        <v>309</v>
      </c>
      <c r="BI1" s="133">
        <v>60</v>
      </c>
      <c r="BJ1" s="154" t="s">
        <v>2694</v>
      </c>
      <c r="BK1" s="133">
        <f>SUM(BK2:BK30)</f>
        <v>60</v>
      </c>
      <c r="BL1" s="151" t="s">
        <v>2693</v>
      </c>
      <c r="BM1" s="17">
        <v>60</v>
      </c>
      <c r="BN1" s="151" t="s">
        <v>2695</v>
      </c>
      <c r="BO1" s="17">
        <v>60</v>
      </c>
      <c r="BP1" s="151" t="s">
        <v>2696</v>
      </c>
      <c r="BQ1" s="17">
        <v>60</v>
      </c>
      <c r="BR1" s="151" t="s">
        <v>2697</v>
      </c>
      <c r="BS1" s="17">
        <f>SUM(BS2:BS18)</f>
        <v>60</v>
      </c>
      <c r="BT1" s="151" t="s">
        <v>2698</v>
      </c>
    </row>
    <row r="2" spans="1:72">
      <c r="A2" s="5">
        <v>4</v>
      </c>
      <c r="B2" s="5" t="s">
        <v>310</v>
      </c>
      <c r="C2" s="8">
        <v>1</v>
      </c>
      <c r="D2" s="8" t="s">
        <v>311</v>
      </c>
      <c r="E2" s="8">
        <v>1</v>
      </c>
      <c r="F2" s="8" t="s">
        <v>312</v>
      </c>
      <c r="G2" s="8">
        <v>4</v>
      </c>
      <c r="H2" s="8" t="s">
        <v>80</v>
      </c>
      <c r="I2" s="18">
        <v>4</v>
      </c>
      <c r="J2" s="18" t="s">
        <v>1946</v>
      </c>
      <c r="K2" s="5">
        <v>4</v>
      </c>
      <c r="L2" s="5" t="s">
        <v>19</v>
      </c>
      <c r="M2" s="8">
        <v>1</v>
      </c>
      <c r="N2" s="8" t="s">
        <v>313</v>
      </c>
      <c r="O2" s="5">
        <v>4</v>
      </c>
      <c r="P2" s="5" t="s">
        <v>54</v>
      </c>
      <c r="Q2" s="8">
        <v>1</v>
      </c>
      <c r="R2" s="8" t="s">
        <v>314</v>
      </c>
      <c r="S2" s="5">
        <v>4</v>
      </c>
      <c r="T2" s="5" t="s">
        <v>315</v>
      </c>
      <c r="U2" s="5">
        <v>3</v>
      </c>
      <c r="V2" s="34" t="s">
        <v>316</v>
      </c>
      <c r="W2" s="5">
        <v>1</v>
      </c>
      <c r="X2" s="5" t="s">
        <v>317</v>
      </c>
      <c r="Y2" s="5">
        <v>4</v>
      </c>
      <c r="Z2" s="5" t="s">
        <v>318</v>
      </c>
      <c r="AA2" s="8">
        <v>3</v>
      </c>
      <c r="AB2" s="8" t="s">
        <v>41</v>
      </c>
      <c r="AC2" s="5">
        <v>4</v>
      </c>
      <c r="AD2" s="39" t="s">
        <v>319</v>
      </c>
      <c r="AE2" s="18">
        <v>1</v>
      </c>
      <c r="AF2" s="18" t="s">
        <v>2924</v>
      </c>
      <c r="AG2" s="5">
        <v>4</v>
      </c>
      <c r="AH2" s="5" t="s">
        <v>320</v>
      </c>
      <c r="AI2" s="5">
        <v>4</v>
      </c>
      <c r="AJ2" s="5" t="s">
        <v>321</v>
      </c>
      <c r="AK2" s="5">
        <v>1</v>
      </c>
      <c r="AL2" s="12" t="s">
        <v>322</v>
      </c>
      <c r="AM2" s="5">
        <v>1</v>
      </c>
      <c r="AN2" s="5" t="s">
        <v>111</v>
      </c>
      <c r="AO2" s="11">
        <v>4</v>
      </c>
      <c r="AP2" s="5" t="s">
        <v>22</v>
      </c>
      <c r="AQ2" s="18">
        <v>4</v>
      </c>
      <c r="AR2" s="18" t="s">
        <v>2933</v>
      </c>
      <c r="AS2" s="5">
        <v>1</v>
      </c>
      <c r="AT2" s="5" t="s">
        <v>323</v>
      </c>
      <c r="AU2" s="5">
        <v>4</v>
      </c>
      <c r="AV2" s="5" t="s">
        <v>324</v>
      </c>
      <c r="AW2" s="5">
        <v>4</v>
      </c>
      <c r="AX2" s="12" t="s">
        <v>325</v>
      </c>
      <c r="AY2" s="5">
        <v>4</v>
      </c>
      <c r="AZ2" s="5" t="s">
        <v>326</v>
      </c>
      <c r="BA2" s="5">
        <v>4</v>
      </c>
      <c r="BB2" s="5" t="s">
        <v>23</v>
      </c>
      <c r="BC2" s="5">
        <v>4</v>
      </c>
      <c r="BD2" s="8" t="s">
        <v>327</v>
      </c>
      <c r="BE2" s="5">
        <v>4</v>
      </c>
      <c r="BF2" s="5" t="s">
        <v>328</v>
      </c>
      <c r="BG2" s="7">
        <v>4</v>
      </c>
      <c r="BH2" s="5" t="s">
        <v>329</v>
      </c>
      <c r="BI2" s="152">
        <v>10</v>
      </c>
      <c r="BJ2" s="155" t="s">
        <v>26</v>
      </c>
      <c r="BK2" s="138">
        <v>4</v>
      </c>
      <c r="BL2" s="138" t="s">
        <v>2688</v>
      </c>
      <c r="BM2" s="145">
        <v>3</v>
      </c>
      <c r="BN2" s="152" t="s">
        <v>2699</v>
      </c>
      <c r="BO2" s="8">
        <v>4</v>
      </c>
      <c r="BP2" s="138" t="s">
        <v>353</v>
      </c>
      <c r="BQ2" s="8">
        <v>4</v>
      </c>
      <c r="BR2" s="138" t="s">
        <v>2700</v>
      </c>
      <c r="BS2" s="8">
        <v>4</v>
      </c>
      <c r="BT2" s="138" t="s">
        <v>112</v>
      </c>
    </row>
    <row r="3" spans="1:72">
      <c r="A3" s="8">
        <v>1</v>
      </c>
      <c r="B3" s="8" t="s">
        <v>330</v>
      </c>
      <c r="C3" s="19">
        <v>4</v>
      </c>
      <c r="D3" s="19" t="s">
        <v>313</v>
      </c>
      <c r="E3" s="5">
        <v>3</v>
      </c>
      <c r="F3" s="5" t="s">
        <v>331</v>
      </c>
      <c r="G3" s="5">
        <v>4</v>
      </c>
      <c r="H3" s="5" t="s">
        <v>332</v>
      </c>
      <c r="I3" s="8">
        <v>4</v>
      </c>
      <c r="J3" s="8" t="s">
        <v>2684</v>
      </c>
      <c r="K3" s="5">
        <v>4</v>
      </c>
      <c r="L3" s="5" t="s">
        <v>333</v>
      </c>
      <c r="M3" s="18">
        <v>1</v>
      </c>
      <c r="N3" s="18" t="s">
        <v>2916</v>
      </c>
      <c r="O3" s="5">
        <v>15</v>
      </c>
      <c r="P3" s="5" t="s">
        <v>334</v>
      </c>
      <c r="Q3" s="5">
        <v>1</v>
      </c>
      <c r="R3" s="5" t="s">
        <v>335</v>
      </c>
      <c r="S3" s="8">
        <v>4</v>
      </c>
      <c r="T3" s="8" t="s">
        <v>336</v>
      </c>
      <c r="U3" s="5">
        <v>1</v>
      </c>
      <c r="V3" s="34" t="s">
        <v>48</v>
      </c>
      <c r="W3" s="5">
        <v>4</v>
      </c>
      <c r="X3" s="5" t="s">
        <v>337</v>
      </c>
      <c r="Y3" s="8">
        <v>3</v>
      </c>
      <c r="Z3" s="8" t="s">
        <v>100</v>
      </c>
      <c r="AA3" s="5">
        <v>4</v>
      </c>
      <c r="AB3" s="5" t="s">
        <v>33</v>
      </c>
      <c r="AC3" s="5">
        <v>4</v>
      </c>
      <c r="AD3" s="39" t="s">
        <v>338</v>
      </c>
      <c r="AE3" s="18">
        <v>4</v>
      </c>
      <c r="AF3" s="18" t="s">
        <v>2925</v>
      </c>
      <c r="AG3" s="5">
        <v>4</v>
      </c>
      <c r="AH3" s="5" t="s">
        <v>339</v>
      </c>
      <c r="AI3" s="5">
        <v>3</v>
      </c>
      <c r="AJ3" s="5" t="s">
        <v>340</v>
      </c>
      <c r="AK3" s="8">
        <v>1</v>
      </c>
      <c r="AL3" s="14" t="s">
        <v>341</v>
      </c>
      <c r="AM3" s="5">
        <v>1</v>
      </c>
      <c r="AN3" s="5" t="s">
        <v>310</v>
      </c>
      <c r="AO3" s="11">
        <v>4</v>
      </c>
      <c r="AP3" s="5" t="s">
        <v>342</v>
      </c>
      <c r="AQ3" s="18">
        <v>4</v>
      </c>
      <c r="AR3" s="18" t="s">
        <v>2932</v>
      </c>
      <c r="AS3" s="8">
        <v>1</v>
      </c>
      <c r="AT3" s="8" t="s">
        <v>344</v>
      </c>
      <c r="AU3" s="5">
        <v>4</v>
      </c>
      <c r="AV3" s="5" t="s">
        <v>345</v>
      </c>
      <c r="AW3" s="5">
        <v>4</v>
      </c>
      <c r="AX3" s="12" t="s">
        <v>346</v>
      </c>
      <c r="AY3" s="8">
        <v>2</v>
      </c>
      <c r="AZ3" s="8" t="s">
        <v>37</v>
      </c>
      <c r="BA3" s="5">
        <v>4</v>
      </c>
      <c r="BB3" s="5" t="s">
        <v>347</v>
      </c>
      <c r="BC3" s="8">
        <v>4</v>
      </c>
      <c r="BD3" s="8" t="s">
        <v>348</v>
      </c>
      <c r="BE3" s="5">
        <v>4</v>
      </c>
      <c r="BF3" s="5" t="s">
        <v>349</v>
      </c>
      <c r="BG3" s="8">
        <v>1</v>
      </c>
      <c r="BH3" s="5" t="s">
        <v>350</v>
      </c>
      <c r="BI3" s="152">
        <v>1</v>
      </c>
      <c r="BJ3" s="155" t="s">
        <v>831</v>
      </c>
      <c r="BK3" s="152">
        <v>4</v>
      </c>
      <c r="BL3" s="152" t="s">
        <v>2701</v>
      </c>
      <c r="BM3" s="145">
        <v>6</v>
      </c>
      <c r="BN3" s="152" t="s">
        <v>2702</v>
      </c>
      <c r="BO3" s="147">
        <v>4</v>
      </c>
      <c r="BP3" s="160" t="s">
        <v>830</v>
      </c>
      <c r="BQ3" s="8">
        <v>4</v>
      </c>
      <c r="BR3" s="138" t="s">
        <v>2703</v>
      </c>
      <c r="BS3" s="147">
        <v>1</v>
      </c>
      <c r="BT3" s="160" t="s">
        <v>97</v>
      </c>
    </row>
    <row r="4" spans="1:72">
      <c r="A4" s="5">
        <v>4</v>
      </c>
      <c r="B4" s="5" t="s">
        <v>351</v>
      </c>
      <c r="C4" s="8">
        <v>3</v>
      </c>
      <c r="D4" s="8" t="s">
        <v>352</v>
      </c>
      <c r="E4" s="8">
        <v>4</v>
      </c>
      <c r="F4" s="8" t="s">
        <v>352</v>
      </c>
      <c r="G4" s="8">
        <v>4</v>
      </c>
      <c r="H4" s="8" t="s">
        <v>353</v>
      </c>
      <c r="I4" s="8">
        <v>4</v>
      </c>
      <c r="J4" s="8" t="s">
        <v>354</v>
      </c>
      <c r="K4" s="8">
        <v>1</v>
      </c>
      <c r="L4" s="8" t="s">
        <v>355</v>
      </c>
      <c r="M4" s="8">
        <v>4</v>
      </c>
      <c r="N4" s="8" t="s">
        <v>30</v>
      </c>
      <c r="O4" s="8">
        <v>1</v>
      </c>
      <c r="P4" s="8" t="s">
        <v>356</v>
      </c>
      <c r="Q4" s="5">
        <v>4</v>
      </c>
      <c r="R4" s="5" t="s">
        <v>357</v>
      </c>
      <c r="S4" s="5">
        <v>1</v>
      </c>
      <c r="T4" s="5" t="s">
        <v>358</v>
      </c>
      <c r="U4" s="8">
        <v>4</v>
      </c>
      <c r="V4" s="34" t="s">
        <v>359</v>
      </c>
      <c r="W4" s="5">
        <v>4</v>
      </c>
      <c r="X4" s="5" t="s">
        <v>384</v>
      </c>
      <c r="Y4" s="8">
        <v>1</v>
      </c>
      <c r="Z4" s="8" t="s">
        <v>165</v>
      </c>
      <c r="AA4" s="5">
        <v>1</v>
      </c>
      <c r="AB4" s="5" t="s">
        <v>49</v>
      </c>
      <c r="AC4" s="8">
        <v>4</v>
      </c>
      <c r="AD4" s="140" t="s">
        <v>360</v>
      </c>
      <c r="AE4" s="8">
        <v>1</v>
      </c>
      <c r="AF4" s="8" t="s">
        <v>361</v>
      </c>
      <c r="AG4" s="8">
        <v>4</v>
      </c>
      <c r="AH4" s="8" t="s">
        <v>362</v>
      </c>
      <c r="AI4" s="8">
        <v>3</v>
      </c>
      <c r="AJ4" s="8" t="s">
        <v>63</v>
      </c>
      <c r="AK4" s="8">
        <v>1</v>
      </c>
      <c r="AL4" s="14" t="s">
        <v>363</v>
      </c>
      <c r="AM4" s="8">
        <v>1</v>
      </c>
      <c r="AN4" s="8" t="s">
        <v>38</v>
      </c>
      <c r="AO4" s="35">
        <v>4</v>
      </c>
      <c r="AP4" s="8" t="s">
        <v>364</v>
      </c>
      <c r="AQ4" s="8">
        <v>4</v>
      </c>
      <c r="AR4" s="18" t="s">
        <v>365</v>
      </c>
      <c r="AS4" s="8">
        <v>2</v>
      </c>
      <c r="AT4" s="8" t="s">
        <v>366</v>
      </c>
      <c r="AU4" s="8">
        <v>4</v>
      </c>
      <c r="AV4" s="8" t="s">
        <v>367</v>
      </c>
      <c r="AW4" s="8">
        <v>4</v>
      </c>
      <c r="AX4" s="12" t="s">
        <v>368</v>
      </c>
      <c r="AY4" s="8">
        <v>1</v>
      </c>
      <c r="AZ4" s="8" t="s">
        <v>369</v>
      </c>
      <c r="BA4" s="8">
        <v>3</v>
      </c>
      <c r="BB4" s="8" t="s">
        <v>370</v>
      </c>
      <c r="BC4" s="5">
        <v>4</v>
      </c>
      <c r="BD4" s="8" t="s">
        <v>371</v>
      </c>
      <c r="BE4" s="5">
        <v>4</v>
      </c>
      <c r="BF4" s="5" t="s">
        <v>372</v>
      </c>
      <c r="BG4" s="7">
        <v>4</v>
      </c>
      <c r="BH4" s="5" t="s">
        <v>373</v>
      </c>
      <c r="BI4" s="152">
        <v>3</v>
      </c>
      <c r="BJ4" s="155" t="s">
        <v>75</v>
      </c>
      <c r="BK4" s="152">
        <v>4</v>
      </c>
      <c r="BL4" s="152" t="s">
        <v>2704</v>
      </c>
      <c r="BM4" s="145">
        <v>4</v>
      </c>
      <c r="BN4" s="152" t="s">
        <v>2705</v>
      </c>
      <c r="BO4" s="8">
        <v>4</v>
      </c>
      <c r="BP4" s="138" t="s">
        <v>852</v>
      </c>
      <c r="BQ4" s="147">
        <v>4</v>
      </c>
      <c r="BR4" s="160" t="s">
        <v>2706</v>
      </c>
      <c r="BS4" s="146">
        <v>4</v>
      </c>
      <c r="BT4" s="138" t="s">
        <v>1336</v>
      </c>
    </row>
    <row r="5" spans="1:72">
      <c r="A5" s="8">
        <v>1</v>
      </c>
      <c r="B5" s="8" t="s">
        <v>374</v>
      </c>
      <c r="C5" s="19">
        <v>1</v>
      </c>
      <c r="D5" s="19" t="s">
        <v>375</v>
      </c>
      <c r="E5" s="5">
        <v>4</v>
      </c>
      <c r="F5" s="5" t="s">
        <v>376</v>
      </c>
      <c r="G5" s="8">
        <v>4</v>
      </c>
      <c r="H5" s="8" t="s">
        <v>377</v>
      </c>
      <c r="I5" s="8">
        <v>4</v>
      </c>
      <c r="J5" s="8" t="s">
        <v>1952</v>
      </c>
      <c r="K5" s="5">
        <v>4</v>
      </c>
      <c r="L5" s="5" t="s">
        <v>379</v>
      </c>
      <c r="M5" s="18">
        <v>1</v>
      </c>
      <c r="N5" s="18" t="s">
        <v>499</v>
      </c>
      <c r="O5" s="8">
        <v>1</v>
      </c>
      <c r="P5" s="8" t="s">
        <v>380</v>
      </c>
      <c r="Q5" s="8">
        <v>4</v>
      </c>
      <c r="R5" s="8" t="s">
        <v>381</v>
      </c>
      <c r="S5" s="18">
        <v>1</v>
      </c>
      <c r="T5" s="18" t="s">
        <v>382</v>
      </c>
      <c r="U5" s="5">
        <v>1</v>
      </c>
      <c r="V5" s="34" t="s">
        <v>383</v>
      </c>
      <c r="W5" s="18">
        <v>4</v>
      </c>
      <c r="X5" s="18" t="s">
        <v>432</v>
      </c>
      <c r="Y5" s="8">
        <v>3</v>
      </c>
      <c r="Z5" s="8" t="s">
        <v>385</v>
      </c>
      <c r="AA5" s="8">
        <v>4</v>
      </c>
      <c r="AB5" s="8" t="s">
        <v>61</v>
      </c>
      <c r="AC5" s="8">
        <v>1</v>
      </c>
      <c r="AD5" s="140" t="s">
        <v>386</v>
      </c>
      <c r="AE5" s="8">
        <v>4</v>
      </c>
      <c r="AF5" s="8" t="s">
        <v>2926</v>
      </c>
      <c r="AG5" s="5">
        <v>1</v>
      </c>
      <c r="AH5" s="5" t="s">
        <v>412</v>
      </c>
      <c r="AI5" s="8">
        <v>4</v>
      </c>
      <c r="AJ5" s="8" t="s">
        <v>387</v>
      </c>
      <c r="AK5" s="8">
        <v>5</v>
      </c>
      <c r="AL5" s="14" t="s">
        <v>388</v>
      </c>
      <c r="AM5" s="5">
        <v>1</v>
      </c>
      <c r="AN5" s="5" t="s">
        <v>389</v>
      </c>
      <c r="AO5" s="11">
        <v>4</v>
      </c>
      <c r="AP5" s="5" t="s">
        <v>390</v>
      </c>
      <c r="AQ5" s="8">
        <v>1</v>
      </c>
      <c r="AR5" s="18" t="s">
        <v>417</v>
      </c>
      <c r="AS5" s="8">
        <v>1</v>
      </c>
      <c r="AT5" s="8" t="s">
        <v>391</v>
      </c>
      <c r="AU5" s="5">
        <v>4</v>
      </c>
      <c r="AV5" s="5" t="s">
        <v>392</v>
      </c>
      <c r="AW5" s="5">
        <v>4</v>
      </c>
      <c r="AX5" s="12" t="s">
        <v>393</v>
      </c>
      <c r="AY5" s="8">
        <v>4</v>
      </c>
      <c r="AZ5" s="8" t="s">
        <v>394</v>
      </c>
      <c r="BA5" s="5">
        <v>1</v>
      </c>
      <c r="BB5" s="5" t="s">
        <v>395</v>
      </c>
      <c r="BC5" s="5">
        <v>4</v>
      </c>
      <c r="BD5" s="8" t="s">
        <v>396</v>
      </c>
      <c r="BE5" s="5">
        <v>2</v>
      </c>
      <c r="BF5" s="5" t="s">
        <v>397</v>
      </c>
      <c r="BG5" s="7">
        <v>1</v>
      </c>
      <c r="BH5" s="5" t="s">
        <v>398</v>
      </c>
      <c r="BI5" s="152">
        <v>4</v>
      </c>
      <c r="BJ5" s="155" t="s">
        <v>2707</v>
      </c>
      <c r="BK5" s="152">
        <v>1</v>
      </c>
      <c r="BL5" s="152" t="s">
        <v>2711</v>
      </c>
      <c r="BM5" s="145">
        <v>4</v>
      </c>
      <c r="BN5" s="152" t="s">
        <v>2708</v>
      </c>
      <c r="BO5" s="147">
        <v>4</v>
      </c>
      <c r="BP5" s="160" t="s">
        <v>60</v>
      </c>
      <c r="BQ5" s="8">
        <v>4</v>
      </c>
      <c r="BR5" s="138" t="s">
        <v>2709</v>
      </c>
      <c r="BS5" s="8">
        <v>4</v>
      </c>
      <c r="BT5" s="138" t="s">
        <v>2713</v>
      </c>
    </row>
    <row r="6" spans="1:72">
      <c r="A6" s="18">
        <v>1</v>
      </c>
      <c r="B6" s="8" t="s">
        <v>117</v>
      </c>
      <c r="C6" s="21">
        <v>1</v>
      </c>
      <c r="D6" s="8" t="s">
        <v>399</v>
      </c>
      <c r="E6" s="5">
        <v>4</v>
      </c>
      <c r="F6" s="5" t="s">
        <v>400</v>
      </c>
      <c r="G6" s="8">
        <v>1</v>
      </c>
      <c r="H6" s="8" t="s">
        <v>401</v>
      </c>
      <c r="I6" s="8">
        <v>4</v>
      </c>
      <c r="J6" s="8" t="s">
        <v>378</v>
      </c>
      <c r="K6" s="5">
        <v>4</v>
      </c>
      <c r="L6" s="5" t="s">
        <v>403</v>
      </c>
      <c r="M6" s="18">
        <v>1</v>
      </c>
      <c r="N6" s="18" t="s">
        <v>1929</v>
      </c>
      <c r="O6" s="8">
        <v>1</v>
      </c>
      <c r="P6" s="8" t="s">
        <v>361</v>
      </c>
      <c r="Q6" s="5">
        <v>4</v>
      </c>
      <c r="R6" s="18" t="s">
        <v>429</v>
      </c>
      <c r="S6" s="18">
        <v>1</v>
      </c>
      <c r="T6" s="18" t="s">
        <v>430</v>
      </c>
      <c r="U6" s="5">
        <v>1</v>
      </c>
      <c r="V6" s="34" t="s">
        <v>406</v>
      </c>
      <c r="W6" s="5">
        <v>1</v>
      </c>
      <c r="X6" s="5" t="s">
        <v>457</v>
      </c>
      <c r="Y6" s="8">
        <v>1</v>
      </c>
      <c r="Z6" s="8" t="s">
        <v>408</v>
      </c>
      <c r="AA6" s="5">
        <v>1</v>
      </c>
      <c r="AB6" s="5" t="s">
        <v>409</v>
      </c>
      <c r="AC6" s="5">
        <v>2</v>
      </c>
      <c r="AD6" s="39" t="s">
        <v>410</v>
      </c>
      <c r="AE6" s="18">
        <v>1</v>
      </c>
      <c r="AF6" s="18" t="s">
        <v>89</v>
      </c>
      <c r="AG6" s="5">
        <v>1</v>
      </c>
      <c r="AH6" s="5" t="s">
        <v>437</v>
      </c>
      <c r="AI6" s="5">
        <v>3</v>
      </c>
      <c r="AJ6" s="5" t="s">
        <v>413</v>
      </c>
      <c r="AK6" s="8">
        <v>1</v>
      </c>
      <c r="AL6" s="14" t="s">
        <v>414</v>
      </c>
      <c r="AM6" s="5">
        <v>1</v>
      </c>
      <c r="AN6" s="5" t="s">
        <v>415</v>
      </c>
      <c r="AO6" s="11">
        <v>1</v>
      </c>
      <c r="AP6" s="5" t="s">
        <v>416</v>
      </c>
      <c r="AQ6" s="18">
        <v>3</v>
      </c>
      <c r="AR6" s="18" t="s">
        <v>441</v>
      </c>
      <c r="AS6" s="8">
        <v>4</v>
      </c>
      <c r="AT6" s="8" t="s">
        <v>418</v>
      </c>
      <c r="AU6" s="18">
        <v>1</v>
      </c>
      <c r="AV6" s="18" t="s">
        <v>419</v>
      </c>
      <c r="AW6" s="5">
        <v>4</v>
      </c>
      <c r="AX6" s="12" t="s">
        <v>420</v>
      </c>
      <c r="AY6" s="8">
        <v>1</v>
      </c>
      <c r="AZ6" s="8" t="s">
        <v>421</v>
      </c>
      <c r="BA6" s="5">
        <v>3</v>
      </c>
      <c r="BB6" s="5" t="s">
        <v>92</v>
      </c>
      <c r="BC6" s="18">
        <v>3</v>
      </c>
      <c r="BD6" s="8" t="s">
        <v>422</v>
      </c>
      <c r="BE6" s="18">
        <v>2</v>
      </c>
      <c r="BF6" s="18" t="s">
        <v>423</v>
      </c>
      <c r="BG6" s="5">
        <v>1</v>
      </c>
      <c r="BH6" s="8" t="s">
        <v>424</v>
      </c>
      <c r="BI6" s="152">
        <v>2</v>
      </c>
      <c r="BJ6" s="155" t="s">
        <v>2710</v>
      </c>
      <c r="BK6" s="152">
        <v>1</v>
      </c>
      <c r="BL6" s="152" t="s">
        <v>2715</v>
      </c>
      <c r="BM6" s="145">
        <v>1</v>
      </c>
      <c r="BN6" s="152" t="s">
        <v>2712</v>
      </c>
      <c r="BO6" s="147">
        <v>4</v>
      </c>
      <c r="BP6" s="160" t="s">
        <v>1440</v>
      </c>
      <c r="BQ6" s="8">
        <v>1</v>
      </c>
      <c r="BR6" s="138" t="s">
        <v>1845</v>
      </c>
      <c r="BS6" s="147">
        <v>4</v>
      </c>
      <c r="BT6" s="160" t="s">
        <v>2717</v>
      </c>
    </row>
    <row r="7" spans="1:72">
      <c r="A7" s="8">
        <v>4</v>
      </c>
      <c r="B7" s="8" t="s">
        <v>90</v>
      </c>
      <c r="C7" s="21">
        <v>1</v>
      </c>
      <c r="D7" s="8" t="s">
        <v>143</v>
      </c>
      <c r="E7" s="5">
        <v>4</v>
      </c>
      <c r="F7" s="5" t="s">
        <v>425</v>
      </c>
      <c r="G7" s="5">
        <v>3</v>
      </c>
      <c r="H7" s="5" t="s">
        <v>426</v>
      </c>
      <c r="I7" s="8">
        <v>1</v>
      </c>
      <c r="J7" s="8" t="s">
        <v>1960</v>
      </c>
      <c r="K7" s="18">
        <v>1</v>
      </c>
      <c r="L7" s="18" t="s">
        <v>427</v>
      </c>
      <c r="M7" s="18">
        <v>3</v>
      </c>
      <c r="N7" s="18" t="s">
        <v>523</v>
      </c>
      <c r="O7" s="5">
        <v>1</v>
      </c>
      <c r="P7" s="5" t="s">
        <v>109</v>
      </c>
      <c r="Q7" s="18">
        <v>4</v>
      </c>
      <c r="R7" s="8" t="s">
        <v>454</v>
      </c>
      <c r="S7" s="5">
        <v>1</v>
      </c>
      <c r="T7" s="5" t="s">
        <v>455</v>
      </c>
      <c r="U7" s="18">
        <v>2</v>
      </c>
      <c r="V7" s="34" t="s">
        <v>431</v>
      </c>
      <c r="W7" s="5">
        <v>1</v>
      </c>
      <c r="X7" s="5" t="s">
        <v>481</v>
      </c>
      <c r="Y7" s="5">
        <v>4</v>
      </c>
      <c r="Z7" s="5" t="s">
        <v>433</v>
      </c>
      <c r="AA7" s="5">
        <v>1</v>
      </c>
      <c r="AB7" s="5" t="s">
        <v>434</v>
      </c>
      <c r="AC7" s="8">
        <v>1</v>
      </c>
      <c r="AD7" s="140" t="s">
        <v>435</v>
      </c>
      <c r="AE7" s="8">
        <v>4</v>
      </c>
      <c r="AF7" s="8" t="s">
        <v>829</v>
      </c>
      <c r="AG7" s="18">
        <v>1</v>
      </c>
      <c r="AH7" s="18" t="s">
        <v>174</v>
      </c>
      <c r="AI7" s="5">
        <v>3</v>
      </c>
      <c r="AJ7" s="5" t="s">
        <v>116</v>
      </c>
      <c r="AK7" s="8">
        <v>1</v>
      </c>
      <c r="AL7" s="14" t="s">
        <v>438</v>
      </c>
      <c r="AM7" s="18">
        <v>1</v>
      </c>
      <c r="AN7" s="18" t="s">
        <v>439</v>
      </c>
      <c r="AO7" s="24">
        <v>3</v>
      </c>
      <c r="AP7" s="18" t="s">
        <v>440</v>
      </c>
      <c r="AQ7" s="18">
        <v>2</v>
      </c>
      <c r="AR7" s="18" t="s">
        <v>411</v>
      </c>
      <c r="AS7" s="8">
        <v>3</v>
      </c>
      <c r="AT7" s="8" t="s">
        <v>442</v>
      </c>
      <c r="AU7" s="5">
        <v>1</v>
      </c>
      <c r="AV7" s="5" t="s">
        <v>443</v>
      </c>
      <c r="AW7" s="18">
        <v>4</v>
      </c>
      <c r="AX7" s="12" t="s">
        <v>444</v>
      </c>
      <c r="AY7" s="8">
        <v>4</v>
      </c>
      <c r="AZ7" s="8" t="s">
        <v>29</v>
      </c>
      <c r="BA7" s="18">
        <v>1</v>
      </c>
      <c r="BB7" s="18" t="s">
        <v>445</v>
      </c>
      <c r="BC7" s="5">
        <v>2</v>
      </c>
      <c r="BD7" s="8" t="s">
        <v>446</v>
      </c>
      <c r="BE7" s="18">
        <v>3</v>
      </c>
      <c r="BF7" s="18" t="s">
        <v>252</v>
      </c>
      <c r="BG7" s="20">
        <v>3</v>
      </c>
      <c r="BH7" s="5" t="s">
        <v>447</v>
      </c>
      <c r="BI7" s="152">
        <v>2</v>
      </c>
      <c r="BJ7" s="155" t="s">
        <v>2714</v>
      </c>
      <c r="BK7" s="152">
        <v>1</v>
      </c>
      <c r="BL7" s="152" t="s">
        <v>2718</v>
      </c>
      <c r="BM7" s="145">
        <v>1</v>
      </c>
      <c r="BN7" s="152" t="s">
        <v>1807</v>
      </c>
      <c r="BO7" s="147">
        <v>4</v>
      </c>
      <c r="BP7" s="160" t="s">
        <v>102</v>
      </c>
      <c r="BQ7" s="147">
        <v>1</v>
      </c>
      <c r="BR7" s="160" t="s">
        <v>2716</v>
      </c>
      <c r="BS7" s="146">
        <v>4</v>
      </c>
      <c r="BT7" s="138" t="s">
        <v>1997</v>
      </c>
    </row>
    <row r="8" spans="1:72">
      <c r="A8" s="5">
        <v>1</v>
      </c>
      <c r="B8" s="5" t="s">
        <v>415</v>
      </c>
      <c r="C8" s="8">
        <v>3</v>
      </c>
      <c r="D8" s="8" t="s">
        <v>448</v>
      </c>
      <c r="E8" s="18">
        <v>1</v>
      </c>
      <c r="F8" s="18" t="s">
        <v>449</v>
      </c>
      <c r="G8" s="5">
        <v>1</v>
      </c>
      <c r="H8" s="5" t="s">
        <v>450</v>
      </c>
      <c r="I8" s="18">
        <v>4</v>
      </c>
      <c r="J8" s="18" t="s">
        <v>451</v>
      </c>
      <c r="K8" s="5">
        <v>1</v>
      </c>
      <c r="L8" s="5" t="s">
        <v>452</v>
      </c>
      <c r="M8" s="129">
        <v>4</v>
      </c>
      <c r="N8" s="129" t="s">
        <v>1188</v>
      </c>
      <c r="O8" s="18">
        <v>1</v>
      </c>
      <c r="P8" s="18" t="s">
        <v>453</v>
      </c>
      <c r="Q8" s="18">
        <v>1</v>
      </c>
      <c r="R8" s="137" t="s">
        <v>2920</v>
      </c>
      <c r="S8" s="5">
        <v>1</v>
      </c>
      <c r="T8" s="5" t="s">
        <v>479</v>
      </c>
      <c r="U8" s="5">
        <v>1</v>
      </c>
      <c r="V8" s="34" t="s">
        <v>456</v>
      </c>
      <c r="W8" s="5">
        <v>1</v>
      </c>
      <c r="X8" s="5" t="s">
        <v>503</v>
      </c>
      <c r="Y8" s="5">
        <v>1</v>
      </c>
      <c r="Z8" s="5" t="s">
        <v>458</v>
      </c>
      <c r="AA8" s="18">
        <v>1</v>
      </c>
      <c r="AB8" s="18" t="s">
        <v>459</v>
      </c>
      <c r="AC8" s="18">
        <v>1</v>
      </c>
      <c r="AD8" s="39" t="s">
        <v>460</v>
      </c>
      <c r="AE8" s="18">
        <v>3</v>
      </c>
      <c r="AF8" s="18" t="s">
        <v>411</v>
      </c>
      <c r="AG8" s="5">
        <v>1</v>
      </c>
      <c r="AH8" s="5" t="s">
        <v>486</v>
      </c>
      <c r="AI8" s="18">
        <v>3</v>
      </c>
      <c r="AJ8" s="18" t="s">
        <v>461</v>
      </c>
      <c r="AK8" s="8">
        <v>4</v>
      </c>
      <c r="AL8" s="12" t="s">
        <v>462</v>
      </c>
      <c r="AM8" s="18">
        <v>1</v>
      </c>
      <c r="AN8" s="18" t="s">
        <v>463</v>
      </c>
      <c r="AO8" s="11">
        <v>1</v>
      </c>
      <c r="AP8" s="5" t="s">
        <v>464</v>
      </c>
      <c r="AQ8" s="18">
        <v>1</v>
      </c>
      <c r="AR8" s="18" t="s">
        <v>2653</v>
      </c>
      <c r="AS8" s="5">
        <v>1</v>
      </c>
      <c r="AT8" s="5" t="s">
        <v>2936</v>
      </c>
      <c r="AU8" s="18">
        <v>1</v>
      </c>
      <c r="AV8" s="18" t="s">
        <v>465</v>
      </c>
      <c r="AW8" s="5">
        <v>4</v>
      </c>
      <c r="AX8" s="12" t="s">
        <v>466</v>
      </c>
      <c r="AY8" s="8">
        <v>1</v>
      </c>
      <c r="AZ8" s="8" t="s">
        <v>467</v>
      </c>
      <c r="BA8" s="23">
        <v>3</v>
      </c>
      <c r="BB8" s="23" t="s">
        <v>468</v>
      </c>
      <c r="BC8" s="5">
        <v>1</v>
      </c>
      <c r="BD8" s="8" t="s">
        <v>469</v>
      </c>
      <c r="BE8" s="5">
        <v>2</v>
      </c>
      <c r="BF8" s="5" t="s">
        <v>470</v>
      </c>
      <c r="BG8" s="5">
        <v>1</v>
      </c>
      <c r="BH8" s="5" t="s">
        <v>471</v>
      </c>
      <c r="BI8" s="152">
        <v>1</v>
      </c>
      <c r="BJ8" s="155" t="s">
        <v>104</v>
      </c>
      <c r="BK8" s="152">
        <v>1</v>
      </c>
      <c r="BL8" s="152" t="s">
        <v>104</v>
      </c>
      <c r="BM8" s="145">
        <v>2</v>
      </c>
      <c r="BN8" s="152" t="s">
        <v>2719</v>
      </c>
      <c r="BO8" s="147">
        <v>4</v>
      </c>
      <c r="BP8" s="160" t="s">
        <v>114</v>
      </c>
      <c r="BQ8" s="8">
        <v>1</v>
      </c>
      <c r="BR8" s="138" t="s">
        <v>445</v>
      </c>
      <c r="BS8" s="147">
        <v>3</v>
      </c>
      <c r="BT8" s="160" t="s">
        <v>2723</v>
      </c>
    </row>
    <row r="9" spans="1:72">
      <c r="A9" s="5">
        <v>4</v>
      </c>
      <c r="B9" s="5" t="s">
        <v>472</v>
      </c>
      <c r="C9" s="18">
        <v>3</v>
      </c>
      <c r="D9" s="8" t="s">
        <v>473</v>
      </c>
      <c r="E9" s="23">
        <v>2</v>
      </c>
      <c r="F9" s="23" t="s">
        <v>474</v>
      </c>
      <c r="G9" s="5">
        <v>1</v>
      </c>
      <c r="H9" s="5" t="s">
        <v>475</v>
      </c>
      <c r="I9" s="8">
        <v>1</v>
      </c>
      <c r="J9" s="138" t="s">
        <v>497</v>
      </c>
      <c r="K9" s="5">
        <v>1</v>
      </c>
      <c r="L9" s="5" t="s">
        <v>477</v>
      </c>
      <c r="M9" s="18">
        <v>1</v>
      </c>
      <c r="N9" s="18" t="s">
        <v>105</v>
      </c>
      <c r="O9" s="37">
        <v>1</v>
      </c>
      <c r="P9" s="37" t="s">
        <v>478</v>
      </c>
      <c r="Q9" s="137">
        <v>1</v>
      </c>
      <c r="R9" s="138" t="s">
        <v>405</v>
      </c>
      <c r="S9" s="5">
        <v>1</v>
      </c>
      <c r="T9" s="5" t="s">
        <v>2867</v>
      </c>
      <c r="U9" s="5">
        <v>3</v>
      </c>
      <c r="V9" s="34" t="s">
        <v>480</v>
      </c>
      <c r="W9" s="18">
        <v>1</v>
      </c>
      <c r="X9" s="18" t="s">
        <v>528</v>
      </c>
      <c r="Y9" s="5">
        <v>1</v>
      </c>
      <c r="Z9" s="5" t="s">
        <v>482</v>
      </c>
      <c r="AA9" s="5">
        <v>1</v>
      </c>
      <c r="AB9" s="5" t="s">
        <v>483</v>
      </c>
      <c r="AC9" s="18">
        <v>1</v>
      </c>
      <c r="AD9" s="39" t="s">
        <v>484</v>
      </c>
      <c r="AE9" s="18">
        <v>2</v>
      </c>
      <c r="AF9" s="18" t="s">
        <v>436</v>
      </c>
      <c r="AG9" s="8">
        <v>2</v>
      </c>
      <c r="AH9" s="8" t="s">
        <v>507</v>
      </c>
      <c r="AI9" s="5">
        <v>3</v>
      </c>
      <c r="AJ9" s="5" t="s">
        <v>487</v>
      </c>
      <c r="AK9" s="8">
        <v>1</v>
      </c>
      <c r="AL9" s="14" t="s">
        <v>488</v>
      </c>
      <c r="AM9" s="18">
        <v>4</v>
      </c>
      <c r="AN9" s="18" t="s">
        <v>75</v>
      </c>
      <c r="AO9" s="11">
        <v>1</v>
      </c>
      <c r="AP9" s="5" t="s">
        <v>489</v>
      </c>
      <c r="AQ9" s="8">
        <v>1</v>
      </c>
      <c r="AR9" s="18" t="s">
        <v>512</v>
      </c>
      <c r="AS9" s="5">
        <v>1</v>
      </c>
      <c r="AT9" s="5" t="s">
        <v>490</v>
      </c>
      <c r="AU9" s="5">
        <v>1</v>
      </c>
      <c r="AV9" s="170" t="s">
        <v>2937</v>
      </c>
      <c r="AW9" s="5">
        <v>3</v>
      </c>
      <c r="AX9" s="12" t="s">
        <v>491</v>
      </c>
      <c r="AY9" s="8">
        <v>1</v>
      </c>
      <c r="AZ9" s="8" t="s">
        <v>492</v>
      </c>
      <c r="BA9" s="18">
        <v>1</v>
      </c>
      <c r="BB9" s="18" t="s">
        <v>539</v>
      </c>
      <c r="BC9" s="5">
        <v>4</v>
      </c>
      <c r="BD9" s="8" t="s">
        <v>493</v>
      </c>
      <c r="BE9" s="18">
        <v>4</v>
      </c>
      <c r="BF9" s="18" t="s">
        <v>184</v>
      </c>
      <c r="BG9" s="5">
        <v>1</v>
      </c>
      <c r="BH9" s="5" t="s">
        <v>494</v>
      </c>
      <c r="BI9" s="152">
        <v>4</v>
      </c>
      <c r="BJ9" s="155" t="s">
        <v>2720</v>
      </c>
      <c r="BK9" s="152">
        <v>1</v>
      </c>
      <c r="BL9" s="152" t="s">
        <v>2724</v>
      </c>
      <c r="BM9" s="145">
        <v>1</v>
      </c>
      <c r="BN9" s="152" t="s">
        <v>2721</v>
      </c>
      <c r="BO9" s="147">
        <v>2</v>
      </c>
      <c r="BP9" s="160" t="s">
        <v>2722</v>
      </c>
      <c r="BQ9" s="8">
        <v>1</v>
      </c>
      <c r="BR9" s="138" t="s">
        <v>199</v>
      </c>
      <c r="BS9" s="147">
        <v>1</v>
      </c>
      <c r="BT9" s="160" t="s">
        <v>2728</v>
      </c>
    </row>
    <row r="10" spans="1:72">
      <c r="A10" s="5">
        <v>4</v>
      </c>
      <c r="B10" s="5" t="s">
        <v>432</v>
      </c>
      <c r="C10" s="8">
        <v>2</v>
      </c>
      <c r="D10" s="8" t="s">
        <v>474</v>
      </c>
      <c r="E10" s="18">
        <v>2</v>
      </c>
      <c r="F10" s="18" t="s">
        <v>495</v>
      </c>
      <c r="G10" s="18">
        <v>1</v>
      </c>
      <c r="H10" s="18" t="s">
        <v>496</v>
      </c>
      <c r="I10" s="18">
        <v>4</v>
      </c>
      <c r="J10" s="18" t="s">
        <v>2051</v>
      </c>
      <c r="K10" s="5">
        <v>1</v>
      </c>
      <c r="L10" s="5" t="s">
        <v>498</v>
      </c>
      <c r="M10" s="18">
        <v>1</v>
      </c>
      <c r="N10" s="18" t="s">
        <v>2918</v>
      </c>
      <c r="O10" s="18">
        <v>1</v>
      </c>
      <c r="P10" s="18" t="s">
        <v>500</v>
      </c>
      <c r="Q10" s="137">
        <v>1</v>
      </c>
      <c r="R10" s="137" t="s">
        <v>525</v>
      </c>
      <c r="S10" s="18">
        <v>1</v>
      </c>
      <c r="T10" s="18" t="s">
        <v>526</v>
      </c>
      <c r="U10" s="23">
        <v>1</v>
      </c>
      <c r="V10" s="38" t="s">
        <v>502</v>
      </c>
      <c r="W10" s="18">
        <v>1</v>
      </c>
      <c r="X10" s="18" t="s">
        <v>552</v>
      </c>
      <c r="Y10" s="18">
        <v>1</v>
      </c>
      <c r="Z10" s="18" t="s">
        <v>504</v>
      </c>
      <c r="AA10" s="18">
        <v>4</v>
      </c>
      <c r="AB10" s="18" t="s">
        <v>169</v>
      </c>
      <c r="AC10" s="18">
        <v>2</v>
      </c>
      <c r="AD10" s="39" t="s">
        <v>505</v>
      </c>
      <c r="AE10" s="18">
        <v>2</v>
      </c>
      <c r="AF10" s="18" t="s">
        <v>436</v>
      </c>
      <c r="AG10" s="8">
        <v>1</v>
      </c>
      <c r="AH10" s="8" t="s">
        <v>2928</v>
      </c>
      <c r="AI10" s="5">
        <v>1</v>
      </c>
      <c r="AJ10" s="5" t="s">
        <v>508</v>
      </c>
      <c r="AK10" s="5">
        <v>1</v>
      </c>
      <c r="AL10" s="12" t="s">
        <v>509</v>
      </c>
      <c r="AM10" s="18">
        <v>4</v>
      </c>
      <c r="AN10" s="18" t="s">
        <v>510</v>
      </c>
      <c r="AO10" s="11">
        <v>1</v>
      </c>
      <c r="AP10" s="5" t="s">
        <v>511</v>
      </c>
      <c r="AQ10" s="18">
        <v>1</v>
      </c>
      <c r="AR10" s="18" t="s">
        <v>559</v>
      </c>
      <c r="AS10" s="18">
        <v>1</v>
      </c>
      <c r="AT10" s="18" t="s">
        <v>513</v>
      </c>
      <c r="AU10" s="18">
        <v>1</v>
      </c>
      <c r="AV10" s="18" t="s">
        <v>536</v>
      </c>
      <c r="AW10" s="5">
        <v>2</v>
      </c>
      <c r="AX10" s="12" t="s">
        <v>514</v>
      </c>
      <c r="AY10" s="8">
        <v>1</v>
      </c>
      <c r="AZ10" s="8" t="s">
        <v>515</v>
      </c>
      <c r="BA10" s="18">
        <v>1</v>
      </c>
      <c r="BB10" s="18" t="s">
        <v>603</v>
      </c>
      <c r="BC10" s="5">
        <v>4</v>
      </c>
      <c r="BD10" s="8" t="s">
        <v>516</v>
      </c>
      <c r="BE10" s="5">
        <v>4</v>
      </c>
      <c r="BF10" s="5" t="s">
        <v>131</v>
      </c>
      <c r="BG10" s="5">
        <v>1</v>
      </c>
      <c r="BH10" s="5" t="s">
        <v>517</v>
      </c>
      <c r="BI10" s="152">
        <v>1</v>
      </c>
      <c r="BJ10" s="155" t="s">
        <v>648</v>
      </c>
      <c r="BK10" s="152">
        <v>1</v>
      </c>
      <c r="BL10" s="152" t="s">
        <v>2730</v>
      </c>
      <c r="BM10" s="145">
        <v>3</v>
      </c>
      <c r="BN10" s="152" t="s">
        <v>2725</v>
      </c>
      <c r="BO10" s="147">
        <v>1</v>
      </c>
      <c r="BP10" s="160" t="s">
        <v>2726</v>
      </c>
      <c r="BQ10" s="8">
        <v>1</v>
      </c>
      <c r="BR10" s="138" t="s">
        <v>2727</v>
      </c>
      <c r="BS10" s="147">
        <v>4</v>
      </c>
      <c r="BT10" s="160" t="s">
        <v>1890</v>
      </c>
    </row>
    <row r="11" spans="1:72">
      <c r="A11" s="18">
        <v>1</v>
      </c>
      <c r="B11" s="18" t="s">
        <v>518</v>
      </c>
      <c r="C11" s="23">
        <v>1</v>
      </c>
      <c r="D11" s="37" t="s">
        <v>519</v>
      </c>
      <c r="E11" s="18">
        <v>1</v>
      </c>
      <c r="F11" s="18" t="s">
        <v>520</v>
      </c>
      <c r="G11" s="18">
        <v>1</v>
      </c>
      <c r="H11" s="18" t="s">
        <v>521</v>
      </c>
      <c r="I11" s="8">
        <v>4</v>
      </c>
      <c r="J11" s="8" t="s">
        <v>237</v>
      </c>
      <c r="K11" s="5">
        <v>1</v>
      </c>
      <c r="L11" s="5" t="s">
        <v>522</v>
      </c>
      <c r="M11" s="18">
        <v>1</v>
      </c>
      <c r="N11" s="137" t="s">
        <v>1328</v>
      </c>
      <c r="O11" s="18">
        <v>1</v>
      </c>
      <c r="P11" s="18" t="s">
        <v>524</v>
      </c>
      <c r="Q11" s="18">
        <v>1</v>
      </c>
      <c r="R11" s="18" t="s">
        <v>501</v>
      </c>
      <c r="S11" s="18">
        <v>1</v>
      </c>
      <c r="T11" s="18" t="s">
        <v>550</v>
      </c>
      <c r="U11" s="5">
        <v>4</v>
      </c>
      <c r="V11" s="34" t="s">
        <v>527</v>
      </c>
      <c r="W11" s="18">
        <v>1</v>
      </c>
      <c r="X11" s="18" t="s">
        <v>572</v>
      </c>
      <c r="Y11" s="23">
        <v>1</v>
      </c>
      <c r="Z11" s="23" t="s">
        <v>529</v>
      </c>
      <c r="AA11" s="129">
        <v>4</v>
      </c>
      <c r="AB11" s="129" t="s">
        <v>1723</v>
      </c>
      <c r="AC11" s="5">
        <v>1</v>
      </c>
      <c r="AD11" s="12" t="s">
        <v>530</v>
      </c>
      <c r="AE11" s="18">
        <v>1</v>
      </c>
      <c r="AF11" s="18" t="s">
        <v>485</v>
      </c>
      <c r="AG11" s="5">
        <v>1</v>
      </c>
      <c r="AH11" s="5" t="s">
        <v>2929</v>
      </c>
      <c r="AI11" s="5">
        <v>1</v>
      </c>
      <c r="AJ11" s="5" t="s">
        <v>532</v>
      </c>
      <c r="AK11" s="8">
        <v>4</v>
      </c>
      <c r="AL11" s="14" t="s">
        <v>421</v>
      </c>
      <c r="AM11" s="5">
        <v>4</v>
      </c>
      <c r="AN11" s="5" t="s">
        <v>533</v>
      </c>
      <c r="AO11" s="11">
        <v>1</v>
      </c>
      <c r="AP11" s="5" t="s">
        <v>534</v>
      </c>
      <c r="AQ11" s="18">
        <v>1</v>
      </c>
      <c r="AR11" s="18" t="s">
        <v>579</v>
      </c>
      <c r="AS11" s="5">
        <v>1</v>
      </c>
      <c r="AT11" s="5" t="s">
        <v>535</v>
      </c>
      <c r="AU11" s="18">
        <v>1</v>
      </c>
      <c r="AV11" s="18" t="s">
        <v>2938</v>
      </c>
      <c r="AW11" s="5">
        <v>4</v>
      </c>
      <c r="AX11" s="12" t="s">
        <v>537</v>
      </c>
      <c r="AY11" s="5">
        <v>1</v>
      </c>
      <c r="AZ11" s="5" t="s">
        <v>538</v>
      </c>
      <c r="BA11" s="5">
        <v>1</v>
      </c>
      <c r="BB11" s="5" t="s">
        <v>623</v>
      </c>
      <c r="BC11" s="23">
        <v>4</v>
      </c>
      <c r="BD11" s="37" t="s">
        <v>237</v>
      </c>
      <c r="BE11" s="5">
        <v>4</v>
      </c>
      <c r="BF11" s="5" t="s">
        <v>540</v>
      </c>
      <c r="BG11" s="18">
        <v>1</v>
      </c>
      <c r="BH11" s="18" t="s">
        <v>541</v>
      </c>
      <c r="BI11" s="152">
        <v>1</v>
      </c>
      <c r="BJ11" s="155" t="s">
        <v>2729</v>
      </c>
      <c r="BK11" s="152">
        <v>2</v>
      </c>
      <c r="BL11" s="152" t="s">
        <v>2734</v>
      </c>
      <c r="BM11" s="145">
        <v>1</v>
      </c>
      <c r="BN11" s="152" t="s">
        <v>2731</v>
      </c>
      <c r="BO11" s="147">
        <v>4</v>
      </c>
      <c r="BP11" s="160" t="s">
        <v>126</v>
      </c>
      <c r="BQ11" s="147">
        <v>2</v>
      </c>
      <c r="BR11" s="160" t="s">
        <v>2732</v>
      </c>
      <c r="BS11" s="161">
        <v>4</v>
      </c>
      <c r="BT11" s="161" t="s">
        <v>2811</v>
      </c>
    </row>
    <row r="12" spans="1:72">
      <c r="A12" s="18">
        <v>1</v>
      </c>
      <c r="B12" s="18" t="s">
        <v>542</v>
      </c>
      <c r="C12" s="5">
        <v>2</v>
      </c>
      <c r="D12" s="5" t="s">
        <v>543</v>
      </c>
      <c r="E12" s="5">
        <v>1</v>
      </c>
      <c r="F12" s="5" t="s">
        <v>544</v>
      </c>
      <c r="G12" s="18">
        <v>2</v>
      </c>
      <c r="H12" s="18" t="s">
        <v>545</v>
      </c>
      <c r="I12" s="18">
        <v>2</v>
      </c>
      <c r="J12" s="18" t="s">
        <v>645</v>
      </c>
      <c r="K12" s="18">
        <v>1</v>
      </c>
      <c r="L12" s="18" t="s">
        <v>547</v>
      </c>
      <c r="M12" s="18">
        <v>1</v>
      </c>
      <c r="N12" s="18" t="s">
        <v>428</v>
      </c>
      <c r="O12" s="18">
        <v>3</v>
      </c>
      <c r="P12" s="18" t="s">
        <v>548</v>
      </c>
      <c r="Q12" s="18">
        <v>1</v>
      </c>
      <c r="R12" s="18" t="s">
        <v>549</v>
      </c>
      <c r="S12" s="5">
        <v>1</v>
      </c>
      <c r="T12" s="5" t="s">
        <v>570</v>
      </c>
      <c r="U12" s="5">
        <v>2</v>
      </c>
      <c r="V12" s="34" t="s">
        <v>551</v>
      </c>
      <c r="W12" s="23">
        <v>1</v>
      </c>
      <c r="X12" s="23" t="s">
        <v>594</v>
      </c>
      <c r="Y12" s="5">
        <v>1</v>
      </c>
      <c r="Z12" s="5" t="s">
        <v>553</v>
      </c>
      <c r="AA12" s="5">
        <v>4</v>
      </c>
      <c r="AB12" s="5" t="s">
        <v>224</v>
      </c>
      <c r="AC12" s="18">
        <v>3</v>
      </c>
      <c r="AD12" s="39" t="s">
        <v>554</v>
      </c>
      <c r="AE12" s="18">
        <v>1</v>
      </c>
      <c r="AF12" s="18" t="s">
        <v>2927</v>
      </c>
      <c r="AG12" s="18">
        <v>1</v>
      </c>
      <c r="AH12" s="18" t="s">
        <v>575</v>
      </c>
      <c r="AI12" s="18">
        <v>4</v>
      </c>
      <c r="AJ12" s="18" t="s">
        <v>180</v>
      </c>
      <c r="AK12" s="5">
        <v>3</v>
      </c>
      <c r="AL12" s="12" t="s">
        <v>556</v>
      </c>
      <c r="AM12" s="5">
        <v>1</v>
      </c>
      <c r="AN12" s="5" t="s">
        <v>557</v>
      </c>
      <c r="AO12" s="24">
        <v>1</v>
      </c>
      <c r="AP12" s="18" t="s">
        <v>558</v>
      </c>
      <c r="AQ12" s="8">
        <v>1</v>
      </c>
      <c r="AR12" s="18" t="s">
        <v>2934</v>
      </c>
      <c r="AS12" s="5">
        <v>3</v>
      </c>
      <c r="AT12" s="5" t="s">
        <v>560</v>
      </c>
      <c r="AU12" s="18">
        <v>1</v>
      </c>
      <c r="AV12" s="18" t="s">
        <v>581</v>
      </c>
      <c r="AW12" s="18">
        <v>4</v>
      </c>
      <c r="AX12" s="12" t="s">
        <v>561</v>
      </c>
      <c r="AY12" s="5">
        <v>2</v>
      </c>
      <c r="AZ12" s="5" t="s">
        <v>562</v>
      </c>
      <c r="BA12" s="18">
        <v>4</v>
      </c>
      <c r="BB12" s="18" t="s">
        <v>242</v>
      </c>
      <c r="BC12" s="18">
        <v>4</v>
      </c>
      <c r="BD12" s="8" t="s">
        <v>184</v>
      </c>
      <c r="BE12" s="5">
        <v>4</v>
      </c>
      <c r="BF12" s="5" t="s">
        <v>563</v>
      </c>
      <c r="BG12" s="18">
        <v>1</v>
      </c>
      <c r="BH12" s="5" t="s">
        <v>564</v>
      </c>
      <c r="BI12" s="152">
        <v>1</v>
      </c>
      <c r="BJ12" s="155" t="s">
        <v>2733</v>
      </c>
      <c r="BK12" s="152">
        <v>2</v>
      </c>
      <c r="BL12" s="152" t="s">
        <v>2737</v>
      </c>
      <c r="BM12" s="145">
        <v>1</v>
      </c>
      <c r="BN12" s="152" t="s">
        <v>2735</v>
      </c>
      <c r="BO12" s="147">
        <v>4</v>
      </c>
      <c r="BP12" s="160" t="s">
        <v>139</v>
      </c>
      <c r="BQ12" s="8">
        <v>1</v>
      </c>
      <c r="BR12" s="138" t="s">
        <v>2736</v>
      </c>
      <c r="BS12" s="147">
        <v>4</v>
      </c>
      <c r="BT12" s="160" t="s">
        <v>1900</v>
      </c>
    </row>
    <row r="13" spans="1:72">
      <c r="A13" s="18">
        <v>1</v>
      </c>
      <c r="B13" s="18" t="s">
        <v>587</v>
      </c>
      <c r="C13" s="5">
        <v>1</v>
      </c>
      <c r="D13" s="5" t="s">
        <v>565</v>
      </c>
      <c r="E13" s="5">
        <v>4</v>
      </c>
      <c r="F13" s="5" t="s">
        <v>131</v>
      </c>
      <c r="G13" s="18">
        <v>1</v>
      </c>
      <c r="H13" s="18" t="s">
        <v>566</v>
      </c>
      <c r="I13" s="18">
        <v>4</v>
      </c>
      <c r="J13" s="18" t="s">
        <v>662</v>
      </c>
      <c r="K13" s="5">
        <v>1</v>
      </c>
      <c r="L13" s="5" t="s">
        <v>568</v>
      </c>
      <c r="M13" s="18">
        <v>1</v>
      </c>
      <c r="N13" s="18" t="s">
        <v>404</v>
      </c>
      <c r="O13" s="5">
        <v>4</v>
      </c>
      <c r="P13" s="5" t="s">
        <v>201</v>
      </c>
      <c r="Q13" s="18">
        <v>1</v>
      </c>
      <c r="R13" s="7" t="s">
        <v>569</v>
      </c>
      <c r="S13" s="5">
        <v>1</v>
      </c>
      <c r="T13" s="5" t="s">
        <v>245</v>
      </c>
      <c r="U13" s="18">
        <v>1</v>
      </c>
      <c r="V13" s="34" t="s">
        <v>571</v>
      </c>
      <c r="W13" s="18">
        <v>1</v>
      </c>
      <c r="X13" s="18" t="s">
        <v>648</v>
      </c>
      <c r="Y13" s="18">
        <v>4</v>
      </c>
      <c r="Z13" s="18" t="s">
        <v>573</v>
      </c>
      <c r="AA13" s="5">
        <v>4</v>
      </c>
      <c r="AB13" s="5" t="s">
        <v>186</v>
      </c>
      <c r="AC13" s="5">
        <v>4</v>
      </c>
      <c r="AD13" s="12" t="s">
        <v>574</v>
      </c>
      <c r="AE13" s="18">
        <v>4</v>
      </c>
      <c r="AF13" s="18" t="s">
        <v>131</v>
      </c>
      <c r="AG13" s="8">
        <v>4</v>
      </c>
      <c r="AH13" s="8" t="s">
        <v>595</v>
      </c>
      <c r="AI13" s="5">
        <v>4</v>
      </c>
      <c r="AJ13" s="5" t="s">
        <v>576</v>
      </c>
      <c r="AK13" s="18">
        <v>2</v>
      </c>
      <c r="AL13" s="39" t="s">
        <v>577</v>
      </c>
      <c r="AM13" s="5">
        <v>1</v>
      </c>
      <c r="AN13" s="5" t="s">
        <v>518</v>
      </c>
      <c r="AO13" s="24">
        <v>1</v>
      </c>
      <c r="AP13" s="18" t="s">
        <v>578</v>
      </c>
      <c r="AQ13" s="18">
        <v>1</v>
      </c>
      <c r="AR13" s="18" t="s">
        <v>618</v>
      </c>
      <c r="AS13" s="5">
        <v>1</v>
      </c>
      <c r="AT13" s="5" t="s">
        <v>580</v>
      </c>
      <c r="AU13" s="18">
        <v>1</v>
      </c>
      <c r="AV13" s="18" t="s">
        <v>600</v>
      </c>
      <c r="AW13" s="18">
        <v>4</v>
      </c>
      <c r="AX13" s="12" t="s">
        <v>582</v>
      </c>
      <c r="AY13" s="5">
        <v>1</v>
      </c>
      <c r="AZ13" s="5" t="s">
        <v>583</v>
      </c>
      <c r="BA13" s="18">
        <v>4</v>
      </c>
      <c r="BB13" s="18" t="s">
        <v>657</v>
      </c>
      <c r="BC13" s="18">
        <v>2</v>
      </c>
      <c r="BD13" s="8" t="s">
        <v>584</v>
      </c>
      <c r="BE13" s="5">
        <v>4</v>
      </c>
      <c r="BF13" s="5" t="s">
        <v>585</v>
      </c>
      <c r="BG13" s="5">
        <v>2</v>
      </c>
      <c r="BH13" s="18" t="s">
        <v>586</v>
      </c>
      <c r="BI13" s="153">
        <v>3</v>
      </c>
      <c r="BJ13" s="156" t="s">
        <v>251</v>
      </c>
      <c r="BK13" s="152">
        <v>1</v>
      </c>
      <c r="BL13" s="152" t="s">
        <v>2740</v>
      </c>
      <c r="BM13" s="145">
        <v>1</v>
      </c>
      <c r="BN13" s="152" t="s">
        <v>2738</v>
      </c>
      <c r="BO13" s="147">
        <v>4</v>
      </c>
      <c r="BP13" s="160" t="s">
        <v>168</v>
      </c>
      <c r="BQ13" s="8">
        <v>1</v>
      </c>
      <c r="BR13" s="138" t="s">
        <v>1811</v>
      </c>
      <c r="BS13" s="147">
        <v>4</v>
      </c>
      <c r="BT13" s="160" t="s">
        <v>2739</v>
      </c>
    </row>
    <row r="14" spans="1:72">
      <c r="A14" s="5">
        <v>1</v>
      </c>
      <c r="B14" s="5" t="s">
        <v>607</v>
      </c>
      <c r="C14" s="5">
        <v>1</v>
      </c>
      <c r="D14" s="5" t="s">
        <v>588</v>
      </c>
      <c r="E14" s="5">
        <v>4</v>
      </c>
      <c r="F14" s="5" t="s">
        <v>589</v>
      </c>
      <c r="G14" s="18">
        <v>4</v>
      </c>
      <c r="H14" s="18" t="s">
        <v>590</v>
      </c>
      <c r="I14" s="18">
        <v>4</v>
      </c>
      <c r="J14" s="18" t="s">
        <v>2686</v>
      </c>
      <c r="K14" s="5">
        <v>1</v>
      </c>
      <c r="L14" s="5" t="s">
        <v>591</v>
      </c>
      <c r="M14" s="18">
        <v>1</v>
      </c>
      <c r="N14" s="18" t="s">
        <v>504</v>
      </c>
      <c r="O14" s="18">
        <v>3</v>
      </c>
      <c r="P14" s="18" t="s">
        <v>593</v>
      </c>
      <c r="Q14" s="5">
        <v>1</v>
      </c>
      <c r="R14" s="7" t="s">
        <v>612</v>
      </c>
      <c r="S14" s="18">
        <v>1</v>
      </c>
      <c r="T14" s="18" t="s">
        <v>613</v>
      </c>
      <c r="U14" s="18">
        <v>3</v>
      </c>
      <c r="V14" s="34" t="s">
        <v>193</v>
      </c>
      <c r="W14" s="18">
        <v>4</v>
      </c>
      <c r="X14" s="18" t="s">
        <v>667</v>
      </c>
      <c r="Y14" s="5">
        <v>4</v>
      </c>
      <c r="Z14" s="5" t="s">
        <v>131</v>
      </c>
      <c r="AA14" s="5">
        <v>4</v>
      </c>
      <c r="AB14" s="5" t="s">
        <v>206</v>
      </c>
      <c r="AC14" s="18">
        <v>3</v>
      </c>
      <c r="AD14" s="39" t="s">
        <v>184</v>
      </c>
      <c r="AE14" s="18">
        <v>4</v>
      </c>
      <c r="AF14" s="18" t="s">
        <v>555</v>
      </c>
      <c r="AG14" s="18">
        <v>1</v>
      </c>
      <c r="AH14" s="18" t="s">
        <v>635</v>
      </c>
      <c r="AI14" s="5">
        <v>4</v>
      </c>
      <c r="AJ14" s="5" t="s">
        <v>184</v>
      </c>
      <c r="AK14" s="5">
        <v>2</v>
      </c>
      <c r="AL14" s="12" t="s">
        <v>596</v>
      </c>
      <c r="AM14" s="18">
        <v>1</v>
      </c>
      <c r="AN14" s="18" t="s">
        <v>616</v>
      </c>
      <c r="AO14" s="168">
        <v>1</v>
      </c>
      <c r="AP14" s="129" t="s">
        <v>2931</v>
      </c>
      <c r="AQ14" s="18">
        <v>1</v>
      </c>
      <c r="AR14" s="18" t="s">
        <v>639</v>
      </c>
      <c r="AS14" s="18">
        <v>1</v>
      </c>
      <c r="AT14" s="8" t="s">
        <v>599</v>
      </c>
      <c r="AU14" s="5">
        <v>3</v>
      </c>
      <c r="AV14" s="5" t="s">
        <v>620</v>
      </c>
      <c r="AW14" s="5">
        <v>4</v>
      </c>
      <c r="AX14" s="12" t="s">
        <v>601</v>
      </c>
      <c r="AY14" s="5">
        <v>2</v>
      </c>
      <c r="AZ14" s="5" t="s">
        <v>602</v>
      </c>
      <c r="BA14" s="18">
        <v>4</v>
      </c>
      <c r="BB14" s="18" t="s">
        <v>698</v>
      </c>
      <c r="BC14" s="5">
        <v>4</v>
      </c>
      <c r="BD14" s="8" t="s">
        <v>604</v>
      </c>
      <c r="BE14" s="5">
        <v>4</v>
      </c>
      <c r="BF14" s="5" t="s">
        <v>605</v>
      </c>
      <c r="BG14" s="18">
        <v>1</v>
      </c>
      <c r="BH14" s="18" t="s">
        <v>606</v>
      </c>
      <c r="BI14" s="152">
        <v>1</v>
      </c>
      <c r="BJ14" s="155" t="s">
        <v>968</v>
      </c>
      <c r="BK14" s="152">
        <v>3</v>
      </c>
      <c r="BL14" s="152" t="s">
        <v>1683</v>
      </c>
      <c r="BM14" s="145">
        <v>1</v>
      </c>
      <c r="BN14" s="152" t="s">
        <v>2741</v>
      </c>
      <c r="BO14" s="147">
        <v>5</v>
      </c>
      <c r="BP14" s="160" t="s">
        <v>2742</v>
      </c>
      <c r="BQ14" s="147">
        <v>1</v>
      </c>
      <c r="BR14" s="160" t="s">
        <v>2743</v>
      </c>
      <c r="BS14" s="147">
        <v>4</v>
      </c>
      <c r="BT14" s="160" t="s">
        <v>574</v>
      </c>
    </row>
    <row r="15" spans="1:72">
      <c r="A15" s="5">
        <v>1</v>
      </c>
      <c r="B15" s="5" t="s">
        <v>626</v>
      </c>
      <c r="C15" s="18">
        <v>4</v>
      </c>
      <c r="D15" s="18" t="s">
        <v>247</v>
      </c>
      <c r="E15" s="23">
        <v>4</v>
      </c>
      <c r="F15" s="23" t="s">
        <v>573</v>
      </c>
      <c r="G15" s="5">
        <v>2</v>
      </c>
      <c r="H15" s="5" t="s">
        <v>608</v>
      </c>
      <c r="I15" s="8">
        <v>4</v>
      </c>
      <c r="J15" s="137" t="s">
        <v>2812</v>
      </c>
      <c r="K15" s="18">
        <v>3</v>
      </c>
      <c r="L15" s="18" t="s">
        <v>223</v>
      </c>
      <c r="M15" s="18">
        <v>4</v>
      </c>
      <c r="N15" s="18" t="s">
        <v>2917</v>
      </c>
      <c r="O15" s="5">
        <v>3</v>
      </c>
      <c r="P15" s="5" t="s">
        <v>611</v>
      </c>
      <c r="Q15" s="18">
        <v>1</v>
      </c>
      <c r="R15" s="18" t="s">
        <v>630</v>
      </c>
      <c r="S15" s="5">
        <v>3</v>
      </c>
      <c r="T15" s="5" t="s">
        <v>631</v>
      </c>
      <c r="U15" s="5">
        <v>4</v>
      </c>
      <c r="V15" s="34" t="s">
        <v>212</v>
      </c>
      <c r="W15" s="18">
        <v>1</v>
      </c>
      <c r="X15" s="18" t="s">
        <v>681</v>
      </c>
      <c r="Y15" s="5">
        <v>4</v>
      </c>
      <c r="Z15" s="5" t="s">
        <v>221</v>
      </c>
      <c r="AA15" s="129">
        <v>4</v>
      </c>
      <c r="AB15" s="129" t="s">
        <v>1681</v>
      </c>
      <c r="AC15" s="5">
        <v>3</v>
      </c>
      <c r="AD15" s="12" t="s">
        <v>131</v>
      </c>
      <c r="AE15" s="18">
        <v>4</v>
      </c>
      <c r="AF15" s="18" t="s">
        <v>614</v>
      </c>
      <c r="AG15" s="18">
        <v>1</v>
      </c>
      <c r="AH15" s="18" t="s">
        <v>155</v>
      </c>
      <c r="AI15" s="18">
        <v>4</v>
      </c>
      <c r="AJ15" s="18" t="s">
        <v>131</v>
      </c>
      <c r="AK15" s="5">
        <v>4</v>
      </c>
      <c r="AL15" s="12" t="s">
        <v>131</v>
      </c>
      <c r="AM15" s="5">
        <v>1</v>
      </c>
      <c r="AN15" s="5" t="s">
        <v>638</v>
      </c>
      <c r="AO15" s="11">
        <v>1</v>
      </c>
      <c r="AP15" s="5" t="s">
        <v>598</v>
      </c>
      <c r="AQ15" s="18">
        <v>4</v>
      </c>
      <c r="AR15" s="18" t="s">
        <v>654</v>
      </c>
      <c r="AS15" s="5">
        <v>2</v>
      </c>
      <c r="AT15" s="5" t="s">
        <v>619</v>
      </c>
      <c r="AU15" s="8">
        <v>4</v>
      </c>
      <c r="AV15" s="8" t="s">
        <v>2908</v>
      </c>
      <c r="AW15" s="5">
        <v>3</v>
      </c>
      <c r="AX15" s="12" t="s">
        <v>621</v>
      </c>
      <c r="AY15" s="18">
        <v>1</v>
      </c>
      <c r="AZ15" s="18" t="s">
        <v>622</v>
      </c>
      <c r="BA15" s="5">
        <v>3</v>
      </c>
      <c r="BB15" s="5" t="s">
        <v>647</v>
      </c>
      <c r="BC15" s="5">
        <v>3</v>
      </c>
      <c r="BD15" s="8" t="s">
        <v>624</v>
      </c>
      <c r="BE15" s="23">
        <v>4</v>
      </c>
      <c r="BF15" s="23" t="s">
        <v>204</v>
      </c>
      <c r="BG15" s="5">
        <v>4</v>
      </c>
      <c r="BH15" s="5" t="s">
        <v>625</v>
      </c>
      <c r="BI15" s="152">
        <v>3</v>
      </c>
      <c r="BJ15" s="155" t="s">
        <v>668</v>
      </c>
      <c r="BK15" s="152">
        <v>4</v>
      </c>
      <c r="BL15" s="152" t="s">
        <v>131</v>
      </c>
      <c r="BM15" s="145">
        <v>1</v>
      </c>
      <c r="BN15" s="152" t="s">
        <v>2744</v>
      </c>
      <c r="BO15" s="8">
        <v>4</v>
      </c>
      <c r="BP15" s="138" t="s">
        <v>2745</v>
      </c>
      <c r="BQ15" s="147">
        <v>1</v>
      </c>
      <c r="BR15" s="160" t="s">
        <v>2746</v>
      </c>
      <c r="BS15" s="147">
        <v>4</v>
      </c>
      <c r="BT15" s="160" t="s">
        <v>2747</v>
      </c>
    </row>
    <row r="16" spans="1:72">
      <c r="A16" s="5">
        <v>2</v>
      </c>
      <c r="B16" s="5" t="s">
        <v>643</v>
      </c>
      <c r="C16" s="18">
        <v>4</v>
      </c>
      <c r="D16" s="18" t="s">
        <v>237</v>
      </c>
      <c r="E16" s="5">
        <v>4</v>
      </c>
      <c r="F16" s="5" t="s">
        <v>627</v>
      </c>
      <c r="G16" s="23">
        <v>2</v>
      </c>
      <c r="H16" s="23" t="s">
        <v>628</v>
      </c>
      <c r="I16" s="18">
        <v>4</v>
      </c>
      <c r="J16" s="18" t="s">
        <v>2685</v>
      </c>
      <c r="K16" s="5">
        <v>4</v>
      </c>
      <c r="L16" s="5" t="s">
        <v>184</v>
      </c>
      <c r="M16" s="18">
        <v>2</v>
      </c>
      <c r="N16" s="18" t="s">
        <v>610</v>
      </c>
      <c r="O16" s="5">
        <v>3</v>
      </c>
      <c r="P16" s="5" t="s">
        <v>629</v>
      </c>
      <c r="Q16" s="18">
        <v>1</v>
      </c>
      <c r="R16" s="18" t="s">
        <v>665</v>
      </c>
      <c r="S16" s="18">
        <v>4</v>
      </c>
      <c r="T16" s="18" t="s">
        <v>646</v>
      </c>
      <c r="U16" s="18">
        <v>2</v>
      </c>
      <c r="V16" s="34" t="s">
        <v>632</v>
      </c>
      <c r="W16" s="18">
        <v>4</v>
      </c>
      <c r="X16" s="18" t="s">
        <v>184</v>
      </c>
      <c r="Y16" s="23">
        <v>4</v>
      </c>
      <c r="Z16" s="23" t="s">
        <v>237</v>
      </c>
      <c r="AA16" s="18">
        <v>4</v>
      </c>
      <c r="AB16" s="18" t="s">
        <v>1523</v>
      </c>
      <c r="AC16" s="5">
        <v>4</v>
      </c>
      <c r="AD16" s="12" t="s">
        <v>634</v>
      </c>
      <c r="AE16" s="18">
        <v>4</v>
      </c>
      <c r="AF16" s="18" t="s">
        <v>516</v>
      </c>
      <c r="AG16" s="18">
        <v>4</v>
      </c>
      <c r="AH16" s="18" t="s">
        <v>683</v>
      </c>
      <c r="AI16" s="5">
        <v>4</v>
      </c>
      <c r="AJ16" s="5" t="s">
        <v>636</v>
      </c>
      <c r="AK16" s="18">
        <v>4</v>
      </c>
      <c r="AL16" s="39" t="s">
        <v>637</v>
      </c>
      <c r="AM16" s="5">
        <v>1</v>
      </c>
      <c r="AN16" s="5" t="s">
        <v>2605</v>
      </c>
      <c r="AO16" s="11">
        <v>1</v>
      </c>
      <c r="AP16" s="5" t="s">
        <v>617</v>
      </c>
      <c r="AQ16" s="18">
        <v>4</v>
      </c>
      <c r="AR16" s="18" t="s">
        <v>573</v>
      </c>
      <c r="AS16" s="18">
        <v>1</v>
      </c>
      <c r="AT16" s="18" t="s">
        <v>640</v>
      </c>
      <c r="AU16" s="18">
        <v>4</v>
      </c>
      <c r="AV16" s="18" t="s">
        <v>656</v>
      </c>
      <c r="AW16" s="18">
        <v>4</v>
      </c>
      <c r="AX16" s="12" t="s">
        <v>641</v>
      </c>
      <c r="AY16" s="18">
        <v>3</v>
      </c>
      <c r="AZ16" s="18" t="s">
        <v>180</v>
      </c>
      <c r="BA16" s="137">
        <v>2</v>
      </c>
      <c r="BB16" s="137" t="s">
        <v>124</v>
      </c>
      <c r="BC16" s="18">
        <v>4</v>
      </c>
      <c r="BD16" s="8" t="s">
        <v>131</v>
      </c>
      <c r="BE16" s="18">
        <v>4</v>
      </c>
      <c r="BF16" s="18" t="s">
        <v>152</v>
      </c>
      <c r="BG16" s="5">
        <v>3</v>
      </c>
      <c r="BH16" s="5" t="s">
        <v>642</v>
      </c>
      <c r="BI16" s="153">
        <v>1</v>
      </c>
      <c r="BJ16" s="156" t="s">
        <v>145</v>
      </c>
      <c r="BK16" s="152">
        <v>4</v>
      </c>
      <c r="BL16" s="152" t="s">
        <v>169</v>
      </c>
      <c r="BM16" s="145">
        <v>1</v>
      </c>
      <c r="BN16" s="152" t="s">
        <v>2748</v>
      </c>
      <c r="BO16" s="147">
        <v>4</v>
      </c>
      <c r="BP16" s="160" t="s">
        <v>131</v>
      </c>
      <c r="BQ16" s="147">
        <v>1</v>
      </c>
      <c r="BR16" s="160" t="s">
        <v>2749</v>
      </c>
      <c r="BS16" s="147">
        <v>4</v>
      </c>
      <c r="BT16" s="160" t="s">
        <v>131</v>
      </c>
    </row>
    <row r="17" spans="1:72">
      <c r="A17" s="5">
        <v>1</v>
      </c>
      <c r="B17" s="5" t="s">
        <v>660</v>
      </c>
      <c r="C17" s="18">
        <v>4</v>
      </c>
      <c r="D17" s="18" t="s">
        <v>131</v>
      </c>
      <c r="E17" s="5">
        <v>4</v>
      </c>
      <c r="F17" s="5" t="s">
        <v>644</v>
      </c>
      <c r="G17" s="5">
        <v>4</v>
      </c>
      <c r="H17" s="5" t="s">
        <v>131</v>
      </c>
      <c r="I17" s="18">
        <v>4</v>
      </c>
      <c r="J17" s="18" t="s">
        <v>1976</v>
      </c>
      <c r="K17" s="5">
        <v>4</v>
      </c>
      <c r="L17" s="5" t="s">
        <v>243</v>
      </c>
      <c r="M17" s="18">
        <v>1</v>
      </c>
      <c r="N17" s="18" t="s">
        <v>262</v>
      </c>
      <c r="O17" s="18">
        <v>3</v>
      </c>
      <c r="P17" s="18" t="s">
        <v>145</v>
      </c>
      <c r="Q17" s="18">
        <v>1</v>
      </c>
      <c r="R17" s="18" t="s">
        <v>679</v>
      </c>
      <c r="S17" s="18">
        <v>4</v>
      </c>
      <c r="T17" s="18" t="s">
        <v>237</v>
      </c>
      <c r="U17" s="23">
        <v>4</v>
      </c>
      <c r="V17" s="38" t="s">
        <v>647</v>
      </c>
      <c r="W17" s="23">
        <v>3</v>
      </c>
      <c r="X17" s="23" t="s">
        <v>705</v>
      </c>
      <c r="Y17" s="23">
        <v>3</v>
      </c>
      <c r="Z17" s="23" t="s">
        <v>242</v>
      </c>
      <c r="AA17" s="5">
        <v>4</v>
      </c>
      <c r="AB17" s="5" t="s">
        <v>215</v>
      </c>
      <c r="AC17" s="5">
        <v>4</v>
      </c>
      <c r="AD17" s="12" t="s">
        <v>650</v>
      </c>
      <c r="AE17" s="18">
        <v>4</v>
      </c>
      <c r="AF17" s="18" t="s">
        <v>573</v>
      </c>
      <c r="AG17" s="18">
        <v>2</v>
      </c>
      <c r="AH17" s="18" t="s">
        <v>242</v>
      </c>
      <c r="AI17" s="5">
        <v>4</v>
      </c>
      <c r="AJ17" s="5" t="s">
        <v>651</v>
      </c>
      <c r="AK17" s="5">
        <v>4</v>
      </c>
      <c r="AL17" s="12" t="s">
        <v>652</v>
      </c>
      <c r="AM17" s="18">
        <v>1</v>
      </c>
      <c r="AN17" s="18" t="s">
        <v>670</v>
      </c>
      <c r="AO17" s="24">
        <v>4</v>
      </c>
      <c r="AP17" s="18" t="s">
        <v>249</v>
      </c>
      <c r="AQ17" s="18">
        <v>4</v>
      </c>
      <c r="AR17" s="18" t="s">
        <v>687</v>
      </c>
      <c r="AS17" s="18">
        <v>1</v>
      </c>
      <c r="AT17" s="18" t="s">
        <v>655</v>
      </c>
      <c r="AU17" s="5">
        <v>3</v>
      </c>
      <c r="AV17" s="5" t="s">
        <v>668</v>
      </c>
      <c r="AW17" s="5">
        <v>4</v>
      </c>
      <c r="AX17" s="12" t="s">
        <v>131</v>
      </c>
      <c r="AY17" s="18">
        <v>4</v>
      </c>
      <c r="AZ17" s="18" t="s">
        <v>184</v>
      </c>
      <c r="BA17" s="129">
        <v>2</v>
      </c>
      <c r="BB17" s="129" t="s">
        <v>193</v>
      </c>
      <c r="BC17" s="5">
        <v>4</v>
      </c>
      <c r="BD17" s="8" t="s">
        <v>658</v>
      </c>
      <c r="BE17" s="18">
        <v>3</v>
      </c>
      <c r="BF17" s="18" t="s">
        <v>273</v>
      </c>
      <c r="BG17" s="5">
        <v>3</v>
      </c>
      <c r="BH17" s="5" t="s">
        <v>659</v>
      </c>
      <c r="BI17" s="152">
        <v>1</v>
      </c>
      <c r="BJ17" s="155" t="s">
        <v>273</v>
      </c>
      <c r="BK17" s="152">
        <v>1</v>
      </c>
      <c r="BL17" s="152" t="s">
        <v>1227</v>
      </c>
      <c r="BM17" s="145">
        <v>1</v>
      </c>
      <c r="BN17" s="152" t="s">
        <v>2750</v>
      </c>
      <c r="BO17" s="147">
        <v>4</v>
      </c>
      <c r="BP17" s="160" t="s">
        <v>169</v>
      </c>
      <c r="BQ17" s="147">
        <v>1</v>
      </c>
      <c r="BR17" s="160" t="s">
        <v>2751</v>
      </c>
      <c r="BS17" s="147">
        <v>4</v>
      </c>
      <c r="BT17" s="160" t="s">
        <v>2752</v>
      </c>
    </row>
    <row r="18" spans="1:72">
      <c r="A18" s="18">
        <v>4</v>
      </c>
      <c r="B18" s="18" t="s">
        <v>113</v>
      </c>
      <c r="C18" s="23">
        <v>4</v>
      </c>
      <c r="D18" s="23" t="s">
        <v>184</v>
      </c>
      <c r="E18" s="5">
        <v>2</v>
      </c>
      <c r="F18" s="5" t="s">
        <v>661</v>
      </c>
      <c r="G18" s="18">
        <v>4</v>
      </c>
      <c r="H18" s="18" t="s">
        <v>184</v>
      </c>
      <c r="I18" s="18">
        <v>4</v>
      </c>
      <c r="J18" s="18" t="s">
        <v>742</v>
      </c>
      <c r="K18" s="5">
        <v>4</v>
      </c>
      <c r="L18" s="5" t="s">
        <v>239</v>
      </c>
      <c r="M18" s="18">
        <v>1</v>
      </c>
      <c r="N18" s="18" t="s">
        <v>270</v>
      </c>
      <c r="O18" s="18">
        <v>4</v>
      </c>
      <c r="P18" s="18" t="s">
        <v>664</v>
      </c>
      <c r="Q18" s="18">
        <v>1</v>
      </c>
      <c r="R18" s="18" t="s">
        <v>693</v>
      </c>
      <c r="S18" s="5">
        <v>4</v>
      </c>
      <c r="T18" s="5" t="s">
        <v>131</v>
      </c>
      <c r="U18" s="5">
        <v>4</v>
      </c>
      <c r="V18" s="34" t="s">
        <v>666</v>
      </c>
      <c r="W18" s="5">
        <v>3</v>
      </c>
      <c r="X18" s="5" t="s">
        <v>131</v>
      </c>
      <c r="Y18" s="5">
        <v>3</v>
      </c>
      <c r="Z18" s="5" t="s">
        <v>668</v>
      </c>
      <c r="AA18" s="5">
        <v>4</v>
      </c>
      <c r="AB18" s="5" t="s">
        <v>236</v>
      </c>
      <c r="AC18" s="18">
        <v>4</v>
      </c>
      <c r="AD18" s="39" t="s">
        <v>247</v>
      </c>
      <c r="AE18" s="18">
        <v>4</v>
      </c>
      <c r="AF18" s="18" t="s">
        <v>242</v>
      </c>
      <c r="AG18" s="137">
        <v>4</v>
      </c>
      <c r="AH18" s="137" t="s">
        <v>573</v>
      </c>
      <c r="AI18" s="5">
        <v>4</v>
      </c>
      <c r="AJ18" s="5" t="s">
        <v>227</v>
      </c>
      <c r="AK18" s="5">
        <v>4</v>
      </c>
      <c r="AL18" s="12" t="s">
        <v>247</v>
      </c>
      <c r="AM18" s="18">
        <v>1</v>
      </c>
      <c r="AN18" s="18" t="s">
        <v>685</v>
      </c>
      <c r="AO18" s="11">
        <v>4</v>
      </c>
      <c r="AP18" s="5" t="s">
        <v>237</v>
      </c>
      <c r="AQ18" s="18">
        <v>4</v>
      </c>
      <c r="AR18" s="18" t="s">
        <v>242</v>
      </c>
      <c r="AS18" s="5">
        <v>1</v>
      </c>
      <c r="AT18" s="5" t="s">
        <v>671</v>
      </c>
      <c r="AU18" s="5">
        <v>3</v>
      </c>
      <c r="AV18" s="5" t="s">
        <v>273</v>
      </c>
      <c r="AY18" s="5">
        <v>4</v>
      </c>
      <c r="AZ18" s="5" t="s">
        <v>131</v>
      </c>
      <c r="BA18" s="129">
        <v>2</v>
      </c>
      <c r="BB18" s="129" t="s">
        <v>238</v>
      </c>
      <c r="BC18" s="5">
        <v>1</v>
      </c>
      <c r="BD18" s="8" t="s">
        <v>209</v>
      </c>
      <c r="BE18" s="5">
        <v>4</v>
      </c>
      <c r="BF18" s="5" t="s">
        <v>673</v>
      </c>
      <c r="BG18" s="5">
        <v>3</v>
      </c>
      <c r="BH18" s="5" t="s">
        <v>674</v>
      </c>
      <c r="BI18" s="152">
        <v>3</v>
      </c>
      <c r="BJ18" s="155" t="s">
        <v>1577</v>
      </c>
      <c r="BK18" s="152">
        <v>1</v>
      </c>
      <c r="BL18" s="152" t="s">
        <v>705</v>
      </c>
      <c r="BM18" s="145">
        <v>4</v>
      </c>
      <c r="BN18" s="152" t="s">
        <v>2753</v>
      </c>
      <c r="BO18" s="64"/>
      <c r="BP18" s="158"/>
      <c r="BQ18" s="147">
        <v>1</v>
      </c>
      <c r="BR18" s="160" t="s">
        <v>2754</v>
      </c>
      <c r="BS18" s="8">
        <v>3</v>
      </c>
      <c r="BT18" s="138" t="s">
        <v>1885</v>
      </c>
    </row>
    <row r="19" spans="1:72">
      <c r="A19" s="18">
        <v>4</v>
      </c>
      <c r="B19" s="18" t="s">
        <v>204</v>
      </c>
      <c r="C19" s="5">
        <v>4</v>
      </c>
      <c r="D19" s="5" t="s">
        <v>675</v>
      </c>
      <c r="E19" s="23">
        <v>4</v>
      </c>
      <c r="F19" s="23" t="s">
        <v>676</v>
      </c>
      <c r="G19" s="5">
        <v>2</v>
      </c>
      <c r="H19" s="5" t="s">
        <v>677</v>
      </c>
      <c r="K19" s="5">
        <v>1</v>
      </c>
      <c r="L19" s="5" t="s">
        <v>235</v>
      </c>
      <c r="M19" s="18">
        <v>1</v>
      </c>
      <c r="N19" s="18" t="s">
        <v>663</v>
      </c>
      <c r="O19" s="18">
        <v>3</v>
      </c>
      <c r="P19" s="18" t="s">
        <v>281</v>
      </c>
      <c r="Q19" s="18">
        <v>1</v>
      </c>
      <c r="R19" s="18" t="s">
        <v>145</v>
      </c>
      <c r="S19" s="5">
        <v>3</v>
      </c>
      <c r="T19" s="5" t="s">
        <v>281</v>
      </c>
      <c r="U19" s="5">
        <v>4</v>
      </c>
      <c r="V19" s="34" t="s">
        <v>680</v>
      </c>
      <c r="W19" s="5">
        <v>4</v>
      </c>
      <c r="X19" s="5" t="s">
        <v>726</v>
      </c>
      <c r="Y19" s="5">
        <v>4</v>
      </c>
      <c r="Z19" s="5" t="s">
        <v>682</v>
      </c>
      <c r="AA19" s="129">
        <v>2</v>
      </c>
      <c r="AB19" s="129" t="s">
        <v>2922</v>
      </c>
      <c r="AC19" s="23">
        <v>4</v>
      </c>
      <c r="AD19" s="40" t="s">
        <v>678</v>
      </c>
      <c r="AE19" s="18">
        <v>1</v>
      </c>
      <c r="AF19" s="18" t="s">
        <v>972</v>
      </c>
      <c r="AG19" s="18">
        <v>1</v>
      </c>
      <c r="AH19" s="18" t="s">
        <v>708</v>
      </c>
      <c r="AI19" s="5">
        <v>4</v>
      </c>
      <c r="AJ19" s="5" t="s">
        <v>684</v>
      </c>
      <c r="AK19" s="5">
        <v>4</v>
      </c>
      <c r="AL19" s="12" t="s">
        <v>649</v>
      </c>
      <c r="AM19" s="18">
        <v>4</v>
      </c>
      <c r="AN19" s="18" t="s">
        <v>131</v>
      </c>
      <c r="AO19" s="11">
        <v>4</v>
      </c>
      <c r="AP19" s="5" t="s">
        <v>227</v>
      </c>
      <c r="AQ19" s="18">
        <v>1</v>
      </c>
      <c r="AR19" s="18" t="s">
        <v>273</v>
      </c>
      <c r="AS19" s="5">
        <v>4</v>
      </c>
      <c r="AT19" s="5" t="s">
        <v>180</v>
      </c>
      <c r="AU19" s="18">
        <v>4</v>
      </c>
      <c r="AV19" s="18" t="s">
        <v>711</v>
      </c>
      <c r="AY19" s="5">
        <v>3</v>
      </c>
      <c r="AZ19" s="5" t="s">
        <v>688</v>
      </c>
      <c r="BA19" s="137">
        <v>2</v>
      </c>
      <c r="BB19" s="137" t="s">
        <v>233</v>
      </c>
      <c r="BC19" s="18">
        <v>1</v>
      </c>
      <c r="BD19" s="22" t="s">
        <v>267</v>
      </c>
      <c r="BG19" s="5">
        <v>3</v>
      </c>
      <c r="BH19" s="5" t="s">
        <v>689</v>
      </c>
      <c r="BI19" s="152">
        <v>4</v>
      </c>
      <c r="BJ19" s="155" t="s">
        <v>2755</v>
      </c>
      <c r="BK19" s="8">
        <v>1</v>
      </c>
      <c r="BL19" s="8" t="s">
        <v>2779</v>
      </c>
      <c r="BM19" s="145">
        <v>3</v>
      </c>
      <c r="BN19" s="152" t="s">
        <v>2756</v>
      </c>
      <c r="BO19" s="64"/>
      <c r="BP19" s="158"/>
      <c r="BQ19" s="147">
        <v>4</v>
      </c>
      <c r="BR19" s="160" t="s">
        <v>237</v>
      </c>
      <c r="BS19" s="149"/>
      <c r="BT19" s="158"/>
    </row>
    <row r="20" spans="1:72">
      <c r="A20" s="18">
        <v>4</v>
      </c>
      <c r="B20" s="18" t="s">
        <v>131</v>
      </c>
      <c r="C20" s="5">
        <v>3</v>
      </c>
      <c r="D20" s="5" t="s">
        <v>691</v>
      </c>
      <c r="E20" s="5">
        <v>4</v>
      </c>
      <c r="F20" s="5" t="s">
        <v>668</v>
      </c>
      <c r="G20" s="23">
        <v>3</v>
      </c>
      <c r="H20" s="23" t="s">
        <v>692</v>
      </c>
      <c r="K20" s="5">
        <v>4</v>
      </c>
      <c r="L20" s="5" t="s">
        <v>131</v>
      </c>
      <c r="M20" s="18">
        <v>1</v>
      </c>
      <c r="N20" s="18" t="s">
        <v>251</v>
      </c>
      <c r="O20" s="18">
        <v>1</v>
      </c>
      <c r="P20" s="18" t="s">
        <v>703</v>
      </c>
      <c r="Q20" s="137">
        <v>1</v>
      </c>
      <c r="R20" s="137" t="s">
        <v>2919</v>
      </c>
      <c r="S20" s="5">
        <v>4</v>
      </c>
      <c r="T20" s="5" t="s">
        <v>242</v>
      </c>
      <c r="U20" s="5">
        <v>4</v>
      </c>
      <c r="V20" s="34" t="s">
        <v>131</v>
      </c>
      <c r="W20" s="18">
        <v>4</v>
      </c>
      <c r="X20" s="18" t="s">
        <v>664</v>
      </c>
      <c r="Y20" s="5">
        <v>1</v>
      </c>
      <c r="Z20" s="5" t="s">
        <v>234</v>
      </c>
      <c r="AA20" s="5">
        <v>2</v>
      </c>
      <c r="AB20" s="5" t="s">
        <v>155</v>
      </c>
      <c r="AC20" s="23">
        <v>1</v>
      </c>
      <c r="AD20" s="40" t="s">
        <v>694</v>
      </c>
      <c r="AE20" s="8">
        <v>1</v>
      </c>
      <c r="AF20" s="8" t="s">
        <v>669</v>
      </c>
      <c r="AG20" s="18">
        <v>1</v>
      </c>
      <c r="AH20" s="18" t="s">
        <v>273</v>
      </c>
      <c r="AK20" s="18">
        <v>1</v>
      </c>
      <c r="AL20" s="39" t="s">
        <v>269</v>
      </c>
      <c r="AM20" s="18">
        <v>4</v>
      </c>
      <c r="AN20" s="18" t="s">
        <v>113</v>
      </c>
      <c r="AO20" s="11">
        <v>3</v>
      </c>
      <c r="AP20" s="5" t="s">
        <v>686</v>
      </c>
      <c r="AQ20" s="18">
        <v>4</v>
      </c>
      <c r="AR20" s="18" t="s">
        <v>2935</v>
      </c>
      <c r="AS20" s="18">
        <v>2</v>
      </c>
      <c r="AT20" s="18" t="s">
        <v>697</v>
      </c>
      <c r="AU20" s="5">
        <v>4</v>
      </c>
      <c r="AV20" s="5" t="s">
        <v>721</v>
      </c>
      <c r="AY20" s="8">
        <v>3</v>
      </c>
      <c r="AZ20" s="8" t="s">
        <v>206</v>
      </c>
      <c r="BA20" s="18">
        <v>4</v>
      </c>
      <c r="BB20" s="18" t="s">
        <v>131</v>
      </c>
      <c r="BC20" s="18">
        <v>3</v>
      </c>
      <c r="BD20" s="22" t="s">
        <v>699</v>
      </c>
      <c r="BG20" s="5">
        <v>1</v>
      </c>
      <c r="BH20" s="5" t="s">
        <v>700</v>
      </c>
      <c r="BI20" s="152">
        <v>4</v>
      </c>
      <c r="BJ20" s="155" t="s">
        <v>2757</v>
      </c>
      <c r="BK20" s="152">
        <v>1</v>
      </c>
      <c r="BL20" s="152" t="s">
        <v>1213</v>
      </c>
      <c r="BM20" s="145">
        <v>4</v>
      </c>
      <c r="BN20" s="152" t="s">
        <v>1609</v>
      </c>
      <c r="BO20" s="64"/>
      <c r="BP20" s="158"/>
      <c r="BQ20" s="147">
        <v>4</v>
      </c>
      <c r="BR20" s="160" t="s">
        <v>131</v>
      </c>
      <c r="BS20" s="149"/>
      <c r="BT20" s="158"/>
    </row>
    <row r="21" spans="1:72">
      <c r="A21" s="18">
        <v>3</v>
      </c>
      <c r="B21" s="18" t="s">
        <v>713</v>
      </c>
      <c r="C21" s="5">
        <v>3</v>
      </c>
      <c r="D21" s="5" t="s">
        <v>701</v>
      </c>
      <c r="E21" s="5">
        <v>3</v>
      </c>
      <c r="F21" s="5" t="s">
        <v>273</v>
      </c>
      <c r="G21" s="5">
        <v>3</v>
      </c>
      <c r="H21" s="5" t="s">
        <v>702</v>
      </c>
      <c r="K21" s="23">
        <v>1</v>
      </c>
      <c r="L21" s="23" t="s">
        <v>233</v>
      </c>
      <c r="M21" s="8">
        <v>1</v>
      </c>
      <c r="N21" s="8" t="s">
        <v>703</v>
      </c>
      <c r="O21" s="18">
        <v>1</v>
      </c>
      <c r="P21" s="18" t="s">
        <v>716</v>
      </c>
      <c r="Q21" s="137">
        <v>1</v>
      </c>
      <c r="R21" s="137" t="s">
        <v>2921</v>
      </c>
      <c r="S21" s="5">
        <v>4</v>
      </c>
      <c r="T21" s="5" t="s">
        <v>717</v>
      </c>
      <c r="U21" s="5">
        <v>4</v>
      </c>
      <c r="V21" s="34" t="s">
        <v>704</v>
      </c>
      <c r="W21" s="5">
        <v>4</v>
      </c>
      <c r="X21" s="5" t="s">
        <v>744</v>
      </c>
      <c r="Y21" s="5">
        <v>1</v>
      </c>
      <c r="Z21" s="5" t="s">
        <v>706</v>
      </c>
      <c r="AA21" s="5">
        <v>4</v>
      </c>
      <c r="AB21" s="5" t="s">
        <v>128</v>
      </c>
      <c r="AC21" s="23">
        <v>1</v>
      </c>
      <c r="AD21" s="40" t="s">
        <v>707</v>
      </c>
      <c r="AE21" s="18">
        <v>1</v>
      </c>
      <c r="AF21" s="18" t="s">
        <v>273</v>
      </c>
      <c r="AG21" s="18">
        <v>1</v>
      </c>
      <c r="AH21" s="18" t="s">
        <v>668</v>
      </c>
      <c r="AK21" s="5">
        <v>1</v>
      </c>
      <c r="AL21" s="12" t="s">
        <v>709</v>
      </c>
      <c r="AM21" s="18">
        <v>4</v>
      </c>
      <c r="AN21" s="18" t="s">
        <v>573</v>
      </c>
      <c r="AO21" s="36">
        <v>4</v>
      </c>
      <c r="AP21" s="23" t="s">
        <v>169</v>
      </c>
      <c r="AQ21" s="18">
        <v>4</v>
      </c>
      <c r="AR21" s="18" t="s">
        <v>531</v>
      </c>
      <c r="AS21" s="5">
        <v>2</v>
      </c>
      <c r="AT21" s="5" t="s">
        <v>710</v>
      </c>
      <c r="AU21" s="5">
        <v>4</v>
      </c>
      <c r="AV21" s="5" t="s">
        <v>730</v>
      </c>
      <c r="AY21" s="5">
        <v>4</v>
      </c>
      <c r="AZ21" s="5" t="s">
        <v>166</v>
      </c>
      <c r="BA21" s="18">
        <v>4</v>
      </c>
      <c r="BB21" s="18" t="s">
        <v>741</v>
      </c>
      <c r="BG21" s="5">
        <v>1</v>
      </c>
      <c r="BH21" s="5" t="s">
        <v>712</v>
      </c>
      <c r="BI21" s="152">
        <v>3</v>
      </c>
      <c r="BJ21" s="155" t="s">
        <v>573</v>
      </c>
      <c r="BK21" s="152">
        <v>4</v>
      </c>
      <c r="BL21" s="152" t="s">
        <v>2758</v>
      </c>
      <c r="BM21" s="145">
        <v>4</v>
      </c>
      <c r="BN21" s="152" t="s">
        <v>2759</v>
      </c>
      <c r="BO21" s="64"/>
      <c r="BP21" s="158"/>
      <c r="BQ21" s="8">
        <v>4</v>
      </c>
      <c r="BR21" s="138" t="s">
        <v>2760</v>
      </c>
      <c r="BS21" s="149"/>
      <c r="BT21" s="158"/>
    </row>
    <row r="22" spans="1:72">
      <c r="A22" s="137">
        <v>4</v>
      </c>
      <c r="B22" s="137" t="s">
        <v>573</v>
      </c>
      <c r="C22" s="5">
        <v>3</v>
      </c>
      <c r="D22" s="5" t="s">
        <v>714</v>
      </c>
      <c r="G22" s="5">
        <v>3</v>
      </c>
      <c r="H22" s="5" t="s">
        <v>267</v>
      </c>
      <c r="K22" s="5">
        <v>1</v>
      </c>
      <c r="L22" s="5" t="s">
        <v>69</v>
      </c>
      <c r="M22" s="18">
        <v>1</v>
      </c>
      <c r="N22" s="18" t="s">
        <v>715</v>
      </c>
      <c r="O22" s="18">
        <v>1</v>
      </c>
      <c r="P22" s="18" t="s">
        <v>262</v>
      </c>
      <c r="Q22" s="18">
        <v>4</v>
      </c>
      <c r="R22" s="18" t="s">
        <v>725</v>
      </c>
      <c r="S22" s="18">
        <v>4</v>
      </c>
      <c r="T22" s="18" t="s">
        <v>573</v>
      </c>
      <c r="U22" s="18">
        <v>4</v>
      </c>
      <c r="V22" s="34" t="s">
        <v>113</v>
      </c>
      <c r="W22" s="5">
        <v>4</v>
      </c>
      <c r="X22" s="5" t="s">
        <v>752</v>
      </c>
      <c r="Y22" s="18">
        <v>1</v>
      </c>
      <c r="Z22" s="18" t="s">
        <v>718</v>
      </c>
      <c r="AC22" s="18">
        <v>1</v>
      </c>
      <c r="AD22" s="39" t="s">
        <v>703</v>
      </c>
      <c r="AE22" s="18">
        <v>1</v>
      </c>
      <c r="AF22" s="18" t="s">
        <v>695</v>
      </c>
      <c r="AG22" s="18">
        <v>2</v>
      </c>
      <c r="AH22" s="18" t="s">
        <v>736</v>
      </c>
      <c r="AK22" s="18">
        <v>1</v>
      </c>
      <c r="AL22" s="39" t="s">
        <v>270</v>
      </c>
      <c r="AM22" s="137">
        <v>4</v>
      </c>
      <c r="AN22" s="137" t="s">
        <v>1608</v>
      </c>
      <c r="AO22" s="11">
        <v>4</v>
      </c>
      <c r="AP22" s="5" t="s">
        <v>254</v>
      </c>
      <c r="AQ22" s="137">
        <v>3</v>
      </c>
      <c r="AR22" s="137" t="s">
        <v>676</v>
      </c>
      <c r="AS22" s="5">
        <v>4</v>
      </c>
      <c r="AT22" s="5" t="s">
        <v>720</v>
      </c>
      <c r="AU22" s="18">
        <v>4</v>
      </c>
      <c r="AV22" s="18" t="s">
        <v>573</v>
      </c>
      <c r="AY22" s="5">
        <v>4</v>
      </c>
      <c r="AZ22" s="5" t="s">
        <v>722</v>
      </c>
      <c r="BA22" s="18">
        <v>3</v>
      </c>
      <c r="BB22" s="18" t="s">
        <v>194</v>
      </c>
      <c r="BG22" s="7">
        <v>1</v>
      </c>
      <c r="BH22" s="7" t="s">
        <v>723</v>
      </c>
      <c r="BI22" s="152">
        <v>3</v>
      </c>
      <c r="BJ22" s="155" t="s">
        <v>281</v>
      </c>
      <c r="BK22" s="152">
        <v>1</v>
      </c>
      <c r="BL22" s="152" t="s">
        <v>2761</v>
      </c>
      <c r="BM22" s="148">
        <v>4</v>
      </c>
      <c r="BN22" s="153" t="s">
        <v>237</v>
      </c>
      <c r="BO22" s="64"/>
      <c r="BP22" s="158"/>
      <c r="BQ22" s="147">
        <v>4</v>
      </c>
      <c r="BR22" s="160" t="s">
        <v>281</v>
      </c>
      <c r="BS22" s="149"/>
      <c r="BT22" s="158"/>
    </row>
    <row r="23" spans="1:72">
      <c r="A23" s="137">
        <v>1</v>
      </c>
      <c r="B23" s="137" t="s">
        <v>273</v>
      </c>
      <c r="C23" s="18">
        <v>1</v>
      </c>
      <c r="D23" s="18" t="s">
        <v>270</v>
      </c>
      <c r="G23" s="5">
        <v>2</v>
      </c>
      <c r="H23" s="5" t="s">
        <v>724</v>
      </c>
      <c r="K23" s="5">
        <v>1</v>
      </c>
      <c r="L23" s="5" t="s">
        <v>202</v>
      </c>
      <c r="M23" s="137">
        <v>1</v>
      </c>
      <c r="N23" s="137" t="s">
        <v>716</v>
      </c>
      <c r="O23" s="5">
        <v>4</v>
      </c>
      <c r="P23" s="5" t="s">
        <v>733</v>
      </c>
      <c r="Q23" s="129">
        <v>1</v>
      </c>
      <c r="R23" s="129" t="s">
        <v>734</v>
      </c>
      <c r="S23" s="18">
        <v>1</v>
      </c>
      <c r="T23" s="18" t="s">
        <v>735</v>
      </c>
      <c r="U23" s="18">
        <v>1</v>
      </c>
      <c r="V23" s="34" t="s">
        <v>267</v>
      </c>
      <c r="W23" s="5">
        <v>4</v>
      </c>
      <c r="X23" s="5" t="s">
        <v>759</v>
      </c>
      <c r="Y23" s="23">
        <v>4</v>
      </c>
      <c r="Z23" s="23" t="s">
        <v>204</v>
      </c>
      <c r="AC23" s="18">
        <v>1</v>
      </c>
      <c r="AD23" s="39" t="s">
        <v>716</v>
      </c>
      <c r="AE23" s="18">
        <v>1</v>
      </c>
      <c r="AF23" s="18" t="s">
        <v>155</v>
      </c>
      <c r="AG23" s="18">
        <v>2</v>
      </c>
      <c r="AH23" s="18" t="s">
        <v>746</v>
      </c>
      <c r="AK23" s="18">
        <v>1</v>
      </c>
      <c r="AL23" s="39" t="s">
        <v>727</v>
      </c>
      <c r="AM23" s="137">
        <v>3</v>
      </c>
      <c r="AN23" s="18" t="s">
        <v>242</v>
      </c>
      <c r="AO23" s="11">
        <v>4</v>
      </c>
      <c r="AP23" s="5" t="s">
        <v>226</v>
      </c>
      <c r="AQ23" s="18">
        <v>4</v>
      </c>
      <c r="AR23" s="18" t="s">
        <v>131</v>
      </c>
      <c r="AS23" s="5">
        <v>4</v>
      </c>
      <c r="AT23" s="5" t="s">
        <v>729</v>
      </c>
      <c r="AU23" s="5">
        <v>3</v>
      </c>
      <c r="AV23" s="5" t="s">
        <v>676</v>
      </c>
      <c r="AY23" s="5">
        <v>4</v>
      </c>
      <c r="AZ23" s="5" t="s">
        <v>227</v>
      </c>
      <c r="BA23" s="18">
        <v>4</v>
      </c>
      <c r="BB23" s="18" t="s">
        <v>84</v>
      </c>
      <c r="BG23" s="7">
        <v>1</v>
      </c>
      <c r="BH23" s="7" t="s">
        <v>731</v>
      </c>
      <c r="BI23" s="152">
        <v>2</v>
      </c>
      <c r="BJ23" s="155" t="s">
        <v>964</v>
      </c>
      <c r="BK23" s="152">
        <v>1</v>
      </c>
      <c r="BL23" s="152" t="s">
        <v>2762</v>
      </c>
      <c r="BM23" s="145">
        <v>4</v>
      </c>
      <c r="BN23" s="152" t="s">
        <v>131</v>
      </c>
      <c r="BO23" s="64"/>
      <c r="BP23" s="158"/>
      <c r="BQ23" s="147">
        <v>4</v>
      </c>
      <c r="BR23" s="160" t="s">
        <v>2763</v>
      </c>
      <c r="BS23" s="149"/>
      <c r="BT23" s="158"/>
    </row>
    <row r="24" spans="1:72">
      <c r="A24" s="137">
        <v>1</v>
      </c>
      <c r="B24" s="137" t="s">
        <v>668</v>
      </c>
      <c r="C24" s="18">
        <v>1</v>
      </c>
      <c r="D24" s="18" t="s">
        <v>262</v>
      </c>
      <c r="G24" s="5">
        <v>4</v>
      </c>
      <c r="H24" s="5" t="s">
        <v>263</v>
      </c>
      <c r="K24" s="5">
        <v>3</v>
      </c>
      <c r="L24" s="5" t="s">
        <v>732</v>
      </c>
      <c r="M24" s="18">
        <v>4</v>
      </c>
      <c r="N24" s="18" t="s">
        <v>131</v>
      </c>
      <c r="Q24" s="18">
        <v>1</v>
      </c>
      <c r="R24" s="18" t="s">
        <v>251</v>
      </c>
      <c r="S24" s="18">
        <v>1</v>
      </c>
      <c r="T24" s="18" t="s">
        <v>743</v>
      </c>
      <c r="U24" s="18">
        <v>1</v>
      </c>
      <c r="V24" s="34" t="s">
        <v>209</v>
      </c>
      <c r="W24" s="5">
        <v>4</v>
      </c>
      <c r="X24" s="5" t="s">
        <v>763</v>
      </c>
      <c r="Y24" s="18">
        <v>3</v>
      </c>
      <c r="Z24" s="18" t="s">
        <v>273</v>
      </c>
      <c r="AC24" s="18">
        <v>3</v>
      </c>
      <c r="AD24" s="39" t="s">
        <v>713</v>
      </c>
      <c r="AE24" s="18">
        <v>4</v>
      </c>
      <c r="AF24" s="18" t="s">
        <v>719</v>
      </c>
      <c r="AG24" s="18">
        <v>4</v>
      </c>
      <c r="AH24" s="18" t="s">
        <v>754</v>
      </c>
      <c r="AK24" s="18">
        <v>1</v>
      </c>
      <c r="AL24" s="39" t="s">
        <v>737</v>
      </c>
      <c r="AM24" s="8">
        <v>2</v>
      </c>
      <c r="AN24" s="137" t="s">
        <v>728</v>
      </c>
      <c r="AO24" s="24">
        <v>4</v>
      </c>
      <c r="AP24" s="18" t="s">
        <v>184</v>
      </c>
      <c r="AQ24" s="18">
        <v>3</v>
      </c>
      <c r="AR24" s="18" t="s">
        <v>668</v>
      </c>
      <c r="AS24" s="5">
        <v>4</v>
      </c>
      <c r="AT24" s="5" t="s">
        <v>739</v>
      </c>
      <c r="AY24" s="5">
        <v>2</v>
      </c>
      <c r="AZ24" s="5" t="s">
        <v>740</v>
      </c>
      <c r="BG24" s="23">
        <v>2</v>
      </c>
      <c r="BH24" s="23" t="s">
        <v>242</v>
      </c>
      <c r="BI24" s="152">
        <v>2</v>
      </c>
      <c r="BJ24" s="155" t="s">
        <v>242</v>
      </c>
      <c r="BK24" s="152">
        <v>2</v>
      </c>
      <c r="BL24" s="152" t="s">
        <v>2764</v>
      </c>
      <c r="BM24" s="148">
        <v>1</v>
      </c>
      <c r="BN24" s="153" t="s">
        <v>235</v>
      </c>
      <c r="BO24" s="64"/>
      <c r="BP24" s="158"/>
      <c r="BQ24" s="150">
        <v>4</v>
      </c>
      <c r="BR24" s="161" t="s">
        <v>2765</v>
      </c>
      <c r="BS24" s="149"/>
      <c r="BT24" s="158"/>
    </row>
    <row r="25" spans="1:72">
      <c r="A25" s="18">
        <v>1</v>
      </c>
      <c r="B25" s="18" t="s">
        <v>267</v>
      </c>
      <c r="C25" s="18">
        <v>1</v>
      </c>
      <c r="D25" s="18" t="s">
        <v>707</v>
      </c>
      <c r="K25" s="18">
        <v>3</v>
      </c>
      <c r="L25" s="18" t="s">
        <v>576</v>
      </c>
      <c r="M25" s="18">
        <v>3</v>
      </c>
      <c r="N25" s="18" t="s">
        <v>247</v>
      </c>
      <c r="Q25" s="137">
        <v>1</v>
      </c>
      <c r="R25" s="137" t="s">
        <v>1850</v>
      </c>
      <c r="S25" s="18">
        <v>1</v>
      </c>
      <c r="T25" s="18" t="s">
        <v>145</v>
      </c>
      <c r="U25" s="18">
        <v>1</v>
      </c>
      <c r="V25" s="14" t="s">
        <v>155</v>
      </c>
      <c r="Y25" s="18">
        <v>1</v>
      </c>
      <c r="Z25" s="18" t="s">
        <v>649</v>
      </c>
      <c r="AC25" s="5">
        <v>3</v>
      </c>
      <c r="AD25" s="39" t="s">
        <v>745</v>
      </c>
      <c r="AE25" s="18">
        <v>1</v>
      </c>
      <c r="AF25" s="18" t="s">
        <v>267</v>
      </c>
      <c r="AG25" s="18">
        <v>4</v>
      </c>
      <c r="AH25" s="18" t="s">
        <v>131</v>
      </c>
      <c r="AK25" s="18">
        <v>1</v>
      </c>
      <c r="AL25" s="14" t="s">
        <v>747</v>
      </c>
      <c r="AM25" s="137">
        <v>3</v>
      </c>
      <c r="AN25" s="137" t="s">
        <v>2930</v>
      </c>
      <c r="AS25" s="5">
        <v>4</v>
      </c>
      <c r="AT25" s="5" t="s">
        <v>131</v>
      </c>
      <c r="AY25" s="8">
        <v>3</v>
      </c>
      <c r="AZ25" s="8" t="s">
        <v>749</v>
      </c>
      <c r="BG25" s="7">
        <v>4</v>
      </c>
      <c r="BH25" s="7" t="s">
        <v>750</v>
      </c>
      <c r="BI25" s="64"/>
      <c r="BJ25" s="64"/>
      <c r="BK25" s="152">
        <v>1</v>
      </c>
      <c r="BL25" s="152" t="s">
        <v>2766</v>
      </c>
      <c r="BM25" s="145">
        <v>1</v>
      </c>
      <c r="BN25" s="152" t="s">
        <v>2767</v>
      </c>
      <c r="BO25" s="64"/>
      <c r="BP25" s="158"/>
      <c r="BQ25" s="147">
        <v>2</v>
      </c>
      <c r="BR25" s="160" t="s">
        <v>2768</v>
      </c>
      <c r="BS25" s="149"/>
      <c r="BT25" s="158"/>
    </row>
    <row r="26" spans="1:72">
      <c r="A26" s="18">
        <v>1</v>
      </c>
      <c r="B26" s="18" t="s">
        <v>209</v>
      </c>
      <c r="C26" s="5">
        <v>3</v>
      </c>
      <c r="D26" s="5" t="s">
        <v>751</v>
      </c>
      <c r="K26" s="18">
        <v>3</v>
      </c>
      <c r="L26" s="18" t="s">
        <v>180</v>
      </c>
      <c r="M26" s="18">
        <v>2</v>
      </c>
      <c r="N26" s="18" t="s">
        <v>596</v>
      </c>
      <c r="Q26" s="137">
        <v>1</v>
      </c>
      <c r="R26" s="137" t="s">
        <v>1067</v>
      </c>
      <c r="S26" s="8">
        <v>1</v>
      </c>
      <c r="T26" s="18" t="s">
        <v>273</v>
      </c>
      <c r="Y26" s="18">
        <v>1</v>
      </c>
      <c r="Z26" s="18" t="s">
        <v>753</v>
      </c>
      <c r="AE26" s="18">
        <v>1</v>
      </c>
      <c r="AF26" s="18" t="s">
        <v>209</v>
      </c>
      <c r="AG26" s="18">
        <v>3</v>
      </c>
      <c r="AH26" s="18" t="s">
        <v>713</v>
      </c>
      <c r="AK26" s="18">
        <v>1</v>
      </c>
      <c r="AL26" s="39" t="s">
        <v>755</v>
      </c>
      <c r="AM26" s="18">
        <v>3</v>
      </c>
      <c r="AN26" s="137" t="s">
        <v>1873</v>
      </c>
      <c r="AS26" s="5">
        <v>4</v>
      </c>
      <c r="AT26" s="5" t="s">
        <v>756</v>
      </c>
      <c r="BG26" s="7">
        <v>2</v>
      </c>
      <c r="BH26" s="7" t="s">
        <v>757</v>
      </c>
      <c r="BI26" s="64"/>
      <c r="BJ26" s="64"/>
      <c r="BK26" s="152">
        <v>1</v>
      </c>
      <c r="BL26" s="152" t="s">
        <v>2769</v>
      </c>
      <c r="BM26" s="157">
        <v>3</v>
      </c>
      <c r="BN26" s="152" t="s">
        <v>632</v>
      </c>
      <c r="BO26" s="64"/>
      <c r="BP26" s="158"/>
      <c r="BQ26" s="147">
        <v>2</v>
      </c>
      <c r="BR26" s="160" t="s">
        <v>145</v>
      </c>
      <c r="BS26" s="149"/>
      <c r="BT26" s="158"/>
    </row>
    <row r="27" spans="1:72">
      <c r="A27" s="18">
        <v>1</v>
      </c>
      <c r="B27" s="18" t="s">
        <v>155</v>
      </c>
      <c r="C27" s="5">
        <v>1</v>
      </c>
      <c r="D27" s="5" t="s">
        <v>758</v>
      </c>
      <c r="K27" s="5">
        <v>1</v>
      </c>
      <c r="L27" s="5" t="s">
        <v>193</v>
      </c>
      <c r="M27" s="18">
        <v>3</v>
      </c>
      <c r="N27" s="18" t="s">
        <v>981</v>
      </c>
      <c r="Q27" s="18">
        <v>4</v>
      </c>
      <c r="R27" s="18" t="s">
        <v>237</v>
      </c>
      <c r="S27" s="8">
        <v>3</v>
      </c>
      <c r="T27" s="18" t="s">
        <v>668</v>
      </c>
      <c r="Y27" s="18">
        <v>1</v>
      </c>
      <c r="Z27" s="18" t="s">
        <v>266</v>
      </c>
      <c r="AE27" s="18">
        <v>1</v>
      </c>
      <c r="AF27" s="18" t="s">
        <v>668</v>
      </c>
      <c r="AG27" s="18">
        <v>3</v>
      </c>
      <c r="AH27" s="18" t="s">
        <v>678</v>
      </c>
      <c r="AK27" s="5">
        <v>2</v>
      </c>
      <c r="AL27" s="12" t="s">
        <v>703</v>
      </c>
      <c r="AM27" s="18">
        <v>1</v>
      </c>
      <c r="AN27" s="18" t="s">
        <v>267</v>
      </c>
      <c r="AS27" s="23">
        <v>2</v>
      </c>
      <c r="AT27" s="23" t="s">
        <v>760</v>
      </c>
      <c r="BG27" s="7">
        <v>4</v>
      </c>
      <c r="BH27" s="7" t="s">
        <v>678</v>
      </c>
      <c r="BI27" s="64"/>
      <c r="BJ27" s="64"/>
      <c r="BK27" s="152">
        <v>1</v>
      </c>
      <c r="BL27" s="152" t="s">
        <v>2770</v>
      </c>
      <c r="BM27" s="64"/>
      <c r="BN27" s="158"/>
      <c r="BO27" s="64"/>
      <c r="BP27" s="158"/>
      <c r="BQ27" s="147">
        <v>2</v>
      </c>
      <c r="BR27" s="160" t="s">
        <v>2771</v>
      </c>
      <c r="BS27" s="149"/>
      <c r="BT27" s="158"/>
    </row>
    <row r="28" spans="1:72">
      <c r="A28" s="18">
        <v>1</v>
      </c>
      <c r="B28" s="18" t="s">
        <v>145</v>
      </c>
      <c r="K28" s="23">
        <v>1</v>
      </c>
      <c r="L28" s="23" t="s">
        <v>247</v>
      </c>
      <c r="M28" s="18">
        <v>4</v>
      </c>
      <c r="N28" s="18" t="s">
        <v>761</v>
      </c>
      <c r="Q28" s="18">
        <v>4</v>
      </c>
      <c r="R28" s="18" t="s">
        <v>762</v>
      </c>
      <c r="S28" s="23">
        <v>1</v>
      </c>
      <c r="T28" s="23" t="s">
        <v>767</v>
      </c>
      <c r="AG28" s="18">
        <v>1</v>
      </c>
      <c r="AH28" s="18" t="s">
        <v>694</v>
      </c>
      <c r="AK28" s="5">
        <v>2</v>
      </c>
      <c r="AL28" s="12" t="s">
        <v>663</v>
      </c>
      <c r="AM28" s="18">
        <v>1</v>
      </c>
      <c r="AN28" s="18" t="s">
        <v>668</v>
      </c>
      <c r="AS28" s="18">
        <v>4</v>
      </c>
      <c r="AT28" s="18" t="s">
        <v>765</v>
      </c>
      <c r="BG28" s="7">
        <v>1</v>
      </c>
      <c r="BH28" s="17" t="s">
        <v>694</v>
      </c>
      <c r="BI28" s="64"/>
      <c r="BJ28" s="64"/>
      <c r="BK28" s="8">
        <v>3</v>
      </c>
      <c r="BL28" s="8" t="s">
        <v>2776</v>
      </c>
      <c r="BM28" s="64"/>
      <c r="BN28" s="158"/>
      <c r="BO28" s="64"/>
      <c r="BP28" s="158"/>
      <c r="BQ28" s="64"/>
      <c r="BR28" s="158"/>
      <c r="BS28" s="149"/>
      <c r="BT28" s="158"/>
    </row>
    <row r="29" spans="1:72">
      <c r="A29" s="18">
        <v>1</v>
      </c>
      <c r="B29" s="18" t="s">
        <v>678</v>
      </c>
      <c r="K29" s="23">
        <v>1</v>
      </c>
      <c r="L29" s="23" t="s">
        <v>766</v>
      </c>
      <c r="M29" s="18">
        <v>4</v>
      </c>
      <c r="N29" s="18" t="s">
        <v>211</v>
      </c>
      <c r="Q29" s="18">
        <v>4</v>
      </c>
      <c r="R29" s="18" t="s">
        <v>131</v>
      </c>
      <c r="S29" s="5">
        <v>3</v>
      </c>
      <c r="T29" s="5" t="s">
        <v>771</v>
      </c>
      <c r="AG29" s="18">
        <v>1</v>
      </c>
      <c r="AH29" s="18" t="s">
        <v>707</v>
      </c>
      <c r="AK29" s="18">
        <v>2</v>
      </c>
      <c r="AL29" s="39" t="s">
        <v>768</v>
      </c>
      <c r="AM29" s="18">
        <v>1</v>
      </c>
      <c r="AN29" s="18" t="s">
        <v>209</v>
      </c>
      <c r="BG29" s="7">
        <v>1</v>
      </c>
      <c r="BH29" s="17" t="s">
        <v>707</v>
      </c>
      <c r="BI29" s="149"/>
      <c r="BJ29" s="149"/>
      <c r="BK29" s="152">
        <v>4</v>
      </c>
      <c r="BL29" s="152" t="s">
        <v>2772</v>
      </c>
      <c r="BM29" s="149"/>
      <c r="BN29" s="158"/>
      <c r="BO29" s="149"/>
      <c r="BP29" s="158"/>
      <c r="BQ29" s="149"/>
      <c r="BR29" s="158"/>
      <c r="BS29" s="149"/>
      <c r="BT29" s="158"/>
    </row>
    <row r="30" spans="1:72">
      <c r="A30" s="18">
        <v>1</v>
      </c>
      <c r="B30" s="18" t="s">
        <v>694</v>
      </c>
      <c r="M30" s="137">
        <v>1</v>
      </c>
      <c r="N30" s="137" t="s">
        <v>155</v>
      </c>
      <c r="Q30" s="18">
        <v>4</v>
      </c>
      <c r="R30" s="18" t="s">
        <v>770</v>
      </c>
      <c r="AM30" s="8">
        <v>1</v>
      </c>
      <c r="AN30" s="8" t="s">
        <v>764</v>
      </c>
      <c r="BG30" s="17">
        <v>4</v>
      </c>
      <c r="BH30" s="17" t="s">
        <v>713</v>
      </c>
      <c r="BI30" s="149"/>
      <c r="BJ30" s="149"/>
      <c r="BK30" s="152">
        <v>4</v>
      </c>
      <c r="BL30" s="152" t="s">
        <v>2773</v>
      </c>
      <c r="BM30" s="149"/>
      <c r="BN30" s="158"/>
      <c r="BO30" s="149"/>
      <c r="BP30" s="158"/>
      <c r="BQ30" s="149"/>
      <c r="BR30" s="158"/>
      <c r="BS30" s="149"/>
      <c r="BT30" s="158"/>
    </row>
    <row r="31" spans="1:72">
      <c r="A31" s="18">
        <v>1</v>
      </c>
      <c r="B31" s="18" t="s">
        <v>707</v>
      </c>
      <c r="M31" s="137">
        <v>1</v>
      </c>
      <c r="N31" s="137" t="s">
        <v>2056</v>
      </c>
      <c r="Q31" s="18">
        <v>4</v>
      </c>
      <c r="R31" s="18" t="s">
        <v>773</v>
      </c>
      <c r="AM31" s="8">
        <v>1</v>
      </c>
      <c r="AN31" s="8" t="s">
        <v>273</v>
      </c>
      <c r="BI31" s="149"/>
      <c r="BJ31" s="149"/>
      <c r="BK31" s="159"/>
      <c r="BL31" s="159"/>
      <c r="BM31" s="149"/>
      <c r="BN31" s="158"/>
      <c r="BO31" s="149"/>
      <c r="BP31" s="158"/>
      <c r="BQ31" s="149"/>
      <c r="BR31" s="158"/>
      <c r="BS31" s="149"/>
      <c r="BT31" s="158"/>
    </row>
    <row r="32" spans="1:72">
      <c r="M32" s="18">
        <v>3</v>
      </c>
      <c r="N32" s="18" t="s">
        <v>769</v>
      </c>
      <c r="AM32" s="8">
        <v>1</v>
      </c>
      <c r="AN32" s="8" t="s">
        <v>145</v>
      </c>
      <c r="BI32" s="149"/>
      <c r="BJ32" s="149"/>
      <c r="BK32" s="65"/>
      <c r="BL32" s="65"/>
      <c r="BM32" s="149"/>
      <c r="BN32" s="158"/>
      <c r="BO32" s="149"/>
      <c r="BP32" s="158"/>
      <c r="BQ32" s="149"/>
      <c r="BR32" s="158"/>
      <c r="BS32" s="149"/>
      <c r="BT32" s="158"/>
    </row>
    <row r="33" spans="13:72">
      <c r="M33" s="18">
        <v>1</v>
      </c>
      <c r="N33" s="18" t="s">
        <v>772</v>
      </c>
      <c r="AM33" s="8">
        <v>1</v>
      </c>
      <c r="AN33" s="8" t="s">
        <v>774</v>
      </c>
      <c r="BI33" s="149"/>
      <c r="BJ33" s="149"/>
      <c r="BK33" s="159"/>
      <c r="BL33" s="159"/>
      <c r="BM33" s="149"/>
      <c r="BN33" s="158"/>
      <c r="BO33" s="149"/>
      <c r="BP33" s="158"/>
      <c r="BQ33" s="149"/>
      <c r="BR33" s="158"/>
      <c r="BS33" s="149"/>
      <c r="BT33" s="158"/>
    </row>
    <row r="34" spans="13:72">
      <c r="BI34" s="149"/>
      <c r="BJ34" s="149"/>
      <c r="BK34" s="159"/>
      <c r="BL34" s="159"/>
      <c r="BM34" s="149"/>
      <c r="BN34" s="158"/>
      <c r="BO34" s="149"/>
      <c r="BP34" s="158"/>
      <c r="BQ34" s="149"/>
      <c r="BR34" s="158"/>
      <c r="BS34" s="149"/>
      <c r="BT34" s="158"/>
    </row>
    <row r="35" spans="13:72">
      <c r="BI35" s="149"/>
      <c r="BJ35" s="149"/>
      <c r="BK35" s="159"/>
      <c r="BL35" s="159"/>
      <c r="BM35" s="149"/>
      <c r="BN35" s="158"/>
      <c r="BO35" s="149"/>
      <c r="BP35" s="158"/>
      <c r="BQ35" s="149"/>
      <c r="BR35" s="158"/>
      <c r="BS35" s="149"/>
      <c r="BT35" s="158"/>
    </row>
    <row r="36" spans="13:72">
      <c r="BI36" s="149"/>
      <c r="BJ36" s="149"/>
      <c r="BK36" s="159"/>
      <c r="BL36" s="159"/>
      <c r="BM36" s="149"/>
      <c r="BN36" s="158"/>
      <c r="BO36" s="149"/>
      <c r="BP36" s="158"/>
      <c r="BQ36" s="149"/>
      <c r="BR36" s="158"/>
      <c r="BS36" s="149"/>
      <c r="BT36" s="15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5F5F5F"/>
  </sheetPr>
  <dimension ref="A1:AX35"/>
  <sheetViews>
    <sheetView zoomScaleNormal="100" workbookViewId="0">
      <selection activeCell="A12" sqref="A12"/>
    </sheetView>
  </sheetViews>
  <sheetFormatPr baseColWidth="10" defaultColWidth="9.140625" defaultRowHeight="15"/>
  <cols>
    <col min="1" max="1" width="3" customWidth="1"/>
    <col min="2" max="2" width="42.5703125" customWidth="1"/>
    <col min="3" max="3" width="3" customWidth="1"/>
    <col min="4" max="4" width="30.85546875" customWidth="1"/>
    <col min="5" max="5" width="3" customWidth="1"/>
    <col min="6" max="6" width="62.140625" customWidth="1"/>
    <col min="7" max="7" width="3" customWidth="1"/>
    <col min="8" max="8" width="54.140625" customWidth="1"/>
    <col min="9" max="9" width="3" customWidth="1"/>
    <col min="10" max="10" width="22.7109375" bestFit="1" customWidth="1"/>
    <col min="11" max="11" width="3.85546875" customWidth="1"/>
    <col min="12" max="12" width="55" customWidth="1"/>
    <col min="13" max="13" width="3" customWidth="1"/>
    <col min="14" max="14" width="48.5703125" customWidth="1"/>
    <col min="15" max="15" width="3" customWidth="1"/>
    <col min="16" max="16" width="69.140625" customWidth="1"/>
    <col min="17" max="17" width="3" customWidth="1"/>
    <col min="18" max="18" width="35.85546875" customWidth="1"/>
    <col min="19" max="19" width="3" customWidth="1"/>
    <col min="20" max="20" width="21.85546875" style="158" bestFit="1" customWidth="1"/>
    <col min="21" max="21" width="3" customWidth="1"/>
    <col min="22" max="22" width="24.140625" style="26" bestFit="1" customWidth="1"/>
    <col min="23" max="23" width="3" customWidth="1"/>
    <col min="24" max="24" width="33.140625" customWidth="1"/>
    <col min="25" max="25" width="3" customWidth="1"/>
    <col min="26" max="26" width="31.28515625" bestFit="1" customWidth="1"/>
    <col min="27" max="27" width="3" customWidth="1"/>
    <col min="28" max="28" width="25.28515625" bestFit="1" customWidth="1"/>
    <col min="29" max="29" width="3" customWidth="1"/>
    <col min="30" max="30" width="42.5703125" customWidth="1"/>
    <col min="31" max="31" width="3" customWidth="1"/>
    <col min="32" max="32" width="32.85546875" bestFit="1" customWidth="1"/>
    <col min="33" max="33" width="3" bestFit="1" customWidth="1"/>
    <col min="34" max="34" width="18" style="26" bestFit="1" customWidth="1"/>
    <col min="35" max="35" width="3" style="65" bestFit="1" customWidth="1"/>
    <col min="36" max="36" width="32.140625" style="65" bestFit="1" customWidth="1"/>
    <col min="37" max="37" width="3" bestFit="1" customWidth="1"/>
    <col min="38" max="38" width="30.28515625" bestFit="1" customWidth="1"/>
    <col min="39" max="39" width="3" bestFit="1" customWidth="1"/>
    <col min="40" max="40" width="32.28515625" style="26" bestFit="1" customWidth="1"/>
    <col min="41" max="41" width="3" bestFit="1" customWidth="1"/>
    <col min="42" max="42" width="49.5703125" bestFit="1" customWidth="1"/>
    <col min="43" max="43" width="3" bestFit="1" customWidth="1"/>
    <col min="44" max="44" width="20.85546875" style="65" bestFit="1" customWidth="1"/>
    <col min="45" max="45" width="3" bestFit="1" customWidth="1"/>
    <col min="46" max="46" width="36.7109375" style="65" bestFit="1" customWidth="1"/>
    <col min="47" max="47" width="3" bestFit="1" customWidth="1"/>
    <col min="48" max="48" width="26" bestFit="1" customWidth="1"/>
    <col min="49" max="49" width="3" customWidth="1"/>
    <col min="50" max="50" width="22" customWidth="1"/>
    <col min="51" max="1025" width="10.7109375" customWidth="1"/>
  </cols>
  <sheetData>
    <row r="1" spans="1:50">
      <c r="A1" s="3">
        <f>SUM(A2:A19)</f>
        <v>60</v>
      </c>
      <c r="B1" s="4" t="s">
        <v>2078</v>
      </c>
      <c r="C1" s="3">
        <f>SUM(C2:C21)</f>
        <v>60</v>
      </c>
      <c r="D1" s="4" t="s">
        <v>2079</v>
      </c>
      <c r="E1" s="32">
        <f>SUM(E2:E25)</f>
        <v>60</v>
      </c>
      <c r="F1" s="4" t="s">
        <v>2848</v>
      </c>
      <c r="G1" s="3">
        <f>SUM(G2:G26)</f>
        <v>60</v>
      </c>
      <c r="H1" s="4" t="s">
        <v>2080</v>
      </c>
      <c r="I1" s="3">
        <f>SUM(I2:I17)</f>
        <v>60</v>
      </c>
      <c r="J1" s="4" t="s">
        <v>1978</v>
      </c>
      <c r="K1" s="3">
        <f>SUM(K2:K33)</f>
        <v>60</v>
      </c>
      <c r="L1" s="4" t="s">
        <v>2864</v>
      </c>
      <c r="M1" s="3">
        <f>SUM(M2:M19)</f>
        <v>60</v>
      </c>
      <c r="N1" s="4" t="s">
        <v>2081</v>
      </c>
      <c r="O1" s="3">
        <f>SUM(O2:O17)</f>
        <v>60</v>
      </c>
      <c r="P1" s="4" t="s">
        <v>2082</v>
      </c>
      <c r="Q1" s="32">
        <f>SUM(Q2:Q20)</f>
        <v>60</v>
      </c>
      <c r="R1" s="4" t="s">
        <v>2083</v>
      </c>
      <c r="S1" s="165">
        <f>SUM(S2:S31)</f>
        <v>60</v>
      </c>
      <c r="T1" s="10" t="s">
        <v>1924</v>
      </c>
      <c r="U1" s="3">
        <f>SUM(U2:U19)</f>
        <v>60</v>
      </c>
      <c r="V1" s="4" t="s">
        <v>2896</v>
      </c>
      <c r="W1" s="32">
        <f>SUM(W2:W21)</f>
        <v>60</v>
      </c>
      <c r="X1" s="4" t="s">
        <v>2084</v>
      </c>
      <c r="Y1" s="32">
        <f>SUM(Y2:Y23)</f>
        <v>60</v>
      </c>
      <c r="Z1" s="57" t="s">
        <v>2085</v>
      </c>
      <c r="AA1" s="17">
        <f>SUM(AA2:AA21)</f>
        <v>60</v>
      </c>
      <c r="AB1" s="57" t="s">
        <v>2625</v>
      </c>
      <c r="AC1" s="32">
        <f>SUM(AC2:AC21)</f>
        <v>60</v>
      </c>
      <c r="AD1" s="4" t="s">
        <v>2086</v>
      </c>
      <c r="AE1" s="89">
        <f>SUM(AE2:AE26)</f>
        <v>60</v>
      </c>
      <c r="AF1" s="175" t="s">
        <v>2087</v>
      </c>
      <c r="AG1" s="44">
        <f>SUM(AG2:AG14)</f>
        <v>60</v>
      </c>
      <c r="AH1" s="57" t="s">
        <v>2615</v>
      </c>
      <c r="AI1" s="89">
        <f>SUM(AI2:AI21)</f>
        <v>60</v>
      </c>
      <c r="AJ1" s="175" t="s">
        <v>1788</v>
      </c>
      <c r="AK1" s="3">
        <f>SUM(AK2:AK19)</f>
        <v>60</v>
      </c>
      <c r="AL1" s="4" t="s">
        <v>2088</v>
      </c>
      <c r="AM1" s="3">
        <f>SUM(AM2:AM18)</f>
        <v>60</v>
      </c>
      <c r="AN1" s="4" t="s">
        <v>2089</v>
      </c>
      <c r="AO1" s="32">
        <f>SUM(AO2:AO21)</f>
        <v>60</v>
      </c>
      <c r="AP1" s="4" t="s">
        <v>2090</v>
      </c>
      <c r="AQ1" s="17">
        <f>SUM(AQ2:AQ21)</f>
        <v>60</v>
      </c>
      <c r="AR1" s="57" t="s">
        <v>2631</v>
      </c>
      <c r="AS1" s="32">
        <f>SUM(AS2:AS21)</f>
        <v>60</v>
      </c>
      <c r="AT1" s="175" t="s">
        <v>1733</v>
      </c>
      <c r="AU1" s="32">
        <f>SUM(AU2:AU25)</f>
        <v>60</v>
      </c>
      <c r="AV1" s="4" t="s">
        <v>1787</v>
      </c>
      <c r="AW1" s="32">
        <f>SUM(AW2:AW35)</f>
        <v>60</v>
      </c>
      <c r="AX1" s="4" t="s">
        <v>2091</v>
      </c>
    </row>
    <row r="2" spans="1:50">
      <c r="A2" s="7">
        <v>4</v>
      </c>
      <c r="B2" s="8" t="s">
        <v>53</v>
      </c>
      <c r="C2" s="7">
        <v>4</v>
      </c>
      <c r="D2" s="140" t="s">
        <v>2092</v>
      </c>
      <c r="E2" s="17">
        <v>2</v>
      </c>
      <c r="F2" s="8" t="s">
        <v>1321</v>
      </c>
      <c r="G2" s="7">
        <v>4</v>
      </c>
      <c r="H2" s="8" t="s">
        <v>2855</v>
      </c>
      <c r="I2" s="7">
        <v>4</v>
      </c>
      <c r="J2" s="14" t="s">
        <v>1307</v>
      </c>
      <c r="K2" s="8">
        <v>1</v>
      </c>
      <c r="L2" s="8" t="s">
        <v>1843</v>
      </c>
      <c r="M2" s="7">
        <v>4</v>
      </c>
      <c r="N2" s="8" t="s">
        <v>2969</v>
      </c>
      <c r="O2" s="8">
        <v>8</v>
      </c>
      <c r="P2" s="8" t="s">
        <v>2683</v>
      </c>
      <c r="Q2" s="7">
        <v>4</v>
      </c>
      <c r="R2" s="14" t="s">
        <v>2982</v>
      </c>
      <c r="S2" s="8">
        <v>3</v>
      </c>
      <c r="T2" s="8" t="s">
        <v>24</v>
      </c>
      <c r="U2" s="17">
        <v>4</v>
      </c>
      <c r="V2" s="8" t="s">
        <v>2884</v>
      </c>
      <c r="W2" s="7">
        <v>11</v>
      </c>
      <c r="X2" s="8" t="s">
        <v>2999</v>
      </c>
      <c r="Y2" s="7">
        <v>4</v>
      </c>
      <c r="Z2" s="14" t="s">
        <v>2969</v>
      </c>
      <c r="AA2" s="8">
        <v>4</v>
      </c>
      <c r="AB2" s="8" t="s">
        <v>2626</v>
      </c>
      <c r="AC2" s="7">
        <v>4</v>
      </c>
      <c r="AD2" s="8" t="s">
        <v>3015</v>
      </c>
      <c r="AE2" s="17">
        <v>3</v>
      </c>
      <c r="AF2" s="8" t="s">
        <v>3029</v>
      </c>
      <c r="AG2" s="35">
        <v>23</v>
      </c>
      <c r="AH2" s="8" t="s">
        <v>2622</v>
      </c>
      <c r="AI2" s="17">
        <v>4</v>
      </c>
      <c r="AJ2" s="70" t="s">
        <v>3041</v>
      </c>
      <c r="AK2" s="7">
        <v>4</v>
      </c>
      <c r="AL2" s="8" t="s">
        <v>3047</v>
      </c>
      <c r="AM2" s="7">
        <v>4</v>
      </c>
      <c r="AN2" s="14" t="s">
        <v>3049</v>
      </c>
      <c r="AO2" s="7">
        <v>4</v>
      </c>
      <c r="AP2" s="8" t="s">
        <v>3041</v>
      </c>
      <c r="AQ2" s="8">
        <v>13</v>
      </c>
      <c r="AR2" s="8" t="s">
        <v>40</v>
      </c>
      <c r="AS2" s="7">
        <v>2</v>
      </c>
      <c r="AT2" s="34" t="s">
        <v>3073</v>
      </c>
      <c r="AU2" s="8">
        <v>3</v>
      </c>
      <c r="AV2" s="8" t="s">
        <v>2093</v>
      </c>
      <c r="AW2" s="8">
        <v>8</v>
      </c>
      <c r="AX2" s="5" t="s">
        <v>40</v>
      </c>
    </row>
    <row r="3" spans="1:50">
      <c r="A3" s="7">
        <v>4</v>
      </c>
      <c r="B3" s="8" t="s">
        <v>2094</v>
      </c>
      <c r="C3" s="7">
        <v>4</v>
      </c>
      <c r="D3" s="140" t="s">
        <v>2095</v>
      </c>
      <c r="E3" s="8">
        <v>1</v>
      </c>
      <c r="F3" s="8" t="s">
        <v>2847</v>
      </c>
      <c r="G3" s="7">
        <v>4</v>
      </c>
      <c r="H3" s="8" t="s">
        <v>80</v>
      </c>
      <c r="I3" s="7">
        <v>4</v>
      </c>
      <c r="J3" s="14" t="s">
        <v>2899</v>
      </c>
      <c r="K3" s="17">
        <v>3</v>
      </c>
      <c r="L3" s="8" t="s">
        <v>24</v>
      </c>
      <c r="M3" s="7">
        <v>4</v>
      </c>
      <c r="N3" s="8" t="s">
        <v>2970</v>
      </c>
      <c r="O3" s="17">
        <v>4</v>
      </c>
      <c r="P3" s="8" t="s">
        <v>2964</v>
      </c>
      <c r="Q3" s="7">
        <v>1</v>
      </c>
      <c r="R3" s="14" t="s">
        <v>2983</v>
      </c>
      <c r="S3" s="8">
        <v>1</v>
      </c>
      <c r="T3" s="8" t="s">
        <v>52</v>
      </c>
      <c r="U3" s="17">
        <v>4</v>
      </c>
      <c r="V3" s="8" t="s">
        <v>2885</v>
      </c>
      <c r="W3" s="7">
        <v>4</v>
      </c>
      <c r="X3" s="8" t="s">
        <v>3000</v>
      </c>
      <c r="Y3" s="7">
        <v>4</v>
      </c>
      <c r="Z3" s="14" t="s">
        <v>3012</v>
      </c>
      <c r="AA3" s="17">
        <v>3</v>
      </c>
      <c r="AB3" s="17" t="s">
        <v>56</v>
      </c>
      <c r="AC3" s="7">
        <v>4</v>
      </c>
      <c r="AD3" s="8" t="s">
        <v>3016</v>
      </c>
      <c r="AE3" s="17">
        <v>4</v>
      </c>
      <c r="AF3" s="8" t="s">
        <v>3015</v>
      </c>
      <c r="AG3" s="44">
        <v>4</v>
      </c>
      <c r="AH3" s="17" t="s">
        <v>1288</v>
      </c>
      <c r="AI3" s="17">
        <v>14</v>
      </c>
      <c r="AJ3" s="70" t="s">
        <v>3046</v>
      </c>
      <c r="AK3" s="17">
        <v>2</v>
      </c>
      <c r="AL3" s="8" t="s">
        <v>2883</v>
      </c>
      <c r="AM3" s="7">
        <v>15</v>
      </c>
      <c r="AN3" s="14" t="s">
        <v>3050</v>
      </c>
      <c r="AO3" s="7">
        <v>2</v>
      </c>
      <c r="AP3" s="8" t="s">
        <v>3060</v>
      </c>
      <c r="AQ3" s="17">
        <v>2</v>
      </c>
      <c r="AR3" s="17" t="s">
        <v>56</v>
      </c>
      <c r="AS3" s="7">
        <v>4</v>
      </c>
      <c r="AT3" s="34" t="s">
        <v>3074</v>
      </c>
      <c r="AU3" s="7">
        <v>1</v>
      </c>
      <c r="AV3" s="3" t="s">
        <v>1314</v>
      </c>
      <c r="AW3" s="7">
        <v>4</v>
      </c>
      <c r="AX3" s="5" t="s">
        <v>1844</v>
      </c>
    </row>
    <row r="4" spans="1:50">
      <c r="A4" s="7">
        <v>4</v>
      </c>
      <c r="B4" s="8" t="s">
        <v>2096</v>
      </c>
      <c r="C4" s="7">
        <v>3</v>
      </c>
      <c r="D4" s="140" t="s">
        <v>2097</v>
      </c>
      <c r="E4" s="8">
        <v>4</v>
      </c>
      <c r="F4" s="8" t="s">
        <v>2846</v>
      </c>
      <c r="G4" s="17">
        <v>1</v>
      </c>
      <c r="H4" s="8" t="s">
        <v>52</v>
      </c>
      <c r="I4" s="7">
        <v>4</v>
      </c>
      <c r="J4" s="14" t="s">
        <v>414</v>
      </c>
      <c r="K4" s="17">
        <v>1</v>
      </c>
      <c r="L4" s="8" t="s">
        <v>52</v>
      </c>
      <c r="M4" s="7">
        <v>4</v>
      </c>
      <c r="N4" s="8" t="s">
        <v>2971</v>
      </c>
      <c r="O4" s="17">
        <v>4</v>
      </c>
      <c r="P4" s="8" t="s">
        <v>2965</v>
      </c>
      <c r="Q4" s="7">
        <v>4</v>
      </c>
      <c r="R4" s="14" t="s">
        <v>2984</v>
      </c>
      <c r="S4" s="8">
        <v>2</v>
      </c>
      <c r="T4" s="8" t="s">
        <v>837</v>
      </c>
      <c r="U4" s="17">
        <v>4</v>
      </c>
      <c r="V4" s="8" t="s">
        <v>2886</v>
      </c>
      <c r="W4" s="7">
        <v>2</v>
      </c>
      <c r="X4" s="8" t="s">
        <v>3001</v>
      </c>
      <c r="Y4" s="7">
        <v>4</v>
      </c>
      <c r="Z4" s="14" t="s">
        <v>2065</v>
      </c>
      <c r="AA4" s="17">
        <v>4</v>
      </c>
      <c r="AB4" s="17" t="s">
        <v>343</v>
      </c>
      <c r="AC4" s="7">
        <v>2</v>
      </c>
      <c r="AD4" s="14" t="s">
        <v>3017</v>
      </c>
      <c r="AE4" s="17">
        <v>4</v>
      </c>
      <c r="AF4" s="70" t="s">
        <v>3030</v>
      </c>
      <c r="AG4" s="44">
        <v>4</v>
      </c>
      <c r="AH4" s="17" t="s">
        <v>2623</v>
      </c>
      <c r="AI4" s="17">
        <v>2</v>
      </c>
      <c r="AJ4" s="70" t="s">
        <v>3042</v>
      </c>
      <c r="AK4" s="8">
        <v>2</v>
      </c>
      <c r="AL4" s="8" t="s">
        <v>2881</v>
      </c>
      <c r="AM4" s="7">
        <v>4</v>
      </c>
      <c r="AN4" s="14" t="s">
        <v>3051</v>
      </c>
      <c r="AO4" s="7">
        <v>2</v>
      </c>
      <c r="AP4" s="8" t="s">
        <v>3061</v>
      </c>
      <c r="AQ4" s="17">
        <v>1</v>
      </c>
      <c r="AR4" s="17" t="s">
        <v>2630</v>
      </c>
      <c r="AS4" s="7">
        <v>4</v>
      </c>
      <c r="AT4" s="34" t="s">
        <v>3075</v>
      </c>
      <c r="AU4" s="7">
        <v>1</v>
      </c>
      <c r="AV4" s="70" t="s">
        <v>1361</v>
      </c>
      <c r="AW4" s="8">
        <v>1</v>
      </c>
      <c r="AX4" s="8" t="s">
        <v>56</v>
      </c>
    </row>
    <row r="5" spans="1:50">
      <c r="A5" s="20">
        <v>2</v>
      </c>
      <c r="B5" s="37" t="s">
        <v>2098</v>
      </c>
      <c r="C5" s="7">
        <v>4</v>
      </c>
      <c r="D5" s="140" t="s">
        <v>2099</v>
      </c>
      <c r="E5" s="17">
        <v>3</v>
      </c>
      <c r="F5" s="8" t="s">
        <v>2849</v>
      </c>
      <c r="G5" s="133">
        <v>2</v>
      </c>
      <c r="H5" s="138" t="s">
        <v>2857</v>
      </c>
      <c r="I5" s="7">
        <v>4</v>
      </c>
      <c r="J5" s="14" t="s">
        <v>2898</v>
      </c>
      <c r="K5" s="7">
        <v>4</v>
      </c>
      <c r="L5" s="8" t="s">
        <v>1297</v>
      </c>
      <c r="M5" s="7">
        <v>4</v>
      </c>
      <c r="N5" s="8" t="s">
        <v>2972</v>
      </c>
      <c r="O5" s="17">
        <v>4</v>
      </c>
      <c r="P5" s="8" t="s">
        <v>2966</v>
      </c>
      <c r="Q5" s="7">
        <v>3</v>
      </c>
      <c r="R5" s="14" t="s">
        <v>2985</v>
      </c>
      <c r="S5" s="8">
        <v>2</v>
      </c>
      <c r="T5" s="8" t="s">
        <v>859</v>
      </c>
      <c r="U5" s="17">
        <v>1</v>
      </c>
      <c r="V5" s="8" t="s">
        <v>2887</v>
      </c>
      <c r="W5" s="7">
        <v>1</v>
      </c>
      <c r="X5" s="8" t="s">
        <v>3002</v>
      </c>
      <c r="Y5" s="128">
        <v>4</v>
      </c>
      <c r="Z5" s="134" t="s">
        <v>384</v>
      </c>
      <c r="AA5" s="133">
        <v>4</v>
      </c>
      <c r="AB5" s="8" t="s">
        <v>2654</v>
      </c>
      <c r="AC5" s="7">
        <v>4</v>
      </c>
      <c r="AD5" s="14" t="s">
        <v>3018</v>
      </c>
      <c r="AE5" s="17">
        <v>4</v>
      </c>
      <c r="AF5" s="70" t="s">
        <v>3031</v>
      </c>
      <c r="AG5" s="44">
        <v>1</v>
      </c>
      <c r="AH5" s="17" t="s">
        <v>827</v>
      </c>
      <c r="AI5" s="17">
        <v>4</v>
      </c>
      <c r="AJ5" s="70" t="s">
        <v>1794</v>
      </c>
      <c r="AK5" s="17">
        <v>4</v>
      </c>
      <c r="AL5" s="8" t="s">
        <v>3048</v>
      </c>
      <c r="AM5" s="7">
        <v>4</v>
      </c>
      <c r="AN5" s="14" t="s">
        <v>3052</v>
      </c>
      <c r="AO5" s="7">
        <v>4</v>
      </c>
      <c r="AP5" s="8" t="s">
        <v>3062</v>
      </c>
      <c r="AQ5" s="133">
        <v>1</v>
      </c>
      <c r="AR5" s="8" t="s">
        <v>94</v>
      </c>
      <c r="AS5" s="7">
        <v>4</v>
      </c>
      <c r="AT5" s="34" t="s">
        <v>3076</v>
      </c>
      <c r="AU5" s="7">
        <v>3</v>
      </c>
      <c r="AV5" s="3" t="s">
        <v>1793</v>
      </c>
      <c r="AW5" s="7">
        <v>1</v>
      </c>
      <c r="AX5" s="5" t="s">
        <v>52</v>
      </c>
    </row>
    <row r="6" spans="1:50">
      <c r="A6" s="7">
        <v>2</v>
      </c>
      <c r="B6" s="8" t="s">
        <v>64</v>
      </c>
      <c r="C6" s="7">
        <v>4</v>
      </c>
      <c r="D6" s="140" t="s">
        <v>2100</v>
      </c>
      <c r="E6" s="17">
        <v>1</v>
      </c>
      <c r="F6" s="8" t="s">
        <v>2844</v>
      </c>
      <c r="G6" s="133">
        <v>4</v>
      </c>
      <c r="H6" s="138" t="s">
        <v>488</v>
      </c>
      <c r="I6" s="7">
        <v>13</v>
      </c>
      <c r="J6" s="14" t="s">
        <v>388</v>
      </c>
      <c r="K6" s="7">
        <v>4</v>
      </c>
      <c r="L6" s="8" t="s">
        <v>148</v>
      </c>
      <c r="M6" s="7">
        <v>4</v>
      </c>
      <c r="N6" s="8" t="s">
        <v>2973</v>
      </c>
      <c r="O6" s="17">
        <v>4</v>
      </c>
      <c r="P6" s="8" t="s">
        <v>2967</v>
      </c>
      <c r="Q6" s="7">
        <v>3</v>
      </c>
      <c r="R6" s="14" t="s">
        <v>2986</v>
      </c>
      <c r="S6" s="8">
        <v>4</v>
      </c>
      <c r="T6" s="8" t="s">
        <v>826</v>
      </c>
      <c r="U6" s="17">
        <v>1</v>
      </c>
      <c r="V6" s="8" t="s">
        <v>2888</v>
      </c>
      <c r="W6" s="7">
        <v>2</v>
      </c>
      <c r="X6" s="8" t="s">
        <v>3003</v>
      </c>
      <c r="Y6" s="7">
        <v>4</v>
      </c>
      <c r="Z6" s="14" t="s">
        <v>3013</v>
      </c>
      <c r="AA6" s="133">
        <v>1</v>
      </c>
      <c r="AB6" s="8" t="s">
        <v>453</v>
      </c>
      <c r="AC6" s="7">
        <v>4</v>
      </c>
      <c r="AD6" s="14" t="s">
        <v>3019</v>
      </c>
      <c r="AE6" s="17">
        <v>2</v>
      </c>
      <c r="AF6" s="70" t="s">
        <v>3032</v>
      </c>
      <c r="AG6" s="35">
        <v>2</v>
      </c>
      <c r="AH6" s="8" t="s">
        <v>56</v>
      </c>
      <c r="AI6" s="17">
        <v>3</v>
      </c>
      <c r="AJ6" s="70" t="s">
        <v>3043</v>
      </c>
      <c r="AK6" s="128">
        <v>2</v>
      </c>
      <c r="AL6" s="144" t="s">
        <v>1377</v>
      </c>
      <c r="AM6" s="7">
        <v>3</v>
      </c>
      <c r="AN6" s="14" t="s">
        <v>3053</v>
      </c>
      <c r="AO6" s="7">
        <v>4</v>
      </c>
      <c r="AP6" s="8" t="s">
        <v>3063</v>
      </c>
      <c r="AQ6" s="128">
        <v>4</v>
      </c>
      <c r="AR6" s="65" t="s">
        <v>1297</v>
      </c>
      <c r="AS6" s="7">
        <v>4</v>
      </c>
      <c r="AT6" s="34" t="s">
        <v>3077</v>
      </c>
      <c r="AU6" s="7">
        <v>1</v>
      </c>
      <c r="AV6" s="3" t="s">
        <v>1797</v>
      </c>
      <c r="AW6" s="7">
        <v>1</v>
      </c>
      <c r="AX6" s="5" t="s">
        <v>94</v>
      </c>
    </row>
    <row r="7" spans="1:50">
      <c r="A7" s="7">
        <v>4</v>
      </c>
      <c r="B7" s="8" t="s">
        <v>2101</v>
      </c>
      <c r="C7" s="7">
        <v>1</v>
      </c>
      <c r="D7" s="140" t="s">
        <v>2102</v>
      </c>
      <c r="E7" s="17">
        <v>3</v>
      </c>
      <c r="F7" s="8" t="s">
        <v>2841</v>
      </c>
      <c r="G7" s="17">
        <v>4</v>
      </c>
      <c r="H7" s="8" t="s">
        <v>2856</v>
      </c>
      <c r="I7" s="7">
        <v>4</v>
      </c>
      <c r="J7" s="14" t="s">
        <v>2897</v>
      </c>
      <c r="K7" s="7">
        <v>1</v>
      </c>
      <c r="L7" s="8" t="s">
        <v>2865</v>
      </c>
      <c r="M7" s="7">
        <v>3</v>
      </c>
      <c r="N7" s="8" t="s">
        <v>2974</v>
      </c>
      <c r="O7" s="17">
        <v>4</v>
      </c>
      <c r="P7" s="8" t="s">
        <v>378</v>
      </c>
      <c r="Q7" s="7">
        <v>3</v>
      </c>
      <c r="R7" s="14" t="s">
        <v>2987</v>
      </c>
      <c r="S7" s="8">
        <v>4</v>
      </c>
      <c r="T7" s="8" t="s">
        <v>148</v>
      </c>
      <c r="U7" s="128">
        <v>3</v>
      </c>
      <c r="V7" s="26" t="s">
        <v>98</v>
      </c>
      <c r="W7" s="7">
        <v>1</v>
      </c>
      <c r="X7" s="8" t="s">
        <v>3004</v>
      </c>
      <c r="Y7" s="128">
        <v>1</v>
      </c>
      <c r="Z7" s="134" t="s">
        <v>457</v>
      </c>
      <c r="AA7" s="133">
        <v>4</v>
      </c>
      <c r="AB7" s="133" t="s">
        <v>2627</v>
      </c>
      <c r="AC7" s="7">
        <v>1</v>
      </c>
      <c r="AD7" s="14" t="s">
        <v>3020</v>
      </c>
      <c r="AE7" s="17">
        <v>1</v>
      </c>
      <c r="AF7" s="70" t="s">
        <v>3033</v>
      </c>
      <c r="AG7" s="35">
        <v>4</v>
      </c>
      <c r="AH7" s="8" t="s">
        <v>949</v>
      </c>
      <c r="AI7" s="17">
        <v>1</v>
      </c>
      <c r="AJ7" s="70" t="s">
        <v>3044</v>
      </c>
      <c r="AK7" s="17">
        <v>4</v>
      </c>
      <c r="AL7" s="8" t="s">
        <v>2882</v>
      </c>
      <c r="AM7" s="7">
        <v>4</v>
      </c>
      <c r="AN7" s="14" t="s">
        <v>145</v>
      </c>
      <c r="AO7" s="7">
        <v>4</v>
      </c>
      <c r="AP7" s="8" t="s">
        <v>3064</v>
      </c>
      <c r="AQ7" s="133">
        <v>1</v>
      </c>
      <c r="AR7" s="133" t="s">
        <v>1815</v>
      </c>
      <c r="AS7" s="7">
        <v>2</v>
      </c>
      <c r="AT7" s="34" t="s">
        <v>3078</v>
      </c>
      <c r="AU7" s="7">
        <v>3</v>
      </c>
      <c r="AV7" s="3" t="s">
        <v>1400</v>
      </c>
      <c r="AW7" s="7">
        <v>4</v>
      </c>
      <c r="AX7" s="5" t="s">
        <v>148</v>
      </c>
    </row>
    <row r="8" spans="1:50">
      <c r="A8" s="7">
        <v>4</v>
      </c>
      <c r="B8" s="8" t="s">
        <v>2103</v>
      </c>
      <c r="C8" s="7">
        <v>1</v>
      </c>
      <c r="D8" s="140" t="s">
        <v>2104</v>
      </c>
      <c r="E8" s="17">
        <v>1</v>
      </c>
      <c r="F8" s="8" t="s">
        <v>2845</v>
      </c>
      <c r="G8" s="17">
        <v>4</v>
      </c>
      <c r="H8" s="8" t="s">
        <v>1809</v>
      </c>
      <c r="I8" s="7">
        <v>3</v>
      </c>
      <c r="J8" s="14" t="s">
        <v>1224</v>
      </c>
      <c r="K8" s="128">
        <v>1</v>
      </c>
      <c r="L8" s="144" t="s">
        <v>174</v>
      </c>
      <c r="M8" s="7">
        <v>4</v>
      </c>
      <c r="N8" s="8" t="s">
        <v>2975</v>
      </c>
      <c r="O8" s="128">
        <v>1</v>
      </c>
      <c r="P8" s="144" t="s">
        <v>1960</v>
      </c>
      <c r="Q8" s="7">
        <v>4</v>
      </c>
      <c r="R8" s="14" t="s">
        <v>2988</v>
      </c>
      <c r="S8" s="8">
        <v>1</v>
      </c>
      <c r="T8" s="8" t="s">
        <v>2658</v>
      </c>
      <c r="U8" s="133">
        <v>3</v>
      </c>
      <c r="V8" s="8" t="s">
        <v>2894</v>
      </c>
      <c r="W8" s="7">
        <v>4</v>
      </c>
      <c r="X8" s="8" t="s">
        <v>3005</v>
      </c>
      <c r="Y8" s="7">
        <v>1</v>
      </c>
      <c r="Z8" s="14" t="s">
        <v>2633</v>
      </c>
      <c r="AA8" s="133">
        <v>4</v>
      </c>
      <c r="AB8" s="133" t="s">
        <v>1011</v>
      </c>
      <c r="AC8" s="7">
        <v>4</v>
      </c>
      <c r="AD8" s="14" t="s">
        <v>3021</v>
      </c>
      <c r="AE8" s="17">
        <v>1</v>
      </c>
      <c r="AF8" s="70" t="s">
        <v>3034</v>
      </c>
      <c r="AG8" s="44">
        <v>4</v>
      </c>
      <c r="AH8" s="17" t="s">
        <v>259</v>
      </c>
      <c r="AI8" s="17">
        <v>4</v>
      </c>
      <c r="AJ8" s="70" t="s">
        <v>1805</v>
      </c>
      <c r="AK8" s="17">
        <v>4</v>
      </c>
      <c r="AL8" s="8" t="s">
        <v>1290</v>
      </c>
      <c r="AM8" s="7">
        <v>4</v>
      </c>
      <c r="AN8" s="14" t="s">
        <v>3054</v>
      </c>
      <c r="AO8" s="7">
        <v>2</v>
      </c>
      <c r="AP8" s="8" t="s">
        <v>3065</v>
      </c>
      <c r="AQ8" s="133">
        <v>4</v>
      </c>
      <c r="AR8" s="133" t="s">
        <v>2065</v>
      </c>
      <c r="AS8" s="7">
        <v>2</v>
      </c>
      <c r="AT8" s="34" t="s">
        <v>3079</v>
      </c>
      <c r="AU8" s="20">
        <v>1</v>
      </c>
      <c r="AV8" s="95" t="s">
        <v>1865</v>
      </c>
      <c r="AW8" s="7">
        <v>1</v>
      </c>
      <c r="AX8" s="5" t="s">
        <v>109</v>
      </c>
    </row>
    <row r="9" spans="1:50">
      <c r="A9" s="128">
        <v>3</v>
      </c>
      <c r="B9" s="144" t="s">
        <v>2833</v>
      </c>
      <c r="C9" s="7">
        <v>4</v>
      </c>
      <c r="D9" s="140" t="s">
        <v>2105</v>
      </c>
      <c r="E9" s="128">
        <v>1</v>
      </c>
      <c r="F9" s="144" t="s">
        <v>1557</v>
      </c>
      <c r="G9" s="17">
        <v>1</v>
      </c>
      <c r="H9" s="138" t="s">
        <v>2859</v>
      </c>
      <c r="I9" s="7">
        <v>4</v>
      </c>
      <c r="J9" s="14" t="s">
        <v>574</v>
      </c>
      <c r="K9" s="7">
        <v>1</v>
      </c>
      <c r="L9" s="8" t="s">
        <v>904</v>
      </c>
      <c r="M9" s="7">
        <v>1</v>
      </c>
      <c r="N9" s="8" t="s">
        <v>2976</v>
      </c>
      <c r="O9" s="17">
        <v>3</v>
      </c>
      <c r="P9" s="8" t="s">
        <v>2838</v>
      </c>
      <c r="Q9" s="7">
        <v>2</v>
      </c>
      <c r="R9" s="14" t="s">
        <v>2989</v>
      </c>
      <c r="S9" s="8">
        <v>1</v>
      </c>
      <c r="T9" s="8" t="s">
        <v>1427</v>
      </c>
      <c r="U9" s="17">
        <v>4</v>
      </c>
      <c r="V9" s="8" t="s">
        <v>46</v>
      </c>
      <c r="W9" s="7">
        <v>4</v>
      </c>
      <c r="X9" s="8" t="s">
        <v>3006</v>
      </c>
      <c r="Y9" s="7">
        <v>1</v>
      </c>
      <c r="Z9" s="14" t="s">
        <v>481</v>
      </c>
      <c r="AA9" s="17">
        <v>1</v>
      </c>
      <c r="AB9" s="17" t="s">
        <v>2628</v>
      </c>
      <c r="AC9" s="7">
        <v>2</v>
      </c>
      <c r="AD9" s="14" t="s">
        <v>3022</v>
      </c>
      <c r="AE9" s="17">
        <v>1</v>
      </c>
      <c r="AF9" s="70" t="s">
        <v>3035</v>
      </c>
      <c r="AG9" s="166">
        <v>1</v>
      </c>
      <c r="AH9" s="133" t="s">
        <v>663</v>
      </c>
      <c r="AI9" s="17">
        <v>4</v>
      </c>
      <c r="AJ9" s="70" t="s">
        <v>2995</v>
      </c>
      <c r="AK9" s="17">
        <v>3</v>
      </c>
      <c r="AL9" s="8" t="s">
        <v>2880</v>
      </c>
      <c r="AM9" s="7">
        <v>4</v>
      </c>
      <c r="AN9" s="14" t="s">
        <v>3055</v>
      </c>
      <c r="AO9" s="7">
        <v>2</v>
      </c>
      <c r="AP9" s="8" t="s">
        <v>3066</v>
      </c>
      <c r="AQ9" s="133">
        <v>4</v>
      </c>
      <c r="AR9" s="133" t="s">
        <v>2632</v>
      </c>
      <c r="AS9" s="7">
        <v>2</v>
      </c>
      <c r="AT9" s="34" t="s">
        <v>3080</v>
      </c>
      <c r="AU9" s="7">
        <v>1</v>
      </c>
      <c r="AV9" s="3" t="s">
        <v>1802</v>
      </c>
      <c r="AW9" s="20">
        <v>1</v>
      </c>
      <c r="AX9" s="5" t="s">
        <v>2106</v>
      </c>
    </row>
    <row r="10" spans="1:50">
      <c r="A10" s="7">
        <v>3</v>
      </c>
      <c r="B10" s="8" t="s">
        <v>2832</v>
      </c>
      <c r="C10" s="7">
        <v>4</v>
      </c>
      <c r="D10" s="140" t="s">
        <v>2108</v>
      </c>
      <c r="E10" s="17">
        <v>1</v>
      </c>
      <c r="F10" s="8" t="s">
        <v>438</v>
      </c>
      <c r="G10" s="128">
        <v>1</v>
      </c>
      <c r="H10" s="144" t="s">
        <v>1813</v>
      </c>
      <c r="I10" s="7">
        <v>4</v>
      </c>
      <c r="J10" s="14" t="s">
        <v>186</v>
      </c>
      <c r="K10" s="7">
        <v>1</v>
      </c>
      <c r="L10" s="8" t="s">
        <v>2866</v>
      </c>
      <c r="M10" s="7">
        <v>4</v>
      </c>
      <c r="N10" s="8" t="s">
        <v>2977</v>
      </c>
      <c r="O10" s="17">
        <v>3</v>
      </c>
      <c r="P10" s="8" t="s">
        <v>1959</v>
      </c>
      <c r="Q10" s="7">
        <v>3</v>
      </c>
      <c r="R10" s="14" t="s">
        <v>2990</v>
      </c>
      <c r="S10" s="8">
        <v>1</v>
      </c>
      <c r="T10" s="8" t="s">
        <v>913</v>
      </c>
      <c r="U10" s="17">
        <v>4</v>
      </c>
      <c r="V10" s="8" t="s">
        <v>2891</v>
      </c>
      <c r="W10" s="7">
        <v>1</v>
      </c>
      <c r="X10" s="8" t="s">
        <v>3007</v>
      </c>
      <c r="Y10" s="128">
        <v>1</v>
      </c>
      <c r="Z10" s="134" t="s">
        <v>498</v>
      </c>
      <c r="AA10" s="17">
        <v>4</v>
      </c>
      <c r="AB10" s="17" t="s">
        <v>924</v>
      </c>
      <c r="AC10" s="7">
        <v>1</v>
      </c>
      <c r="AD10" s="14" t="s">
        <v>3023</v>
      </c>
      <c r="AE10" s="17">
        <v>1</v>
      </c>
      <c r="AF10" s="70" t="s">
        <v>3036</v>
      </c>
      <c r="AG10" s="166">
        <v>1</v>
      </c>
      <c r="AH10" s="133" t="s">
        <v>703</v>
      </c>
      <c r="AI10" s="17">
        <v>4</v>
      </c>
      <c r="AJ10" s="70" t="s">
        <v>206</v>
      </c>
      <c r="AK10" s="17">
        <v>2</v>
      </c>
      <c r="AL10" s="8" t="s">
        <v>2879</v>
      </c>
      <c r="AM10" s="7">
        <v>4</v>
      </c>
      <c r="AN10" s="14" t="s">
        <v>3056</v>
      </c>
      <c r="AO10" s="7">
        <v>4</v>
      </c>
      <c r="AP10" s="8" t="s">
        <v>3067</v>
      </c>
      <c r="AQ10" s="17">
        <v>2</v>
      </c>
      <c r="AR10" s="17" t="s">
        <v>1205</v>
      </c>
      <c r="AS10" s="7">
        <v>2</v>
      </c>
      <c r="AT10" s="34" t="s">
        <v>3081</v>
      </c>
      <c r="AU10" s="7">
        <v>1</v>
      </c>
      <c r="AV10" s="3" t="s">
        <v>311</v>
      </c>
      <c r="AW10" s="7">
        <v>1</v>
      </c>
      <c r="AX10" s="23" t="s">
        <v>1493</v>
      </c>
    </row>
    <row r="11" spans="1:50">
      <c r="A11" s="7">
        <v>3</v>
      </c>
      <c r="B11" s="8" t="s">
        <v>2107</v>
      </c>
      <c r="C11" s="7">
        <v>2</v>
      </c>
      <c r="D11" s="140" t="s">
        <v>2110</v>
      </c>
      <c r="E11" s="17">
        <v>4</v>
      </c>
      <c r="F11" s="8" t="s">
        <v>2850</v>
      </c>
      <c r="G11" s="133">
        <v>1</v>
      </c>
      <c r="H11" s="8" t="s">
        <v>904</v>
      </c>
      <c r="I11" s="7">
        <v>4</v>
      </c>
      <c r="J11" s="14" t="s">
        <v>206</v>
      </c>
      <c r="K11" s="17">
        <v>1</v>
      </c>
      <c r="L11" s="8" t="s">
        <v>2867</v>
      </c>
      <c r="M11" s="7">
        <v>2</v>
      </c>
      <c r="N11" s="8" t="s">
        <v>2978</v>
      </c>
      <c r="O11" s="17">
        <v>4</v>
      </c>
      <c r="P11" s="8" t="s">
        <v>2662</v>
      </c>
      <c r="Q11" s="7">
        <v>1</v>
      </c>
      <c r="R11" s="14" t="s">
        <v>2991</v>
      </c>
      <c r="S11" s="8">
        <v>1</v>
      </c>
      <c r="T11" s="8" t="s">
        <v>922</v>
      </c>
      <c r="U11" s="17">
        <v>4</v>
      </c>
      <c r="V11" s="8" t="s">
        <v>2893</v>
      </c>
      <c r="W11" s="7">
        <v>1</v>
      </c>
      <c r="X11" s="8" t="s">
        <v>3008</v>
      </c>
      <c r="Y11" s="128">
        <v>1</v>
      </c>
      <c r="Z11" s="134" t="s">
        <v>2634</v>
      </c>
      <c r="AA11" s="133">
        <v>4</v>
      </c>
      <c r="AB11" s="133" t="s">
        <v>160</v>
      </c>
      <c r="AC11" s="7">
        <v>1</v>
      </c>
      <c r="AD11" s="14" t="s">
        <v>3024</v>
      </c>
      <c r="AE11" s="17">
        <v>1</v>
      </c>
      <c r="AF11" s="70" t="s">
        <v>3037</v>
      </c>
      <c r="AG11" s="44">
        <v>4</v>
      </c>
      <c r="AH11" s="17" t="s">
        <v>2624</v>
      </c>
      <c r="AI11" s="17">
        <v>4</v>
      </c>
      <c r="AJ11" s="70" t="s">
        <v>1681</v>
      </c>
      <c r="AK11" s="17">
        <v>4</v>
      </c>
      <c r="AL11" s="8" t="s">
        <v>2876</v>
      </c>
      <c r="AM11" s="7">
        <v>4</v>
      </c>
      <c r="AN11" s="14" t="s">
        <v>664</v>
      </c>
      <c r="AO11" s="7">
        <v>2</v>
      </c>
      <c r="AP11" s="8" t="s">
        <v>3068</v>
      </c>
      <c r="AQ11" s="133">
        <v>1</v>
      </c>
      <c r="AR11" s="133" t="s">
        <v>245</v>
      </c>
      <c r="AS11" s="7">
        <v>2</v>
      </c>
      <c r="AT11" s="34" t="s">
        <v>3082</v>
      </c>
      <c r="AU11" s="7">
        <v>4</v>
      </c>
      <c r="AV11" s="3" t="s">
        <v>1382</v>
      </c>
      <c r="AW11" s="7">
        <v>1</v>
      </c>
      <c r="AX11" s="5" t="s">
        <v>228</v>
      </c>
    </row>
    <row r="12" spans="1:50">
      <c r="A12" s="7">
        <v>3</v>
      </c>
      <c r="B12" s="8" t="s">
        <v>2109</v>
      </c>
      <c r="C12" s="7">
        <v>1</v>
      </c>
      <c r="D12" s="140" t="s">
        <v>2111</v>
      </c>
      <c r="E12" s="17">
        <v>1</v>
      </c>
      <c r="F12" s="8" t="s">
        <v>2842</v>
      </c>
      <c r="G12" s="133">
        <v>1</v>
      </c>
      <c r="H12" s="138" t="s">
        <v>521</v>
      </c>
      <c r="I12" s="7">
        <v>4</v>
      </c>
      <c r="J12" s="14" t="s">
        <v>1681</v>
      </c>
      <c r="K12" s="133">
        <v>1</v>
      </c>
      <c r="L12" s="138" t="s">
        <v>1493</v>
      </c>
      <c r="M12" s="7">
        <v>4</v>
      </c>
      <c r="N12" s="8" t="s">
        <v>206</v>
      </c>
      <c r="O12" s="17">
        <v>4</v>
      </c>
      <c r="P12" s="8" t="s">
        <v>2968</v>
      </c>
      <c r="Q12" s="7">
        <v>3</v>
      </c>
      <c r="R12" s="14" t="s">
        <v>2992</v>
      </c>
      <c r="S12" s="8">
        <v>1</v>
      </c>
      <c r="T12" s="8" t="s">
        <v>1895</v>
      </c>
      <c r="U12" s="17">
        <v>4</v>
      </c>
      <c r="V12" s="8" t="s">
        <v>2892</v>
      </c>
      <c r="W12" s="7">
        <v>4</v>
      </c>
      <c r="X12" s="8" t="s">
        <v>186</v>
      </c>
      <c r="Y12" s="128">
        <v>1</v>
      </c>
      <c r="Z12" s="134" t="s">
        <v>633</v>
      </c>
      <c r="AA12" s="17">
        <v>4</v>
      </c>
      <c r="AB12" s="17" t="s">
        <v>201</v>
      </c>
      <c r="AC12" s="7">
        <v>4</v>
      </c>
      <c r="AD12" s="14" t="s">
        <v>3025</v>
      </c>
      <c r="AE12" s="17">
        <v>1</v>
      </c>
      <c r="AF12" s="70" t="s">
        <v>3038</v>
      </c>
      <c r="AG12" s="44">
        <v>4</v>
      </c>
      <c r="AH12" s="17" t="s">
        <v>145</v>
      </c>
      <c r="AI12" s="8">
        <v>4</v>
      </c>
      <c r="AJ12" s="8" t="s">
        <v>1812</v>
      </c>
      <c r="AK12" s="17">
        <v>3</v>
      </c>
      <c r="AL12" s="8" t="s">
        <v>2875</v>
      </c>
      <c r="AM12" s="7">
        <v>4</v>
      </c>
      <c r="AN12" s="14" t="s">
        <v>3057</v>
      </c>
      <c r="AO12" s="7">
        <v>1</v>
      </c>
      <c r="AP12" s="8" t="s">
        <v>3069</v>
      </c>
      <c r="AQ12" s="17">
        <v>3</v>
      </c>
      <c r="AR12" s="17" t="s">
        <v>281</v>
      </c>
      <c r="AS12" s="7">
        <v>2</v>
      </c>
      <c r="AT12" s="34" t="s">
        <v>3083</v>
      </c>
      <c r="AU12" s="7">
        <v>4</v>
      </c>
      <c r="AV12" s="3" t="s">
        <v>1273</v>
      </c>
      <c r="AW12" s="8">
        <v>1</v>
      </c>
      <c r="AX12" s="5" t="s">
        <v>2112</v>
      </c>
    </row>
    <row r="13" spans="1:50">
      <c r="A13" s="7">
        <v>2</v>
      </c>
      <c r="B13" s="8" t="s">
        <v>929</v>
      </c>
      <c r="C13" s="7">
        <v>2</v>
      </c>
      <c r="D13" s="140" t="s">
        <v>2113</v>
      </c>
      <c r="E13" s="17">
        <v>4</v>
      </c>
      <c r="F13" s="8" t="s">
        <v>46</v>
      </c>
      <c r="G13" s="133">
        <v>1</v>
      </c>
      <c r="H13" s="138" t="s">
        <v>2860</v>
      </c>
      <c r="I13" s="7">
        <v>4</v>
      </c>
      <c r="J13" s="14" t="s">
        <v>145</v>
      </c>
      <c r="K13" s="133">
        <v>1</v>
      </c>
      <c r="L13" s="138" t="s">
        <v>2869</v>
      </c>
      <c r="M13" s="7">
        <v>4</v>
      </c>
      <c r="N13" s="8" t="s">
        <v>1681</v>
      </c>
      <c r="O13" s="128">
        <v>4</v>
      </c>
      <c r="P13" s="144" t="s">
        <v>2813</v>
      </c>
      <c r="Q13" s="7">
        <v>4</v>
      </c>
      <c r="R13" s="14" t="s">
        <v>206</v>
      </c>
      <c r="S13" s="8">
        <v>1</v>
      </c>
      <c r="T13" s="8" t="s">
        <v>932</v>
      </c>
      <c r="U13" s="44">
        <v>4</v>
      </c>
      <c r="V13" s="8" t="s">
        <v>2895</v>
      </c>
      <c r="W13" s="7">
        <v>4</v>
      </c>
      <c r="X13" s="8" t="s">
        <v>206</v>
      </c>
      <c r="Y13" s="7">
        <v>4</v>
      </c>
      <c r="Z13" s="14" t="s">
        <v>2473</v>
      </c>
      <c r="AA13" s="133">
        <v>4</v>
      </c>
      <c r="AB13" s="133" t="s">
        <v>186</v>
      </c>
      <c r="AC13" s="7">
        <v>1</v>
      </c>
      <c r="AD13" s="14" t="s">
        <v>3026</v>
      </c>
      <c r="AE13" s="17">
        <v>4</v>
      </c>
      <c r="AF13" s="70" t="s">
        <v>823</v>
      </c>
      <c r="AG13" s="44">
        <v>4</v>
      </c>
      <c r="AH13" s="17" t="s">
        <v>281</v>
      </c>
      <c r="AI13" s="17">
        <v>4</v>
      </c>
      <c r="AJ13" s="70" t="s">
        <v>1052</v>
      </c>
      <c r="AK13" s="17">
        <v>2</v>
      </c>
      <c r="AL13" s="8" t="s">
        <v>1380</v>
      </c>
      <c r="AM13" s="7">
        <v>3</v>
      </c>
      <c r="AN13" s="14" t="s">
        <v>3058</v>
      </c>
      <c r="AO13" s="7">
        <v>4</v>
      </c>
      <c r="AP13" s="8" t="s">
        <v>1001</v>
      </c>
      <c r="AQ13" s="133">
        <v>4</v>
      </c>
      <c r="AR13" s="133" t="s">
        <v>2635</v>
      </c>
      <c r="AS13" s="7">
        <v>4</v>
      </c>
      <c r="AT13" s="34" t="s">
        <v>3084</v>
      </c>
      <c r="AU13" s="7">
        <v>4</v>
      </c>
      <c r="AV13" s="3" t="s">
        <v>1292</v>
      </c>
      <c r="AW13" s="128">
        <v>1</v>
      </c>
      <c r="AX13" s="129" t="s">
        <v>945</v>
      </c>
    </row>
    <row r="14" spans="1:50">
      <c r="A14" s="7">
        <v>4</v>
      </c>
      <c r="B14" s="8" t="s">
        <v>175</v>
      </c>
      <c r="C14" s="7">
        <v>4</v>
      </c>
      <c r="D14" s="140" t="s">
        <v>2115</v>
      </c>
      <c r="E14" s="128">
        <v>1</v>
      </c>
      <c r="F14" s="144" t="s">
        <v>1751</v>
      </c>
      <c r="G14" s="17">
        <v>1</v>
      </c>
      <c r="H14" s="8" t="s">
        <v>2858</v>
      </c>
      <c r="I14" s="7">
        <v>4</v>
      </c>
      <c r="J14" s="14" t="s">
        <v>253</v>
      </c>
      <c r="K14" s="17">
        <v>1</v>
      </c>
      <c r="L14" s="8" t="s">
        <v>245</v>
      </c>
      <c r="M14" s="7">
        <v>4</v>
      </c>
      <c r="N14" s="8" t="s">
        <v>744</v>
      </c>
      <c r="O14" s="17">
        <v>4</v>
      </c>
      <c r="P14" s="8" t="s">
        <v>2812</v>
      </c>
      <c r="Q14" s="7">
        <v>4</v>
      </c>
      <c r="R14" s="14" t="s">
        <v>2993</v>
      </c>
      <c r="S14" s="8">
        <v>1</v>
      </c>
      <c r="T14" s="8" t="s">
        <v>971</v>
      </c>
      <c r="U14" s="166">
        <v>4</v>
      </c>
      <c r="V14" s="8" t="s">
        <v>109</v>
      </c>
      <c r="W14" s="7">
        <v>3</v>
      </c>
      <c r="X14" s="8" t="s">
        <v>636</v>
      </c>
      <c r="Y14" s="128">
        <v>4</v>
      </c>
      <c r="Z14" s="134" t="s">
        <v>763</v>
      </c>
      <c r="AA14" s="133">
        <v>4</v>
      </c>
      <c r="AB14" s="133" t="s">
        <v>206</v>
      </c>
      <c r="AC14" s="7">
        <v>4</v>
      </c>
      <c r="AD14" s="14" t="s">
        <v>3027</v>
      </c>
      <c r="AE14" s="17">
        <v>1</v>
      </c>
      <c r="AF14" s="70" t="s">
        <v>3039</v>
      </c>
      <c r="AG14" s="44">
        <v>4</v>
      </c>
      <c r="AH14" s="17" t="s">
        <v>944</v>
      </c>
      <c r="AI14" s="17">
        <v>4</v>
      </c>
      <c r="AJ14" s="70" t="s">
        <v>3045</v>
      </c>
      <c r="AK14" s="17">
        <v>4</v>
      </c>
      <c r="AL14" s="8" t="s">
        <v>2877</v>
      </c>
      <c r="AM14" s="7">
        <v>3</v>
      </c>
      <c r="AN14" s="14" t="s">
        <v>3059</v>
      </c>
      <c r="AO14" s="7">
        <v>4</v>
      </c>
      <c r="AP14" s="8" t="s">
        <v>991</v>
      </c>
      <c r="AQ14" s="133">
        <v>3</v>
      </c>
      <c r="AR14" s="133" t="s">
        <v>137</v>
      </c>
      <c r="AS14" s="7">
        <v>4</v>
      </c>
      <c r="AT14" s="34" t="s">
        <v>1624</v>
      </c>
      <c r="AU14" s="7">
        <v>4</v>
      </c>
      <c r="AV14" s="3" t="s">
        <v>259</v>
      </c>
      <c r="AW14" s="128">
        <v>1</v>
      </c>
      <c r="AX14" s="129" t="s">
        <v>245</v>
      </c>
    </row>
    <row r="15" spans="1:50">
      <c r="A15" s="7">
        <v>2</v>
      </c>
      <c r="B15" s="7" t="s">
        <v>193</v>
      </c>
      <c r="C15" s="7">
        <v>4</v>
      </c>
      <c r="D15" s="140" t="s">
        <v>2118</v>
      </c>
      <c r="E15" s="17">
        <v>4</v>
      </c>
      <c r="F15" s="8" t="s">
        <v>1365</v>
      </c>
      <c r="G15" s="17">
        <v>4</v>
      </c>
      <c r="H15" s="8" t="s">
        <v>990</v>
      </c>
      <c r="K15" s="128">
        <v>1</v>
      </c>
      <c r="L15" s="144" t="s">
        <v>945</v>
      </c>
      <c r="M15" s="7">
        <v>4</v>
      </c>
      <c r="N15" s="8" t="s">
        <v>2979</v>
      </c>
      <c r="O15" s="17">
        <v>3</v>
      </c>
      <c r="P15" s="8" t="s">
        <v>1976</v>
      </c>
      <c r="Q15" s="7">
        <v>4</v>
      </c>
      <c r="R15" s="14" t="s">
        <v>2994</v>
      </c>
      <c r="S15" s="8">
        <v>1</v>
      </c>
      <c r="T15" s="8" t="s">
        <v>1807</v>
      </c>
      <c r="U15" s="44">
        <v>4</v>
      </c>
      <c r="V15" s="8" t="s">
        <v>166</v>
      </c>
      <c r="W15" s="7">
        <v>4</v>
      </c>
      <c r="X15" s="8" t="s">
        <v>259</v>
      </c>
      <c r="Y15" s="7">
        <v>1</v>
      </c>
      <c r="Z15" s="14" t="s">
        <v>1221</v>
      </c>
      <c r="AA15" s="133">
        <v>4</v>
      </c>
      <c r="AB15" s="133" t="s">
        <v>1681</v>
      </c>
      <c r="AC15" s="7">
        <v>4</v>
      </c>
      <c r="AD15" s="14" t="s">
        <v>1494</v>
      </c>
      <c r="AE15" s="17">
        <v>1</v>
      </c>
      <c r="AF15" s="70" t="s">
        <v>3040</v>
      </c>
      <c r="AI15" s="17">
        <v>2</v>
      </c>
      <c r="AJ15" s="70" t="s">
        <v>1814</v>
      </c>
      <c r="AK15" s="128">
        <v>4</v>
      </c>
      <c r="AL15" s="144" t="s">
        <v>974</v>
      </c>
      <c r="AO15" s="7">
        <v>3</v>
      </c>
      <c r="AP15" s="8" t="s">
        <v>985</v>
      </c>
      <c r="AQ15" s="17">
        <v>3</v>
      </c>
      <c r="AR15" s="17" t="s">
        <v>189</v>
      </c>
      <c r="AS15" s="7">
        <v>4</v>
      </c>
      <c r="AT15" s="34" t="s">
        <v>3057</v>
      </c>
      <c r="AU15" s="7">
        <v>4</v>
      </c>
      <c r="AV15" s="3" t="s">
        <v>987</v>
      </c>
      <c r="AW15" s="20">
        <v>1</v>
      </c>
      <c r="AX15" s="23" t="s">
        <v>2114</v>
      </c>
    </row>
    <row r="16" spans="1:50">
      <c r="A16" s="7">
        <v>4</v>
      </c>
      <c r="B16" s="8" t="s">
        <v>2117</v>
      </c>
      <c r="C16" s="7">
        <v>4</v>
      </c>
      <c r="D16" s="140" t="s">
        <v>2120</v>
      </c>
      <c r="E16" s="17">
        <v>1</v>
      </c>
      <c r="F16" s="8" t="s">
        <v>2843</v>
      </c>
      <c r="G16" s="133">
        <v>2</v>
      </c>
      <c r="H16" s="138" t="s">
        <v>242</v>
      </c>
      <c r="K16" s="17">
        <v>1</v>
      </c>
      <c r="L16" s="8" t="s">
        <v>2868</v>
      </c>
      <c r="M16" s="7">
        <v>2</v>
      </c>
      <c r="N16" s="8" t="s">
        <v>2980</v>
      </c>
      <c r="O16" s="17">
        <v>4</v>
      </c>
      <c r="P16" s="8" t="s">
        <v>2659</v>
      </c>
      <c r="Q16" s="7">
        <v>4</v>
      </c>
      <c r="R16" s="14" t="s">
        <v>2995</v>
      </c>
      <c r="S16" s="8">
        <v>1</v>
      </c>
      <c r="T16" s="8" t="s">
        <v>904</v>
      </c>
      <c r="U16" s="44">
        <v>4</v>
      </c>
      <c r="V16" s="8" t="s">
        <v>2890</v>
      </c>
      <c r="W16" s="7">
        <v>2</v>
      </c>
      <c r="X16" s="8" t="s">
        <v>237</v>
      </c>
      <c r="Y16" s="128">
        <v>1</v>
      </c>
      <c r="Z16" s="134" t="s">
        <v>235</v>
      </c>
      <c r="AA16" s="17">
        <v>1</v>
      </c>
      <c r="AB16" s="17" t="s">
        <v>703</v>
      </c>
      <c r="AC16" s="7">
        <v>4</v>
      </c>
      <c r="AD16" s="14" t="s">
        <v>1511</v>
      </c>
      <c r="AE16" s="17">
        <v>1</v>
      </c>
      <c r="AF16" s="70" t="s">
        <v>155</v>
      </c>
      <c r="AI16" s="17">
        <v>2</v>
      </c>
      <c r="AJ16" s="70" t="s">
        <v>2003</v>
      </c>
      <c r="AK16" s="17">
        <v>4</v>
      </c>
      <c r="AL16" s="8" t="s">
        <v>954</v>
      </c>
      <c r="AO16" s="7">
        <v>3</v>
      </c>
      <c r="AP16" s="8" t="s">
        <v>1558</v>
      </c>
      <c r="AQ16" s="17">
        <v>3</v>
      </c>
      <c r="AR16" s="17" t="s">
        <v>259</v>
      </c>
      <c r="AS16" s="7">
        <v>4</v>
      </c>
      <c r="AT16" s="34" t="s">
        <v>259</v>
      </c>
      <c r="AU16" s="17">
        <v>3</v>
      </c>
      <c r="AV16" s="89" t="s">
        <v>1917</v>
      </c>
      <c r="AW16" s="7">
        <v>1</v>
      </c>
      <c r="AX16" s="8" t="s">
        <v>2116</v>
      </c>
    </row>
    <row r="17" spans="1:50">
      <c r="A17" s="7">
        <v>4</v>
      </c>
      <c r="B17" s="8" t="s">
        <v>2119</v>
      </c>
      <c r="C17" s="7">
        <v>2</v>
      </c>
      <c r="D17" s="14" t="s">
        <v>2122</v>
      </c>
      <c r="E17" s="17">
        <v>1</v>
      </c>
      <c r="F17" s="8" t="s">
        <v>112</v>
      </c>
      <c r="G17" s="17">
        <v>4</v>
      </c>
      <c r="H17" s="8" t="s">
        <v>2861</v>
      </c>
      <c r="K17" s="8">
        <v>3</v>
      </c>
      <c r="L17" s="8" t="s">
        <v>137</v>
      </c>
      <c r="M17" s="7">
        <v>4</v>
      </c>
      <c r="N17" s="8" t="s">
        <v>1553</v>
      </c>
      <c r="O17" s="17">
        <v>2</v>
      </c>
      <c r="P17" s="8" t="s">
        <v>2660</v>
      </c>
      <c r="Q17" s="7">
        <v>4</v>
      </c>
      <c r="R17" s="14" t="s">
        <v>1681</v>
      </c>
      <c r="S17" s="8">
        <v>1</v>
      </c>
      <c r="T17" s="8" t="s">
        <v>1493</v>
      </c>
      <c r="U17" s="44">
        <v>4</v>
      </c>
      <c r="V17" s="8" t="s">
        <v>2889</v>
      </c>
      <c r="W17" s="7">
        <v>2</v>
      </c>
      <c r="X17" s="8" t="s">
        <v>3009</v>
      </c>
      <c r="Y17" s="128">
        <v>1</v>
      </c>
      <c r="Z17" s="134" t="s">
        <v>193</v>
      </c>
      <c r="AA17" s="17">
        <v>1</v>
      </c>
      <c r="AB17" s="17" t="s">
        <v>2629</v>
      </c>
      <c r="AC17" s="7">
        <v>4</v>
      </c>
      <c r="AD17" s="14" t="s">
        <v>1474</v>
      </c>
      <c r="AE17" s="17">
        <v>2</v>
      </c>
      <c r="AF17" s="70" t="s">
        <v>141</v>
      </c>
      <c r="AK17" s="17">
        <v>4</v>
      </c>
      <c r="AL17" s="8" t="s">
        <v>2878</v>
      </c>
      <c r="AO17" s="7">
        <v>3</v>
      </c>
      <c r="AP17" s="8" t="s">
        <v>3070</v>
      </c>
      <c r="AQ17" s="17">
        <v>4</v>
      </c>
      <c r="AR17" s="17" t="s">
        <v>201</v>
      </c>
      <c r="AS17" s="7">
        <v>3</v>
      </c>
      <c r="AT17" s="34" t="s">
        <v>3070</v>
      </c>
      <c r="AU17" s="7">
        <v>4</v>
      </c>
      <c r="AV17" s="3" t="s">
        <v>2901</v>
      </c>
      <c r="AW17" s="17">
        <v>4</v>
      </c>
      <c r="AX17" s="5" t="s">
        <v>178</v>
      </c>
    </row>
    <row r="18" spans="1:50">
      <c r="A18" s="7">
        <v>4</v>
      </c>
      <c r="B18" s="8" t="s">
        <v>2121</v>
      </c>
      <c r="C18" s="7">
        <v>3</v>
      </c>
      <c r="D18" s="14" t="s">
        <v>2125</v>
      </c>
      <c r="E18" s="17">
        <v>4</v>
      </c>
      <c r="F18" s="8" t="s">
        <v>224</v>
      </c>
      <c r="G18" s="17">
        <v>2</v>
      </c>
      <c r="H18" s="8" t="s">
        <v>263</v>
      </c>
      <c r="K18" s="17">
        <v>3</v>
      </c>
      <c r="L18" s="8" t="s">
        <v>242</v>
      </c>
      <c r="M18" s="7">
        <v>2</v>
      </c>
      <c r="N18" s="8" t="s">
        <v>2981</v>
      </c>
      <c r="Q18" s="7">
        <v>4</v>
      </c>
      <c r="R18" s="14" t="s">
        <v>2996</v>
      </c>
      <c r="S18" s="8">
        <v>4</v>
      </c>
      <c r="T18" s="8" t="s">
        <v>996</v>
      </c>
      <c r="U18" s="44">
        <v>2</v>
      </c>
      <c r="V18" s="8" t="s">
        <v>1059</v>
      </c>
      <c r="W18" s="8">
        <v>4</v>
      </c>
      <c r="X18" s="8" t="s">
        <v>1217</v>
      </c>
      <c r="Y18" s="128">
        <v>4</v>
      </c>
      <c r="Z18" s="134" t="s">
        <v>576</v>
      </c>
      <c r="AA18" s="17">
        <v>1</v>
      </c>
      <c r="AB18" s="17" t="s">
        <v>694</v>
      </c>
      <c r="AC18" s="8">
        <v>4</v>
      </c>
      <c r="AD18" s="14" t="s">
        <v>206</v>
      </c>
      <c r="AE18" s="8">
        <v>4</v>
      </c>
      <c r="AF18" s="70" t="s">
        <v>2995</v>
      </c>
      <c r="AK18" s="17">
        <v>4</v>
      </c>
      <c r="AL18" s="8" t="s">
        <v>2023</v>
      </c>
      <c r="AO18" s="8">
        <v>3</v>
      </c>
      <c r="AP18" s="8" t="s">
        <v>2995</v>
      </c>
      <c r="AQ18" s="17">
        <v>3</v>
      </c>
      <c r="AR18" s="17" t="s">
        <v>243</v>
      </c>
      <c r="AS18" s="8">
        <v>4</v>
      </c>
      <c r="AT18" s="34" t="s">
        <v>769</v>
      </c>
      <c r="AU18" s="7">
        <v>4</v>
      </c>
      <c r="AV18" s="3" t="s">
        <v>1821</v>
      </c>
      <c r="AW18" s="7">
        <v>1</v>
      </c>
      <c r="AX18" s="5" t="s">
        <v>1938</v>
      </c>
    </row>
    <row r="19" spans="1:50">
      <c r="A19" s="7">
        <v>4</v>
      </c>
      <c r="B19" s="8" t="s">
        <v>2124</v>
      </c>
      <c r="C19" s="7">
        <v>3</v>
      </c>
      <c r="D19" s="14" t="s">
        <v>2126</v>
      </c>
      <c r="E19" s="17">
        <v>4</v>
      </c>
      <c r="F19" s="8" t="s">
        <v>946</v>
      </c>
      <c r="G19" s="17">
        <v>4</v>
      </c>
      <c r="H19" s="8" t="s">
        <v>178</v>
      </c>
      <c r="K19" s="17">
        <v>3</v>
      </c>
      <c r="L19" s="8" t="s">
        <v>573</v>
      </c>
      <c r="M19" s="7">
        <v>2</v>
      </c>
      <c r="N19" s="14" t="s">
        <v>1634</v>
      </c>
      <c r="Q19" s="7">
        <v>4</v>
      </c>
      <c r="R19" s="14" t="s">
        <v>2798</v>
      </c>
      <c r="S19" s="138">
        <v>3</v>
      </c>
      <c r="T19" s="138" t="s">
        <v>259</v>
      </c>
      <c r="U19" s="44">
        <v>2</v>
      </c>
      <c r="V19" s="8" t="s">
        <v>2998</v>
      </c>
      <c r="W19" s="8">
        <v>2</v>
      </c>
      <c r="X19" s="8" t="s">
        <v>3010</v>
      </c>
      <c r="Y19" s="7">
        <v>4</v>
      </c>
      <c r="Z19" s="14" t="s">
        <v>3014</v>
      </c>
      <c r="AA19" s="17">
        <v>4</v>
      </c>
      <c r="AB19" s="17" t="s">
        <v>678</v>
      </c>
      <c r="AC19" s="8">
        <v>4</v>
      </c>
      <c r="AD19" s="14" t="s">
        <v>3028</v>
      </c>
      <c r="AE19" s="8">
        <v>4</v>
      </c>
      <c r="AF19" s="70" t="s">
        <v>1681</v>
      </c>
      <c r="AK19" s="8">
        <v>4</v>
      </c>
      <c r="AL19" s="8" t="s">
        <v>668</v>
      </c>
      <c r="AO19" s="8">
        <v>3</v>
      </c>
      <c r="AP19" s="8" t="s">
        <v>3071</v>
      </c>
      <c r="AQ19" s="128">
        <v>2</v>
      </c>
      <c r="AR19" s="128" t="s">
        <v>145</v>
      </c>
      <c r="AS19" s="8">
        <v>4</v>
      </c>
      <c r="AT19" s="34" t="s">
        <v>663</v>
      </c>
      <c r="AU19" s="7">
        <v>4</v>
      </c>
      <c r="AV19" s="89" t="s">
        <v>237</v>
      </c>
      <c r="AW19" s="7">
        <v>1</v>
      </c>
      <c r="AX19" s="5" t="s">
        <v>2123</v>
      </c>
    </row>
    <row r="20" spans="1:50">
      <c r="B20" s="102"/>
      <c r="C20" s="20">
        <v>2</v>
      </c>
      <c r="D20" s="38" t="s">
        <v>235</v>
      </c>
      <c r="E20" s="17">
        <v>3</v>
      </c>
      <c r="F20" s="8" t="s">
        <v>1781</v>
      </c>
      <c r="G20" s="17">
        <v>3</v>
      </c>
      <c r="H20" s="8" t="s">
        <v>2862</v>
      </c>
      <c r="K20" s="17">
        <v>3</v>
      </c>
      <c r="L20" s="8" t="s">
        <v>237</v>
      </c>
      <c r="Q20" s="7">
        <v>1</v>
      </c>
      <c r="R20" s="14" t="s">
        <v>2997</v>
      </c>
      <c r="S20" s="8">
        <v>3</v>
      </c>
      <c r="T20" s="8" t="s">
        <v>253</v>
      </c>
      <c r="W20" s="8">
        <v>2</v>
      </c>
      <c r="X20" s="8" t="s">
        <v>145</v>
      </c>
      <c r="Y20" s="7">
        <v>4</v>
      </c>
      <c r="Z20" s="14" t="s">
        <v>726</v>
      </c>
      <c r="AA20" s="17">
        <v>1</v>
      </c>
      <c r="AB20" s="17" t="s">
        <v>983</v>
      </c>
      <c r="AC20" s="8">
        <v>4</v>
      </c>
      <c r="AD20" s="14" t="s">
        <v>1527</v>
      </c>
      <c r="AE20" s="8">
        <v>4</v>
      </c>
      <c r="AF20" s="70" t="s">
        <v>206</v>
      </c>
      <c r="AO20" s="8">
        <v>3</v>
      </c>
      <c r="AP20" s="8" t="s">
        <v>181</v>
      </c>
      <c r="AQ20" s="17">
        <v>1</v>
      </c>
      <c r="AR20" s="17" t="s">
        <v>703</v>
      </c>
      <c r="AS20" s="8">
        <v>3</v>
      </c>
      <c r="AT20" s="34" t="s">
        <v>1873</v>
      </c>
      <c r="AU20" s="20">
        <v>2</v>
      </c>
      <c r="AV20" s="95" t="s">
        <v>155</v>
      </c>
      <c r="AW20" s="7">
        <v>1</v>
      </c>
      <c r="AX20" s="5" t="s">
        <v>1915</v>
      </c>
    </row>
    <row r="21" spans="1:50">
      <c r="C21" s="7">
        <v>4</v>
      </c>
      <c r="D21" s="14" t="s">
        <v>2127</v>
      </c>
      <c r="E21" s="17">
        <v>4</v>
      </c>
      <c r="F21" s="8" t="s">
        <v>2851</v>
      </c>
      <c r="G21" s="17">
        <v>1</v>
      </c>
      <c r="H21" s="8" t="s">
        <v>267</v>
      </c>
      <c r="K21" s="17">
        <v>3</v>
      </c>
      <c r="L21" s="8" t="s">
        <v>281</v>
      </c>
      <c r="S21" s="8">
        <v>4</v>
      </c>
      <c r="T21" s="8" t="s">
        <v>995</v>
      </c>
      <c r="W21" s="8">
        <v>2</v>
      </c>
      <c r="X21" s="8" t="s">
        <v>3011</v>
      </c>
      <c r="Y21" s="7">
        <v>4</v>
      </c>
      <c r="Z21" s="14" t="s">
        <v>243</v>
      </c>
      <c r="AA21" s="17">
        <v>3</v>
      </c>
      <c r="AB21" s="17" t="s">
        <v>713</v>
      </c>
      <c r="AE21" s="8">
        <v>4</v>
      </c>
      <c r="AF21" s="70" t="s">
        <v>215</v>
      </c>
      <c r="AO21" s="8">
        <v>3</v>
      </c>
      <c r="AP21" s="8" t="s">
        <v>3072</v>
      </c>
      <c r="AQ21" s="17">
        <v>1</v>
      </c>
      <c r="AR21" s="17" t="s">
        <v>983</v>
      </c>
      <c r="AU21" s="7">
        <v>1</v>
      </c>
      <c r="AV21" s="3" t="s">
        <v>209</v>
      </c>
      <c r="AW21" s="8">
        <v>1</v>
      </c>
      <c r="AX21" s="8" t="s">
        <v>209</v>
      </c>
    </row>
    <row r="22" spans="1:50">
      <c r="E22" s="17">
        <v>4</v>
      </c>
      <c r="F22" s="8" t="s">
        <v>2812</v>
      </c>
      <c r="G22" s="17">
        <v>4</v>
      </c>
      <c r="H22" s="8" t="s">
        <v>137</v>
      </c>
      <c r="K22" s="17">
        <v>3</v>
      </c>
      <c r="L22" s="8" t="s">
        <v>2870</v>
      </c>
      <c r="S22" s="8">
        <v>3</v>
      </c>
      <c r="T22" s="8" t="s">
        <v>237</v>
      </c>
      <c r="Y22" s="7">
        <v>3</v>
      </c>
      <c r="Z22" s="14" t="s">
        <v>213</v>
      </c>
      <c r="AE22" s="8">
        <v>4</v>
      </c>
      <c r="AF22" s="70" t="s">
        <v>2900</v>
      </c>
      <c r="AU22" s="8">
        <v>1</v>
      </c>
      <c r="AV22" s="89" t="s">
        <v>1487</v>
      </c>
      <c r="AW22" s="17">
        <v>1</v>
      </c>
      <c r="AX22" s="5" t="s">
        <v>978</v>
      </c>
    </row>
    <row r="23" spans="1:50">
      <c r="E23" s="17">
        <v>4</v>
      </c>
      <c r="F23" s="8" t="s">
        <v>1494</v>
      </c>
      <c r="G23" s="8">
        <v>1</v>
      </c>
      <c r="H23" s="8" t="s">
        <v>978</v>
      </c>
      <c r="K23" s="17">
        <v>4</v>
      </c>
      <c r="L23" s="8" t="s">
        <v>646</v>
      </c>
      <c r="S23" s="8">
        <v>4</v>
      </c>
      <c r="T23" s="8" t="s">
        <v>989</v>
      </c>
      <c r="Y23" s="8">
        <v>4</v>
      </c>
      <c r="Z23" s="14" t="s">
        <v>744</v>
      </c>
      <c r="AE23" s="8">
        <v>2</v>
      </c>
      <c r="AF23" s="70" t="s">
        <v>592</v>
      </c>
      <c r="AU23" s="8">
        <v>4</v>
      </c>
      <c r="AV23" s="89" t="s">
        <v>590</v>
      </c>
      <c r="AW23" s="8">
        <v>1</v>
      </c>
      <c r="AX23" s="5" t="s">
        <v>713</v>
      </c>
    </row>
    <row r="24" spans="1:50">
      <c r="E24" s="17">
        <v>3</v>
      </c>
      <c r="F24" s="8" t="s">
        <v>145</v>
      </c>
      <c r="G24" s="8">
        <v>1</v>
      </c>
      <c r="H24" s="8" t="s">
        <v>668</v>
      </c>
      <c r="K24" s="17">
        <v>4</v>
      </c>
      <c r="L24" s="8" t="s">
        <v>178</v>
      </c>
      <c r="S24" s="8">
        <v>4</v>
      </c>
      <c r="T24" s="8" t="s">
        <v>178</v>
      </c>
      <c r="AE24" s="8">
        <v>2</v>
      </c>
      <c r="AF24" s="70" t="s">
        <v>678</v>
      </c>
      <c r="AU24" s="17">
        <v>1</v>
      </c>
      <c r="AV24" s="89" t="s">
        <v>2128</v>
      </c>
      <c r="AW24" s="8">
        <v>1</v>
      </c>
      <c r="AX24" s="5" t="s">
        <v>145</v>
      </c>
    </row>
    <row r="25" spans="1:50">
      <c r="E25" s="17">
        <v>1</v>
      </c>
      <c r="F25" s="8" t="s">
        <v>2852</v>
      </c>
      <c r="G25" s="128">
        <v>1</v>
      </c>
      <c r="H25" s="144" t="s">
        <v>273</v>
      </c>
      <c r="K25" s="17">
        <v>2</v>
      </c>
      <c r="L25" s="8" t="s">
        <v>2871</v>
      </c>
      <c r="S25" s="8">
        <v>3</v>
      </c>
      <c r="T25" s="8" t="s">
        <v>1583</v>
      </c>
      <c r="AE25" s="8">
        <v>2</v>
      </c>
      <c r="AF25" s="70" t="s">
        <v>707</v>
      </c>
      <c r="AU25" s="17">
        <v>1</v>
      </c>
      <c r="AV25" s="89" t="s">
        <v>703</v>
      </c>
      <c r="AW25" s="17">
        <v>1</v>
      </c>
      <c r="AX25" s="5" t="s">
        <v>973</v>
      </c>
    </row>
    <row r="26" spans="1:50">
      <c r="G26" s="8">
        <v>4</v>
      </c>
      <c r="H26" s="8" t="s">
        <v>2863</v>
      </c>
      <c r="K26" s="133">
        <v>1</v>
      </c>
      <c r="L26" s="138" t="s">
        <v>203</v>
      </c>
      <c r="N26" s="26"/>
      <c r="S26" s="8">
        <v>1</v>
      </c>
      <c r="T26" s="8" t="s">
        <v>1000</v>
      </c>
      <c r="AE26" s="8">
        <v>2</v>
      </c>
      <c r="AF26" s="70" t="s">
        <v>694</v>
      </c>
      <c r="AW26" s="17">
        <v>1</v>
      </c>
      <c r="AX26" s="5" t="s">
        <v>2129</v>
      </c>
    </row>
    <row r="27" spans="1:50">
      <c r="K27" s="133">
        <v>1</v>
      </c>
      <c r="L27" s="138" t="s">
        <v>668</v>
      </c>
      <c r="N27" s="26"/>
      <c r="S27" s="8">
        <v>1</v>
      </c>
      <c r="T27" s="8" t="s">
        <v>668</v>
      </c>
      <c r="AW27" s="8">
        <v>1</v>
      </c>
      <c r="AX27" s="5" t="s">
        <v>267</v>
      </c>
    </row>
    <row r="28" spans="1:50">
      <c r="K28" s="128">
        <v>1</v>
      </c>
      <c r="L28" s="144" t="s">
        <v>2616</v>
      </c>
      <c r="N28" s="26"/>
      <c r="S28" s="8">
        <v>1</v>
      </c>
      <c r="T28" s="8" t="s">
        <v>1638</v>
      </c>
      <c r="AW28" s="8">
        <v>3</v>
      </c>
      <c r="AX28" s="18" t="s">
        <v>201</v>
      </c>
    </row>
    <row r="29" spans="1:50">
      <c r="K29" s="128">
        <v>1</v>
      </c>
      <c r="L29" s="144" t="s">
        <v>735</v>
      </c>
      <c r="S29" s="8">
        <v>1</v>
      </c>
      <c r="T29" s="8" t="s">
        <v>155</v>
      </c>
      <c r="AW29" s="8">
        <v>4</v>
      </c>
      <c r="AX29" s="8" t="s">
        <v>259</v>
      </c>
    </row>
    <row r="30" spans="1:50">
      <c r="H30" s="26"/>
      <c r="K30" s="133">
        <v>1</v>
      </c>
      <c r="L30" s="138" t="s">
        <v>273</v>
      </c>
      <c r="S30" s="8">
        <v>1</v>
      </c>
      <c r="T30" s="8" t="s">
        <v>978</v>
      </c>
      <c r="AW30" s="8">
        <v>4</v>
      </c>
      <c r="AX30" s="5" t="s">
        <v>2130</v>
      </c>
    </row>
    <row r="31" spans="1:50">
      <c r="K31" s="17">
        <v>2</v>
      </c>
      <c r="L31" s="8" t="s">
        <v>1583</v>
      </c>
      <c r="S31" s="8">
        <v>1</v>
      </c>
      <c r="T31" s="8" t="s">
        <v>145</v>
      </c>
      <c r="AW31" s="8">
        <v>3</v>
      </c>
      <c r="AX31" s="5" t="s">
        <v>1224</v>
      </c>
    </row>
    <row r="32" spans="1:50">
      <c r="H32" s="26"/>
      <c r="K32" s="17">
        <v>1</v>
      </c>
      <c r="L32" s="8" t="s">
        <v>145</v>
      </c>
      <c r="AW32" s="8">
        <v>1</v>
      </c>
      <c r="AX32" s="5" t="s">
        <v>703</v>
      </c>
    </row>
    <row r="33" spans="8:50">
      <c r="H33" s="26"/>
      <c r="K33" s="17">
        <v>1</v>
      </c>
      <c r="L33" s="8" t="s">
        <v>1585</v>
      </c>
      <c r="AW33" s="22">
        <v>1</v>
      </c>
      <c r="AX33" s="18" t="s">
        <v>716</v>
      </c>
    </row>
    <row r="34" spans="8:50">
      <c r="AW34" s="22">
        <v>1</v>
      </c>
      <c r="AX34" s="18" t="s">
        <v>983</v>
      </c>
    </row>
    <row r="35" spans="8:50">
      <c r="AW35" s="8">
        <v>1</v>
      </c>
      <c r="AX35" s="5" t="s">
        <v>707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5DBFF"/>
  </sheetPr>
  <dimension ref="A1:AS159"/>
  <sheetViews>
    <sheetView topLeftCell="AM1" zoomScaleNormal="100" workbookViewId="0">
      <selection activeCell="AP8" sqref="AP8:AP9"/>
    </sheetView>
  </sheetViews>
  <sheetFormatPr baseColWidth="10" defaultColWidth="9.140625" defaultRowHeight="15"/>
  <cols>
    <col min="1" max="1" width="3" customWidth="1"/>
    <col min="2" max="2" width="39.85546875" customWidth="1"/>
    <col min="3" max="3" width="10.7109375" customWidth="1"/>
    <col min="4" max="4" width="3.140625" customWidth="1"/>
    <col min="5" max="5" width="40.85546875" customWidth="1"/>
    <col min="6" max="6" width="10.7109375" customWidth="1"/>
    <col min="7" max="7" width="7.42578125" customWidth="1"/>
    <col min="8" max="8" width="38.85546875" customWidth="1"/>
    <col min="9" max="10" width="10.7109375" customWidth="1"/>
    <col min="11" max="11" width="45.42578125" customWidth="1"/>
    <col min="12" max="14" width="10.7109375" customWidth="1"/>
    <col min="15" max="15" width="36.140625" customWidth="1"/>
    <col min="16" max="17" width="10.7109375" customWidth="1"/>
    <col min="18" max="18" width="31.5703125" customWidth="1"/>
    <col min="19" max="20" width="10.7109375" customWidth="1"/>
    <col min="21" max="21" width="50.140625" bestFit="1" customWidth="1"/>
    <col min="22" max="23" width="10.7109375" customWidth="1"/>
    <col min="24" max="24" width="37.28515625" bestFit="1" customWidth="1"/>
    <col min="25" max="25" width="10.7109375" customWidth="1"/>
    <col min="26" max="26" width="5.28515625" customWidth="1"/>
    <col min="27" max="27" width="38.5703125" bestFit="1" customWidth="1"/>
    <col min="28" max="28" width="10.7109375" customWidth="1"/>
    <col min="29" max="29" width="3" bestFit="1" customWidth="1"/>
    <col min="30" max="30" width="47.140625" style="65" customWidth="1"/>
    <col min="31" max="32" width="10.7109375" customWidth="1"/>
    <col min="33" max="33" width="45.42578125" customWidth="1"/>
    <col min="34" max="35" width="10.7109375" customWidth="1"/>
    <col min="36" max="36" width="54" style="65" bestFit="1" customWidth="1"/>
    <col min="37" max="38" width="10.7109375" customWidth="1"/>
    <col min="39" max="39" width="54.5703125" customWidth="1"/>
    <col min="40" max="931" width="10.7109375" customWidth="1"/>
  </cols>
  <sheetData>
    <row r="1" spans="1:45" ht="15.75" thickBot="1">
      <c r="AO1" s="3">
        <f>SUM(AO2:AO10)</f>
        <v>31</v>
      </c>
      <c r="AP1" s="4" t="s">
        <v>2144</v>
      </c>
    </row>
    <row r="2" spans="1:45" ht="15.75" thickBot="1">
      <c r="A2" s="103">
        <f>SUM(A3:A42)</f>
        <v>60</v>
      </c>
      <c r="B2" s="104" t="s">
        <v>2131</v>
      </c>
      <c r="D2" s="103">
        <f>SUM(D3:D21)</f>
        <v>60</v>
      </c>
      <c r="E2" s="104" t="s">
        <v>2132</v>
      </c>
      <c r="G2" s="103">
        <f>SUM(G3:G19)</f>
        <v>60</v>
      </c>
      <c r="H2" s="104" t="s">
        <v>2133</v>
      </c>
      <c r="J2" s="103">
        <f>SUM(J3:J33)</f>
        <v>60</v>
      </c>
      <c r="K2" s="104" t="s">
        <v>2134</v>
      </c>
      <c r="N2" s="105">
        <f>SUM(N3:N30)</f>
        <v>60</v>
      </c>
      <c r="O2" s="106" t="s">
        <v>2135</v>
      </c>
      <c r="Q2" s="103">
        <f>SUM(Q3:Q30)</f>
        <v>60</v>
      </c>
      <c r="R2" s="104" t="s">
        <v>2136</v>
      </c>
      <c r="T2" s="89">
        <f>SUM(T3:T30)</f>
        <v>60</v>
      </c>
      <c r="U2" s="175" t="s">
        <v>2137</v>
      </c>
      <c r="W2" s="89">
        <f>SUM(W3:W25)</f>
        <v>60</v>
      </c>
      <c r="X2" s="175" t="s">
        <v>2138</v>
      </c>
      <c r="Z2" s="89">
        <f>SUM(Z3:Z35)</f>
        <v>60</v>
      </c>
      <c r="AA2" s="175" t="s">
        <v>2139</v>
      </c>
      <c r="AC2" s="103">
        <f>SUM(AC3:AC30)</f>
        <v>60</v>
      </c>
      <c r="AD2" s="104" t="s">
        <v>2140</v>
      </c>
      <c r="AF2" s="89">
        <f>SUM(AF3:AF26)</f>
        <v>60</v>
      </c>
      <c r="AG2" s="175" t="s">
        <v>2141</v>
      </c>
      <c r="AI2" s="103">
        <f>SUM(AI3:AI37)</f>
        <v>60</v>
      </c>
      <c r="AJ2" s="104" t="s">
        <v>2142</v>
      </c>
      <c r="AL2" s="89">
        <f>SUM(AL3:AL30)</f>
        <v>60</v>
      </c>
      <c r="AM2" s="175" t="s">
        <v>2143</v>
      </c>
      <c r="AO2" s="7">
        <v>10</v>
      </c>
      <c r="AP2" s="8" t="s">
        <v>2164</v>
      </c>
    </row>
    <row r="3" spans="1:45">
      <c r="A3" s="107">
        <v>4</v>
      </c>
      <c r="B3" s="108" t="s">
        <v>2151</v>
      </c>
      <c r="D3" s="107">
        <v>4</v>
      </c>
      <c r="E3" s="108" t="s">
        <v>2152</v>
      </c>
      <c r="G3" s="107">
        <v>4</v>
      </c>
      <c r="H3" s="16" t="s">
        <v>2153</v>
      </c>
      <c r="J3" s="107">
        <v>1</v>
      </c>
      <c r="K3" s="109" t="s">
        <v>2154</v>
      </c>
      <c r="N3" s="110">
        <v>2</v>
      </c>
      <c r="O3" s="111" t="s">
        <v>2155</v>
      </c>
      <c r="Q3" s="107">
        <v>3</v>
      </c>
      <c r="R3" s="112" t="s">
        <v>2156</v>
      </c>
      <c r="T3" s="17">
        <v>4</v>
      </c>
      <c r="U3" s="89" t="s">
        <v>2157</v>
      </c>
      <c r="W3" s="17">
        <v>2</v>
      </c>
      <c r="X3" s="89" t="s">
        <v>2158</v>
      </c>
      <c r="Z3" s="17">
        <v>4</v>
      </c>
      <c r="AA3" s="89" t="s">
        <v>2159</v>
      </c>
      <c r="AC3" s="107">
        <v>4</v>
      </c>
      <c r="AD3" s="16" t="s">
        <v>2160</v>
      </c>
      <c r="AF3" s="17">
        <v>3</v>
      </c>
      <c r="AG3" s="89" t="s">
        <v>2161</v>
      </c>
      <c r="AI3" s="107">
        <v>2</v>
      </c>
      <c r="AJ3" s="109" t="s">
        <v>2162</v>
      </c>
      <c r="AL3" s="17">
        <v>3</v>
      </c>
      <c r="AM3" s="89" t="s">
        <v>2163</v>
      </c>
      <c r="AO3" s="7">
        <v>1</v>
      </c>
      <c r="AP3" s="8" t="s">
        <v>2179</v>
      </c>
    </row>
    <row r="4" spans="1:45">
      <c r="A4" s="107">
        <v>4</v>
      </c>
      <c r="B4" s="108" t="s">
        <v>2166</v>
      </c>
      <c r="D4" s="107">
        <v>4</v>
      </c>
      <c r="E4" s="108" t="s">
        <v>2167</v>
      </c>
      <c r="G4" s="107">
        <v>4</v>
      </c>
      <c r="H4" s="16" t="s">
        <v>2168</v>
      </c>
      <c r="J4" s="107">
        <v>3</v>
      </c>
      <c r="K4" s="109" t="s">
        <v>2169</v>
      </c>
      <c r="N4" s="107">
        <v>4</v>
      </c>
      <c r="O4" s="112" t="s">
        <v>2170</v>
      </c>
      <c r="Q4" s="107">
        <v>4</v>
      </c>
      <c r="R4" s="112" t="s">
        <v>2171</v>
      </c>
      <c r="T4" s="17">
        <v>4</v>
      </c>
      <c r="U4" s="89" t="s">
        <v>2172</v>
      </c>
      <c r="W4" s="17">
        <v>4</v>
      </c>
      <c r="X4" s="89" t="s">
        <v>2173</v>
      </c>
      <c r="Z4" s="17">
        <v>3</v>
      </c>
      <c r="AA4" s="89" t="s">
        <v>2174</v>
      </c>
      <c r="AC4" s="107">
        <v>3</v>
      </c>
      <c r="AD4" s="16" t="s">
        <v>2175</v>
      </c>
      <c r="AF4" s="17">
        <v>3</v>
      </c>
      <c r="AG4" s="89" t="s">
        <v>2176</v>
      </c>
      <c r="AI4" s="107">
        <v>4</v>
      </c>
      <c r="AJ4" s="109" t="s">
        <v>2177</v>
      </c>
      <c r="AL4" s="17">
        <v>4</v>
      </c>
      <c r="AM4" s="89" t="s">
        <v>2178</v>
      </c>
      <c r="AO4" s="7">
        <v>1</v>
      </c>
      <c r="AP4" s="8" t="s">
        <v>2194</v>
      </c>
    </row>
    <row r="5" spans="1:45">
      <c r="A5" s="107">
        <v>1</v>
      </c>
      <c r="B5" s="108" t="s">
        <v>2181</v>
      </c>
      <c r="D5" s="107">
        <v>2</v>
      </c>
      <c r="E5" s="108" t="s">
        <v>2182</v>
      </c>
      <c r="G5" s="114">
        <v>4</v>
      </c>
      <c r="H5" s="16" t="s">
        <v>2183</v>
      </c>
      <c r="J5" s="107">
        <v>3</v>
      </c>
      <c r="K5" s="109" t="s">
        <v>2184</v>
      </c>
      <c r="N5" s="107">
        <v>3</v>
      </c>
      <c r="O5" s="112" t="s">
        <v>2185</v>
      </c>
      <c r="Q5" s="107">
        <v>2</v>
      </c>
      <c r="R5" s="112" t="s">
        <v>2186</v>
      </c>
      <c r="T5" s="17">
        <v>4</v>
      </c>
      <c r="U5" s="89" t="s">
        <v>2187</v>
      </c>
      <c r="W5" s="17">
        <v>4</v>
      </c>
      <c r="X5" s="89" t="s">
        <v>2188</v>
      </c>
      <c r="Z5" s="17">
        <v>4</v>
      </c>
      <c r="AA5" s="89" t="s">
        <v>2189</v>
      </c>
      <c r="AC5" s="107">
        <v>4</v>
      </c>
      <c r="AD5" s="16" t="s">
        <v>2190</v>
      </c>
      <c r="AF5" s="17">
        <v>4</v>
      </c>
      <c r="AG5" s="89" t="s">
        <v>2191</v>
      </c>
      <c r="AI5" s="107">
        <v>3</v>
      </c>
      <c r="AJ5" s="109" t="s">
        <v>2192</v>
      </c>
      <c r="AL5" s="17">
        <v>2</v>
      </c>
      <c r="AM5" s="89" t="s">
        <v>2193</v>
      </c>
      <c r="AO5" s="20">
        <v>1</v>
      </c>
      <c r="AP5" s="37" t="s">
        <v>2209</v>
      </c>
    </row>
    <row r="6" spans="1:45">
      <c r="A6" s="107">
        <v>3</v>
      </c>
      <c r="B6" s="108" t="s">
        <v>2196</v>
      </c>
      <c r="D6" s="114">
        <v>4</v>
      </c>
      <c r="E6" s="108" t="s">
        <v>2197</v>
      </c>
      <c r="G6" s="107">
        <v>4</v>
      </c>
      <c r="H6" s="16" t="s">
        <v>2198</v>
      </c>
      <c r="J6" s="114">
        <v>3</v>
      </c>
      <c r="K6" s="109" t="s">
        <v>2199</v>
      </c>
      <c r="N6" s="114">
        <v>4</v>
      </c>
      <c r="O6" s="112" t="s">
        <v>2200</v>
      </c>
      <c r="Q6" s="114">
        <v>4</v>
      </c>
      <c r="R6" s="112" t="s">
        <v>2201</v>
      </c>
      <c r="T6" s="17">
        <v>2</v>
      </c>
      <c r="U6" s="89" t="s">
        <v>2202</v>
      </c>
      <c r="W6" s="17">
        <v>4</v>
      </c>
      <c r="X6" s="89" t="s">
        <v>2203</v>
      </c>
      <c r="Z6" s="17">
        <v>2</v>
      </c>
      <c r="AA6" s="89" t="s">
        <v>2204</v>
      </c>
      <c r="AC6" s="114">
        <v>2</v>
      </c>
      <c r="AD6" s="16" t="s">
        <v>2205</v>
      </c>
      <c r="AF6" s="17">
        <v>4</v>
      </c>
      <c r="AG6" s="89" t="s">
        <v>2206</v>
      </c>
      <c r="AI6" s="114">
        <v>3</v>
      </c>
      <c r="AJ6" s="109" t="s">
        <v>2207</v>
      </c>
      <c r="AL6" s="17">
        <v>4</v>
      </c>
      <c r="AM6" s="89" t="s">
        <v>2208</v>
      </c>
      <c r="AO6" s="7">
        <v>1</v>
      </c>
      <c r="AP6" s="8" t="s">
        <v>2224</v>
      </c>
    </row>
    <row r="7" spans="1:45">
      <c r="A7" s="107">
        <v>1</v>
      </c>
      <c r="B7" s="108" t="s">
        <v>2211</v>
      </c>
      <c r="D7" s="107">
        <v>2</v>
      </c>
      <c r="E7" s="108" t="s">
        <v>2212</v>
      </c>
      <c r="G7" s="107">
        <v>4</v>
      </c>
      <c r="H7" s="16" t="s">
        <v>2213</v>
      </c>
      <c r="J7" s="107">
        <v>1</v>
      </c>
      <c r="K7" s="109" t="s">
        <v>2214</v>
      </c>
      <c r="N7" s="107">
        <v>2</v>
      </c>
      <c r="O7" s="112" t="s">
        <v>2215</v>
      </c>
      <c r="Q7" s="107">
        <v>4</v>
      </c>
      <c r="R7" s="112" t="s">
        <v>2216</v>
      </c>
      <c r="T7" s="17">
        <v>4</v>
      </c>
      <c r="U7" s="89" t="s">
        <v>2217</v>
      </c>
      <c r="W7" s="17">
        <v>4</v>
      </c>
      <c r="X7" s="89" t="s">
        <v>2218</v>
      </c>
      <c r="Z7" s="17">
        <v>4</v>
      </c>
      <c r="AA7" s="89" t="s">
        <v>2219</v>
      </c>
      <c r="AC7" s="107">
        <v>3</v>
      </c>
      <c r="AD7" s="16" t="s">
        <v>2220</v>
      </c>
      <c r="AF7" s="17">
        <v>2</v>
      </c>
      <c r="AG7" s="89" t="s">
        <v>2221</v>
      </c>
      <c r="AI7" s="107">
        <v>4</v>
      </c>
      <c r="AJ7" s="109" t="s">
        <v>2222</v>
      </c>
      <c r="AL7" s="17">
        <v>2</v>
      </c>
      <c r="AM7" s="89" t="s">
        <v>2223</v>
      </c>
      <c r="AO7" s="7">
        <v>9</v>
      </c>
      <c r="AP7" s="8" t="s">
        <v>2238</v>
      </c>
    </row>
    <row r="8" spans="1:45">
      <c r="A8" s="107">
        <v>4</v>
      </c>
      <c r="B8" s="108" t="s">
        <v>2225</v>
      </c>
      <c r="D8" s="107">
        <v>4</v>
      </c>
      <c r="E8" s="108" t="s">
        <v>2226</v>
      </c>
      <c r="G8" s="107">
        <v>3</v>
      </c>
      <c r="H8" s="16" t="s">
        <v>2227</v>
      </c>
      <c r="J8" s="107">
        <v>1</v>
      </c>
      <c r="K8" s="109" t="s">
        <v>2228</v>
      </c>
      <c r="N8" s="107">
        <v>4</v>
      </c>
      <c r="O8" s="112" t="s">
        <v>2229</v>
      </c>
      <c r="Q8" s="107">
        <v>1</v>
      </c>
      <c r="R8" s="112" t="s">
        <v>2230</v>
      </c>
      <c r="T8" s="17">
        <v>4</v>
      </c>
      <c r="U8" s="89" t="s">
        <v>2231</v>
      </c>
      <c r="W8" s="17">
        <v>4</v>
      </c>
      <c r="X8" s="89" t="s">
        <v>2232</v>
      </c>
      <c r="Z8" s="17">
        <v>1</v>
      </c>
      <c r="AA8" s="89" t="s">
        <v>2233</v>
      </c>
      <c r="AC8" s="107">
        <v>1</v>
      </c>
      <c r="AD8" s="16" t="s">
        <v>2234</v>
      </c>
      <c r="AF8" s="17">
        <v>1</v>
      </c>
      <c r="AG8" s="89" t="s">
        <v>2235</v>
      </c>
      <c r="AI8" s="107">
        <v>2</v>
      </c>
      <c r="AJ8" s="109" t="s">
        <v>2236</v>
      </c>
      <c r="AL8" s="17">
        <v>4</v>
      </c>
      <c r="AM8" s="89" t="s">
        <v>2237</v>
      </c>
      <c r="AO8" s="7">
        <v>4</v>
      </c>
      <c r="AP8" s="88" t="s">
        <v>1644</v>
      </c>
      <c r="AR8" s="88" t="s">
        <v>2655</v>
      </c>
      <c r="AS8" s="88"/>
    </row>
    <row r="9" spans="1:45">
      <c r="A9" s="107">
        <v>4</v>
      </c>
      <c r="B9" s="108" t="s">
        <v>2242</v>
      </c>
      <c r="D9" s="107">
        <v>1</v>
      </c>
      <c r="E9" s="108" t="s">
        <v>2243</v>
      </c>
      <c r="G9" s="107">
        <v>2</v>
      </c>
      <c r="H9" s="16" t="s">
        <v>2244</v>
      </c>
      <c r="J9" s="107">
        <v>1</v>
      </c>
      <c r="K9" s="109" t="s">
        <v>2245</v>
      </c>
      <c r="N9" s="107">
        <v>1</v>
      </c>
      <c r="O9" s="112" t="s">
        <v>2246</v>
      </c>
      <c r="Q9" s="107">
        <v>4</v>
      </c>
      <c r="R9" s="112" t="s">
        <v>2247</v>
      </c>
      <c r="T9" s="17">
        <v>4</v>
      </c>
      <c r="U9" s="89" t="s">
        <v>2248</v>
      </c>
      <c r="W9" s="17">
        <v>3</v>
      </c>
      <c r="X9" s="89" t="s">
        <v>2249</v>
      </c>
      <c r="Z9" s="17">
        <v>1</v>
      </c>
      <c r="AA9" s="89" t="s">
        <v>2250</v>
      </c>
      <c r="AC9" s="107">
        <v>1</v>
      </c>
      <c r="AD9" s="16" t="s">
        <v>2251</v>
      </c>
      <c r="AF9" s="17">
        <v>3</v>
      </c>
      <c r="AG9" s="89" t="s">
        <v>2252</v>
      </c>
      <c r="AI9" s="107">
        <v>4</v>
      </c>
      <c r="AJ9" s="109" t="s">
        <v>2253</v>
      </c>
      <c r="AL9" s="17">
        <v>1</v>
      </c>
      <c r="AM9" s="89" t="s">
        <v>2254</v>
      </c>
      <c r="AO9" s="7">
        <v>4</v>
      </c>
      <c r="AP9" s="88" t="s">
        <v>229</v>
      </c>
    </row>
    <row r="10" spans="1:45">
      <c r="A10" s="107">
        <v>3</v>
      </c>
      <c r="B10" s="108" t="s">
        <v>2257</v>
      </c>
      <c r="D10" s="107">
        <v>4</v>
      </c>
      <c r="E10" s="108" t="s">
        <v>2258</v>
      </c>
      <c r="G10" s="107">
        <v>1</v>
      </c>
      <c r="H10" s="16" t="s">
        <v>2259</v>
      </c>
      <c r="J10" s="107">
        <v>1</v>
      </c>
      <c r="K10" s="109" t="s">
        <v>2260</v>
      </c>
      <c r="N10" s="107">
        <v>4</v>
      </c>
      <c r="O10" s="112" t="s">
        <v>2261</v>
      </c>
      <c r="Q10" s="107">
        <v>3</v>
      </c>
      <c r="R10" s="112" t="s">
        <v>2262</v>
      </c>
      <c r="T10" s="17">
        <v>1</v>
      </c>
      <c r="U10" s="89" t="s">
        <v>2263</v>
      </c>
      <c r="W10" s="17">
        <v>1</v>
      </c>
      <c r="X10" s="89" t="s">
        <v>2264</v>
      </c>
      <c r="Z10" s="17">
        <v>1</v>
      </c>
      <c r="AA10" s="89" t="s">
        <v>2265</v>
      </c>
      <c r="AC10" s="107">
        <v>2</v>
      </c>
      <c r="AD10" s="16" t="s">
        <v>2266</v>
      </c>
      <c r="AF10" s="17">
        <v>3</v>
      </c>
      <c r="AG10" s="89" t="s">
        <v>2267</v>
      </c>
      <c r="AI10" s="107">
        <v>2</v>
      </c>
      <c r="AJ10" s="109" t="s">
        <v>2268</v>
      </c>
      <c r="AL10" s="17">
        <v>4</v>
      </c>
      <c r="AM10" s="89" t="s">
        <v>2269</v>
      </c>
      <c r="AO10" s="7"/>
      <c r="AP10" s="8"/>
    </row>
    <row r="11" spans="1:45">
      <c r="A11" s="107">
        <v>1</v>
      </c>
      <c r="B11" s="108" t="s">
        <v>2272</v>
      </c>
      <c r="D11" s="107">
        <v>3</v>
      </c>
      <c r="E11" s="108" t="s">
        <v>2273</v>
      </c>
      <c r="G11" s="107">
        <v>4</v>
      </c>
      <c r="H11" s="16" t="s">
        <v>2274</v>
      </c>
      <c r="J11" s="107">
        <v>1</v>
      </c>
      <c r="K11" s="109" t="s">
        <v>2275</v>
      </c>
      <c r="N11" s="107">
        <v>3</v>
      </c>
      <c r="O11" s="112" t="s">
        <v>2276</v>
      </c>
      <c r="Q11" s="107">
        <v>2</v>
      </c>
      <c r="R11" s="112" t="s">
        <v>2277</v>
      </c>
      <c r="T11" s="17">
        <v>1</v>
      </c>
      <c r="U11" s="89" t="s">
        <v>2278</v>
      </c>
      <c r="W11" s="17">
        <v>1</v>
      </c>
      <c r="X11" s="89" t="s">
        <v>2279</v>
      </c>
      <c r="Z11" s="17">
        <v>1</v>
      </c>
      <c r="AA11" s="89" t="s">
        <v>2280</v>
      </c>
      <c r="AC11" s="107">
        <v>1</v>
      </c>
      <c r="AD11" s="16" t="s">
        <v>2281</v>
      </c>
      <c r="AF11" s="17">
        <v>2</v>
      </c>
      <c r="AG11" s="89" t="s">
        <v>2282</v>
      </c>
      <c r="AI11" s="107">
        <v>1</v>
      </c>
      <c r="AJ11" s="109" t="s">
        <v>2283</v>
      </c>
      <c r="AL11" s="17">
        <v>2</v>
      </c>
      <c r="AM11" s="89" t="s">
        <v>2284</v>
      </c>
    </row>
    <row r="12" spans="1:45">
      <c r="A12" s="107">
        <v>2</v>
      </c>
      <c r="B12" s="108" t="s">
        <v>2286</v>
      </c>
      <c r="D12" s="107">
        <v>2</v>
      </c>
      <c r="E12" s="108" t="s">
        <v>2287</v>
      </c>
      <c r="G12" s="107">
        <v>4</v>
      </c>
      <c r="H12" s="16" t="s">
        <v>2288</v>
      </c>
      <c r="J12" s="107">
        <v>1</v>
      </c>
      <c r="K12" s="109" t="s">
        <v>2289</v>
      </c>
      <c r="N12" s="107">
        <v>2</v>
      </c>
      <c r="O12" s="112" t="s">
        <v>2290</v>
      </c>
      <c r="Q12" s="107">
        <v>1</v>
      </c>
      <c r="R12" s="112" t="s">
        <v>2291</v>
      </c>
      <c r="T12" s="17">
        <v>4</v>
      </c>
      <c r="U12" s="89" t="s">
        <v>2292</v>
      </c>
      <c r="W12" s="17">
        <v>1</v>
      </c>
      <c r="X12" s="89" t="s">
        <v>2293</v>
      </c>
      <c r="Z12" s="17">
        <v>1</v>
      </c>
      <c r="AA12" s="89" t="s">
        <v>2294</v>
      </c>
      <c r="AC12" s="107">
        <v>1</v>
      </c>
      <c r="AD12" s="16" t="s">
        <v>2295</v>
      </c>
      <c r="AF12" s="17">
        <v>1</v>
      </c>
      <c r="AG12" s="89" t="s">
        <v>2296</v>
      </c>
      <c r="AI12" s="107">
        <v>1</v>
      </c>
      <c r="AJ12" s="109" t="s">
        <v>2297</v>
      </c>
      <c r="AL12" s="17">
        <v>1</v>
      </c>
      <c r="AM12" s="89" t="s">
        <v>2298</v>
      </c>
    </row>
    <row r="13" spans="1:45">
      <c r="A13" s="115">
        <v>1</v>
      </c>
      <c r="B13" s="108" t="s">
        <v>2300</v>
      </c>
      <c r="D13" s="107">
        <v>1</v>
      </c>
      <c r="E13" s="108" t="s">
        <v>2301</v>
      </c>
      <c r="G13" s="107">
        <v>4</v>
      </c>
      <c r="H13" s="16" t="s">
        <v>2302</v>
      </c>
      <c r="J13" s="107">
        <v>1</v>
      </c>
      <c r="K13" s="109" t="s">
        <v>2303</v>
      </c>
      <c r="N13" s="107">
        <v>1</v>
      </c>
      <c r="O13" s="112" t="s">
        <v>2304</v>
      </c>
      <c r="Q13" s="107">
        <v>4</v>
      </c>
      <c r="R13" s="112" t="s">
        <v>2305</v>
      </c>
      <c r="T13" s="17">
        <v>4</v>
      </c>
      <c r="U13" s="89" t="s">
        <v>2306</v>
      </c>
      <c r="W13" s="17">
        <v>4</v>
      </c>
      <c r="X13" s="89" t="s">
        <v>2307</v>
      </c>
      <c r="Z13" s="17">
        <v>1</v>
      </c>
      <c r="AA13" s="89" t="s">
        <v>2308</v>
      </c>
      <c r="AC13" s="107">
        <v>2</v>
      </c>
      <c r="AD13" s="16" t="s">
        <v>2309</v>
      </c>
      <c r="AF13" s="17">
        <v>2</v>
      </c>
      <c r="AG13" s="89" t="s">
        <v>2310</v>
      </c>
      <c r="AI13" s="107">
        <v>1</v>
      </c>
      <c r="AJ13" s="109" t="s">
        <v>2311</v>
      </c>
      <c r="AL13" s="17">
        <v>1</v>
      </c>
      <c r="AM13" s="89" t="s">
        <v>2312</v>
      </c>
    </row>
    <row r="14" spans="1:45">
      <c r="A14" s="107">
        <v>1</v>
      </c>
      <c r="B14" s="108" t="s">
        <v>2315</v>
      </c>
      <c r="D14" s="107">
        <v>4</v>
      </c>
      <c r="E14" s="108" t="s">
        <v>2316</v>
      </c>
      <c r="G14" s="107">
        <v>3</v>
      </c>
      <c r="H14" s="16" t="s">
        <v>2317</v>
      </c>
      <c r="J14" s="107">
        <v>1</v>
      </c>
      <c r="K14" s="109" t="s">
        <v>2318</v>
      </c>
      <c r="N14" s="107">
        <v>4</v>
      </c>
      <c r="O14" s="112" t="s">
        <v>2305</v>
      </c>
      <c r="Q14" s="107">
        <v>4</v>
      </c>
      <c r="R14" s="112" t="s">
        <v>2319</v>
      </c>
      <c r="T14" s="17">
        <v>4</v>
      </c>
      <c r="U14" s="89" t="s">
        <v>2320</v>
      </c>
      <c r="W14" s="17">
        <v>1</v>
      </c>
      <c r="X14" s="89" t="s">
        <v>2321</v>
      </c>
      <c r="Z14" s="17">
        <v>1</v>
      </c>
      <c r="AA14" s="89" t="s">
        <v>2322</v>
      </c>
      <c r="AC14" s="107">
        <v>1</v>
      </c>
      <c r="AD14" s="16" t="s">
        <v>2323</v>
      </c>
      <c r="AF14" s="17">
        <v>1</v>
      </c>
      <c r="AG14" s="89" t="s">
        <v>2324</v>
      </c>
      <c r="AI14" s="107">
        <v>1</v>
      </c>
      <c r="AJ14" s="109" t="s">
        <v>2325</v>
      </c>
      <c r="AL14" s="17">
        <v>1</v>
      </c>
      <c r="AM14" s="89" t="s">
        <v>2326</v>
      </c>
    </row>
    <row r="15" spans="1:45">
      <c r="A15" s="107">
        <v>1</v>
      </c>
      <c r="B15" s="108" t="s">
        <v>2329</v>
      </c>
      <c r="D15" s="107">
        <v>4</v>
      </c>
      <c r="E15" s="108" t="s">
        <v>2330</v>
      </c>
      <c r="G15" s="107">
        <v>4</v>
      </c>
      <c r="H15" s="16" t="s">
        <v>2331</v>
      </c>
      <c r="J15" s="107">
        <v>1</v>
      </c>
      <c r="K15" s="109" t="s">
        <v>2332</v>
      </c>
      <c r="N15" s="107">
        <v>4</v>
      </c>
      <c r="O15" s="112" t="s">
        <v>2333</v>
      </c>
      <c r="Q15" s="107">
        <v>4</v>
      </c>
      <c r="R15" s="112" t="s">
        <v>2334</v>
      </c>
      <c r="T15" s="17">
        <v>4</v>
      </c>
      <c r="U15" s="89" t="s">
        <v>2335</v>
      </c>
      <c r="W15" s="17">
        <v>2</v>
      </c>
      <c r="X15" s="89" t="s">
        <v>2336</v>
      </c>
      <c r="Z15" s="17">
        <v>1</v>
      </c>
      <c r="AA15" s="89" t="s">
        <v>2337</v>
      </c>
      <c r="AC15" s="107">
        <v>1</v>
      </c>
      <c r="AD15" s="16" t="s">
        <v>2338</v>
      </c>
      <c r="AF15" s="17">
        <v>1</v>
      </c>
      <c r="AG15" s="89" t="s">
        <v>2339</v>
      </c>
      <c r="AI15" s="107">
        <v>1</v>
      </c>
      <c r="AJ15" s="109" t="s">
        <v>2340</v>
      </c>
      <c r="AL15" s="17">
        <v>1</v>
      </c>
      <c r="AM15" s="89" t="s">
        <v>2341</v>
      </c>
    </row>
    <row r="16" spans="1:45">
      <c r="A16" s="107">
        <v>1</v>
      </c>
      <c r="B16" s="108" t="s">
        <v>2342</v>
      </c>
      <c r="D16" s="107">
        <v>4</v>
      </c>
      <c r="E16" s="108" t="s">
        <v>2343</v>
      </c>
      <c r="G16" s="107">
        <v>4</v>
      </c>
      <c r="H16" s="16" t="s">
        <v>2344</v>
      </c>
      <c r="J16" s="107">
        <v>1</v>
      </c>
      <c r="K16" s="109" t="s">
        <v>2345</v>
      </c>
      <c r="N16" s="107">
        <v>4</v>
      </c>
      <c r="O16" s="112" t="s">
        <v>2346</v>
      </c>
      <c r="Q16" s="107">
        <v>4</v>
      </c>
      <c r="R16" s="112" t="s">
        <v>2347</v>
      </c>
      <c r="T16" s="17">
        <v>4</v>
      </c>
      <c r="U16" s="89" t="s">
        <v>2348</v>
      </c>
      <c r="W16" s="17">
        <v>1</v>
      </c>
      <c r="X16" s="89" t="s">
        <v>2349</v>
      </c>
      <c r="Z16" s="17">
        <v>1</v>
      </c>
      <c r="AA16" s="89" t="s">
        <v>2350</v>
      </c>
      <c r="AC16" s="107">
        <v>1</v>
      </c>
      <c r="AD16" s="16" t="s">
        <v>2351</v>
      </c>
      <c r="AF16" s="17">
        <v>2</v>
      </c>
      <c r="AG16" s="89" t="s">
        <v>2352</v>
      </c>
      <c r="AI16" s="107">
        <v>2</v>
      </c>
      <c r="AJ16" s="109" t="s">
        <v>2353</v>
      </c>
      <c r="AL16" s="17">
        <v>1</v>
      </c>
      <c r="AM16" s="89" t="s">
        <v>2354</v>
      </c>
    </row>
    <row r="17" spans="1:39">
      <c r="A17" s="107">
        <v>1</v>
      </c>
      <c r="B17" s="108" t="s">
        <v>2358</v>
      </c>
      <c r="D17" s="107">
        <v>4</v>
      </c>
      <c r="E17" s="108" t="s">
        <v>2359</v>
      </c>
      <c r="G17" s="107">
        <v>4</v>
      </c>
      <c r="H17" s="16" t="s">
        <v>2360</v>
      </c>
      <c r="J17" s="107">
        <v>3</v>
      </c>
      <c r="K17" s="109" t="s">
        <v>2361</v>
      </c>
      <c r="N17" s="107">
        <v>4</v>
      </c>
      <c r="O17" s="112" t="s">
        <v>2362</v>
      </c>
      <c r="Q17" s="107">
        <v>3</v>
      </c>
      <c r="R17" s="112" t="s">
        <v>2363</v>
      </c>
      <c r="T17" s="17">
        <v>4</v>
      </c>
      <c r="U17" s="89" t="s">
        <v>2364</v>
      </c>
      <c r="W17" s="17">
        <v>4</v>
      </c>
      <c r="X17" s="89" t="s">
        <v>2335</v>
      </c>
      <c r="Z17" s="17">
        <v>1</v>
      </c>
      <c r="AA17" s="89" t="s">
        <v>2365</v>
      </c>
      <c r="AC17" s="107">
        <v>1</v>
      </c>
      <c r="AD17" s="16" t="s">
        <v>2366</v>
      </c>
      <c r="AF17" s="17">
        <v>1</v>
      </c>
      <c r="AG17" s="89" t="s">
        <v>2367</v>
      </c>
      <c r="AI17" s="107">
        <v>2</v>
      </c>
      <c r="AJ17" s="109" t="s">
        <v>2368</v>
      </c>
      <c r="AL17" s="17">
        <v>3</v>
      </c>
      <c r="AM17" s="89" t="s">
        <v>2369</v>
      </c>
    </row>
    <row r="18" spans="1:39">
      <c r="A18" s="107">
        <v>1</v>
      </c>
      <c r="B18" s="108" t="s">
        <v>2372</v>
      </c>
      <c r="D18" s="107">
        <v>2</v>
      </c>
      <c r="E18" s="108" t="s">
        <v>2373</v>
      </c>
      <c r="G18" s="115">
        <v>3</v>
      </c>
      <c r="H18" s="16" t="s">
        <v>2374</v>
      </c>
      <c r="J18" s="107">
        <v>3</v>
      </c>
      <c r="K18" s="109" t="s">
        <v>2375</v>
      </c>
      <c r="N18" s="107">
        <v>4</v>
      </c>
      <c r="O18" s="112" t="s">
        <v>2376</v>
      </c>
      <c r="Q18" s="107">
        <v>4</v>
      </c>
      <c r="R18" s="112" t="s">
        <v>2377</v>
      </c>
      <c r="T18" s="17">
        <v>4</v>
      </c>
      <c r="U18" s="89" t="s">
        <v>2378</v>
      </c>
      <c r="W18" s="17">
        <v>4</v>
      </c>
      <c r="X18" s="89" t="s">
        <v>2379</v>
      </c>
      <c r="Z18" s="17">
        <v>1</v>
      </c>
      <c r="AA18" s="89" t="s">
        <v>2380</v>
      </c>
      <c r="AC18" s="107">
        <v>4</v>
      </c>
      <c r="AD18" s="16" t="s">
        <v>2381</v>
      </c>
      <c r="AF18" s="17">
        <v>2</v>
      </c>
      <c r="AG18" s="89" t="s">
        <v>2382</v>
      </c>
      <c r="AI18" s="107">
        <v>1</v>
      </c>
      <c r="AJ18" s="109" t="s">
        <v>2383</v>
      </c>
      <c r="AL18" s="17">
        <v>3</v>
      </c>
      <c r="AM18" s="89" t="s">
        <v>2384</v>
      </c>
    </row>
    <row r="19" spans="1:39" ht="15.75" thickBot="1">
      <c r="A19" s="107">
        <v>1</v>
      </c>
      <c r="B19" s="108" t="s">
        <v>2386</v>
      </c>
      <c r="D19" s="107">
        <v>4</v>
      </c>
      <c r="E19" s="108" t="s">
        <v>2387</v>
      </c>
      <c r="G19" s="116">
        <v>4</v>
      </c>
      <c r="H19" s="117" t="s">
        <v>2388</v>
      </c>
      <c r="J19" s="107">
        <v>2</v>
      </c>
      <c r="K19" s="109" t="s">
        <v>2389</v>
      </c>
      <c r="N19" s="107">
        <v>4</v>
      </c>
      <c r="O19" s="112" t="s">
        <v>2390</v>
      </c>
      <c r="Q19" s="107">
        <v>4</v>
      </c>
      <c r="R19" s="112" t="s">
        <v>2391</v>
      </c>
      <c r="T19" s="17">
        <v>4</v>
      </c>
      <c r="U19" s="89" t="s">
        <v>2392</v>
      </c>
      <c r="W19" s="17">
        <v>2</v>
      </c>
      <c r="X19" s="89" t="s">
        <v>2393</v>
      </c>
      <c r="Z19" s="17">
        <v>1</v>
      </c>
      <c r="AA19" s="89" t="s">
        <v>2394</v>
      </c>
      <c r="AC19" s="107">
        <v>3</v>
      </c>
      <c r="AD19" s="16" t="s">
        <v>2395</v>
      </c>
      <c r="AF19" s="17">
        <v>4</v>
      </c>
      <c r="AG19" s="89" t="s">
        <v>2396</v>
      </c>
      <c r="AI19" s="107">
        <v>1</v>
      </c>
      <c r="AJ19" s="109" t="s">
        <v>2397</v>
      </c>
      <c r="AL19" s="17">
        <v>3</v>
      </c>
      <c r="AM19" s="89" t="s">
        <v>2398</v>
      </c>
    </row>
    <row r="20" spans="1:39">
      <c r="A20" s="107">
        <v>1</v>
      </c>
      <c r="B20" s="108" t="s">
        <v>2399</v>
      </c>
      <c r="D20" s="115">
        <v>4</v>
      </c>
      <c r="E20" s="108" t="s">
        <v>2400</v>
      </c>
      <c r="J20" s="115">
        <v>1</v>
      </c>
      <c r="K20" s="109" t="s">
        <v>2401</v>
      </c>
      <c r="N20" s="115">
        <v>3</v>
      </c>
      <c r="O20" s="112" t="s">
        <v>2402</v>
      </c>
      <c r="Q20" s="115">
        <v>3</v>
      </c>
      <c r="R20" s="112" t="s">
        <v>2403</v>
      </c>
      <c r="W20" s="89">
        <v>2</v>
      </c>
      <c r="X20" s="89" t="s">
        <v>2404</v>
      </c>
      <c r="Z20" s="89">
        <v>1</v>
      </c>
      <c r="AA20" s="89" t="s">
        <v>2405</v>
      </c>
      <c r="AC20" s="115">
        <v>3</v>
      </c>
      <c r="AD20" s="16" t="s">
        <v>2406</v>
      </c>
      <c r="AF20" s="89">
        <v>4</v>
      </c>
      <c r="AG20" s="89" t="s">
        <v>2407</v>
      </c>
      <c r="AI20" s="115">
        <v>1</v>
      </c>
      <c r="AJ20" s="109" t="s">
        <v>2408</v>
      </c>
      <c r="AL20" s="89">
        <v>4</v>
      </c>
      <c r="AM20" s="89" t="s">
        <v>2409</v>
      </c>
    </row>
    <row r="21" spans="1:39" ht="15.75" thickBot="1">
      <c r="A21" s="107">
        <v>1</v>
      </c>
      <c r="B21" s="108" t="s">
        <v>2411</v>
      </c>
      <c r="D21" s="116">
        <v>3</v>
      </c>
      <c r="E21" s="118" t="s">
        <v>2412</v>
      </c>
      <c r="J21" s="107">
        <v>1</v>
      </c>
      <c r="K21" s="109" t="s">
        <v>2413</v>
      </c>
      <c r="N21" s="116">
        <v>3</v>
      </c>
      <c r="O21" s="119" t="s">
        <v>2414</v>
      </c>
      <c r="Q21" s="116">
        <v>2</v>
      </c>
      <c r="R21" s="119" t="s">
        <v>2415</v>
      </c>
      <c r="W21" s="17">
        <v>2</v>
      </c>
      <c r="X21" s="89" t="s">
        <v>2416</v>
      </c>
      <c r="Z21" s="17">
        <v>1</v>
      </c>
      <c r="AA21" s="89" t="s">
        <v>2417</v>
      </c>
      <c r="AC21" s="107">
        <v>4</v>
      </c>
      <c r="AD21" s="16" t="s">
        <v>2418</v>
      </c>
      <c r="AF21" s="17">
        <v>3</v>
      </c>
      <c r="AG21" s="89" t="s">
        <v>2419</v>
      </c>
      <c r="AI21" s="107">
        <v>4</v>
      </c>
      <c r="AJ21" s="109" t="s">
        <v>2420</v>
      </c>
      <c r="AL21" s="17">
        <v>2</v>
      </c>
      <c r="AM21" s="89" t="s">
        <v>2421</v>
      </c>
    </row>
    <row r="22" spans="1:39">
      <c r="A22" s="107">
        <v>1</v>
      </c>
      <c r="B22" s="108" t="s">
        <v>2424</v>
      </c>
      <c r="J22" s="107">
        <v>1</v>
      </c>
      <c r="K22" s="109" t="s">
        <v>2425</v>
      </c>
      <c r="W22" s="17">
        <v>4</v>
      </c>
      <c r="X22" s="89" t="s">
        <v>2426</v>
      </c>
      <c r="Z22" s="17">
        <v>4</v>
      </c>
      <c r="AA22" s="89" t="s">
        <v>2427</v>
      </c>
      <c r="AC22" s="107">
        <v>4</v>
      </c>
      <c r="AD22" s="16" t="s">
        <v>2428</v>
      </c>
      <c r="AF22" s="17">
        <v>2</v>
      </c>
      <c r="AG22" s="89" t="s">
        <v>2429</v>
      </c>
      <c r="AI22" s="107">
        <v>2</v>
      </c>
      <c r="AJ22" s="109" t="s">
        <v>2430</v>
      </c>
      <c r="AL22" s="17">
        <v>1</v>
      </c>
      <c r="AM22" s="89" t="s">
        <v>2431</v>
      </c>
    </row>
    <row r="23" spans="1:39">
      <c r="A23" s="115">
        <v>1</v>
      </c>
      <c r="B23" s="108" t="s">
        <v>2432</v>
      </c>
      <c r="J23" s="107">
        <v>3</v>
      </c>
      <c r="K23" s="109" t="s">
        <v>2433</v>
      </c>
      <c r="W23" s="17">
        <v>2</v>
      </c>
      <c r="X23" s="89" t="s">
        <v>2434</v>
      </c>
      <c r="Z23" s="17">
        <v>4</v>
      </c>
      <c r="AA23" s="89" t="s">
        <v>2435</v>
      </c>
      <c r="AC23" s="107">
        <v>4</v>
      </c>
      <c r="AD23" s="16" t="s">
        <v>2436</v>
      </c>
      <c r="AF23" s="17">
        <v>4</v>
      </c>
      <c r="AG23" s="89" t="s">
        <v>2437</v>
      </c>
      <c r="AI23" s="107">
        <v>2</v>
      </c>
      <c r="AJ23" s="109" t="s">
        <v>2438</v>
      </c>
      <c r="AL23" s="17">
        <v>1</v>
      </c>
      <c r="AM23" s="89" t="s">
        <v>2439</v>
      </c>
    </row>
    <row r="24" spans="1:39">
      <c r="A24" s="107">
        <v>1</v>
      </c>
      <c r="B24" s="108" t="s">
        <v>2440</v>
      </c>
      <c r="J24" s="114">
        <v>1</v>
      </c>
      <c r="K24" s="109" t="s">
        <v>2441</v>
      </c>
      <c r="O24" s="123"/>
      <c r="R24" s="123"/>
      <c r="W24" s="17">
        <v>2</v>
      </c>
      <c r="X24" s="89" t="s">
        <v>2442</v>
      </c>
      <c r="Z24" s="17">
        <v>2</v>
      </c>
      <c r="AA24" s="89" t="s">
        <v>2443</v>
      </c>
      <c r="AC24" s="114">
        <v>3</v>
      </c>
      <c r="AD24" s="16" t="s">
        <v>2444</v>
      </c>
      <c r="AF24" s="17">
        <v>4</v>
      </c>
      <c r="AG24" s="89" t="s">
        <v>2445</v>
      </c>
      <c r="AI24" s="114">
        <v>2</v>
      </c>
      <c r="AJ24" s="109" t="s">
        <v>2446</v>
      </c>
      <c r="AL24" s="17">
        <v>4</v>
      </c>
      <c r="AM24" s="89" t="s">
        <v>2447</v>
      </c>
    </row>
    <row r="25" spans="1:39">
      <c r="A25" s="107">
        <v>1</v>
      </c>
      <c r="B25" s="108" t="s">
        <v>2448</v>
      </c>
      <c r="J25" s="107">
        <v>2</v>
      </c>
      <c r="K25" s="109" t="s">
        <v>2449</v>
      </c>
      <c r="R25" s="124"/>
      <c r="W25" s="17">
        <v>2</v>
      </c>
      <c r="X25" s="89" t="s">
        <v>2450</v>
      </c>
      <c r="Z25" s="17">
        <v>2</v>
      </c>
      <c r="AA25" s="89" t="s">
        <v>2451</v>
      </c>
      <c r="AC25" s="107">
        <v>3</v>
      </c>
      <c r="AD25" s="16" t="s">
        <v>2452</v>
      </c>
      <c r="AF25" s="17">
        <v>2</v>
      </c>
      <c r="AG25" s="89" t="s">
        <v>2453</v>
      </c>
      <c r="AI25" s="107">
        <v>2</v>
      </c>
      <c r="AJ25" s="109" t="s">
        <v>2454</v>
      </c>
      <c r="AL25" s="17">
        <v>2</v>
      </c>
      <c r="AM25" s="89" t="s">
        <v>2455</v>
      </c>
    </row>
    <row r="26" spans="1:39" ht="15.75" thickBot="1">
      <c r="A26" s="107">
        <v>1</v>
      </c>
      <c r="B26" s="108" t="s">
        <v>2456</v>
      </c>
      <c r="J26" s="107">
        <v>4</v>
      </c>
      <c r="K26" s="109" t="s">
        <v>2457</v>
      </c>
      <c r="R26" s="124"/>
      <c r="Z26" s="17">
        <v>4</v>
      </c>
      <c r="AA26" s="89" t="s">
        <v>2458</v>
      </c>
      <c r="AC26" s="116">
        <v>4</v>
      </c>
      <c r="AD26" s="117" t="s">
        <v>2459</v>
      </c>
      <c r="AF26" s="17">
        <v>2</v>
      </c>
      <c r="AG26" s="89" t="s">
        <v>2460</v>
      </c>
      <c r="AI26" s="107">
        <v>1</v>
      </c>
      <c r="AJ26" s="109" t="s">
        <v>2461</v>
      </c>
      <c r="AL26" s="17">
        <v>1</v>
      </c>
      <c r="AM26" s="89" t="s">
        <v>2462</v>
      </c>
    </row>
    <row r="27" spans="1:39">
      <c r="A27" s="114">
        <v>1</v>
      </c>
      <c r="B27" s="108" t="s">
        <v>2463</v>
      </c>
      <c r="J27" s="107">
        <v>4</v>
      </c>
      <c r="K27" s="109" t="s">
        <v>2464</v>
      </c>
      <c r="R27" s="124"/>
      <c r="Z27" s="17">
        <v>4</v>
      </c>
      <c r="AA27" s="89" t="s">
        <v>2465</v>
      </c>
      <c r="AI27" s="107">
        <v>1</v>
      </c>
      <c r="AJ27" s="109" t="s">
        <v>2466</v>
      </c>
      <c r="AL27" s="17">
        <v>1</v>
      </c>
      <c r="AM27" s="89" t="s">
        <v>2467</v>
      </c>
    </row>
    <row r="28" spans="1:39">
      <c r="A28" s="114">
        <v>1</v>
      </c>
      <c r="B28" s="108" t="s">
        <v>2468</v>
      </c>
      <c r="J28" s="107">
        <v>3</v>
      </c>
      <c r="K28" s="109" t="s">
        <v>2469</v>
      </c>
      <c r="Z28" s="17">
        <v>2</v>
      </c>
      <c r="AA28" s="89" t="s">
        <v>2470</v>
      </c>
      <c r="AI28" s="107">
        <v>1</v>
      </c>
      <c r="AJ28" s="109" t="s">
        <v>2471</v>
      </c>
      <c r="AL28" s="17">
        <v>1</v>
      </c>
      <c r="AM28" s="89" t="s">
        <v>2472</v>
      </c>
    </row>
    <row r="29" spans="1:39">
      <c r="A29" s="114">
        <v>1</v>
      </c>
      <c r="B29" s="108" t="s">
        <v>2474</v>
      </c>
      <c r="J29" s="107">
        <v>4</v>
      </c>
      <c r="K29" s="109" t="s">
        <v>2475</v>
      </c>
      <c r="Z29" s="17">
        <v>1</v>
      </c>
      <c r="AA29" s="89" t="s">
        <v>2476</v>
      </c>
      <c r="AI29" s="107">
        <v>1</v>
      </c>
      <c r="AJ29" s="109" t="s">
        <v>2477</v>
      </c>
      <c r="AL29" s="17">
        <v>1</v>
      </c>
      <c r="AM29" s="89" t="s">
        <v>2478</v>
      </c>
    </row>
    <row r="30" spans="1:39">
      <c r="A30" s="114">
        <v>1</v>
      </c>
      <c r="B30" s="108" t="s">
        <v>2479</v>
      </c>
      <c r="J30" s="107">
        <v>3</v>
      </c>
      <c r="K30" s="109" t="s">
        <v>2480</v>
      </c>
      <c r="Z30" s="17">
        <v>1</v>
      </c>
      <c r="AA30" s="89" t="s">
        <v>2481</v>
      </c>
      <c r="AI30" s="107">
        <v>1</v>
      </c>
      <c r="AJ30" s="109" t="s">
        <v>2482</v>
      </c>
      <c r="AL30" s="17">
        <v>2</v>
      </c>
      <c r="AM30" s="89" t="s">
        <v>2483</v>
      </c>
    </row>
    <row r="31" spans="1:39">
      <c r="A31" s="114">
        <v>1</v>
      </c>
      <c r="B31" s="108" t="s">
        <v>2484</v>
      </c>
      <c r="J31" s="114">
        <v>2</v>
      </c>
      <c r="K31" s="109" t="s">
        <v>2485</v>
      </c>
      <c r="Z31" s="17">
        <v>1</v>
      </c>
      <c r="AA31" s="89" t="s">
        <v>2486</v>
      </c>
      <c r="AI31" s="114">
        <v>1</v>
      </c>
      <c r="AJ31" s="109" t="s">
        <v>2487</v>
      </c>
    </row>
    <row r="32" spans="1:39">
      <c r="A32" s="114">
        <v>1</v>
      </c>
      <c r="B32" s="108" t="s">
        <v>2488</v>
      </c>
      <c r="J32" s="114">
        <v>2</v>
      </c>
      <c r="K32" s="109" t="s">
        <v>2489</v>
      </c>
      <c r="Z32" s="17">
        <v>1</v>
      </c>
      <c r="AA32" s="89" t="s">
        <v>2490</v>
      </c>
      <c r="AI32" s="114">
        <v>1</v>
      </c>
      <c r="AJ32" s="109" t="s">
        <v>2491</v>
      </c>
    </row>
    <row r="33" spans="1:36" ht="15.75" thickBot="1">
      <c r="A33" s="114">
        <v>1</v>
      </c>
      <c r="B33" s="108" t="s">
        <v>2492</v>
      </c>
      <c r="J33" s="120">
        <v>1</v>
      </c>
      <c r="K33" s="121" t="s">
        <v>2493</v>
      </c>
      <c r="Z33" s="17">
        <v>1</v>
      </c>
      <c r="AA33" s="89" t="s">
        <v>2494</v>
      </c>
      <c r="AI33" s="114">
        <v>1</v>
      </c>
      <c r="AJ33" s="109" t="s">
        <v>2495</v>
      </c>
    </row>
    <row r="34" spans="1:36">
      <c r="A34" s="114">
        <v>1</v>
      </c>
      <c r="B34" s="108" t="s">
        <v>2496</v>
      </c>
      <c r="Z34" s="17">
        <v>1</v>
      </c>
      <c r="AA34" s="89" t="s">
        <v>2497</v>
      </c>
      <c r="AI34" s="114">
        <v>1</v>
      </c>
      <c r="AJ34" s="109" t="s">
        <v>2498</v>
      </c>
    </row>
    <row r="35" spans="1:36">
      <c r="A35" s="114">
        <v>1</v>
      </c>
      <c r="B35" s="108" t="s">
        <v>2499</v>
      </c>
      <c r="K35" s="122"/>
      <c r="Z35" s="17">
        <v>1</v>
      </c>
      <c r="AA35" s="89" t="s">
        <v>2500</v>
      </c>
      <c r="AI35" s="114">
        <v>1</v>
      </c>
      <c r="AJ35" s="109" t="s">
        <v>2501</v>
      </c>
    </row>
    <row r="36" spans="1:36">
      <c r="A36" s="114">
        <v>1</v>
      </c>
      <c r="B36" s="108" t="s">
        <v>2502</v>
      </c>
      <c r="AA36" s="113"/>
      <c r="AI36" s="114">
        <v>1</v>
      </c>
      <c r="AJ36" s="109" t="s">
        <v>2503</v>
      </c>
    </row>
    <row r="37" spans="1:36" ht="15.75" thickBot="1">
      <c r="A37" s="114">
        <v>1</v>
      </c>
      <c r="B37" s="108" t="s">
        <v>2504</v>
      </c>
      <c r="K37" s="113"/>
      <c r="AI37" s="120">
        <v>1</v>
      </c>
      <c r="AJ37" s="121" t="s">
        <v>2505</v>
      </c>
    </row>
    <row r="38" spans="1:36">
      <c r="A38" s="114">
        <v>1</v>
      </c>
      <c r="B38" s="108" t="s">
        <v>2506</v>
      </c>
    </row>
    <row r="39" spans="1:36">
      <c r="A39" s="114">
        <v>1</v>
      </c>
      <c r="B39" s="108" t="s">
        <v>2507</v>
      </c>
      <c r="Z39" s="113" t="s">
        <v>2508</v>
      </c>
    </row>
    <row r="40" spans="1:36">
      <c r="A40" s="114">
        <v>1</v>
      </c>
      <c r="B40" s="108" t="s">
        <v>2509</v>
      </c>
    </row>
    <row r="41" spans="1:36">
      <c r="A41" s="114">
        <v>4</v>
      </c>
      <c r="B41" s="108" t="s">
        <v>2510</v>
      </c>
      <c r="K41" s="113"/>
      <c r="Z41" s="113" t="s">
        <v>2511</v>
      </c>
      <c r="AA41" s="113"/>
    </row>
    <row r="42" spans="1:36" ht="15.75" thickBot="1">
      <c r="A42" s="120">
        <v>1</v>
      </c>
      <c r="B42" s="118" t="s">
        <v>2512</v>
      </c>
    </row>
    <row r="43" spans="1:36">
      <c r="K43" s="113"/>
      <c r="Z43" s="113" t="s">
        <v>2513</v>
      </c>
    </row>
    <row r="44" spans="1:36">
      <c r="K44" s="113"/>
    </row>
    <row r="45" spans="1:36">
      <c r="E45" s="125"/>
      <c r="Z45" s="113" t="s">
        <v>2514</v>
      </c>
    </row>
    <row r="46" spans="1:36" ht="61.5" customHeight="1">
      <c r="B46" s="126" t="s">
        <v>2515</v>
      </c>
      <c r="E46" s="206" t="s">
        <v>2516</v>
      </c>
      <c r="G46" s="122" t="s">
        <v>2517</v>
      </c>
    </row>
    <row r="47" spans="1:36">
      <c r="B47" s="127"/>
      <c r="E47" s="206"/>
      <c r="K47" s="122"/>
      <c r="Z47" s="124" t="s">
        <v>2518</v>
      </c>
    </row>
    <row r="48" spans="1:36" ht="30">
      <c r="B48" s="126" t="s">
        <v>2519</v>
      </c>
      <c r="E48" s="206"/>
      <c r="G48" s="113" t="s">
        <v>2520</v>
      </c>
      <c r="Z48" s="123"/>
    </row>
    <row r="49" spans="2:26">
      <c r="B49" s="127"/>
      <c r="E49" s="206"/>
      <c r="G49" s="113" t="s">
        <v>2521</v>
      </c>
      <c r="K49" s="113"/>
      <c r="Z49" s="124" t="s">
        <v>2522</v>
      </c>
    </row>
    <row r="50" spans="2:26" ht="75">
      <c r="B50" s="126" t="s">
        <v>2523</v>
      </c>
      <c r="E50" s="206"/>
      <c r="G50" s="122" t="s">
        <v>2524</v>
      </c>
      <c r="Z50" s="123"/>
    </row>
    <row r="51" spans="2:26">
      <c r="B51" s="127"/>
      <c r="E51" s="125"/>
      <c r="K51" s="113"/>
      <c r="Z51" s="124" t="s">
        <v>2525</v>
      </c>
    </row>
    <row r="52" spans="2:26" ht="60">
      <c r="B52" s="126" t="s">
        <v>2526</v>
      </c>
      <c r="G52" s="113" t="s">
        <v>2527</v>
      </c>
      <c r="Z52" s="123"/>
    </row>
    <row r="53" spans="2:26">
      <c r="Z53" s="124" t="s">
        <v>2528</v>
      </c>
    </row>
    <row r="54" spans="2:26">
      <c r="Z54" s="123"/>
    </row>
    <row r="55" spans="2:26">
      <c r="K55" s="122"/>
      <c r="Z55" s="124" t="s">
        <v>2529</v>
      </c>
    </row>
    <row r="56" spans="2:26">
      <c r="Z56" s="123"/>
    </row>
    <row r="57" spans="2:26">
      <c r="K57" s="113"/>
      <c r="Z57" s="124" t="s">
        <v>2530</v>
      </c>
    </row>
    <row r="58" spans="2:26">
      <c r="Z58" s="123"/>
    </row>
    <row r="59" spans="2:26">
      <c r="Z59" s="124" t="s">
        <v>2531</v>
      </c>
    </row>
    <row r="60" spans="2:26">
      <c r="Z60" s="123"/>
    </row>
    <row r="61" spans="2:26">
      <c r="Z61" s="124" t="s">
        <v>2532</v>
      </c>
    </row>
    <row r="62" spans="2:26">
      <c r="Z62" s="123"/>
    </row>
    <row r="63" spans="2:26">
      <c r="Z63" s="124" t="s">
        <v>2533</v>
      </c>
    </row>
    <row r="64" spans="2:26">
      <c r="Z64" s="123"/>
    </row>
    <row r="65" spans="26:26">
      <c r="Z65" s="124" t="s">
        <v>2534</v>
      </c>
    </row>
    <row r="66" spans="26:26">
      <c r="Z66" s="123"/>
    </row>
    <row r="67" spans="26:26">
      <c r="Z67" s="124" t="s">
        <v>2535</v>
      </c>
    </row>
    <row r="68" spans="26:26">
      <c r="Z68" s="123"/>
    </row>
    <row r="69" spans="26:26">
      <c r="Z69" s="124" t="s">
        <v>2536</v>
      </c>
    </row>
    <row r="70" spans="26:26">
      <c r="Z70" s="123"/>
    </row>
    <row r="71" spans="26:26">
      <c r="Z71" s="124" t="s">
        <v>2537</v>
      </c>
    </row>
    <row r="72" spans="26:26">
      <c r="Z72" s="123"/>
    </row>
    <row r="73" spans="26:26">
      <c r="Z73" s="124" t="s">
        <v>2538</v>
      </c>
    </row>
    <row r="74" spans="26:26">
      <c r="Z74" s="123"/>
    </row>
    <row r="75" spans="26:26">
      <c r="Z75" s="124" t="s">
        <v>2539</v>
      </c>
    </row>
    <row r="76" spans="26:26">
      <c r="Z76" s="123"/>
    </row>
    <row r="77" spans="26:26">
      <c r="Z77" s="124" t="s">
        <v>2540</v>
      </c>
    </row>
    <row r="78" spans="26:26">
      <c r="Z78" s="123"/>
    </row>
    <row r="79" spans="26:26">
      <c r="Z79" s="124" t="s">
        <v>2541</v>
      </c>
    </row>
    <row r="80" spans="26:26">
      <c r="Z80" s="123"/>
    </row>
    <row r="81" spans="26:26">
      <c r="Z81" s="124" t="s">
        <v>2542</v>
      </c>
    </row>
    <row r="82" spans="26:26">
      <c r="Z82" s="123"/>
    </row>
    <row r="83" spans="26:26">
      <c r="Z83" s="124" t="s">
        <v>2543</v>
      </c>
    </row>
    <row r="84" spans="26:26">
      <c r="Z84" s="123"/>
    </row>
    <row r="85" spans="26:26">
      <c r="Z85" s="124" t="s">
        <v>2544</v>
      </c>
    </row>
    <row r="86" spans="26:26">
      <c r="Z86" s="123"/>
    </row>
    <row r="87" spans="26:26">
      <c r="Z87" s="124" t="s">
        <v>2545</v>
      </c>
    </row>
    <row r="88" spans="26:26">
      <c r="Z88" s="123"/>
    </row>
    <row r="89" spans="26:26">
      <c r="Z89" s="124" t="s">
        <v>2546</v>
      </c>
    </row>
    <row r="90" spans="26:26">
      <c r="Z90" s="123"/>
    </row>
    <row r="91" spans="26:26">
      <c r="Z91" s="124" t="s">
        <v>2547</v>
      </c>
    </row>
    <row r="92" spans="26:26">
      <c r="Z92" s="123"/>
    </row>
    <row r="93" spans="26:26">
      <c r="Z93" s="124" t="s">
        <v>2548</v>
      </c>
    </row>
    <row r="94" spans="26:26">
      <c r="Z94" s="123"/>
    </row>
    <row r="95" spans="26:26">
      <c r="Z95" s="124" t="s">
        <v>2549</v>
      </c>
    </row>
    <row r="96" spans="26:26">
      <c r="Z96" s="123"/>
    </row>
    <row r="97" spans="26:26">
      <c r="Z97" s="124" t="s">
        <v>2550</v>
      </c>
    </row>
    <row r="98" spans="26:26">
      <c r="Z98" s="123"/>
    </row>
    <row r="99" spans="26:26">
      <c r="Z99" s="124" t="s">
        <v>2551</v>
      </c>
    </row>
    <row r="100" spans="26:26">
      <c r="Z100" s="123"/>
    </row>
    <row r="101" spans="26:26">
      <c r="Z101" s="124" t="s">
        <v>2552</v>
      </c>
    </row>
    <row r="102" spans="26:26">
      <c r="Z102" s="123"/>
    </row>
    <row r="103" spans="26:26">
      <c r="Z103" s="124" t="s">
        <v>2553</v>
      </c>
    </row>
    <row r="104" spans="26:26">
      <c r="Z104" s="123"/>
    </row>
    <row r="105" spans="26:26">
      <c r="Z105" s="124" t="s">
        <v>2554</v>
      </c>
    </row>
    <row r="106" spans="26:26">
      <c r="Z106" s="123"/>
    </row>
    <row r="107" spans="26:26">
      <c r="Z107" s="124" t="s">
        <v>2555</v>
      </c>
    </row>
    <row r="108" spans="26:26">
      <c r="Z108" s="123"/>
    </row>
    <row r="109" spans="26:26">
      <c r="Z109" s="124" t="s">
        <v>2556</v>
      </c>
    </row>
    <row r="110" spans="26:26">
      <c r="Z110" s="123"/>
    </row>
    <row r="111" spans="26:26">
      <c r="Z111" s="124" t="s">
        <v>2557</v>
      </c>
    </row>
    <row r="112" spans="26:26">
      <c r="Z112" s="123"/>
    </row>
    <row r="113" spans="26:26">
      <c r="Z113" s="124" t="s">
        <v>2558</v>
      </c>
    </row>
    <row r="114" spans="26:26">
      <c r="Z114" s="123"/>
    </row>
    <row r="115" spans="26:26">
      <c r="Z115" s="124" t="s">
        <v>2559</v>
      </c>
    </row>
    <row r="116" spans="26:26">
      <c r="Z116" s="123"/>
    </row>
    <row r="117" spans="26:26">
      <c r="Z117" s="124" t="s">
        <v>2560</v>
      </c>
    </row>
    <row r="118" spans="26:26">
      <c r="Z118" s="123"/>
    </row>
    <row r="119" spans="26:26">
      <c r="Z119" s="124" t="s">
        <v>2561</v>
      </c>
    </row>
    <row r="120" spans="26:26">
      <c r="Z120" s="123"/>
    </row>
    <row r="121" spans="26:26">
      <c r="Z121" s="124" t="s">
        <v>2562</v>
      </c>
    </row>
    <row r="122" spans="26:26">
      <c r="Z122" s="123"/>
    </row>
    <row r="123" spans="26:26">
      <c r="Z123" s="124" t="s">
        <v>2563</v>
      </c>
    </row>
    <row r="124" spans="26:26">
      <c r="Z124" s="123"/>
    </row>
    <row r="125" spans="26:26">
      <c r="Z125" s="124" t="s">
        <v>2564</v>
      </c>
    </row>
    <row r="126" spans="26:26">
      <c r="Z126" s="123"/>
    </row>
    <row r="127" spans="26:26">
      <c r="Z127" s="124" t="s">
        <v>2565</v>
      </c>
    </row>
    <row r="128" spans="26:26">
      <c r="Z128" s="123"/>
    </row>
    <row r="129" spans="26:26">
      <c r="Z129" s="124" t="s">
        <v>2566</v>
      </c>
    </row>
    <row r="130" spans="26:26">
      <c r="Z130" s="123"/>
    </row>
    <row r="131" spans="26:26">
      <c r="Z131" s="124" t="s">
        <v>2567</v>
      </c>
    </row>
    <row r="132" spans="26:26">
      <c r="Z132" s="123"/>
    </row>
    <row r="133" spans="26:26">
      <c r="Z133" s="124" t="s">
        <v>2568</v>
      </c>
    </row>
    <row r="134" spans="26:26">
      <c r="Z134" s="123"/>
    </row>
    <row r="135" spans="26:26">
      <c r="Z135" s="124" t="s">
        <v>2569</v>
      </c>
    </row>
    <row r="136" spans="26:26">
      <c r="Z136" s="123"/>
    </row>
    <row r="137" spans="26:26">
      <c r="Z137" s="124" t="s">
        <v>2570</v>
      </c>
    </row>
    <row r="138" spans="26:26">
      <c r="Z138" s="123"/>
    </row>
    <row r="139" spans="26:26">
      <c r="Z139" s="124" t="s">
        <v>2571</v>
      </c>
    </row>
    <row r="140" spans="26:26">
      <c r="Z140" s="123"/>
    </row>
    <row r="141" spans="26:26">
      <c r="Z141" s="124" t="s">
        <v>2572</v>
      </c>
    </row>
    <row r="142" spans="26:26">
      <c r="Z142" s="123"/>
    </row>
    <row r="143" spans="26:26">
      <c r="Z143" s="124" t="s">
        <v>2573</v>
      </c>
    </row>
    <row r="144" spans="26:26">
      <c r="Z144" s="123"/>
    </row>
    <row r="145" spans="26:26">
      <c r="Z145" s="124" t="s">
        <v>2574</v>
      </c>
    </row>
    <row r="146" spans="26:26">
      <c r="Z146" s="123"/>
    </row>
    <row r="147" spans="26:26">
      <c r="Z147" s="124" t="s">
        <v>2575</v>
      </c>
    </row>
    <row r="148" spans="26:26">
      <c r="Z148" s="123"/>
    </row>
    <row r="149" spans="26:26">
      <c r="Z149" s="124" t="s">
        <v>2576</v>
      </c>
    </row>
    <row r="150" spans="26:26">
      <c r="Z150" s="123"/>
    </row>
    <row r="151" spans="26:26">
      <c r="Z151" s="124" t="s">
        <v>2577</v>
      </c>
    </row>
    <row r="152" spans="26:26">
      <c r="Z152" s="123"/>
    </row>
    <row r="153" spans="26:26">
      <c r="Z153" s="124" t="s">
        <v>2578</v>
      </c>
    </row>
    <row r="154" spans="26:26">
      <c r="Z154" s="123"/>
    </row>
    <row r="155" spans="26:26">
      <c r="Z155" s="124" t="s">
        <v>2579</v>
      </c>
    </row>
    <row r="156" spans="26:26">
      <c r="Z156" s="123"/>
    </row>
    <row r="157" spans="26:26">
      <c r="Z157" s="124" t="s">
        <v>2580</v>
      </c>
    </row>
    <row r="158" spans="26:26">
      <c r="Z158" s="123"/>
    </row>
    <row r="159" spans="26:26">
      <c r="Z159" s="124" t="s">
        <v>2581</v>
      </c>
    </row>
  </sheetData>
  <mergeCells count="1">
    <mergeCell ref="E46:E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B7E2-3BBB-4F9F-A1C7-9641AEF203BE}">
  <sheetPr>
    <tabColor rgb="FF33CCCC"/>
  </sheetPr>
  <dimension ref="A2:FC47"/>
  <sheetViews>
    <sheetView tabSelected="1" workbookViewId="0">
      <selection activeCell="BU2" sqref="BU2:FC2"/>
    </sheetView>
  </sheetViews>
  <sheetFormatPr baseColWidth="10" defaultRowHeight="15"/>
  <cols>
    <col min="11" max="11" width="18.42578125" bestFit="1" customWidth="1"/>
    <col min="12" max="12" width="23.140625" bestFit="1" customWidth="1"/>
    <col min="13" max="13" width="22.140625" bestFit="1" customWidth="1"/>
    <col min="18" max="18" width="9.140625" bestFit="1" customWidth="1"/>
    <col min="19" max="19" width="14" bestFit="1" customWidth="1"/>
    <col min="20" max="20" width="9.28515625" bestFit="1" customWidth="1"/>
    <col min="21" max="21" width="30.140625" bestFit="1" customWidth="1"/>
    <col min="22" max="22" width="9.140625" bestFit="1" customWidth="1"/>
    <col min="23" max="23" width="19.5703125" bestFit="1" customWidth="1"/>
    <col min="24" max="24" width="9.28515625" bestFit="1" customWidth="1"/>
    <col min="25" max="25" width="18.85546875" bestFit="1" customWidth="1"/>
    <col min="28" max="28" width="2" bestFit="1" customWidth="1"/>
    <col min="30" max="30" width="22.7109375" bestFit="1" customWidth="1"/>
    <col min="32" max="32" width="2" bestFit="1" customWidth="1"/>
    <col min="34" max="34" width="21" bestFit="1" customWidth="1"/>
    <col min="36" max="36" width="2" bestFit="1" customWidth="1"/>
    <col min="38" max="38" width="22.5703125" bestFit="1" customWidth="1"/>
    <col min="40" max="40" width="2" bestFit="1" customWidth="1"/>
    <col min="42" max="42" width="25.7109375" bestFit="1" customWidth="1"/>
    <col min="44" max="44" width="2" bestFit="1" customWidth="1"/>
    <col min="46" max="46" width="26" bestFit="1" customWidth="1"/>
    <col min="48" max="48" width="2" bestFit="1" customWidth="1"/>
    <col min="50" max="50" width="21.5703125" bestFit="1" customWidth="1"/>
    <col min="52" max="52" width="2" bestFit="1" customWidth="1"/>
    <col min="54" max="54" width="19.85546875" bestFit="1" customWidth="1"/>
    <col min="56" max="56" width="2" bestFit="1" customWidth="1"/>
    <col min="58" max="58" width="22" bestFit="1" customWidth="1"/>
    <col min="60" max="60" width="2" bestFit="1" customWidth="1"/>
    <col min="64" max="64" width="2" bestFit="1" customWidth="1"/>
    <col min="68" max="68" width="2" bestFit="1" customWidth="1"/>
    <col min="70" max="70" width="20.85546875" bestFit="1" customWidth="1"/>
    <col min="73" max="73" width="3" bestFit="1" customWidth="1"/>
    <col min="74" max="74" width="9.42578125" bestFit="1" customWidth="1"/>
    <col min="75" max="75" width="24" bestFit="1" customWidth="1"/>
    <col min="77" max="77" width="3" bestFit="1" customWidth="1"/>
    <col min="78" max="78" width="8.85546875" bestFit="1" customWidth="1"/>
    <col min="79" max="79" width="21.7109375" bestFit="1" customWidth="1"/>
    <col min="81" max="81" width="3" bestFit="1" customWidth="1"/>
    <col min="83" max="83" width="17.28515625" bestFit="1" customWidth="1"/>
    <col min="85" max="85" width="3" bestFit="1" customWidth="1"/>
    <col min="86" max="86" width="8.85546875" bestFit="1" customWidth="1"/>
    <col min="87" max="87" width="19.7109375" bestFit="1" customWidth="1"/>
    <col min="89" max="89" width="3" bestFit="1" customWidth="1"/>
    <col min="90" max="90" width="9.7109375" bestFit="1" customWidth="1"/>
    <col min="91" max="91" width="20.5703125" bestFit="1" customWidth="1"/>
    <col min="93" max="93" width="3" bestFit="1" customWidth="1"/>
    <col min="94" max="94" width="9.42578125" bestFit="1" customWidth="1"/>
    <col min="95" max="95" width="18" bestFit="1" customWidth="1"/>
    <col min="96" max="96" width="18" style="64" customWidth="1"/>
    <col min="97" max="97" width="2" bestFit="1" customWidth="1"/>
    <col min="98" max="98" width="9.42578125" bestFit="1" customWidth="1"/>
    <col min="99" max="99" width="20.85546875" bestFit="1" customWidth="1"/>
    <col min="101" max="101" width="2" bestFit="1" customWidth="1"/>
    <col min="102" max="102" width="9.7109375" bestFit="1" customWidth="1"/>
    <col min="103" max="103" width="20.140625" bestFit="1" customWidth="1"/>
    <col min="105" max="105" width="2" bestFit="1" customWidth="1"/>
    <col min="106" max="106" width="9.7109375" bestFit="1" customWidth="1"/>
    <col min="107" max="107" width="21.7109375" bestFit="1" customWidth="1"/>
    <col min="109" max="109" width="3" bestFit="1" customWidth="1"/>
    <col min="110" max="110" width="8.85546875" bestFit="1" customWidth="1"/>
    <col min="111" max="111" width="21.28515625" bestFit="1" customWidth="1"/>
    <col min="113" max="113" width="2" bestFit="1" customWidth="1"/>
    <col min="114" max="114" width="9.7109375" bestFit="1" customWidth="1"/>
    <col min="115" max="115" width="18.7109375" bestFit="1" customWidth="1"/>
    <col min="117" max="117" width="2" bestFit="1" customWidth="1"/>
    <col min="118" max="118" width="9.7109375" bestFit="1" customWidth="1"/>
    <col min="119" max="119" width="20.42578125" bestFit="1" customWidth="1"/>
    <col min="121" max="121" width="2.5703125" bestFit="1" customWidth="1"/>
    <col min="122" max="122" width="8.85546875" bestFit="1" customWidth="1"/>
    <col min="123" max="123" width="21" bestFit="1" customWidth="1"/>
    <col min="125" max="125" width="2" bestFit="1" customWidth="1"/>
    <col min="126" max="126" width="9.5703125" bestFit="1" customWidth="1"/>
    <col min="127" max="127" width="19.5703125" bestFit="1" customWidth="1"/>
    <col min="129" max="129" width="2" bestFit="1" customWidth="1"/>
    <col min="130" max="130" width="9.42578125" bestFit="1" customWidth="1"/>
    <col min="131" max="131" width="22.42578125" bestFit="1" customWidth="1"/>
    <col min="133" max="133" width="2" bestFit="1" customWidth="1"/>
    <col min="134" max="134" width="10.7109375" bestFit="1" customWidth="1"/>
    <col min="135" max="135" width="19.7109375" bestFit="1" customWidth="1"/>
    <col min="137" max="137" width="2" bestFit="1" customWidth="1"/>
    <col min="138" max="138" width="10" bestFit="1" customWidth="1"/>
    <col min="139" max="139" width="17" bestFit="1" customWidth="1"/>
    <col min="141" max="141" width="3" bestFit="1" customWidth="1"/>
    <col min="142" max="142" width="9.42578125" bestFit="1" customWidth="1"/>
    <col min="143" max="143" width="30.7109375" bestFit="1" customWidth="1"/>
    <col min="145" max="145" width="2" bestFit="1" customWidth="1"/>
    <col min="146" max="146" width="10" bestFit="1" customWidth="1"/>
    <col min="147" max="147" width="24.42578125" bestFit="1" customWidth="1"/>
    <col min="149" max="149" width="2" bestFit="1" customWidth="1"/>
    <col min="150" max="150" width="9.5703125" bestFit="1" customWidth="1"/>
    <col min="151" max="151" width="19.28515625" bestFit="1" customWidth="1"/>
    <col min="153" max="153" width="2" bestFit="1" customWidth="1"/>
    <col min="154" max="154" width="10" bestFit="1" customWidth="1"/>
    <col min="155" max="155" width="18.5703125" bestFit="1" customWidth="1"/>
    <col min="157" max="157" width="2" bestFit="1" customWidth="1"/>
    <col min="158" max="158" width="9.42578125" bestFit="1" customWidth="1"/>
    <col min="159" max="159" width="24.28515625" bestFit="1" customWidth="1"/>
  </cols>
  <sheetData>
    <row r="2" spans="1:159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R2" s="281" t="s">
        <v>3324</v>
      </c>
      <c r="S2" s="281"/>
      <c r="T2" s="281"/>
      <c r="U2" s="281"/>
      <c r="V2" s="281"/>
      <c r="W2" s="281"/>
      <c r="X2" s="281"/>
      <c r="Y2" s="281"/>
      <c r="AB2" s="280" t="s">
        <v>3116</v>
      </c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0"/>
      <c r="BL2" s="280"/>
      <c r="BM2" s="280"/>
      <c r="BN2" s="280"/>
      <c r="BO2" s="280"/>
      <c r="BP2" s="280"/>
      <c r="BQ2" s="280"/>
      <c r="BR2" s="280"/>
      <c r="BU2" s="303" t="s">
        <v>3117</v>
      </c>
      <c r="BV2" s="303"/>
      <c r="BW2" s="303"/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  <c r="DW2" s="303"/>
      <c r="DX2" s="303"/>
      <c r="DY2" s="303"/>
      <c r="DZ2" s="303"/>
      <c r="EA2" s="303"/>
      <c r="EB2" s="303"/>
      <c r="EC2" s="303"/>
      <c r="ED2" s="303"/>
      <c r="EE2" s="303"/>
      <c r="EF2" s="303"/>
      <c r="EG2" s="303"/>
      <c r="EH2" s="303"/>
      <c r="EI2" s="303"/>
      <c r="EJ2" s="303"/>
      <c r="EK2" s="303"/>
      <c r="EL2" s="303"/>
      <c r="EM2" s="303"/>
      <c r="EN2" s="303"/>
      <c r="EO2" s="303"/>
      <c r="EP2" s="303"/>
      <c r="EQ2" s="303"/>
      <c r="ER2" s="303"/>
      <c r="ES2" s="303"/>
      <c r="ET2" s="303"/>
      <c r="EU2" s="303"/>
      <c r="EV2" s="303"/>
      <c r="EW2" s="303"/>
      <c r="EX2" s="303"/>
      <c r="EY2" s="303"/>
      <c r="EZ2" s="303"/>
      <c r="FA2" s="303"/>
      <c r="FB2" s="303"/>
      <c r="FC2" s="303"/>
    </row>
    <row r="3" spans="1:159" ht="15.75" thickBot="1">
      <c r="A3" s="64"/>
      <c r="B3" s="207"/>
      <c r="C3" s="207" t="s">
        <v>3110</v>
      </c>
      <c r="D3" s="207" t="s">
        <v>3111</v>
      </c>
      <c r="E3" s="207" t="s">
        <v>3112</v>
      </c>
      <c r="F3" s="207" t="s">
        <v>3113</v>
      </c>
      <c r="G3" s="207" t="s">
        <v>3114</v>
      </c>
      <c r="H3" s="207" t="s">
        <v>3115</v>
      </c>
      <c r="I3" s="64"/>
      <c r="J3" s="208" t="s">
        <v>3116</v>
      </c>
      <c r="K3" s="209" t="s">
        <v>3117</v>
      </c>
      <c r="L3" s="210"/>
      <c r="M3" s="207" t="s">
        <v>3118</v>
      </c>
      <c r="Q3" s="64"/>
      <c r="R3" s="225">
        <v>8</v>
      </c>
      <c r="S3" s="226" t="s">
        <v>3227</v>
      </c>
      <c r="T3" s="227">
        <v>38</v>
      </c>
      <c r="U3" s="228" t="s">
        <v>3228</v>
      </c>
      <c r="V3" s="227">
        <v>11</v>
      </c>
      <c r="W3" s="229" t="s">
        <v>3169</v>
      </c>
      <c r="X3" s="225">
        <v>19</v>
      </c>
      <c r="Y3" s="226" t="s">
        <v>3229</v>
      </c>
      <c r="AB3" s="245"/>
      <c r="AC3" s="246" t="s">
        <v>1700</v>
      </c>
      <c r="AD3" s="247"/>
      <c r="AE3" s="248"/>
      <c r="AF3" s="249"/>
      <c r="AG3" s="246" t="s">
        <v>3124</v>
      </c>
      <c r="AH3" s="247"/>
      <c r="AI3" s="248"/>
      <c r="AJ3" s="249"/>
      <c r="AK3" s="246" t="s">
        <v>3129</v>
      </c>
      <c r="AL3" s="247"/>
      <c r="AM3" s="250"/>
      <c r="AN3" s="249"/>
      <c r="AO3" s="246" t="s">
        <v>3138</v>
      </c>
      <c r="AP3" s="247"/>
      <c r="AQ3" s="64"/>
      <c r="AR3" s="249"/>
      <c r="AS3" s="246" t="s">
        <v>3143</v>
      </c>
      <c r="AT3" s="247"/>
      <c r="AU3" s="248"/>
      <c r="AV3" s="249"/>
      <c r="AW3" s="246" t="s">
        <v>3325</v>
      </c>
      <c r="AX3" s="247"/>
      <c r="AY3" s="248"/>
      <c r="AZ3" s="249"/>
      <c r="BA3" s="246" t="s">
        <v>3151</v>
      </c>
      <c r="BB3" s="247"/>
      <c r="BC3" s="250"/>
      <c r="BD3" s="251"/>
      <c r="BE3" s="252" t="s">
        <v>4</v>
      </c>
      <c r="BF3" s="247"/>
      <c r="BG3" s="248"/>
      <c r="BH3" s="249"/>
      <c r="BI3" s="229"/>
      <c r="BJ3" s="246" t="s">
        <v>3160</v>
      </c>
      <c r="BK3" s="247"/>
      <c r="BL3" s="253"/>
      <c r="BM3" s="251"/>
      <c r="BN3" s="254" t="s">
        <v>3326</v>
      </c>
      <c r="BO3" s="254"/>
      <c r="BP3" s="249"/>
      <c r="BQ3" s="246" t="s">
        <v>1005</v>
      </c>
      <c r="BR3" s="247"/>
      <c r="BU3" s="282"/>
      <c r="BV3" s="246" t="s">
        <v>3975</v>
      </c>
      <c r="BW3" s="247"/>
      <c r="BX3" s="248"/>
      <c r="BY3" s="282"/>
      <c r="BZ3" s="246" t="s">
        <v>3976</v>
      </c>
      <c r="CA3" s="247"/>
      <c r="CB3" s="248"/>
      <c r="CC3" s="283"/>
      <c r="CD3" s="254" t="s">
        <v>3977</v>
      </c>
      <c r="CE3" s="284"/>
      <c r="CF3" s="250"/>
      <c r="CG3" s="283"/>
      <c r="CH3" s="254" t="s">
        <v>3978</v>
      </c>
      <c r="CI3" s="284"/>
      <c r="CJ3" s="248"/>
      <c r="CK3" s="282"/>
      <c r="CL3" s="246" t="s">
        <v>3979</v>
      </c>
      <c r="CM3" s="247"/>
      <c r="CN3" s="64"/>
      <c r="CO3" s="282"/>
      <c r="CP3" s="246" t="s">
        <v>3980</v>
      </c>
      <c r="CQ3" s="246"/>
      <c r="CR3" s="300"/>
      <c r="CS3" s="299"/>
      <c r="CT3" s="246" t="s">
        <v>3981</v>
      </c>
      <c r="CU3" s="247"/>
      <c r="CV3" s="248"/>
      <c r="CW3" s="282"/>
      <c r="CX3" s="246" t="s">
        <v>3982</v>
      </c>
      <c r="CY3" s="247"/>
      <c r="CZ3" s="248"/>
      <c r="DA3" s="283"/>
      <c r="DB3" s="254" t="s">
        <v>3983</v>
      </c>
      <c r="DC3" s="284"/>
      <c r="DD3" s="248"/>
      <c r="DE3" s="282"/>
      <c r="DF3" s="246" t="s">
        <v>3156</v>
      </c>
      <c r="DG3" s="247"/>
      <c r="DH3" s="64"/>
      <c r="DI3" s="283"/>
      <c r="DJ3" s="254" t="s">
        <v>3984</v>
      </c>
      <c r="DK3" s="284"/>
      <c r="DL3" s="248"/>
      <c r="DM3" s="282"/>
      <c r="DN3" s="246" t="s">
        <v>3985</v>
      </c>
      <c r="DO3" s="247"/>
      <c r="DP3" s="285"/>
      <c r="DQ3" s="286"/>
      <c r="DR3" s="287"/>
      <c r="DS3" s="288" t="s">
        <v>3986</v>
      </c>
      <c r="DT3" s="248"/>
      <c r="DU3" s="282"/>
      <c r="DV3" s="246" t="s">
        <v>3987</v>
      </c>
      <c r="DW3" s="247"/>
      <c r="DX3" s="250"/>
      <c r="DY3" s="283"/>
      <c r="DZ3" s="254" t="s">
        <v>3988</v>
      </c>
      <c r="EA3" s="284"/>
      <c r="EB3" s="248"/>
      <c r="EC3" s="283"/>
      <c r="ED3" s="254" t="s">
        <v>3989</v>
      </c>
      <c r="EE3" s="284"/>
      <c r="EF3" s="64"/>
      <c r="EG3" s="282"/>
      <c r="EH3" s="246" t="s">
        <v>3990</v>
      </c>
      <c r="EI3" s="246"/>
      <c r="EJ3" s="302"/>
      <c r="EK3" s="301"/>
      <c r="EL3" s="246" t="s">
        <v>3991</v>
      </c>
      <c r="EM3" s="247"/>
      <c r="EN3" s="250"/>
      <c r="EO3" s="282"/>
      <c r="EP3" s="246" t="s">
        <v>3992</v>
      </c>
      <c r="EQ3" s="247"/>
      <c r="ER3" s="248"/>
      <c r="ES3" s="282"/>
      <c r="ET3" s="246" t="s">
        <v>3993</v>
      </c>
      <c r="EU3" s="247"/>
      <c r="EV3" s="250"/>
      <c r="EW3" s="282"/>
      <c r="EX3" s="246" t="s">
        <v>3994</v>
      </c>
      <c r="EY3" s="247"/>
      <c r="EZ3" s="248"/>
      <c r="FA3" s="282"/>
      <c r="FB3" s="246" t="s">
        <v>3995</v>
      </c>
      <c r="FC3" s="247"/>
    </row>
    <row r="4" spans="1:159">
      <c r="A4" s="64"/>
      <c r="B4" s="207" t="s">
        <v>3119</v>
      </c>
      <c r="C4" s="17">
        <v>33</v>
      </c>
      <c r="D4" s="17"/>
      <c r="E4" s="17"/>
      <c r="F4" s="17"/>
      <c r="G4" s="17">
        <v>9</v>
      </c>
      <c r="H4" s="17">
        <f t="shared" ref="H4:H13" si="0">C4+G4</f>
        <v>42</v>
      </c>
      <c r="I4" s="64"/>
      <c r="J4" s="211" t="s">
        <v>1700</v>
      </c>
      <c r="K4" s="212" t="s">
        <v>3120</v>
      </c>
      <c r="L4" s="213" t="s">
        <v>3121</v>
      </c>
      <c r="M4" s="214" t="s">
        <v>3122</v>
      </c>
      <c r="Q4" s="64"/>
      <c r="R4" s="15" t="s">
        <v>3230</v>
      </c>
      <c r="S4" s="230" t="s">
        <v>56</v>
      </c>
      <c r="T4" s="231" t="s">
        <v>3231</v>
      </c>
      <c r="U4" s="232" t="s">
        <v>3232</v>
      </c>
      <c r="V4" s="233" t="s">
        <v>3233</v>
      </c>
      <c r="W4" s="234" t="s">
        <v>713</v>
      </c>
      <c r="X4" s="15" t="s">
        <v>3234</v>
      </c>
      <c r="Y4" s="230" t="s">
        <v>737</v>
      </c>
      <c r="AB4" s="255">
        <v>1</v>
      </c>
      <c r="AC4" s="64" t="s">
        <v>3327</v>
      </c>
      <c r="AD4" s="256" t="s">
        <v>3328</v>
      </c>
      <c r="AE4" s="64"/>
      <c r="AF4" s="255">
        <v>1</v>
      </c>
      <c r="AG4" s="64" t="s">
        <v>3329</v>
      </c>
      <c r="AH4" s="256" t="s">
        <v>788</v>
      </c>
      <c r="AI4" s="64"/>
      <c r="AJ4" s="255">
        <v>1</v>
      </c>
      <c r="AK4" s="64" t="s">
        <v>3330</v>
      </c>
      <c r="AL4" s="256" t="s">
        <v>3331</v>
      </c>
      <c r="AM4" s="63"/>
      <c r="AN4" s="257">
        <v>1</v>
      </c>
      <c r="AO4" s="258" t="s">
        <v>3332</v>
      </c>
      <c r="AP4" s="259" t="s">
        <v>3333</v>
      </c>
      <c r="AQ4" s="64"/>
      <c r="AR4" s="255">
        <v>1</v>
      </c>
      <c r="AS4" s="64" t="s">
        <v>3334</v>
      </c>
      <c r="AT4" s="256" t="s">
        <v>1273</v>
      </c>
      <c r="AU4" s="64"/>
      <c r="AV4" s="255">
        <v>1</v>
      </c>
      <c r="AW4" s="64" t="s">
        <v>3335</v>
      </c>
      <c r="AX4" s="256" t="s">
        <v>311</v>
      </c>
      <c r="AY4" s="64"/>
      <c r="AZ4" s="255">
        <v>1</v>
      </c>
      <c r="BA4" s="64" t="s">
        <v>3336</v>
      </c>
      <c r="BB4" s="256" t="s">
        <v>111</v>
      </c>
      <c r="BC4" s="63"/>
      <c r="BD4" s="260">
        <v>1</v>
      </c>
      <c r="BE4" s="261" t="s">
        <v>3337</v>
      </c>
      <c r="BF4" s="256" t="s">
        <v>22</v>
      </c>
      <c r="BG4" s="64"/>
      <c r="BH4" s="255">
        <v>1</v>
      </c>
      <c r="BI4" s="260" t="s">
        <v>3338</v>
      </c>
      <c r="BJ4" s="64" t="s">
        <v>3339</v>
      </c>
      <c r="BK4" s="256"/>
      <c r="BL4" s="63">
        <v>1</v>
      </c>
      <c r="BM4" s="211" t="s">
        <v>3340</v>
      </c>
      <c r="BN4" s="215" t="s">
        <v>3341</v>
      </c>
      <c r="BO4" s="64"/>
      <c r="BP4" s="255">
        <v>1</v>
      </c>
      <c r="BQ4" s="64" t="s">
        <v>3342</v>
      </c>
      <c r="BR4" s="256" t="s">
        <v>314</v>
      </c>
      <c r="BU4" s="255">
        <v>1</v>
      </c>
      <c r="BV4" s="64" t="s">
        <v>3996</v>
      </c>
      <c r="BW4" s="256" t="s">
        <v>3997</v>
      </c>
      <c r="BX4" s="64"/>
      <c r="BY4" s="255">
        <v>1</v>
      </c>
      <c r="BZ4" s="64" t="s">
        <v>3998</v>
      </c>
      <c r="CA4" s="256" t="s">
        <v>24</v>
      </c>
      <c r="CB4" s="64"/>
      <c r="CC4" s="289">
        <v>1</v>
      </c>
      <c r="CD4" s="290" t="s">
        <v>3999</v>
      </c>
      <c r="CE4" s="291" t="s">
        <v>4000</v>
      </c>
      <c r="CF4" s="63"/>
      <c r="CG4" s="260">
        <v>1</v>
      </c>
      <c r="CH4" s="64" t="s">
        <v>4001</v>
      </c>
      <c r="CI4" s="292" t="s">
        <v>4002</v>
      </c>
      <c r="CJ4" s="64"/>
      <c r="CK4" s="255">
        <v>1</v>
      </c>
      <c r="CL4" s="64" t="s">
        <v>4003</v>
      </c>
      <c r="CM4" s="256" t="s">
        <v>19</v>
      </c>
      <c r="CN4" s="64"/>
      <c r="CO4" s="255">
        <v>1</v>
      </c>
      <c r="CP4" s="64" t="s">
        <v>4004</v>
      </c>
      <c r="CQ4" s="76" t="s">
        <v>1279</v>
      </c>
      <c r="CR4" s="76"/>
      <c r="CS4" s="67">
        <v>1</v>
      </c>
      <c r="CT4" s="64" t="s">
        <v>4005</v>
      </c>
      <c r="CU4" s="256" t="s">
        <v>54</v>
      </c>
      <c r="CV4" s="64"/>
      <c r="CW4" s="255">
        <v>1</v>
      </c>
      <c r="CX4" s="64" t="s">
        <v>4006</v>
      </c>
      <c r="CY4" s="256" t="s">
        <v>4007</v>
      </c>
      <c r="CZ4" s="64"/>
      <c r="DA4" s="260">
        <v>1</v>
      </c>
      <c r="DB4" s="64" t="s">
        <v>4008</v>
      </c>
      <c r="DC4" s="292" t="s">
        <v>33</v>
      </c>
      <c r="DD4" s="64"/>
      <c r="DE4" s="255">
        <v>1</v>
      </c>
      <c r="DF4" s="64" t="s">
        <v>4009</v>
      </c>
      <c r="DG4" s="256" t="s">
        <v>1319</v>
      </c>
      <c r="DH4" s="64"/>
      <c r="DI4" s="289">
        <v>1</v>
      </c>
      <c r="DJ4" s="290" t="s">
        <v>4010</v>
      </c>
      <c r="DK4" s="291" t="s">
        <v>4011</v>
      </c>
      <c r="DL4" s="64"/>
      <c r="DM4" s="255">
        <v>1</v>
      </c>
      <c r="DN4" s="64" t="s">
        <v>4012</v>
      </c>
      <c r="DO4" s="256" t="s">
        <v>1887</v>
      </c>
      <c r="DP4" s="64"/>
      <c r="DQ4" s="261">
        <v>2</v>
      </c>
      <c r="DR4" s="64" t="s">
        <v>4013</v>
      </c>
      <c r="DS4" s="256" t="s">
        <v>4014</v>
      </c>
      <c r="DT4" s="64"/>
      <c r="DU4" s="255">
        <v>1</v>
      </c>
      <c r="DV4" s="64" t="s">
        <v>4015</v>
      </c>
      <c r="DW4" s="256" t="s">
        <v>2636</v>
      </c>
      <c r="DX4" s="63"/>
      <c r="DY4" s="260">
        <v>1</v>
      </c>
      <c r="DZ4" s="64" t="s">
        <v>4016</v>
      </c>
      <c r="EA4" s="292" t="s">
        <v>1301</v>
      </c>
      <c r="EB4" s="64"/>
      <c r="EC4" s="289">
        <v>1</v>
      </c>
      <c r="ED4" s="290" t="s">
        <v>4017</v>
      </c>
      <c r="EE4" s="291" t="s">
        <v>1831</v>
      </c>
      <c r="EF4" s="64"/>
      <c r="EG4" s="255">
        <v>1</v>
      </c>
      <c r="EH4" s="64" t="s">
        <v>4018</v>
      </c>
      <c r="EI4" s="76" t="s">
        <v>4019</v>
      </c>
      <c r="EJ4" s="76"/>
      <c r="EK4" s="67">
        <v>1</v>
      </c>
      <c r="EL4" s="64" t="s">
        <v>4020</v>
      </c>
      <c r="EM4" s="256" t="s">
        <v>4021</v>
      </c>
      <c r="EN4" s="63"/>
      <c r="EO4" s="255">
        <v>1</v>
      </c>
      <c r="EP4" s="64" t="s">
        <v>4022</v>
      </c>
      <c r="EQ4" s="256" t="s">
        <v>820</v>
      </c>
      <c r="ER4" s="64"/>
      <c r="ES4" s="63">
        <v>1</v>
      </c>
      <c r="ET4" s="64" t="s">
        <v>4023</v>
      </c>
      <c r="EU4" s="64" t="s">
        <v>1300</v>
      </c>
      <c r="EV4" s="63"/>
      <c r="EW4" s="255">
        <v>1</v>
      </c>
      <c r="EX4" s="64" t="s">
        <v>4024</v>
      </c>
      <c r="EY4" s="256" t="s">
        <v>4025</v>
      </c>
      <c r="EZ4" s="64"/>
      <c r="FA4" s="255">
        <v>1</v>
      </c>
      <c r="FB4" s="64" t="s">
        <v>4026</v>
      </c>
      <c r="FC4" s="256" t="s">
        <v>23</v>
      </c>
    </row>
    <row r="5" spans="1:159">
      <c r="A5" s="64"/>
      <c r="B5" s="207" t="s">
        <v>3123</v>
      </c>
      <c r="C5" s="17">
        <v>33</v>
      </c>
      <c r="D5" s="17"/>
      <c r="E5" s="17"/>
      <c r="F5" s="17"/>
      <c r="G5" s="17">
        <v>9</v>
      </c>
      <c r="H5" s="17">
        <f t="shared" si="0"/>
        <v>42</v>
      </c>
      <c r="I5" s="64"/>
      <c r="J5" s="211" t="s">
        <v>3124</v>
      </c>
      <c r="K5" s="212" t="s">
        <v>3125</v>
      </c>
      <c r="L5" s="213" t="s">
        <v>3126</v>
      </c>
      <c r="M5" s="214" t="s">
        <v>3127</v>
      </c>
      <c r="Q5" s="64"/>
      <c r="R5" s="15" t="s">
        <v>3235</v>
      </c>
      <c r="S5" s="230" t="s">
        <v>1888</v>
      </c>
      <c r="T5" s="35" t="s">
        <v>3236</v>
      </c>
      <c r="U5" s="140" t="s">
        <v>3237</v>
      </c>
      <c r="V5" s="15" t="s">
        <v>3238</v>
      </c>
      <c r="W5" s="140" t="s">
        <v>155</v>
      </c>
      <c r="X5" s="15" t="s">
        <v>3239</v>
      </c>
      <c r="Y5" s="230" t="s">
        <v>3240</v>
      </c>
      <c r="AB5" s="255">
        <v>1</v>
      </c>
      <c r="AC5" s="64" t="s">
        <v>3343</v>
      </c>
      <c r="AD5" s="256" t="s">
        <v>3344</v>
      </c>
      <c r="AE5" s="64"/>
      <c r="AF5" s="255">
        <v>1</v>
      </c>
      <c r="AG5" s="64" t="s">
        <v>3345</v>
      </c>
      <c r="AH5" s="256" t="s">
        <v>53</v>
      </c>
      <c r="AI5" s="64"/>
      <c r="AJ5" s="255">
        <v>1</v>
      </c>
      <c r="AK5" s="64" t="s">
        <v>3346</v>
      </c>
      <c r="AL5" s="256" t="s">
        <v>1192</v>
      </c>
      <c r="AM5" s="63"/>
      <c r="AN5" s="255">
        <v>1</v>
      </c>
      <c r="AO5" s="64" t="s">
        <v>3347</v>
      </c>
      <c r="AP5" s="256" t="s">
        <v>3348</v>
      </c>
      <c r="AQ5" s="64"/>
      <c r="AR5" s="255">
        <v>1</v>
      </c>
      <c r="AS5" s="64" t="s">
        <v>3349</v>
      </c>
      <c r="AT5" s="256" t="s">
        <v>1292</v>
      </c>
      <c r="AU5" s="64"/>
      <c r="AV5" s="255">
        <v>1</v>
      </c>
      <c r="AW5" s="64" t="s">
        <v>3350</v>
      </c>
      <c r="AX5" s="256" t="s">
        <v>889</v>
      </c>
      <c r="AY5" s="64"/>
      <c r="AZ5" s="255">
        <v>1</v>
      </c>
      <c r="BA5" s="64" t="s">
        <v>3351</v>
      </c>
      <c r="BB5" s="256" t="s">
        <v>3352</v>
      </c>
      <c r="BC5" s="63"/>
      <c r="BD5" s="260">
        <v>1</v>
      </c>
      <c r="BE5" s="261" t="s">
        <v>3353</v>
      </c>
      <c r="BF5" s="256" t="s">
        <v>3354</v>
      </c>
      <c r="BG5" s="64"/>
      <c r="BH5" s="255">
        <v>1</v>
      </c>
      <c r="BI5" s="260" t="s">
        <v>3355</v>
      </c>
      <c r="BJ5" s="64" t="s">
        <v>3356</v>
      </c>
      <c r="BK5" s="256"/>
      <c r="BL5" s="63">
        <v>1</v>
      </c>
      <c r="BM5" s="211" t="s">
        <v>3357</v>
      </c>
      <c r="BN5" s="215" t="s">
        <v>3358</v>
      </c>
      <c r="BO5" s="64"/>
      <c r="BP5" s="255">
        <v>1</v>
      </c>
      <c r="BQ5" s="64" t="s">
        <v>3359</v>
      </c>
      <c r="BR5" s="256" t="s">
        <v>1012</v>
      </c>
      <c r="BU5" s="255">
        <v>1</v>
      </c>
      <c r="BV5" s="64" t="s">
        <v>4027</v>
      </c>
      <c r="BW5" s="256" t="s">
        <v>1733</v>
      </c>
      <c r="BX5" s="64"/>
      <c r="BY5" s="255">
        <v>1</v>
      </c>
      <c r="BZ5" s="64" t="s">
        <v>4028</v>
      </c>
      <c r="CA5" s="256" t="s">
        <v>1340</v>
      </c>
      <c r="CB5" s="64"/>
      <c r="CC5" s="255">
        <v>1</v>
      </c>
      <c r="CD5" s="64" t="s">
        <v>4029</v>
      </c>
      <c r="CE5" s="256" t="s">
        <v>4030</v>
      </c>
      <c r="CF5" s="63"/>
      <c r="CG5" s="63">
        <v>1</v>
      </c>
      <c r="CH5" s="64" t="s">
        <v>4031</v>
      </c>
      <c r="CI5" s="64" t="s">
        <v>4032</v>
      </c>
      <c r="CJ5" s="64"/>
      <c r="CK5" s="255">
        <v>2</v>
      </c>
      <c r="CL5" s="64" t="s">
        <v>4033</v>
      </c>
      <c r="CM5" s="256" t="s">
        <v>3242</v>
      </c>
      <c r="CN5" s="64"/>
      <c r="CO5" s="255">
        <v>1</v>
      </c>
      <c r="CP5" s="64" t="s">
        <v>4034</v>
      </c>
      <c r="CQ5" s="76" t="s">
        <v>1299</v>
      </c>
      <c r="CR5" s="76"/>
      <c r="CS5" s="67">
        <v>1</v>
      </c>
      <c r="CT5" s="64" t="s">
        <v>4035</v>
      </c>
      <c r="CU5" s="256" t="s">
        <v>865</v>
      </c>
      <c r="CV5" s="64"/>
      <c r="CW5" s="255">
        <v>1</v>
      </c>
      <c r="CX5" s="64" t="s">
        <v>4036</v>
      </c>
      <c r="CY5" s="256" t="s">
        <v>1277</v>
      </c>
      <c r="CZ5" s="64"/>
      <c r="DA5" s="260">
        <v>1</v>
      </c>
      <c r="DB5" s="64" t="s">
        <v>4037</v>
      </c>
      <c r="DC5" s="292" t="s">
        <v>3101</v>
      </c>
      <c r="DD5" s="64"/>
      <c r="DE5" s="255">
        <v>1</v>
      </c>
      <c r="DF5" s="64" t="s">
        <v>4038</v>
      </c>
      <c r="DG5" s="256" t="s">
        <v>4039</v>
      </c>
      <c r="DH5" s="64"/>
      <c r="DI5" s="255">
        <v>2</v>
      </c>
      <c r="DJ5" s="64" t="s">
        <v>4040</v>
      </c>
      <c r="DK5" s="256" t="s">
        <v>4011</v>
      </c>
      <c r="DL5" s="64"/>
      <c r="DM5" s="255">
        <v>2</v>
      </c>
      <c r="DN5" s="64" t="s">
        <v>4041</v>
      </c>
      <c r="DO5" s="256" t="s">
        <v>1364</v>
      </c>
      <c r="DP5" s="64"/>
      <c r="DQ5" s="261">
        <v>2</v>
      </c>
      <c r="DR5" s="293" t="s">
        <v>4042</v>
      </c>
      <c r="DS5" s="256" t="s">
        <v>4014</v>
      </c>
      <c r="DT5" s="64"/>
      <c r="DU5" s="255">
        <v>2</v>
      </c>
      <c r="DV5" s="64" t="s">
        <v>4043</v>
      </c>
      <c r="DW5" s="256" t="s">
        <v>74</v>
      </c>
      <c r="DX5" s="63"/>
      <c r="DY5" s="260">
        <v>1</v>
      </c>
      <c r="DZ5" s="64" t="s">
        <v>4044</v>
      </c>
      <c r="EA5" s="292" t="s">
        <v>1326</v>
      </c>
      <c r="EB5" s="64"/>
      <c r="EC5" s="255">
        <v>2</v>
      </c>
      <c r="ED5" s="64" t="s">
        <v>4045</v>
      </c>
      <c r="EE5" s="256" t="s">
        <v>2701</v>
      </c>
      <c r="EF5" s="64"/>
      <c r="EG5" s="255">
        <v>1</v>
      </c>
      <c r="EH5" s="64" t="s">
        <v>4046</v>
      </c>
      <c r="EI5" s="76" t="s">
        <v>4047</v>
      </c>
      <c r="EJ5" s="76"/>
      <c r="EK5" s="67">
        <v>2</v>
      </c>
      <c r="EL5" s="64" t="s">
        <v>4048</v>
      </c>
      <c r="EM5" s="256" t="s">
        <v>4049</v>
      </c>
      <c r="EN5" s="63"/>
      <c r="EO5" s="255">
        <v>1</v>
      </c>
      <c r="EP5" s="64" t="s">
        <v>4050</v>
      </c>
      <c r="EQ5" s="256" t="s">
        <v>4051</v>
      </c>
      <c r="ER5" s="64"/>
      <c r="ES5" s="255">
        <v>2</v>
      </c>
      <c r="ET5" s="64" t="s">
        <v>4052</v>
      </c>
      <c r="EU5" s="256" t="s">
        <v>2903</v>
      </c>
      <c r="EV5" s="63"/>
      <c r="EW5" s="255">
        <v>1</v>
      </c>
      <c r="EX5" s="64" t="s">
        <v>4053</v>
      </c>
      <c r="EY5" s="256" t="s">
        <v>4054</v>
      </c>
      <c r="EZ5" s="64"/>
      <c r="FA5" s="255">
        <v>2</v>
      </c>
      <c r="FB5" s="64" t="s">
        <v>4055</v>
      </c>
      <c r="FC5" s="256" t="s">
        <v>4056</v>
      </c>
    </row>
    <row r="6" spans="1:159">
      <c r="A6" s="64"/>
      <c r="B6" s="207" t="s">
        <v>3128</v>
      </c>
      <c r="C6" s="17">
        <v>33</v>
      </c>
      <c r="D6" s="17"/>
      <c r="E6" s="17"/>
      <c r="F6" s="17"/>
      <c r="G6" s="17">
        <v>9</v>
      </c>
      <c r="H6" s="17">
        <f t="shared" si="0"/>
        <v>42</v>
      </c>
      <c r="I6" s="64"/>
      <c r="J6" s="211" t="s">
        <v>3129</v>
      </c>
      <c r="K6" s="212" t="s">
        <v>3130</v>
      </c>
      <c r="L6" s="213" t="s">
        <v>3131</v>
      </c>
      <c r="M6" s="214" t="s">
        <v>3132</v>
      </c>
      <c r="Q6" s="64"/>
      <c r="R6" s="15" t="s">
        <v>3241</v>
      </c>
      <c r="S6" s="230" t="s">
        <v>3242</v>
      </c>
      <c r="T6" s="35" t="s">
        <v>3243</v>
      </c>
      <c r="U6" s="140" t="s">
        <v>2822</v>
      </c>
      <c r="V6" s="15" t="s">
        <v>3244</v>
      </c>
      <c r="W6" s="140" t="s">
        <v>209</v>
      </c>
      <c r="X6" s="15" t="s">
        <v>3245</v>
      </c>
      <c r="Y6" s="235" t="s">
        <v>1071</v>
      </c>
      <c r="AB6" s="255">
        <v>1</v>
      </c>
      <c r="AC6" s="64" t="s">
        <v>3360</v>
      </c>
      <c r="AD6" s="256" t="s">
        <v>811</v>
      </c>
      <c r="AE6" s="64"/>
      <c r="AF6" s="255">
        <v>1</v>
      </c>
      <c r="AG6" s="64" t="s">
        <v>3361</v>
      </c>
      <c r="AH6" s="256" t="s">
        <v>3362</v>
      </c>
      <c r="AI6" s="64"/>
      <c r="AJ6" s="255">
        <v>1</v>
      </c>
      <c r="AK6" s="64" t="s">
        <v>3363</v>
      </c>
      <c r="AL6" s="256" t="s">
        <v>3364</v>
      </c>
      <c r="AM6" s="63"/>
      <c r="AN6" s="255">
        <v>1</v>
      </c>
      <c r="AO6" s="64" t="s">
        <v>3365</v>
      </c>
      <c r="AP6" s="256" t="s">
        <v>3366</v>
      </c>
      <c r="AQ6" s="64"/>
      <c r="AR6" s="255">
        <v>1</v>
      </c>
      <c r="AS6" s="64" t="s">
        <v>3367</v>
      </c>
      <c r="AT6" s="256" t="s">
        <v>3368</v>
      </c>
      <c r="AU6" s="64"/>
      <c r="AV6" s="255">
        <v>1</v>
      </c>
      <c r="AW6" s="64" t="s">
        <v>3369</v>
      </c>
      <c r="AX6" s="256" t="s">
        <v>3370</v>
      </c>
      <c r="AY6" s="64"/>
      <c r="AZ6" s="255">
        <v>1</v>
      </c>
      <c r="BA6" s="64" t="s">
        <v>3371</v>
      </c>
      <c r="BB6" s="256" t="s">
        <v>2210</v>
      </c>
      <c r="BC6" s="63"/>
      <c r="BD6" s="260">
        <v>1</v>
      </c>
      <c r="BE6" s="261" t="s">
        <v>3372</v>
      </c>
      <c r="BF6" s="256" t="s">
        <v>797</v>
      </c>
      <c r="BG6" s="64"/>
      <c r="BH6" s="255">
        <v>1</v>
      </c>
      <c r="BI6" s="260" t="s">
        <v>3373</v>
      </c>
      <c r="BJ6" s="64" t="s">
        <v>3374</v>
      </c>
      <c r="BK6" s="256"/>
      <c r="BL6" s="63">
        <v>1</v>
      </c>
      <c r="BM6" s="211" t="s">
        <v>3375</v>
      </c>
      <c r="BN6" s="215" t="s">
        <v>877</v>
      </c>
      <c r="BO6" s="64"/>
      <c r="BP6" s="255">
        <v>1</v>
      </c>
      <c r="BQ6" s="64" t="s">
        <v>3376</v>
      </c>
      <c r="BR6" s="256" t="s">
        <v>1023</v>
      </c>
      <c r="BU6" s="255">
        <v>2</v>
      </c>
      <c r="BV6" s="64" t="s">
        <v>4057</v>
      </c>
      <c r="BW6" s="256" t="s">
        <v>1348</v>
      </c>
      <c r="BX6" s="64"/>
      <c r="BY6" s="255">
        <v>1</v>
      </c>
      <c r="BZ6" s="64" t="s">
        <v>4058</v>
      </c>
      <c r="CA6" s="256" t="s">
        <v>1843</v>
      </c>
      <c r="CB6" s="64"/>
      <c r="CC6" s="255">
        <v>2</v>
      </c>
      <c r="CD6" s="64" t="s">
        <v>4059</v>
      </c>
      <c r="CE6" s="256" t="s">
        <v>4060</v>
      </c>
      <c r="CF6" s="63"/>
      <c r="CG6" s="260">
        <v>2</v>
      </c>
      <c r="CH6" s="64" t="s">
        <v>4061</v>
      </c>
      <c r="CI6" s="292" t="s">
        <v>1946</v>
      </c>
      <c r="CJ6" s="64"/>
      <c r="CK6" s="255">
        <v>2</v>
      </c>
      <c r="CL6" s="64" t="s">
        <v>4062</v>
      </c>
      <c r="CM6" s="256" t="s">
        <v>4063</v>
      </c>
      <c r="CN6" s="64"/>
      <c r="CO6" s="255">
        <v>2</v>
      </c>
      <c r="CP6" s="64" t="s">
        <v>4064</v>
      </c>
      <c r="CQ6" s="256" t="s">
        <v>1323</v>
      </c>
      <c r="CR6" s="76"/>
      <c r="CS6" s="255">
        <v>2</v>
      </c>
      <c r="CT6" s="64" t="s">
        <v>4065</v>
      </c>
      <c r="CU6" s="256" t="s">
        <v>4066</v>
      </c>
      <c r="CV6" s="64"/>
      <c r="CW6" s="63">
        <v>2</v>
      </c>
      <c r="CX6" s="64" t="s">
        <v>4067</v>
      </c>
      <c r="CY6" s="64" t="s">
        <v>4068</v>
      </c>
      <c r="CZ6" s="64"/>
      <c r="DA6" s="260">
        <v>2</v>
      </c>
      <c r="DB6" s="64" t="s">
        <v>4069</v>
      </c>
      <c r="DC6" s="292" t="s">
        <v>3482</v>
      </c>
      <c r="DD6" s="64"/>
      <c r="DE6" s="255">
        <v>1</v>
      </c>
      <c r="DF6" s="64" t="s">
        <v>4070</v>
      </c>
      <c r="DG6" s="256" t="s">
        <v>4071</v>
      </c>
      <c r="DH6" s="64"/>
      <c r="DI6" s="255">
        <v>2</v>
      </c>
      <c r="DJ6" s="64" t="s">
        <v>4072</v>
      </c>
      <c r="DK6" s="256" t="s">
        <v>4011</v>
      </c>
      <c r="DL6" s="64"/>
      <c r="DM6" s="255">
        <v>2</v>
      </c>
      <c r="DN6" s="64" t="s">
        <v>4073</v>
      </c>
      <c r="DO6" s="256" t="s">
        <v>4074</v>
      </c>
      <c r="DP6" s="64"/>
      <c r="DQ6" s="261">
        <v>2</v>
      </c>
      <c r="DR6" s="293" t="s">
        <v>4075</v>
      </c>
      <c r="DS6" s="256" t="s">
        <v>4076</v>
      </c>
      <c r="DT6" s="64"/>
      <c r="DU6" s="255">
        <v>2</v>
      </c>
      <c r="DV6" s="64" t="s">
        <v>4077</v>
      </c>
      <c r="DW6" s="256" t="s">
        <v>3328</v>
      </c>
      <c r="DX6" s="63"/>
      <c r="DY6" s="260">
        <v>1</v>
      </c>
      <c r="DZ6" s="64" t="s">
        <v>4078</v>
      </c>
      <c r="EA6" s="292" t="s">
        <v>4079</v>
      </c>
      <c r="EB6" s="64"/>
      <c r="EC6" s="255">
        <v>2</v>
      </c>
      <c r="ED6" s="64" t="s">
        <v>4080</v>
      </c>
      <c r="EE6" s="256" t="s">
        <v>1480</v>
      </c>
      <c r="EF6" s="64"/>
      <c r="EG6" s="255">
        <v>1</v>
      </c>
      <c r="EH6" s="64" t="s">
        <v>4081</v>
      </c>
      <c r="EI6" s="76" t="s">
        <v>4082</v>
      </c>
      <c r="EJ6" s="76"/>
      <c r="EK6" s="67">
        <v>2</v>
      </c>
      <c r="EL6" s="64" t="s">
        <v>4083</v>
      </c>
      <c r="EM6" s="256" t="s">
        <v>343</v>
      </c>
      <c r="EN6" s="63"/>
      <c r="EO6" s="255">
        <v>2</v>
      </c>
      <c r="EP6" s="64" t="s">
        <v>4084</v>
      </c>
      <c r="EQ6" s="256" t="s">
        <v>1359</v>
      </c>
      <c r="ER6" s="64"/>
      <c r="ES6" s="63">
        <v>2</v>
      </c>
      <c r="ET6" s="64" t="s">
        <v>4085</v>
      </c>
      <c r="EU6" s="64" t="s">
        <v>4086</v>
      </c>
      <c r="EV6" s="63"/>
      <c r="EW6" s="255">
        <v>2</v>
      </c>
      <c r="EX6" s="64" t="s">
        <v>4087</v>
      </c>
      <c r="EY6" s="256" t="s">
        <v>3507</v>
      </c>
      <c r="EZ6" s="64"/>
      <c r="FA6" s="255">
        <v>2</v>
      </c>
      <c r="FB6" s="64" t="s">
        <v>4088</v>
      </c>
      <c r="FC6" s="256" t="s">
        <v>4089</v>
      </c>
    </row>
    <row r="7" spans="1:159">
      <c r="A7" s="64"/>
      <c r="B7" s="207" t="s">
        <v>3133</v>
      </c>
      <c r="C7" s="17">
        <v>33</v>
      </c>
      <c r="D7" s="17"/>
      <c r="E7" s="17"/>
      <c r="F7" s="17"/>
      <c r="G7" s="17">
        <v>9</v>
      </c>
      <c r="H7" s="17">
        <f t="shared" si="0"/>
        <v>42</v>
      </c>
      <c r="I7" s="64"/>
      <c r="J7" s="215" t="s">
        <v>3134</v>
      </c>
      <c r="K7" s="212" t="s">
        <v>2034</v>
      </c>
      <c r="L7" s="213" t="s">
        <v>3135</v>
      </c>
      <c r="M7" s="214" t="s">
        <v>3136</v>
      </c>
      <c r="Q7" s="64"/>
      <c r="R7" s="15" t="s">
        <v>3246</v>
      </c>
      <c r="S7" s="230" t="s">
        <v>3247</v>
      </c>
      <c r="T7" s="35" t="s">
        <v>3248</v>
      </c>
      <c r="U7" s="140" t="s">
        <v>187</v>
      </c>
      <c r="V7" s="15" t="s">
        <v>3249</v>
      </c>
      <c r="W7" s="201" t="s">
        <v>267</v>
      </c>
      <c r="X7" s="114" t="s">
        <v>3250</v>
      </c>
      <c r="Y7" s="230" t="s">
        <v>1779</v>
      </c>
      <c r="AB7" s="255">
        <v>2</v>
      </c>
      <c r="AC7" s="64" t="s">
        <v>3377</v>
      </c>
      <c r="AD7" s="256" t="s">
        <v>3378</v>
      </c>
      <c r="AE7" s="64"/>
      <c r="AF7" s="255">
        <v>1</v>
      </c>
      <c r="AG7" s="64" t="s">
        <v>3379</v>
      </c>
      <c r="AH7" s="256" t="s">
        <v>64</v>
      </c>
      <c r="AI7" s="64"/>
      <c r="AJ7" s="255">
        <v>2</v>
      </c>
      <c r="AK7" s="64" t="s">
        <v>3380</v>
      </c>
      <c r="AL7" s="256" t="s">
        <v>3381</v>
      </c>
      <c r="AM7" s="63"/>
      <c r="AN7" s="255">
        <v>2</v>
      </c>
      <c r="AO7" s="64" t="s">
        <v>3382</v>
      </c>
      <c r="AP7" s="256" t="s">
        <v>3383</v>
      </c>
      <c r="AQ7" s="64"/>
      <c r="AR7" s="255">
        <v>2</v>
      </c>
      <c r="AS7" s="64" t="s">
        <v>3384</v>
      </c>
      <c r="AT7" s="256" t="s">
        <v>1839</v>
      </c>
      <c r="AU7" s="64"/>
      <c r="AV7" s="255">
        <v>2</v>
      </c>
      <c r="AW7" s="64" t="s">
        <v>3385</v>
      </c>
      <c r="AX7" s="256" t="s">
        <v>3386</v>
      </c>
      <c r="AY7" s="64"/>
      <c r="AZ7" s="255">
        <v>1</v>
      </c>
      <c r="BA7" s="64" t="s">
        <v>3387</v>
      </c>
      <c r="BB7" s="256" t="s">
        <v>2165</v>
      </c>
      <c r="BC7" s="63"/>
      <c r="BD7" s="260">
        <v>2</v>
      </c>
      <c r="BE7" s="261" t="s">
        <v>3388</v>
      </c>
      <c r="BF7" s="256" t="s">
        <v>3389</v>
      </c>
      <c r="BG7" s="64"/>
      <c r="BH7" s="255">
        <v>1</v>
      </c>
      <c r="BI7" s="260" t="s">
        <v>3390</v>
      </c>
      <c r="BJ7" s="64" t="s">
        <v>3391</v>
      </c>
      <c r="BK7" s="256"/>
      <c r="BL7" s="63">
        <v>2</v>
      </c>
      <c r="BM7" s="211" t="s">
        <v>3392</v>
      </c>
      <c r="BN7" s="215" t="s">
        <v>830</v>
      </c>
      <c r="BO7" s="64"/>
      <c r="BP7" s="255">
        <v>1</v>
      </c>
      <c r="BQ7" s="64" t="s">
        <v>3393</v>
      </c>
      <c r="BR7" s="256" t="s">
        <v>1051</v>
      </c>
      <c r="BU7" s="255">
        <v>2</v>
      </c>
      <c r="BV7" s="64" t="s">
        <v>4749</v>
      </c>
      <c r="BW7" s="256" t="s">
        <v>4748</v>
      </c>
      <c r="BX7" s="64"/>
      <c r="BY7" s="255">
        <v>1</v>
      </c>
      <c r="BZ7" s="64" t="s">
        <v>4090</v>
      </c>
      <c r="CA7" s="256" t="s">
        <v>4091</v>
      </c>
      <c r="CB7" s="64"/>
      <c r="CC7" s="255">
        <v>2</v>
      </c>
      <c r="CD7" s="64" t="s">
        <v>4092</v>
      </c>
      <c r="CE7" s="256" t="s">
        <v>4093</v>
      </c>
      <c r="CF7" s="63"/>
      <c r="CG7" s="260">
        <v>2</v>
      </c>
      <c r="CH7" s="64" t="s">
        <v>4094</v>
      </c>
      <c r="CI7" s="292" t="s">
        <v>2043</v>
      </c>
      <c r="CJ7" s="64"/>
      <c r="CK7" s="255">
        <v>3</v>
      </c>
      <c r="CL7" s="64" t="s">
        <v>4095</v>
      </c>
      <c r="CM7" s="256" t="s">
        <v>4096</v>
      </c>
      <c r="CN7" s="64"/>
      <c r="CO7" s="255">
        <v>2</v>
      </c>
      <c r="CP7" s="64" t="s">
        <v>4097</v>
      </c>
      <c r="CQ7" s="256" t="s">
        <v>4098</v>
      </c>
      <c r="CR7" s="76"/>
      <c r="CS7" s="255">
        <v>2</v>
      </c>
      <c r="CT7" s="64" t="s">
        <v>4099</v>
      </c>
      <c r="CU7" s="256" t="s">
        <v>1815</v>
      </c>
      <c r="CV7" s="64"/>
      <c r="CW7" s="255">
        <v>2</v>
      </c>
      <c r="CX7" s="64" t="s">
        <v>4100</v>
      </c>
      <c r="CY7" s="256" t="s">
        <v>3828</v>
      </c>
      <c r="CZ7" s="64"/>
      <c r="DA7" s="260">
        <v>2</v>
      </c>
      <c r="DB7" s="64" t="s">
        <v>4101</v>
      </c>
      <c r="DC7" s="292" t="s">
        <v>32</v>
      </c>
      <c r="DD7" s="64"/>
      <c r="DE7" s="255">
        <v>2</v>
      </c>
      <c r="DF7" s="64" t="s">
        <v>4102</v>
      </c>
      <c r="DG7" s="256" t="s">
        <v>1908</v>
      </c>
      <c r="DH7" s="64"/>
      <c r="DI7" s="255">
        <v>2</v>
      </c>
      <c r="DJ7" s="64" t="s">
        <v>4103</v>
      </c>
      <c r="DK7" s="256" t="s">
        <v>4011</v>
      </c>
      <c r="DL7" s="64"/>
      <c r="DM7" s="255">
        <v>2</v>
      </c>
      <c r="DN7" s="64" t="s">
        <v>4104</v>
      </c>
      <c r="DO7" s="256" t="s">
        <v>4105</v>
      </c>
      <c r="DP7" s="64"/>
      <c r="DQ7" s="261">
        <v>2</v>
      </c>
      <c r="DR7" s="293" t="s">
        <v>4106</v>
      </c>
      <c r="DS7" s="256" t="s">
        <v>4107</v>
      </c>
      <c r="DT7" s="64"/>
      <c r="DU7" s="255">
        <v>2</v>
      </c>
      <c r="DV7" s="64" t="s">
        <v>4108</v>
      </c>
      <c r="DW7" s="256" t="s">
        <v>4109</v>
      </c>
      <c r="DX7" s="63"/>
      <c r="DY7" s="260">
        <v>1</v>
      </c>
      <c r="DZ7" s="64" t="s">
        <v>4110</v>
      </c>
      <c r="EA7" s="292" t="s">
        <v>2799</v>
      </c>
      <c r="EB7" s="64"/>
      <c r="EC7" s="255">
        <v>3</v>
      </c>
      <c r="ED7" s="64" t="s">
        <v>4111</v>
      </c>
      <c r="EE7" s="256" t="s">
        <v>4112</v>
      </c>
      <c r="EF7" s="64"/>
      <c r="EG7" s="255">
        <v>1</v>
      </c>
      <c r="EH7" s="64" t="s">
        <v>4113</v>
      </c>
      <c r="EI7" s="76" t="s">
        <v>4082</v>
      </c>
      <c r="EJ7" s="76"/>
      <c r="EK7" s="67">
        <v>2</v>
      </c>
      <c r="EL7" s="64" t="s">
        <v>4114</v>
      </c>
      <c r="EM7" s="256" t="s">
        <v>4115</v>
      </c>
      <c r="EN7" s="63"/>
      <c r="EO7" s="255">
        <v>2</v>
      </c>
      <c r="EP7" s="64" t="s">
        <v>4116</v>
      </c>
      <c r="EQ7" s="256" t="s">
        <v>820</v>
      </c>
      <c r="ER7" s="64"/>
      <c r="ES7" s="255">
        <v>3</v>
      </c>
      <c r="ET7" s="64" t="s">
        <v>4117</v>
      </c>
      <c r="EU7" s="256" t="s">
        <v>1368</v>
      </c>
      <c r="EV7" s="63"/>
      <c r="EW7" s="255">
        <v>2</v>
      </c>
      <c r="EX7" s="64" t="s">
        <v>4118</v>
      </c>
      <c r="EY7" s="256" t="s">
        <v>816</v>
      </c>
      <c r="EZ7" s="64"/>
      <c r="FA7" s="255">
        <v>3</v>
      </c>
      <c r="FB7" s="64" t="s">
        <v>4119</v>
      </c>
      <c r="FC7" s="256" t="s">
        <v>4120</v>
      </c>
    </row>
    <row r="8" spans="1:159">
      <c r="A8" s="64"/>
      <c r="B8" s="207" t="s">
        <v>3137</v>
      </c>
      <c r="C8" s="17">
        <v>33</v>
      </c>
      <c r="D8" s="17"/>
      <c r="E8" s="17"/>
      <c r="F8" s="17"/>
      <c r="G8" s="17">
        <v>9</v>
      </c>
      <c r="H8" s="17">
        <f t="shared" si="0"/>
        <v>42</v>
      </c>
      <c r="I8" s="64"/>
      <c r="J8" s="211" t="s">
        <v>3138</v>
      </c>
      <c r="K8" s="212" t="s">
        <v>3139</v>
      </c>
      <c r="L8" s="213" t="s">
        <v>3140</v>
      </c>
      <c r="M8" s="214" t="s">
        <v>3141</v>
      </c>
      <c r="Q8" s="64"/>
      <c r="R8" s="236" t="s">
        <v>3251</v>
      </c>
      <c r="S8" s="237" t="s">
        <v>3252</v>
      </c>
      <c r="T8" s="35" t="s">
        <v>3253</v>
      </c>
      <c r="U8" s="140" t="s">
        <v>224</v>
      </c>
      <c r="V8" s="15" t="s">
        <v>3254</v>
      </c>
      <c r="W8" s="201" t="s">
        <v>2676</v>
      </c>
      <c r="X8" s="114" t="s">
        <v>3255</v>
      </c>
      <c r="Y8" s="230" t="s">
        <v>590</v>
      </c>
      <c r="AB8" s="255">
        <v>2</v>
      </c>
      <c r="AC8" s="64" t="s">
        <v>3394</v>
      </c>
      <c r="AD8" s="256" t="s">
        <v>3395</v>
      </c>
      <c r="AE8" s="64"/>
      <c r="AF8" s="255">
        <v>2</v>
      </c>
      <c r="AG8" s="64" t="s">
        <v>3396</v>
      </c>
      <c r="AH8" s="256" t="s">
        <v>120</v>
      </c>
      <c r="AI8" s="64"/>
      <c r="AJ8" s="255">
        <v>2</v>
      </c>
      <c r="AK8" s="64" t="s">
        <v>3397</v>
      </c>
      <c r="AL8" s="256" t="s">
        <v>3398</v>
      </c>
      <c r="AM8" s="63"/>
      <c r="AN8" s="255">
        <v>2</v>
      </c>
      <c r="AO8" s="64" t="s">
        <v>3399</v>
      </c>
      <c r="AP8" s="256" t="s">
        <v>337</v>
      </c>
      <c r="AQ8" s="64"/>
      <c r="AR8" s="255">
        <v>2</v>
      </c>
      <c r="AS8" s="64" t="s">
        <v>3400</v>
      </c>
      <c r="AT8" s="256" t="s">
        <v>1314</v>
      </c>
      <c r="AU8" s="64"/>
      <c r="AV8" s="255">
        <v>2</v>
      </c>
      <c r="AW8" s="64" t="s">
        <v>3401</v>
      </c>
      <c r="AX8" s="256" t="s">
        <v>3402</v>
      </c>
      <c r="AY8" s="64"/>
      <c r="AZ8" s="255">
        <v>1</v>
      </c>
      <c r="BA8" s="64" t="s">
        <v>3403</v>
      </c>
      <c r="BB8" s="256" t="s">
        <v>3404</v>
      </c>
      <c r="BC8" s="63"/>
      <c r="BD8" s="260">
        <v>2</v>
      </c>
      <c r="BE8" s="261" t="s">
        <v>3405</v>
      </c>
      <c r="BF8" s="256" t="s">
        <v>3406</v>
      </c>
      <c r="BG8" s="64"/>
      <c r="BH8" s="255">
        <v>1</v>
      </c>
      <c r="BI8" s="260" t="s">
        <v>3407</v>
      </c>
      <c r="BJ8" s="64" t="s">
        <v>1169</v>
      </c>
      <c r="BK8" s="256"/>
      <c r="BL8" s="63">
        <v>2</v>
      </c>
      <c r="BM8" s="211" t="s">
        <v>3408</v>
      </c>
      <c r="BN8" s="215" t="s">
        <v>3328</v>
      </c>
      <c r="BO8" s="64"/>
      <c r="BP8" s="255">
        <v>1</v>
      </c>
      <c r="BQ8" s="64" t="s">
        <v>3409</v>
      </c>
      <c r="BR8" s="256" t="s">
        <v>3410</v>
      </c>
      <c r="BU8" s="255">
        <v>3</v>
      </c>
      <c r="BV8" s="64" t="s">
        <v>4121</v>
      </c>
      <c r="BW8" s="256" t="s">
        <v>4122</v>
      </c>
      <c r="BX8" s="64"/>
      <c r="BY8" s="255">
        <v>2</v>
      </c>
      <c r="BZ8" s="64" t="s">
        <v>4123</v>
      </c>
      <c r="CA8" s="256" t="s">
        <v>807</v>
      </c>
      <c r="CB8" s="64"/>
      <c r="CC8" s="255">
        <v>3</v>
      </c>
      <c r="CD8" s="64" t="s">
        <v>4124</v>
      </c>
      <c r="CE8" s="256" t="s">
        <v>4125</v>
      </c>
      <c r="CF8" s="63"/>
      <c r="CG8" s="260">
        <v>3</v>
      </c>
      <c r="CH8" s="64" t="s">
        <v>4126</v>
      </c>
      <c r="CI8" s="292" t="s">
        <v>354</v>
      </c>
      <c r="CJ8" s="64"/>
      <c r="CK8" s="255">
        <v>3</v>
      </c>
      <c r="CL8" s="64" t="s">
        <v>4127</v>
      </c>
      <c r="CM8" s="256" t="s">
        <v>4128</v>
      </c>
      <c r="CN8" s="64"/>
      <c r="CO8" s="255">
        <v>3</v>
      </c>
      <c r="CP8" s="64" t="s">
        <v>4129</v>
      </c>
      <c r="CQ8" s="256" t="s">
        <v>1344</v>
      </c>
      <c r="CR8" s="76"/>
      <c r="CS8" s="255">
        <v>3</v>
      </c>
      <c r="CT8" s="64" t="s">
        <v>4130</v>
      </c>
      <c r="CU8" s="256" t="s">
        <v>3672</v>
      </c>
      <c r="CV8" s="64"/>
      <c r="CW8" s="255">
        <v>3</v>
      </c>
      <c r="CX8" s="64" t="s">
        <v>4131</v>
      </c>
      <c r="CY8" s="256" t="s">
        <v>4132</v>
      </c>
      <c r="CZ8" s="64"/>
      <c r="DA8" s="260">
        <v>2</v>
      </c>
      <c r="DB8" s="64" t="s">
        <v>4133</v>
      </c>
      <c r="DC8" s="292" t="s">
        <v>2664</v>
      </c>
      <c r="DD8" s="64"/>
      <c r="DE8" s="255">
        <v>2</v>
      </c>
      <c r="DF8" s="64" t="s">
        <v>4134</v>
      </c>
      <c r="DG8" s="256" t="s">
        <v>4135</v>
      </c>
      <c r="DH8" s="64"/>
      <c r="DI8" s="255">
        <v>3</v>
      </c>
      <c r="DJ8" s="64" t="s">
        <v>4136</v>
      </c>
      <c r="DK8" s="256" t="s">
        <v>4137</v>
      </c>
      <c r="DL8" s="64"/>
      <c r="DM8" s="255">
        <v>2</v>
      </c>
      <c r="DN8" s="64" t="s">
        <v>4138</v>
      </c>
      <c r="DO8" s="256" t="s">
        <v>1321</v>
      </c>
      <c r="DP8" s="64"/>
      <c r="DQ8" s="261">
        <v>3</v>
      </c>
      <c r="DR8" s="293" t="s">
        <v>4139</v>
      </c>
      <c r="DS8" s="256" t="s">
        <v>4140</v>
      </c>
      <c r="DT8" s="64"/>
      <c r="DU8" s="63">
        <v>3</v>
      </c>
      <c r="DV8" s="64" t="s">
        <v>4141</v>
      </c>
      <c r="DW8" s="256" t="s">
        <v>854</v>
      </c>
      <c r="DX8" s="63"/>
      <c r="DY8" s="260">
        <v>2</v>
      </c>
      <c r="DZ8" s="64" t="s">
        <v>4142</v>
      </c>
      <c r="EA8" s="292" t="s">
        <v>2801</v>
      </c>
      <c r="EB8" s="64"/>
      <c r="EC8" s="255">
        <v>3</v>
      </c>
      <c r="ED8" s="64" t="s">
        <v>4143</v>
      </c>
      <c r="EE8" s="256" t="s">
        <v>888</v>
      </c>
      <c r="EF8" s="64"/>
      <c r="EG8" s="255">
        <v>1</v>
      </c>
      <c r="EH8" s="64" t="s">
        <v>4144</v>
      </c>
      <c r="EI8" s="76" t="s">
        <v>4145</v>
      </c>
      <c r="EJ8" s="76"/>
      <c r="EK8" s="67">
        <v>3</v>
      </c>
      <c r="EL8" s="64" t="s">
        <v>4146</v>
      </c>
      <c r="EM8" s="256" t="s">
        <v>4147</v>
      </c>
      <c r="EN8" s="63"/>
      <c r="EO8" s="255">
        <v>2</v>
      </c>
      <c r="EP8" s="64" t="s">
        <v>4148</v>
      </c>
      <c r="EQ8" s="256" t="s">
        <v>4149</v>
      </c>
      <c r="ER8" s="64"/>
      <c r="ES8" s="255">
        <v>3</v>
      </c>
      <c r="ET8" s="64" t="s">
        <v>4150</v>
      </c>
      <c r="EU8" s="256" t="s">
        <v>4151</v>
      </c>
      <c r="EV8" s="63"/>
      <c r="EW8" s="255">
        <v>2</v>
      </c>
      <c r="EX8" s="64" t="s">
        <v>4152</v>
      </c>
      <c r="EY8" s="256" t="s">
        <v>4153</v>
      </c>
      <c r="EZ8" s="64"/>
      <c r="FA8" s="255">
        <v>3</v>
      </c>
      <c r="FB8" s="64" t="s">
        <v>4154</v>
      </c>
      <c r="FC8" s="256" t="s">
        <v>4155</v>
      </c>
    </row>
    <row r="9" spans="1:159">
      <c r="A9" s="64"/>
      <c r="B9" s="207" t="s">
        <v>3142</v>
      </c>
      <c r="C9" s="17">
        <v>33</v>
      </c>
      <c r="D9" s="17"/>
      <c r="E9" s="17"/>
      <c r="F9" s="17"/>
      <c r="G9" s="17">
        <v>9</v>
      </c>
      <c r="H9" s="17">
        <f t="shared" si="0"/>
        <v>42</v>
      </c>
      <c r="I9" s="64"/>
      <c r="J9" s="211" t="s">
        <v>3143</v>
      </c>
      <c r="K9" s="212" t="s">
        <v>3144</v>
      </c>
      <c r="L9" s="213" t="s">
        <v>3131</v>
      </c>
      <c r="M9" s="214" t="s">
        <v>3145</v>
      </c>
      <c r="Q9" s="64"/>
      <c r="R9" s="15" t="s">
        <v>3256</v>
      </c>
      <c r="S9" s="230" t="s">
        <v>57</v>
      </c>
      <c r="T9" s="35" t="s">
        <v>3257</v>
      </c>
      <c r="U9" s="140" t="s">
        <v>206</v>
      </c>
      <c r="V9" s="15" t="s">
        <v>3258</v>
      </c>
      <c r="W9" s="201" t="s">
        <v>645</v>
      </c>
      <c r="X9" s="114" t="s">
        <v>3259</v>
      </c>
      <c r="Y9" s="235" t="s">
        <v>716</v>
      </c>
      <c r="AB9" s="255">
        <v>2</v>
      </c>
      <c r="AC9" s="64" t="s">
        <v>3411</v>
      </c>
      <c r="AD9" s="256" t="s">
        <v>3354</v>
      </c>
      <c r="AE9" s="64"/>
      <c r="AF9" s="255">
        <v>2</v>
      </c>
      <c r="AG9" s="64" t="s">
        <v>3412</v>
      </c>
      <c r="AH9" s="256" t="s">
        <v>108</v>
      </c>
      <c r="AI9" s="64"/>
      <c r="AJ9" s="255">
        <v>2</v>
      </c>
      <c r="AK9" s="64" t="s">
        <v>3413</v>
      </c>
      <c r="AL9" s="256" t="s">
        <v>3414</v>
      </c>
      <c r="AM9" s="63"/>
      <c r="AN9" s="255">
        <v>2</v>
      </c>
      <c r="AO9" s="64" t="s">
        <v>3415</v>
      </c>
      <c r="AP9" s="256" t="s">
        <v>3416</v>
      </c>
      <c r="AQ9" s="64"/>
      <c r="AR9" s="255">
        <v>2</v>
      </c>
      <c r="AS9" s="64" t="s">
        <v>3417</v>
      </c>
      <c r="AT9" s="256" t="s">
        <v>1361</v>
      </c>
      <c r="AU9" s="64"/>
      <c r="AV9" s="255">
        <v>2</v>
      </c>
      <c r="AW9" s="64" t="s">
        <v>3418</v>
      </c>
      <c r="AX9" s="256" t="s">
        <v>3419</v>
      </c>
      <c r="AY9" s="64"/>
      <c r="AZ9" s="255">
        <v>2</v>
      </c>
      <c r="BA9" s="64" t="s">
        <v>3420</v>
      </c>
      <c r="BB9" s="256" t="s">
        <v>3421</v>
      </c>
      <c r="BC9" s="63"/>
      <c r="BD9" s="260">
        <v>2</v>
      </c>
      <c r="BE9" s="261" t="s">
        <v>3422</v>
      </c>
      <c r="BF9" s="256" t="s">
        <v>3406</v>
      </c>
      <c r="BG9" s="64"/>
      <c r="BH9" s="255">
        <v>2</v>
      </c>
      <c r="BI9" s="260" t="s">
        <v>3423</v>
      </c>
      <c r="BJ9" s="64" t="s">
        <v>3424</v>
      </c>
      <c r="BK9" s="256"/>
      <c r="BL9" s="63">
        <v>2</v>
      </c>
      <c r="BM9" s="211" t="s">
        <v>3425</v>
      </c>
      <c r="BN9" s="215" t="s">
        <v>3426</v>
      </c>
      <c r="BO9" s="64"/>
      <c r="BP9" s="255">
        <v>1</v>
      </c>
      <c r="BQ9" s="64" t="s">
        <v>3427</v>
      </c>
      <c r="BR9" s="256" t="s">
        <v>1018</v>
      </c>
      <c r="BU9" s="255">
        <v>3</v>
      </c>
      <c r="BV9" s="64" t="s">
        <v>4156</v>
      </c>
      <c r="BW9" s="256" t="s">
        <v>3421</v>
      </c>
      <c r="BX9" s="64"/>
      <c r="BY9" s="255">
        <v>2</v>
      </c>
      <c r="BZ9" s="64" t="s">
        <v>4157</v>
      </c>
      <c r="CA9" s="256" t="s">
        <v>798</v>
      </c>
      <c r="CB9" s="64"/>
      <c r="CC9" s="255">
        <v>3</v>
      </c>
      <c r="CD9" s="64" t="s">
        <v>4158</v>
      </c>
      <c r="CE9" s="256" t="s">
        <v>4159</v>
      </c>
      <c r="CF9" s="63"/>
      <c r="CG9" s="260">
        <v>3</v>
      </c>
      <c r="CH9" s="64" t="s">
        <v>4160</v>
      </c>
      <c r="CI9" s="292" t="s">
        <v>4161</v>
      </c>
      <c r="CJ9" s="64"/>
      <c r="CK9" s="255">
        <v>3</v>
      </c>
      <c r="CL9" s="64" t="s">
        <v>4162</v>
      </c>
      <c r="CM9" s="256" t="s">
        <v>4163</v>
      </c>
      <c r="CN9" s="64"/>
      <c r="CO9" s="255">
        <v>3</v>
      </c>
      <c r="CP9" s="64" t="s">
        <v>4164</v>
      </c>
      <c r="CQ9" s="256" t="s">
        <v>1367</v>
      </c>
      <c r="CR9" s="76"/>
      <c r="CS9" s="255">
        <v>3</v>
      </c>
      <c r="CT9" s="64" t="s">
        <v>4165</v>
      </c>
      <c r="CU9" s="256" t="s">
        <v>4166</v>
      </c>
      <c r="CV9" s="64"/>
      <c r="CW9" s="255">
        <v>3</v>
      </c>
      <c r="CX9" s="64" t="s">
        <v>4167</v>
      </c>
      <c r="CY9" s="256" t="s">
        <v>4007</v>
      </c>
      <c r="CZ9" s="64"/>
      <c r="DA9" s="260">
        <v>3</v>
      </c>
      <c r="DB9" s="64" t="s">
        <v>4168</v>
      </c>
      <c r="DC9" s="292" t="s">
        <v>132</v>
      </c>
      <c r="DD9" s="64"/>
      <c r="DE9" s="63">
        <v>2</v>
      </c>
      <c r="DF9" s="64" t="s">
        <v>4169</v>
      </c>
      <c r="DG9" s="256" t="s">
        <v>4170</v>
      </c>
      <c r="DH9" s="64"/>
      <c r="DI9" s="255">
        <v>3</v>
      </c>
      <c r="DJ9" s="64" t="s">
        <v>4171</v>
      </c>
      <c r="DK9" s="256" t="s">
        <v>4172</v>
      </c>
      <c r="DL9" s="64"/>
      <c r="DM9" s="255">
        <v>2</v>
      </c>
      <c r="DN9" s="64" t="s">
        <v>4173</v>
      </c>
      <c r="DO9" s="256" t="s">
        <v>859</v>
      </c>
      <c r="DP9" s="64"/>
      <c r="DQ9" s="261">
        <v>3</v>
      </c>
      <c r="DR9" s="293" t="s">
        <v>4174</v>
      </c>
      <c r="DS9" s="256" t="s">
        <v>839</v>
      </c>
      <c r="DT9" s="64"/>
      <c r="DU9" s="255">
        <v>3</v>
      </c>
      <c r="DV9" s="64" t="s">
        <v>4175</v>
      </c>
      <c r="DW9" s="256" t="s">
        <v>1346</v>
      </c>
      <c r="DX9" s="63"/>
      <c r="DY9" s="260">
        <v>2</v>
      </c>
      <c r="DZ9" s="64" t="s">
        <v>4176</v>
      </c>
      <c r="EA9" s="292" t="s">
        <v>1633</v>
      </c>
      <c r="EB9" s="64"/>
      <c r="EC9" s="255">
        <v>3</v>
      </c>
      <c r="ED9" s="64" t="s">
        <v>4177</v>
      </c>
      <c r="EE9" s="256" t="s">
        <v>4178</v>
      </c>
      <c r="EF9" s="64"/>
      <c r="EG9" s="255">
        <v>2</v>
      </c>
      <c r="EH9" s="64" t="s">
        <v>4179</v>
      </c>
      <c r="EI9" s="76" t="s">
        <v>4180</v>
      </c>
      <c r="EJ9" s="76"/>
      <c r="EK9" s="67">
        <v>3</v>
      </c>
      <c r="EL9" s="64" t="s">
        <v>4181</v>
      </c>
      <c r="EM9" s="256" t="s">
        <v>365</v>
      </c>
      <c r="EN9" s="63"/>
      <c r="EO9" s="255">
        <v>3</v>
      </c>
      <c r="EP9" s="64" t="s">
        <v>4182</v>
      </c>
      <c r="EQ9" s="256" t="s">
        <v>4145</v>
      </c>
      <c r="ER9" s="64"/>
      <c r="ES9" s="63">
        <v>3</v>
      </c>
      <c r="ET9" s="64" t="s">
        <v>4023</v>
      </c>
      <c r="EU9" s="64" t="s">
        <v>4183</v>
      </c>
      <c r="EV9" s="63"/>
      <c r="EW9" s="255">
        <v>2</v>
      </c>
      <c r="EX9" s="64" t="s">
        <v>4184</v>
      </c>
      <c r="EY9" s="256" t="s">
        <v>4185</v>
      </c>
      <c r="EZ9" s="64"/>
      <c r="FA9" s="255">
        <v>3</v>
      </c>
      <c r="FB9" s="64" t="s">
        <v>4186</v>
      </c>
      <c r="FC9" s="256" t="s">
        <v>4187</v>
      </c>
    </row>
    <row r="10" spans="1:159">
      <c r="A10" s="64"/>
      <c r="B10" s="207" t="s">
        <v>3146</v>
      </c>
      <c r="C10" s="17">
        <v>20</v>
      </c>
      <c r="D10" s="17"/>
      <c r="E10" s="17"/>
      <c r="F10" s="17"/>
      <c r="G10" s="17">
        <v>4</v>
      </c>
      <c r="H10" s="17">
        <f t="shared" si="0"/>
        <v>24</v>
      </c>
      <c r="I10" s="64"/>
      <c r="J10" s="211" t="s">
        <v>3147</v>
      </c>
      <c r="K10" s="212" t="s">
        <v>3148</v>
      </c>
      <c r="L10" s="213" t="s">
        <v>3131</v>
      </c>
      <c r="M10" s="214" t="s">
        <v>3149</v>
      </c>
      <c r="Q10" s="64"/>
      <c r="R10" s="15" t="s">
        <v>3260</v>
      </c>
      <c r="S10" s="230" t="s">
        <v>2017</v>
      </c>
      <c r="T10" s="35" t="s">
        <v>3261</v>
      </c>
      <c r="U10" s="140" t="s">
        <v>186</v>
      </c>
      <c r="V10" s="15" t="s">
        <v>3262</v>
      </c>
      <c r="W10" s="201" t="s">
        <v>273</v>
      </c>
      <c r="X10" s="114" t="s">
        <v>3263</v>
      </c>
      <c r="Y10" s="235" t="s">
        <v>251</v>
      </c>
      <c r="AB10" s="255">
        <v>2</v>
      </c>
      <c r="AC10" s="64" t="s">
        <v>3428</v>
      </c>
      <c r="AD10" s="256" t="s">
        <v>821</v>
      </c>
      <c r="AE10" s="64"/>
      <c r="AF10" s="255">
        <v>2</v>
      </c>
      <c r="AG10" s="64" t="s">
        <v>3429</v>
      </c>
      <c r="AH10" s="256" t="s">
        <v>1274</v>
      </c>
      <c r="AI10" s="64"/>
      <c r="AJ10" s="255">
        <v>2</v>
      </c>
      <c r="AK10" s="64" t="s">
        <v>3430</v>
      </c>
      <c r="AL10" s="256" t="s">
        <v>3431</v>
      </c>
      <c r="AM10" s="63"/>
      <c r="AN10" s="255">
        <v>2</v>
      </c>
      <c r="AO10" s="64" t="s">
        <v>3432</v>
      </c>
      <c r="AP10" s="256" t="s">
        <v>3433</v>
      </c>
      <c r="AQ10" s="64"/>
      <c r="AR10" s="255">
        <v>2</v>
      </c>
      <c r="AS10" s="64" t="s">
        <v>3434</v>
      </c>
      <c r="AT10" s="256" t="s">
        <v>3435</v>
      </c>
      <c r="AU10" s="64"/>
      <c r="AV10" s="255">
        <v>2</v>
      </c>
      <c r="AW10" s="64" t="s">
        <v>3436</v>
      </c>
      <c r="AX10" s="256" t="s">
        <v>3389</v>
      </c>
      <c r="AY10" s="64"/>
      <c r="AZ10" s="255">
        <v>2</v>
      </c>
      <c r="BA10" s="64" t="s">
        <v>3437</v>
      </c>
      <c r="BB10" s="256" t="s">
        <v>3438</v>
      </c>
      <c r="BC10" s="63"/>
      <c r="BD10" s="260">
        <v>2</v>
      </c>
      <c r="BE10" s="261" t="s">
        <v>3439</v>
      </c>
      <c r="BF10" s="256" t="s">
        <v>3440</v>
      </c>
      <c r="BG10" s="64"/>
      <c r="BH10" s="255">
        <v>2</v>
      </c>
      <c r="BI10" s="260" t="s">
        <v>3441</v>
      </c>
      <c r="BJ10" s="64" t="s">
        <v>3442</v>
      </c>
      <c r="BK10" s="256"/>
      <c r="BL10" s="63">
        <v>2</v>
      </c>
      <c r="BM10" s="211" t="s">
        <v>3443</v>
      </c>
      <c r="BN10" s="215" t="s">
        <v>3444</v>
      </c>
      <c r="BO10" s="64"/>
      <c r="BP10" s="255">
        <v>2</v>
      </c>
      <c r="BQ10" s="64" t="s">
        <v>3445</v>
      </c>
      <c r="BR10" s="256" t="s">
        <v>1027</v>
      </c>
      <c r="BU10" s="255">
        <v>3</v>
      </c>
      <c r="BV10" s="64" t="s">
        <v>4188</v>
      </c>
      <c r="BW10" s="256" t="s">
        <v>4189</v>
      </c>
      <c r="BX10" s="64"/>
      <c r="BY10" s="63">
        <v>2</v>
      </c>
      <c r="BZ10" s="64" t="s">
        <v>4190</v>
      </c>
      <c r="CA10" s="256" t="s">
        <v>945</v>
      </c>
      <c r="CB10" s="64"/>
      <c r="CC10" s="255">
        <v>3</v>
      </c>
      <c r="CD10" s="64" t="s">
        <v>4191</v>
      </c>
      <c r="CE10" s="256" t="s">
        <v>4192</v>
      </c>
      <c r="CF10" s="63"/>
      <c r="CG10" s="260">
        <v>3</v>
      </c>
      <c r="CH10" s="64" t="s">
        <v>4193</v>
      </c>
      <c r="CI10" s="292" t="s">
        <v>4194</v>
      </c>
      <c r="CJ10" s="64"/>
      <c r="CK10" s="255">
        <v>4</v>
      </c>
      <c r="CL10" s="64" t="s">
        <v>4195</v>
      </c>
      <c r="CM10" s="256" t="s">
        <v>4196</v>
      </c>
      <c r="CN10" s="64"/>
      <c r="CO10" s="255">
        <v>3</v>
      </c>
      <c r="CP10" s="64" t="s">
        <v>4197</v>
      </c>
      <c r="CQ10" s="256" t="s">
        <v>4198</v>
      </c>
      <c r="CR10" s="76"/>
      <c r="CS10" s="255">
        <v>3</v>
      </c>
      <c r="CT10" s="64" t="s">
        <v>4199</v>
      </c>
      <c r="CU10" s="256" t="s">
        <v>3672</v>
      </c>
      <c r="CV10" s="64"/>
      <c r="CW10" s="255">
        <v>3</v>
      </c>
      <c r="CX10" s="64" t="s">
        <v>4200</v>
      </c>
      <c r="CY10" s="256" t="s">
        <v>3828</v>
      </c>
      <c r="CZ10" s="64"/>
      <c r="DA10" s="260">
        <v>3</v>
      </c>
      <c r="DB10" s="64" t="s">
        <v>4201</v>
      </c>
      <c r="DC10" s="292" t="s">
        <v>4202</v>
      </c>
      <c r="DD10" s="64"/>
      <c r="DE10" s="255">
        <v>2</v>
      </c>
      <c r="DF10" s="64" t="s">
        <v>4203</v>
      </c>
      <c r="DG10" s="256" t="s">
        <v>79</v>
      </c>
      <c r="DH10" s="64"/>
      <c r="DI10" s="255">
        <v>3</v>
      </c>
      <c r="DJ10" s="64" t="s">
        <v>4204</v>
      </c>
      <c r="DK10" s="256" t="s">
        <v>4205</v>
      </c>
      <c r="DL10" s="64"/>
      <c r="DM10" s="255">
        <v>3</v>
      </c>
      <c r="DN10" s="64" t="s">
        <v>4206</v>
      </c>
      <c r="DO10" s="256" t="s">
        <v>4207</v>
      </c>
      <c r="DP10" s="64"/>
      <c r="DQ10" s="261">
        <v>3</v>
      </c>
      <c r="DR10" s="293" t="s">
        <v>4208</v>
      </c>
      <c r="DS10" s="256" t="s">
        <v>4209</v>
      </c>
      <c r="DT10" s="64"/>
      <c r="DU10" s="255">
        <v>3</v>
      </c>
      <c r="DV10" s="64" t="s">
        <v>4210</v>
      </c>
      <c r="DW10" s="256" t="s">
        <v>4211</v>
      </c>
      <c r="DX10" s="63"/>
      <c r="DY10" s="63">
        <v>2</v>
      </c>
      <c r="DZ10" s="64" t="s">
        <v>4212</v>
      </c>
      <c r="EA10" s="292" t="s">
        <v>3374</v>
      </c>
      <c r="EB10" s="64"/>
      <c r="EC10" s="255">
        <v>3</v>
      </c>
      <c r="ED10" s="64" t="s">
        <v>4213</v>
      </c>
      <c r="EE10" s="256" t="s">
        <v>1437</v>
      </c>
      <c r="EF10" s="64"/>
      <c r="EG10" s="255">
        <v>2</v>
      </c>
      <c r="EH10" s="64" t="s">
        <v>4214</v>
      </c>
      <c r="EI10" s="76" t="s">
        <v>2790</v>
      </c>
      <c r="EJ10" s="76"/>
      <c r="EK10" s="67">
        <v>3</v>
      </c>
      <c r="EL10" s="64" t="s">
        <v>4215</v>
      </c>
      <c r="EM10" s="256" t="s">
        <v>4216</v>
      </c>
      <c r="EN10" s="63"/>
      <c r="EO10" s="255">
        <v>3</v>
      </c>
      <c r="EP10" s="64" t="s">
        <v>4217</v>
      </c>
      <c r="EQ10" s="256" t="s">
        <v>4218</v>
      </c>
      <c r="ER10" s="64"/>
      <c r="ES10" s="255">
        <v>3</v>
      </c>
      <c r="ET10" s="64" t="s">
        <v>4219</v>
      </c>
      <c r="EU10" s="256" t="s">
        <v>4220</v>
      </c>
      <c r="EV10" s="63"/>
      <c r="EW10" s="255">
        <v>3</v>
      </c>
      <c r="EX10" s="64" t="s">
        <v>4221</v>
      </c>
      <c r="EY10" s="256" t="s">
        <v>4222</v>
      </c>
      <c r="EZ10" s="64"/>
      <c r="FA10" s="63">
        <v>3</v>
      </c>
      <c r="FB10" s="64" t="s">
        <v>4223</v>
      </c>
      <c r="FC10" s="256" t="s">
        <v>4224</v>
      </c>
    </row>
    <row r="11" spans="1:159" ht="15.75" thickBot="1">
      <c r="A11" s="64"/>
      <c r="B11" s="207" t="s">
        <v>3150</v>
      </c>
      <c r="C11" s="17">
        <v>20</v>
      </c>
      <c r="D11" s="17"/>
      <c r="E11" s="17"/>
      <c r="F11" s="17"/>
      <c r="G11" s="17">
        <v>4</v>
      </c>
      <c r="H11" s="17">
        <f t="shared" si="0"/>
        <v>24</v>
      </c>
      <c r="I11" s="64"/>
      <c r="J11" s="211" t="s">
        <v>3151</v>
      </c>
      <c r="K11" s="212" t="s">
        <v>3152</v>
      </c>
      <c r="L11" s="213" t="s">
        <v>3153</v>
      </c>
      <c r="M11" s="214" t="s">
        <v>3154</v>
      </c>
      <c r="Q11" s="64"/>
      <c r="R11" s="238" t="s">
        <v>3264</v>
      </c>
      <c r="S11" s="239" t="s">
        <v>1415</v>
      </c>
      <c r="T11" s="35" t="s">
        <v>3265</v>
      </c>
      <c r="U11" s="140" t="s">
        <v>1033</v>
      </c>
      <c r="V11" s="15" t="s">
        <v>3266</v>
      </c>
      <c r="W11" s="201" t="s">
        <v>668</v>
      </c>
      <c r="X11" s="114" t="s">
        <v>3267</v>
      </c>
      <c r="Y11" s="230" t="s">
        <v>1225</v>
      </c>
      <c r="AB11" s="255">
        <v>2</v>
      </c>
      <c r="AC11" s="64" t="s">
        <v>3446</v>
      </c>
      <c r="AD11" s="256" t="s">
        <v>811</v>
      </c>
      <c r="AE11" s="64"/>
      <c r="AF11" s="255">
        <v>2</v>
      </c>
      <c r="AG11" s="64" t="s">
        <v>3447</v>
      </c>
      <c r="AH11" s="256" t="s">
        <v>1315</v>
      </c>
      <c r="AI11" s="64"/>
      <c r="AJ11" s="255">
        <v>2</v>
      </c>
      <c r="AK11" s="64" t="s">
        <v>3448</v>
      </c>
      <c r="AL11" s="256" t="s">
        <v>3449</v>
      </c>
      <c r="AM11" s="63"/>
      <c r="AN11" s="255">
        <v>2</v>
      </c>
      <c r="AO11" s="64" t="s">
        <v>3450</v>
      </c>
      <c r="AP11" s="256" t="s">
        <v>1330</v>
      </c>
      <c r="AQ11" s="64"/>
      <c r="AR11" s="255">
        <v>2</v>
      </c>
      <c r="AS11" s="64" t="s">
        <v>3451</v>
      </c>
      <c r="AT11" s="256" t="s">
        <v>3452</v>
      </c>
      <c r="AU11" s="64"/>
      <c r="AV11" s="255">
        <v>2</v>
      </c>
      <c r="AW11" s="64" t="s">
        <v>3453</v>
      </c>
      <c r="AX11" s="256" t="s">
        <v>3454</v>
      </c>
      <c r="AY11" s="64"/>
      <c r="AZ11" s="255">
        <v>2</v>
      </c>
      <c r="BA11" s="64" t="s">
        <v>3455</v>
      </c>
      <c r="BB11" s="256" t="s">
        <v>3456</v>
      </c>
      <c r="BC11" s="63"/>
      <c r="BD11" s="260">
        <v>2</v>
      </c>
      <c r="BE11" s="261" t="s">
        <v>3457</v>
      </c>
      <c r="BF11" s="256" t="s">
        <v>3458</v>
      </c>
      <c r="BG11" s="64"/>
      <c r="BH11" s="255">
        <v>2</v>
      </c>
      <c r="BI11" s="260" t="s">
        <v>3459</v>
      </c>
      <c r="BJ11" s="64" t="s">
        <v>2888</v>
      </c>
      <c r="BK11" s="256"/>
      <c r="BL11" s="63">
        <v>2</v>
      </c>
      <c r="BM11" s="211" t="s">
        <v>3460</v>
      </c>
      <c r="BN11" s="215" t="s">
        <v>3461</v>
      </c>
      <c r="BO11" s="64"/>
      <c r="BP11" s="255">
        <v>2</v>
      </c>
      <c r="BQ11" s="64" t="s">
        <v>3462</v>
      </c>
      <c r="BR11" s="256" t="s">
        <v>3463</v>
      </c>
      <c r="BU11" s="255">
        <v>3</v>
      </c>
      <c r="BV11" s="64" t="s">
        <v>4225</v>
      </c>
      <c r="BW11" s="256" t="s">
        <v>3348</v>
      </c>
      <c r="BX11" s="64"/>
      <c r="BY11" s="255">
        <v>2</v>
      </c>
      <c r="BZ11" s="64" t="s">
        <v>4226</v>
      </c>
      <c r="CA11" s="256" t="s">
        <v>4227</v>
      </c>
      <c r="CB11" s="64"/>
      <c r="CC11" s="255">
        <v>3</v>
      </c>
      <c r="CD11" s="64" t="s">
        <v>4228</v>
      </c>
      <c r="CE11" s="256" t="s">
        <v>4229</v>
      </c>
      <c r="CF11" s="63"/>
      <c r="CG11" s="63">
        <v>3</v>
      </c>
      <c r="CH11" s="64" t="s">
        <v>4230</v>
      </c>
      <c r="CI11" s="292" t="s">
        <v>4231</v>
      </c>
      <c r="CJ11" s="64"/>
      <c r="CK11" s="255">
        <v>4</v>
      </c>
      <c r="CL11" s="64" t="s">
        <v>4232</v>
      </c>
      <c r="CM11" s="256" t="s">
        <v>4233</v>
      </c>
      <c r="CN11" s="64"/>
      <c r="CO11" s="255">
        <v>3</v>
      </c>
      <c r="CP11" s="64" t="s">
        <v>4234</v>
      </c>
      <c r="CQ11" s="256" t="s">
        <v>1387</v>
      </c>
      <c r="CR11" s="76"/>
      <c r="CS11" s="255">
        <v>3</v>
      </c>
      <c r="CT11" s="64" t="s">
        <v>4235</v>
      </c>
      <c r="CU11" s="256" t="s">
        <v>3435</v>
      </c>
      <c r="CV11" s="64"/>
      <c r="CW11" s="255">
        <v>3</v>
      </c>
      <c r="CX11" s="64" t="s">
        <v>4236</v>
      </c>
      <c r="CY11" s="256" t="s">
        <v>4237</v>
      </c>
      <c r="CZ11" s="64"/>
      <c r="DA11" s="260">
        <v>3</v>
      </c>
      <c r="DB11" s="64" t="s">
        <v>4238</v>
      </c>
      <c r="DC11" s="292" t="s">
        <v>1944</v>
      </c>
      <c r="DD11" s="64"/>
      <c r="DE11" s="255">
        <v>2</v>
      </c>
      <c r="DF11" s="64" t="s">
        <v>4239</v>
      </c>
      <c r="DG11" s="256" t="s">
        <v>1837</v>
      </c>
      <c r="DH11" s="64"/>
      <c r="DI11" s="255">
        <v>4</v>
      </c>
      <c r="DJ11" s="64" t="s">
        <v>4240</v>
      </c>
      <c r="DK11" s="256" t="s">
        <v>4241</v>
      </c>
      <c r="DL11" s="64"/>
      <c r="DM11" s="255">
        <v>3</v>
      </c>
      <c r="DN11" s="64" t="s">
        <v>4242</v>
      </c>
      <c r="DO11" s="256" t="s">
        <v>922</v>
      </c>
      <c r="DP11" s="64"/>
      <c r="DQ11" s="261">
        <v>3</v>
      </c>
      <c r="DR11" s="293" t="s">
        <v>4243</v>
      </c>
      <c r="DS11" s="256" t="s">
        <v>4244</v>
      </c>
      <c r="DT11" s="64"/>
      <c r="DU11" s="255">
        <v>3</v>
      </c>
      <c r="DV11" s="64" t="s">
        <v>4245</v>
      </c>
      <c r="DW11" s="256" t="s">
        <v>4246</v>
      </c>
      <c r="DX11" s="63"/>
      <c r="DY11" s="260">
        <v>2</v>
      </c>
      <c r="DZ11" s="64" t="s">
        <v>4247</v>
      </c>
      <c r="EA11" s="292" t="s">
        <v>1409</v>
      </c>
      <c r="EB11" s="64"/>
      <c r="EC11" s="255">
        <v>4</v>
      </c>
      <c r="ED11" s="64" t="s">
        <v>4248</v>
      </c>
      <c r="EE11" s="256" t="s">
        <v>4249</v>
      </c>
      <c r="EF11" s="64"/>
      <c r="EG11" s="255">
        <v>2</v>
      </c>
      <c r="EH11" s="64" t="s">
        <v>4250</v>
      </c>
      <c r="EI11" s="76" t="s">
        <v>4251</v>
      </c>
      <c r="EJ11" s="76"/>
      <c r="EK11" s="67">
        <v>4</v>
      </c>
      <c r="EL11" s="64" t="s">
        <v>4252</v>
      </c>
      <c r="EM11" s="256" t="s">
        <v>4253</v>
      </c>
      <c r="EN11" s="63"/>
      <c r="EO11" s="255">
        <v>3</v>
      </c>
      <c r="EP11" s="64" t="s">
        <v>4254</v>
      </c>
      <c r="EQ11" s="256" t="s">
        <v>3688</v>
      </c>
      <c r="ER11" s="64"/>
      <c r="ES11" s="255">
        <v>4</v>
      </c>
      <c r="ET11" s="64" t="s">
        <v>4255</v>
      </c>
      <c r="EU11" s="256" t="s">
        <v>4256</v>
      </c>
      <c r="EV11" s="63"/>
      <c r="EW11" s="255">
        <v>3</v>
      </c>
      <c r="EX11" s="64" t="s">
        <v>4257</v>
      </c>
      <c r="EY11" s="256" t="s">
        <v>3604</v>
      </c>
      <c r="EZ11" s="64"/>
      <c r="FA11" s="255">
        <v>4</v>
      </c>
      <c r="FB11" s="64" t="s">
        <v>4258</v>
      </c>
      <c r="FC11" s="256" t="s">
        <v>4089</v>
      </c>
    </row>
    <row r="12" spans="1:159">
      <c r="A12" s="64"/>
      <c r="B12" s="207" t="s">
        <v>3155</v>
      </c>
      <c r="C12" s="17">
        <v>20</v>
      </c>
      <c r="D12" s="17"/>
      <c r="E12" s="17"/>
      <c r="F12" s="17"/>
      <c r="G12" s="17">
        <v>4</v>
      </c>
      <c r="H12" s="17">
        <f t="shared" si="0"/>
        <v>24</v>
      </c>
      <c r="I12" s="64"/>
      <c r="J12" s="211" t="s">
        <v>4</v>
      </c>
      <c r="K12" s="212" t="s">
        <v>3156</v>
      </c>
      <c r="L12" s="213" t="s">
        <v>3157</v>
      </c>
      <c r="M12" s="214" t="s">
        <v>3158</v>
      </c>
      <c r="Q12" s="64"/>
      <c r="R12" s="65"/>
      <c r="S12" s="65"/>
      <c r="T12" s="15" t="s">
        <v>3268</v>
      </c>
      <c r="U12" s="140" t="s">
        <v>1536</v>
      </c>
      <c r="V12" s="15" t="s">
        <v>3269</v>
      </c>
      <c r="W12" s="140" t="s">
        <v>3270</v>
      </c>
      <c r="X12" s="114" t="s">
        <v>3271</v>
      </c>
      <c r="Y12" s="235" t="s">
        <v>694</v>
      </c>
      <c r="AB12" s="255">
        <v>2</v>
      </c>
      <c r="AC12" s="64" t="s">
        <v>3464</v>
      </c>
      <c r="AD12" s="256" t="s">
        <v>854</v>
      </c>
      <c r="AE12" s="64"/>
      <c r="AF12" s="255">
        <v>2</v>
      </c>
      <c r="AG12" s="64" t="s">
        <v>3465</v>
      </c>
      <c r="AH12" s="256" t="s">
        <v>3466</v>
      </c>
      <c r="AI12" s="64"/>
      <c r="AJ12" s="255">
        <v>2</v>
      </c>
      <c r="AK12" s="64" t="s">
        <v>3467</v>
      </c>
      <c r="AL12" s="256" t="s">
        <v>523</v>
      </c>
      <c r="AM12" s="63"/>
      <c r="AN12" s="255">
        <v>2</v>
      </c>
      <c r="AO12" s="64" t="s">
        <v>3468</v>
      </c>
      <c r="AP12" s="256" t="s">
        <v>2642</v>
      </c>
      <c r="AQ12" s="64"/>
      <c r="AR12" s="255">
        <v>2</v>
      </c>
      <c r="AS12" s="64" t="s">
        <v>3469</v>
      </c>
      <c r="AT12" s="256" t="s">
        <v>3470</v>
      </c>
      <c r="AU12" s="64"/>
      <c r="AV12" s="255">
        <v>2</v>
      </c>
      <c r="AW12" s="64" t="s">
        <v>3471</v>
      </c>
      <c r="AX12" s="256" t="s">
        <v>811</v>
      </c>
      <c r="AY12" s="64"/>
      <c r="AZ12" s="255">
        <v>2</v>
      </c>
      <c r="BA12" s="64" t="s">
        <v>3472</v>
      </c>
      <c r="BB12" s="256" t="s">
        <v>3473</v>
      </c>
      <c r="BC12" s="63"/>
      <c r="BD12" s="260">
        <v>2</v>
      </c>
      <c r="BE12" s="261" t="s">
        <v>3474</v>
      </c>
      <c r="BF12" s="256" t="s">
        <v>877</v>
      </c>
      <c r="BG12" s="64"/>
      <c r="BH12" s="255">
        <v>2</v>
      </c>
      <c r="BI12" s="260" t="s">
        <v>3475</v>
      </c>
      <c r="BJ12" s="64" t="s">
        <v>3476</v>
      </c>
      <c r="BK12" s="256"/>
      <c r="BL12" s="63">
        <v>2</v>
      </c>
      <c r="BM12" s="211" t="s">
        <v>3477</v>
      </c>
      <c r="BN12" s="215" t="s">
        <v>3426</v>
      </c>
      <c r="BO12" s="64"/>
      <c r="BP12" s="255">
        <v>2</v>
      </c>
      <c r="BQ12" s="64" t="s">
        <v>3478</v>
      </c>
      <c r="BR12" s="256" t="s">
        <v>3479</v>
      </c>
      <c r="BU12" s="255">
        <v>4</v>
      </c>
      <c r="BV12" s="64" t="s">
        <v>4259</v>
      </c>
      <c r="BW12" s="256" t="s">
        <v>1643</v>
      </c>
      <c r="BX12" s="64"/>
      <c r="BY12" s="255">
        <v>3</v>
      </c>
      <c r="BZ12" s="64" t="s">
        <v>4260</v>
      </c>
      <c r="CA12" s="256" t="s">
        <v>148</v>
      </c>
      <c r="CB12" s="64"/>
      <c r="CC12" s="255">
        <v>4</v>
      </c>
      <c r="CD12" s="64" t="s">
        <v>4261</v>
      </c>
      <c r="CE12" s="256" t="s">
        <v>1807</v>
      </c>
      <c r="CF12" s="63"/>
      <c r="CG12" s="260">
        <v>4</v>
      </c>
      <c r="CH12" s="64" t="s">
        <v>4262</v>
      </c>
      <c r="CI12" s="292" t="s">
        <v>4263</v>
      </c>
      <c r="CJ12" s="64"/>
      <c r="CK12" s="255">
        <v>4</v>
      </c>
      <c r="CL12" s="64" t="s">
        <v>4264</v>
      </c>
      <c r="CM12" s="256" t="s">
        <v>4246</v>
      </c>
      <c r="CN12" s="64"/>
      <c r="CO12" s="255">
        <v>4</v>
      </c>
      <c r="CP12" s="64" t="s">
        <v>4265</v>
      </c>
      <c r="CQ12" s="256" t="s">
        <v>4266</v>
      </c>
      <c r="CR12" s="76"/>
      <c r="CS12" s="255">
        <v>4</v>
      </c>
      <c r="CT12" s="64" t="s">
        <v>4267</v>
      </c>
      <c r="CU12" s="256" t="s">
        <v>3632</v>
      </c>
      <c r="CV12" s="64"/>
      <c r="CW12" s="255">
        <v>4</v>
      </c>
      <c r="CX12" s="64" t="s">
        <v>4268</v>
      </c>
      <c r="CY12" s="256" t="s">
        <v>3381</v>
      </c>
      <c r="CZ12" s="64"/>
      <c r="DA12" s="260">
        <v>4</v>
      </c>
      <c r="DB12" s="64" t="s">
        <v>4269</v>
      </c>
      <c r="DC12" s="292" t="s">
        <v>4270</v>
      </c>
      <c r="DD12" s="64"/>
      <c r="DE12" s="255">
        <v>3</v>
      </c>
      <c r="DF12" s="64" t="s">
        <v>4271</v>
      </c>
      <c r="DG12" s="256" t="s">
        <v>4272</v>
      </c>
      <c r="DH12" s="64"/>
      <c r="DI12" s="255">
        <v>4</v>
      </c>
      <c r="DJ12" s="64" t="s">
        <v>4273</v>
      </c>
      <c r="DK12" s="256" t="s">
        <v>4274</v>
      </c>
      <c r="DL12" s="64"/>
      <c r="DM12" s="255">
        <v>3</v>
      </c>
      <c r="DN12" s="64" t="s">
        <v>4275</v>
      </c>
      <c r="DO12" s="256" t="s">
        <v>4276</v>
      </c>
      <c r="DP12" s="64"/>
      <c r="DQ12" s="261">
        <v>4</v>
      </c>
      <c r="DR12" s="293" t="s">
        <v>4277</v>
      </c>
      <c r="DS12" s="256" t="s">
        <v>4014</v>
      </c>
      <c r="DT12" s="64"/>
      <c r="DU12" s="255">
        <v>4</v>
      </c>
      <c r="DV12" s="64" t="s">
        <v>4278</v>
      </c>
      <c r="DW12" s="256" t="s">
        <v>1408</v>
      </c>
      <c r="DX12" s="63"/>
      <c r="DY12" s="260">
        <v>2</v>
      </c>
      <c r="DZ12" s="64" t="s">
        <v>4279</v>
      </c>
      <c r="EA12" s="292" t="s">
        <v>1370</v>
      </c>
      <c r="EB12" s="64"/>
      <c r="EC12" s="255">
        <v>4</v>
      </c>
      <c r="ED12" s="64" t="s">
        <v>4280</v>
      </c>
      <c r="EE12" s="256" t="s">
        <v>1658</v>
      </c>
      <c r="EF12" s="64"/>
      <c r="EG12" s="255">
        <v>2</v>
      </c>
      <c r="EH12" s="64" t="s">
        <v>4281</v>
      </c>
      <c r="EI12" s="76" t="s">
        <v>4282</v>
      </c>
      <c r="EJ12" s="76"/>
      <c r="EK12" s="63">
        <v>4</v>
      </c>
      <c r="EL12" s="64" t="s">
        <v>4283</v>
      </c>
      <c r="EM12" s="256" t="s">
        <v>4284</v>
      </c>
      <c r="EN12" s="63"/>
      <c r="EO12" s="255">
        <v>3</v>
      </c>
      <c r="EP12" s="64" t="s">
        <v>4285</v>
      </c>
      <c r="EQ12" s="256" t="s">
        <v>1772</v>
      </c>
      <c r="ER12" s="64"/>
      <c r="ES12" s="255">
        <v>4</v>
      </c>
      <c r="ET12" s="64" t="s">
        <v>4286</v>
      </c>
      <c r="EU12" s="256" t="s">
        <v>4287</v>
      </c>
      <c r="EV12" s="63"/>
      <c r="EW12" s="255">
        <v>3</v>
      </c>
      <c r="EX12" s="64" t="s">
        <v>4288</v>
      </c>
      <c r="EY12" s="256" t="s">
        <v>4289</v>
      </c>
      <c r="EZ12" s="64"/>
      <c r="FA12" s="255">
        <v>4</v>
      </c>
      <c r="FB12" s="64" t="s">
        <v>4290</v>
      </c>
      <c r="FC12" s="256" t="s">
        <v>4056</v>
      </c>
    </row>
    <row r="13" spans="1:159">
      <c r="A13" s="64"/>
      <c r="B13" s="207" t="s">
        <v>3159</v>
      </c>
      <c r="C13" s="17">
        <v>8</v>
      </c>
      <c r="D13" s="216">
        <v>38</v>
      </c>
      <c r="E13" s="17">
        <v>11</v>
      </c>
      <c r="F13" s="17">
        <v>19</v>
      </c>
      <c r="G13" s="17">
        <f>SUM(C13:F13)</f>
        <v>76</v>
      </c>
      <c r="H13" s="17">
        <f t="shared" si="0"/>
        <v>84</v>
      </c>
      <c r="I13" s="64"/>
      <c r="J13" s="211" t="s">
        <v>3160</v>
      </c>
      <c r="K13" s="212" t="s">
        <v>3161</v>
      </c>
      <c r="L13" s="213" t="s">
        <v>3162</v>
      </c>
      <c r="M13" s="214" t="s">
        <v>3163</v>
      </c>
      <c r="Q13" s="64"/>
      <c r="R13" s="65"/>
      <c r="S13" s="65"/>
      <c r="T13" s="15" t="s">
        <v>3272</v>
      </c>
      <c r="U13" s="140" t="s">
        <v>3273</v>
      </c>
      <c r="V13" s="15" t="s">
        <v>3274</v>
      </c>
      <c r="W13" s="140" t="s">
        <v>1915</v>
      </c>
      <c r="X13" s="114" t="s">
        <v>3275</v>
      </c>
      <c r="Y13" s="235" t="s">
        <v>707</v>
      </c>
      <c r="AB13" s="255">
        <v>3</v>
      </c>
      <c r="AC13" s="64" t="s">
        <v>3480</v>
      </c>
      <c r="AD13" s="256" t="s">
        <v>889</v>
      </c>
      <c r="AE13" s="64"/>
      <c r="AF13" s="255">
        <v>2</v>
      </c>
      <c r="AG13" s="64" t="s">
        <v>3481</v>
      </c>
      <c r="AH13" s="256" t="s">
        <v>3482</v>
      </c>
      <c r="AI13" s="64"/>
      <c r="AJ13" s="255">
        <v>3</v>
      </c>
      <c r="AK13" s="64" t="s">
        <v>3483</v>
      </c>
      <c r="AL13" s="256" t="s">
        <v>3484</v>
      </c>
      <c r="AM13" s="63"/>
      <c r="AN13" s="255">
        <v>3</v>
      </c>
      <c r="AO13" s="64" t="s">
        <v>3485</v>
      </c>
      <c r="AP13" s="256" t="s">
        <v>888</v>
      </c>
      <c r="AQ13" s="64"/>
      <c r="AR13" s="255">
        <v>3</v>
      </c>
      <c r="AS13" s="64" t="s">
        <v>3486</v>
      </c>
      <c r="AT13" s="256" t="s">
        <v>3487</v>
      </c>
      <c r="AU13" s="64"/>
      <c r="AV13" s="255">
        <v>3</v>
      </c>
      <c r="AW13" s="64" t="s">
        <v>3488</v>
      </c>
      <c r="AX13" s="256" t="s">
        <v>3454</v>
      </c>
      <c r="AY13" s="64"/>
      <c r="AZ13" s="255">
        <v>2</v>
      </c>
      <c r="BA13" s="64" t="s">
        <v>3489</v>
      </c>
      <c r="BB13" s="256" t="s">
        <v>3456</v>
      </c>
      <c r="BC13" s="63"/>
      <c r="BD13" s="260">
        <v>3</v>
      </c>
      <c r="BE13" s="261" t="s">
        <v>3490</v>
      </c>
      <c r="BF13" s="256" t="s">
        <v>3354</v>
      </c>
      <c r="BG13" s="64"/>
      <c r="BH13" s="255">
        <v>2</v>
      </c>
      <c r="BI13" s="260" t="s">
        <v>3491</v>
      </c>
      <c r="BJ13" s="64" t="s">
        <v>3492</v>
      </c>
      <c r="BK13" s="256"/>
      <c r="BL13" s="63">
        <v>3</v>
      </c>
      <c r="BM13" s="211" t="s">
        <v>3493</v>
      </c>
      <c r="BN13" s="215" t="s">
        <v>3494</v>
      </c>
      <c r="BO13" s="64"/>
      <c r="BP13" s="255">
        <v>2</v>
      </c>
      <c r="BQ13" s="64" t="s">
        <v>3495</v>
      </c>
      <c r="BR13" s="256" t="s">
        <v>405</v>
      </c>
      <c r="BU13" s="255">
        <v>4</v>
      </c>
      <c r="BV13" s="64" t="s">
        <v>4291</v>
      </c>
      <c r="BW13" s="256" t="s">
        <v>4292</v>
      </c>
      <c r="BX13" s="64"/>
      <c r="BY13" s="255">
        <v>3</v>
      </c>
      <c r="BZ13" s="64" t="s">
        <v>4293</v>
      </c>
      <c r="CA13" s="256" t="s">
        <v>1385</v>
      </c>
      <c r="CB13" s="64"/>
      <c r="CC13" s="255">
        <v>4</v>
      </c>
      <c r="CD13" s="64" t="s">
        <v>4294</v>
      </c>
      <c r="CE13" s="256" t="s">
        <v>2719</v>
      </c>
      <c r="CF13" s="63"/>
      <c r="CG13" s="260">
        <v>4</v>
      </c>
      <c r="CH13" s="64" t="s">
        <v>4295</v>
      </c>
      <c r="CI13" s="292" t="s">
        <v>3675</v>
      </c>
      <c r="CJ13" s="64"/>
      <c r="CK13" s="255">
        <v>5</v>
      </c>
      <c r="CL13" s="64" t="s">
        <v>4296</v>
      </c>
      <c r="CM13" s="256" t="s">
        <v>4297</v>
      </c>
      <c r="CN13" s="64"/>
      <c r="CO13" s="255">
        <v>4</v>
      </c>
      <c r="CP13" s="64" t="s">
        <v>4298</v>
      </c>
      <c r="CQ13" s="256" t="s">
        <v>1407</v>
      </c>
      <c r="CR13" s="76"/>
      <c r="CS13" s="255">
        <v>4</v>
      </c>
      <c r="CT13" s="64" t="s">
        <v>4299</v>
      </c>
      <c r="CU13" s="256" t="s">
        <v>3672</v>
      </c>
      <c r="CV13" s="64"/>
      <c r="CW13" s="255">
        <v>4</v>
      </c>
      <c r="CX13" s="64" t="s">
        <v>4300</v>
      </c>
      <c r="CY13" s="256" t="s">
        <v>4301</v>
      </c>
      <c r="CZ13" s="64"/>
      <c r="DA13" s="63">
        <v>4</v>
      </c>
      <c r="DB13" s="64" t="s">
        <v>4302</v>
      </c>
      <c r="DC13" s="292" t="s">
        <v>1947</v>
      </c>
      <c r="DD13" s="64"/>
      <c r="DE13" s="255">
        <v>3</v>
      </c>
      <c r="DF13" s="64" t="s">
        <v>4303</v>
      </c>
      <c r="DG13" s="256" t="s">
        <v>4304</v>
      </c>
      <c r="DH13" s="64"/>
      <c r="DI13" s="255">
        <v>4</v>
      </c>
      <c r="DJ13" s="64" t="s">
        <v>4305</v>
      </c>
      <c r="DK13" s="256" t="s">
        <v>4011</v>
      </c>
      <c r="DL13" s="64"/>
      <c r="DM13" s="255">
        <v>3</v>
      </c>
      <c r="DN13" s="64" t="s">
        <v>4306</v>
      </c>
      <c r="DO13" s="256" t="s">
        <v>4307</v>
      </c>
      <c r="DP13" s="64"/>
      <c r="DQ13" s="261">
        <v>4</v>
      </c>
      <c r="DR13" s="293" t="s">
        <v>4308</v>
      </c>
      <c r="DS13" s="256" t="s">
        <v>1299</v>
      </c>
      <c r="DT13" s="64"/>
      <c r="DU13" s="255">
        <v>4</v>
      </c>
      <c r="DV13" s="64" t="s">
        <v>4309</v>
      </c>
      <c r="DW13" s="256" t="s">
        <v>3828</v>
      </c>
      <c r="DX13" s="63"/>
      <c r="DY13" s="260">
        <v>3</v>
      </c>
      <c r="DZ13" s="64" t="s">
        <v>4310</v>
      </c>
      <c r="EA13" s="292" t="s">
        <v>4311</v>
      </c>
      <c r="EB13" s="64"/>
      <c r="EC13" s="255">
        <v>4</v>
      </c>
      <c r="ED13" s="64" t="s">
        <v>4312</v>
      </c>
      <c r="EE13" s="256" t="s">
        <v>1658</v>
      </c>
      <c r="EF13" s="64"/>
      <c r="EG13" s="255">
        <v>2</v>
      </c>
      <c r="EH13" s="64" t="s">
        <v>4313</v>
      </c>
      <c r="EI13" s="76" t="s">
        <v>4314</v>
      </c>
      <c r="EJ13" s="76"/>
      <c r="EK13" s="67">
        <v>4</v>
      </c>
      <c r="EL13" s="64" t="s">
        <v>4315</v>
      </c>
      <c r="EM13" s="256" t="s">
        <v>4316</v>
      </c>
      <c r="EN13" s="63"/>
      <c r="EO13" s="255">
        <v>4</v>
      </c>
      <c r="EP13" s="64" t="s">
        <v>4317</v>
      </c>
      <c r="EQ13" s="256" t="s">
        <v>3688</v>
      </c>
      <c r="ER13" s="64"/>
      <c r="ES13" s="255">
        <v>4</v>
      </c>
      <c r="ET13" s="64" t="s">
        <v>4318</v>
      </c>
      <c r="EU13" s="256" t="s">
        <v>4319</v>
      </c>
      <c r="EV13" s="63"/>
      <c r="EW13" s="255">
        <v>3</v>
      </c>
      <c r="EX13" s="64" t="s">
        <v>4320</v>
      </c>
      <c r="EY13" s="256" t="s">
        <v>3352</v>
      </c>
      <c r="EZ13" s="64"/>
      <c r="FA13" s="255">
        <v>4</v>
      </c>
      <c r="FB13" s="64" t="s">
        <v>4321</v>
      </c>
      <c r="FC13" s="256" t="s">
        <v>4322</v>
      </c>
    </row>
    <row r="14" spans="1:159" ht="15.75" thickBot="1">
      <c r="A14" s="64"/>
      <c r="B14" s="207"/>
      <c r="C14" s="17"/>
      <c r="D14" s="17"/>
      <c r="E14" s="17"/>
      <c r="F14" s="17"/>
      <c r="G14" s="17"/>
      <c r="H14" s="17"/>
      <c r="I14" s="64"/>
      <c r="J14" s="217" t="s">
        <v>3164</v>
      </c>
      <c r="K14" s="212" t="s">
        <v>3165</v>
      </c>
      <c r="L14" s="213" t="s">
        <v>3166</v>
      </c>
      <c r="M14" s="214" t="s">
        <v>3167</v>
      </c>
      <c r="Q14" s="64"/>
      <c r="R14" s="65"/>
      <c r="S14" s="65"/>
      <c r="T14" s="238" t="s">
        <v>3276</v>
      </c>
      <c r="U14" s="239" t="s">
        <v>181</v>
      </c>
      <c r="V14" s="238" t="s">
        <v>3277</v>
      </c>
      <c r="W14" s="240" t="s">
        <v>3278</v>
      </c>
      <c r="X14" s="114" t="s">
        <v>3279</v>
      </c>
      <c r="Y14" s="235" t="s">
        <v>678</v>
      </c>
      <c r="AB14" s="255">
        <v>3</v>
      </c>
      <c r="AC14" s="64" t="s">
        <v>3496</v>
      </c>
      <c r="AD14" s="256" t="s">
        <v>3482</v>
      </c>
      <c r="AE14" s="64"/>
      <c r="AF14" s="255">
        <v>2</v>
      </c>
      <c r="AG14" s="64" t="s">
        <v>3497</v>
      </c>
      <c r="AH14" s="256" t="s">
        <v>3498</v>
      </c>
      <c r="AI14" s="64"/>
      <c r="AJ14" s="255">
        <v>3</v>
      </c>
      <c r="AK14" s="64" t="s">
        <v>3499</v>
      </c>
      <c r="AL14" s="256" t="s">
        <v>3500</v>
      </c>
      <c r="AM14" s="63"/>
      <c r="AN14" s="255">
        <v>3</v>
      </c>
      <c r="AO14" s="64" t="s">
        <v>3501</v>
      </c>
      <c r="AP14" s="256" t="s">
        <v>3502</v>
      </c>
      <c r="AQ14" s="64"/>
      <c r="AR14" s="255">
        <v>3</v>
      </c>
      <c r="AS14" s="64" t="s">
        <v>3503</v>
      </c>
      <c r="AT14" s="256" t="s">
        <v>3470</v>
      </c>
      <c r="AU14" s="64"/>
      <c r="AV14" s="255">
        <v>3</v>
      </c>
      <c r="AW14" s="64" t="s">
        <v>3504</v>
      </c>
      <c r="AX14" s="256" t="s">
        <v>3505</v>
      </c>
      <c r="AY14" s="64"/>
      <c r="AZ14" s="255">
        <v>3</v>
      </c>
      <c r="BA14" s="64" t="s">
        <v>3506</v>
      </c>
      <c r="BB14" s="256" t="s">
        <v>3507</v>
      </c>
      <c r="BC14" s="63"/>
      <c r="BD14" s="260">
        <v>3</v>
      </c>
      <c r="BE14" s="261" t="s">
        <v>3508</v>
      </c>
      <c r="BF14" s="256" t="s">
        <v>840</v>
      </c>
      <c r="BG14" s="64"/>
      <c r="BH14" s="255">
        <v>2</v>
      </c>
      <c r="BI14" s="260" t="s">
        <v>3509</v>
      </c>
      <c r="BJ14" s="64" t="s">
        <v>3339</v>
      </c>
      <c r="BK14" s="256"/>
      <c r="BL14" s="63">
        <v>3</v>
      </c>
      <c r="BM14" s="211" t="s">
        <v>3510</v>
      </c>
      <c r="BN14" s="215" t="s">
        <v>830</v>
      </c>
      <c r="BO14" s="64"/>
      <c r="BP14" s="255">
        <v>2</v>
      </c>
      <c r="BQ14" s="64" t="s">
        <v>3511</v>
      </c>
      <c r="BR14" s="256" t="s">
        <v>1053</v>
      </c>
      <c r="BU14" s="255">
        <v>4</v>
      </c>
      <c r="BV14" s="64" t="s">
        <v>4323</v>
      </c>
      <c r="BW14" s="256" t="s">
        <v>4324</v>
      </c>
      <c r="BX14" s="64"/>
      <c r="BY14" s="255">
        <v>3</v>
      </c>
      <c r="BZ14" s="64" t="s">
        <v>4325</v>
      </c>
      <c r="CA14" s="256" t="s">
        <v>4326</v>
      </c>
      <c r="CB14" s="64"/>
      <c r="CC14" s="255">
        <v>4</v>
      </c>
      <c r="CD14" s="64" t="s">
        <v>4327</v>
      </c>
      <c r="CE14" s="256" t="s">
        <v>4328</v>
      </c>
      <c r="CF14" s="63"/>
      <c r="CG14" s="260">
        <v>4</v>
      </c>
      <c r="CH14" s="64" t="s">
        <v>4329</v>
      </c>
      <c r="CI14" s="292" t="s">
        <v>4330</v>
      </c>
      <c r="CJ14" s="64"/>
      <c r="CK14" s="255">
        <v>5</v>
      </c>
      <c r="CL14" s="64" t="s">
        <v>4331</v>
      </c>
      <c r="CM14" s="256" t="s">
        <v>4332</v>
      </c>
      <c r="CN14" s="64"/>
      <c r="CO14" s="255">
        <v>4</v>
      </c>
      <c r="CP14" s="64" t="s">
        <v>4333</v>
      </c>
      <c r="CQ14" s="256" t="s">
        <v>4334</v>
      </c>
      <c r="CR14" s="76"/>
      <c r="CS14" s="255">
        <v>4</v>
      </c>
      <c r="CT14" s="64" t="s">
        <v>4335</v>
      </c>
      <c r="CU14" s="256" t="s">
        <v>2299</v>
      </c>
      <c r="CV14" s="64"/>
      <c r="CW14" s="255">
        <v>4</v>
      </c>
      <c r="CX14" s="64" t="s">
        <v>4336</v>
      </c>
      <c r="CY14" s="256" t="s">
        <v>4337</v>
      </c>
      <c r="CZ14" s="64"/>
      <c r="DA14" s="260">
        <v>4</v>
      </c>
      <c r="DB14" s="64" t="s">
        <v>4338</v>
      </c>
      <c r="DC14" s="292" t="s">
        <v>2826</v>
      </c>
      <c r="DD14" s="64"/>
      <c r="DE14" s="255">
        <v>3</v>
      </c>
      <c r="DF14" s="64" t="s">
        <v>4339</v>
      </c>
      <c r="DG14" s="256" t="s">
        <v>4340</v>
      </c>
      <c r="DH14" s="64"/>
      <c r="DI14" s="255">
        <v>4</v>
      </c>
      <c r="DJ14" s="64" t="s">
        <v>4341</v>
      </c>
      <c r="DK14" s="256" t="s">
        <v>4342</v>
      </c>
      <c r="DL14" s="64"/>
      <c r="DM14" s="255">
        <v>4</v>
      </c>
      <c r="DN14" s="64" t="s">
        <v>4343</v>
      </c>
      <c r="DO14" s="256" t="s">
        <v>932</v>
      </c>
      <c r="DP14" s="64"/>
      <c r="DQ14" s="261">
        <v>4</v>
      </c>
      <c r="DR14" s="293" t="s">
        <v>4344</v>
      </c>
      <c r="DS14" s="256" t="s">
        <v>4345</v>
      </c>
      <c r="DT14" s="64"/>
      <c r="DU14" s="255">
        <v>4</v>
      </c>
      <c r="DV14" s="64" t="s">
        <v>4346</v>
      </c>
      <c r="DW14" s="256" t="s">
        <v>4347</v>
      </c>
      <c r="DX14" s="63"/>
      <c r="DY14" s="260">
        <v>3</v>
      </c>
      <c r="DZ14" s="64" t="s">
        <v>4348</v>
      </c>
      <c r="EA14" s="292" t="s">
        <v>4349</v>
      </c>
      <c r="EB14" s="64"/>
      <c r="EC14" s="255">
        <v>4</v>
      </c>
      <c r="ED14" s="64" t="s">
        <v>4350</v>
      </c>
      <c r="EE14" s="256" t="s">
        <v>1651</v>
      </c>
      <c r="EF14" s="64"/>
      <c r="EG14" s="255">
        <v>2</v>
      </c>
      <c r="EH14" s="64" t="s">
        <v>4351</v>
      </c>
      <c r="EI14" s="76" t="s">
        <v>4352</v>
      </c>
      <c r="EJ14" s="76"/>
      <c r="EK14" s="67">
        <v>5</v>
      </c>
      <c r="EL14" s="64" t="s">
        <v>4353</v>
      </c>
      <c r="EM14" s="256" t="s">
        <v>4354</v>
      </c>
      <c r="EN14" s="63"/>
      <c r="EO14" s="255">
        <v>4</v>
      </c>
      <c r="EP14" s="64" t="s">
        <v>4355</v>
      </c>
      <c r="EQ14" s="256" t="s">
        <v>86</v>
      </c>
      <c r="ER14" s="64"/>
      <c r="ES14" s="255">
        <v>4</v>
      </c>
      <c r="ET14" s="64" t="s">
        <v>4356</v>
      </c>
      <c r="EU14" s="256" t="s">
        <v>4357</v>
      </c>
      <c r="EV14" s="63"/>
      <c r="EW14" s="255">
        <v>4</v>
      </c>
      <c r="EX14" s="64" t="s">
        <v>4358</v>
      </c>
      <c r="EY14" s="256" t="s">
        <v>3154</v>
      </c>
      <c r="EZ14" s="64"/>
      <c r="FA14" s="255">
        <v>4</v>
      </c>
      <c r="FB14" s="64" t="s">
        <v>4359</v>
      </c>
      <c r="FC14" s="256" t="s">
        <v>4360</v>
      </c>
    </row>
    <row r="15" spans="1:159">
      <c r="A15" s="64"/>
      <c r="B15" s="207" t="s">
        <v>3115</v>
      </c>
      <c r="C15" s="17">
        <f>SUM(C4:C13)</f>
        <v>266</v>
      </c>
      <c r="D15" s="17"/>
      <c r="E15" s="17"/>
      <c r="F15" s="17"/>
      <c r="G15" s="17">
        <f>SUM(G4:G13)</f>
        <v>142</v>
      </c>
      <c r="H15" s="17">
        <f>SUM(H4:H13)</f>
        <v>408</v>
      </c>
      <c r="I15" s="64"/>
      <c r="J15" s="64"/>
      <c r="K15" s="212" t="s">
        <v>3168</v>
      </c>
      <c r="L15" s="213" t="s">
        <v>3169</v>
      </c>
      <c r="M15" s="214" t="s">
        <v>2076</v>
      </c>
      <c r="Q15" s="64"/>
      <c r="R15" s="65"/>
      <c r="S15" s="65"/>
      <c r="T15" s="15" t="s">
        <v>3280</v>
      </c>
      <c r="U15" s="230" t="s">
        <v>237</v>
      </c>
      <c r="V15" s="65"/>
      <c r="W15" s="63"/>
      <c r="X15" s="114" t="s">
        <v>3281</v>
      </c>
      <c r="Y15" s="235" t="s">
        <v>610</v>
      </c>
      <c r="AB15" s="255">
        <v>3</v>
      </c>
      <c r="AC15" s="64" t="s">
        <v>3512</v>
      </c>
      <c r="AD15" s="256" t="s">
        <v>29</v>
      </c>
      <c r="AE15" s="64"/>
      <c r="AF15" s="255">
        <v>3</v>
      </c>
      <c r="AG15" s="64" t="s">
        <v>3513</v>
      </c>
      <c r="AH15" s="256" t="s">
        <v>3466</v>
      </c>
      <c r="AI15" s="64"/>
      <c r="AJ15" s="255">
        <v>3</v>
      </c>
      <c r="AK15" s="64" t="s">
        <v>3514</v>
      </c>
      <c r="AL15" s="256" t="s">
        <v>3484</v>
      </c>
      <c r="AM15" s="63"/>
      <c r="AN15" s="255">
        <v>3</v>
      </c>
      <c r="AO15" s="64" t="s">
        <v>3515</v>
      </c>
      <c r="AP15" s="256" t="s">
        <v>1395</v>
      </c>
      <c r="AQ15" s="64"/>
      <c r="AR15" s="255">
        <v>3</v>
      </c>
      <c r="AS15" s="64" t="s">
        <v>3516</v>
      </c>
      <c r="AT15" s="256" t="s">
        <v>3517</v>
      </c>
      <c r="AU15" s="64"/>
      <c r="AV15" s="255">
        <v>3</v>
      </c>
      <c r="AW15" s="64" t="s">
        <v>3518</v>
      </c>
      <c r="AX15" s="256" t="s">
        <v>889</v>
      </c>
      <c r="AY15" s="64"/>
      <c r="AZ15" s="255">
        <v>3</v>
      </c>
      <c r="BA15" s="64" t="s">
        <v>3519</v>
      </c>
      <c r="BB15" s="256" t="s">
        <v>3416</v>
      </c>
      <c r="BC15" s="63"/>
      <c r="BD15" s="260">
        <v>3</v>
      </c>
      <c r="BE15" s="261" t="s">
        <v>3520</v>
      </c>
      <c r="BF15" s="256" t="s">
        <v>3521</v>
      </c>
      <c r="BG15" s="64"/>
      <c r="BH15" s="255">
        <v>2</v>
      </c>
      <c r="BI15" s="260" t="s">
        <v>3522</v>
      </c>
      <c r="BJ15" s="64" t="s">
        <v>3476</v>
      </c>
      <c r="BK15" s="256"/>
      <c r="BL15" s="63">
        <v>3</v>
      </c>
      <c r="BM15" s="211" t="s">
        <v>3523</v>
      </c>
      <c r="BN15" s="215" t="s">
        <v>3328</v>
      </c>
      <c r="BO15" s="64"/>
      <c r="BP15" s="255">
        <v>2</v>
      </c>
      <c r="BQ15" s="64" t="s">
        <v>3524</v>
      </c>
      <c r="BR15" s="256" t="s">
        <v>1034</v>
      </c>
      <c r="BU15" s="255">
        <v>4</v>
      </c>
      <c r="BV15" s="64" t="s">
        <v>4361</v>
      </c>
      <c r="BW15" s="256" t="s">
        <v>4362</v>
      </c>
      <c r="BX15" s="64"/>
      <c r="BY15" s="255">
        <v>4</v>
      </c>
      <c r="BZ15" s="64" t="s">
        <v>4363</v>
      </c>
      <c r="CA15" s="256" t="s">
        <v>4364</v>
      </c>
      <c r="CB15" s="64"/>
      <c r="CC15" s="255">
        <v>4</v>
      </c>
      <c r="CD15" s="64" t="s">
        <v>4365</v>
      </c>
      <c r="CE15" s="256" t="s">
        <v>4366</v>
      </c>
      <c r="CF15" s="63"/>
      <c r="CG15" s="63">
        <v>4</v>
      </c>
      <c r="CH15" s="64" t="s">
        <v>4367</v>
      </c>
      <c r="CI15" s="292" t="s">
        <v>1960</v>
      </c>
      <c r="CJ15" s="64"/>
      <c r="CK15" s="255">
        <v>6</v>
      </c>
      <c r="CL15" s="64" t="s">
        <v>4368</v>
      </c>
      <c r="CM15" s="256" t="s">
        <v>4369</v>
      </c>
      <c r="CN15" s="64"/>
      <c r="CO15" s="255">
        <v>5</v>
      </c>
      <c r="CP15" s="64" t="s">
        <v>4370</v>
      </c>
      <c r="CQ15" s="256" t="s">
        <v>1455</v>
      </c>
      <c r="CR15" s="76"/>
      <c r="CS15" s="255">
        <v>4</v>
      </c>
      <c r="CT15" s="64" t="s">
        <v>4371</v>
      </c>
      <c r="CU15" s="256" t="s">
        <v>3476</v>
      </c>
      <c r="CV15" s="64"/>
      <c r="CW15" s="255">
        <v>4</v>
      </c>
      <c r="CX15" s="64" t="s">
        <v>4372</v>
      </c>
      <c r="CY15" s="256" t="s">
        <v>4373</v>
      </c>
      <c r="CZ15" s="64"/>
      <c r="DA15" s="260">
        <v>4</v>
      </c>
      <c r="DB15" s="64" t="s">
        <v>4374</v>
      </c>
      <c r="DC15" s="292" t="s">
        <v>3484</v>
      </c>
      <c r="DD15" s="64"/>
      <c r="DE15" s="255">
        <v>4</v>
      </c>
      <c r="DF15" s="64" t="s">
        <v>4375</v>
      </c>
      <c r="DG15" s="256" t="s">
        <v>4376</v>
      </c>
      <c r="DH15" s="64"/>
      <c r="DI15" s="255">
        <v>5</v>
      </c>
      <c r="DJ15" s="64" t="s">
        <v>4377</v>
      </c>
      <c r="DK15" s="256" t="s">
        <v>4378</v>
      </c>
      <c r="DL15" s="64"/>
      <c r="DM15" s="63">
        <v>4</v>
      </c>
      <c r="DN15" s="64" t="s">
        <v>4379</v>
      </c>
      <c r="DO15" s="256" t="s">
        <v>4307</v>
      </c>
      <c r="DP15" s="64"/>
      <c r="DQ15" s="261">
        <v>4</v>
      </c>
      <c r="DR15" s="293" t="s">
        <v>4380</v>
      </c>
      <c r="DS15" s="256" t="s">
        <v>4345</v>
      </c>
      <c r="DT15" s="64"/>
      <c r="DU15" s="255">
        <v>4</v>
      </c>
      <c r="DV15" s="64" t="s">
        <v>4381</v>
      </c>
      <c r="DW15" s="256" t="s">
        <v>4382</v>
      </c>
      <c r="DX15" s="63"/>
      <c r="DY15" s="260">
        <v>3</v>
      </c>
      <c r="DZ15" s="64" t="s">
        <v>4383</v>
      </c>
      <c r="EA15" s="292" t="s">
        <v>4384</v>
      </c>
      <c r="EB15" s="64"/>
      <c r="EC15" s="255">
        <v>5</v>
      </c>
      <c r="ED15" s="64" t="s">
        <v>4385</v>
      </c>
      <c r="EE15" s="256" t="s">
        <v>1669</v>
      </c>
      <c r="EF15" s="64"/>
      <c r="EG15" s="255">
        <v>3</v>
      </c>
      <c r="EH15" s="64" t="s">
        <v>4386</v>
      </c>
      <c r="EI15" s="76" t="s">
        <v>4387</v>
      </c>
      <c r="EJ15" s="76"/>
      <c r="EK15" s="67">
        <v>5</v>
      </c>
      <c r="EL15" s="64" t="s">
        <v>4388</v>
      </c>
      <c r="EM15" s="256" t="s">
        <v>4389</v>
      </c>
      <c r="EN15" s="63"/>
      <c r="EO15" s="255">
        <v>4</v>
      </c>
      <c r="EP15" s="64" t="s">
        <v>4390</v>
      </c>
      <c r="EQ15" s="256" t="s">
        <v>4391</v>
      </c>
      <c r="ER15" s="64"/>
      <c r="ES15" s="255">
        <v>5</v>
      </c>
      <c r="ET15" s="64" t="s">
        <v>4392</v>
      </c>
      <c r="EU15" s="256" t="s">
        <v>4393</v>
      </c>
      <c r="EV15" s="63"/>
      <c r="EW15" s="63">
        <v>4</v>
      </c>
      <c r="EX15" s="64" t="s">
        <v>4394</v>
      </c>
      <c r="EY15" s="256" t="s">
        <v>3537</v>
      </c>
      <c r="EZ15" s="64"/>
      <c r="FA15" s="255">
        <v>5</v>
      </c>
      <c r="FB15" s="64" t="s">
        <v>4395</v>
      </c>
      <c r="FC15" s="256" t="s">
        <v>4396</v>
      </c>
    </row>
    <row r="16" spans="1:159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212" t="s">
        <v>3170</v>
      </c>
      <c r="L16" s="213" t="s">
        <v>3171</v>
      </c>
      <c r="M16" s="214" t="s">
        <v>3172</v>
      </c>
      <c r="Q16" s="64"/>
      <c r="R16" s="65"/>
      <c r="S16" s="65"/>
      <c r="T16" s="15" t="s">
        <v>3282</v>
      </c>
      <c r="U16" s="230" t="s">
        <v>576</v>
      </c>
      <c r="V16" s="65"/>
      <c r="W16" s="65"/>
      <c r="X16" s="114" t="s">
        <v>3283</v>
      </c>
      <c r="Y16" s="235" t="s">
        <v>592</v>
      </c>
      <c r="AB16" s="255">
        <v>3</v>
      </c>
      <c r="AC16" s="64" t="s">
        <v>3525</v>
      </c>
      <c r="AD16" s="256" t="s">
        <v>2945</v>
      </c>
      <c r="AE16" s="64"/>
      <c r="AF16" s="255">
        <v>3</v>
      </c>
      <c r="AG16" s="64" t="s">
        <v>3526</v>
      </c>
      <c r="AH16" s="256" t="s">
        <v>1337</v>
      </c>
      <c r="AI16" s="64"/>
      <c r="AJ16" s="255">
        <v>3</v>
      </c>
      <c r="AK16" s="64" t="s">
        <v>3527</v>
      </c>
      <c r="AL16" s="256" t="s">
        <v>3381</v>
      </c>
      <c r="AM16" s="63"/>
      <c r="AN16" s="255">
        <v>3</v>
      </c>
      <c r="AO16" s="64" t="s">
        <v>3528</v>
      </c>
      <c r="AP16" s="256" t="s">
        <v>3529</v>
      </c>
      <c r="AQ16" s="64"/>
      <c r="AR16" s="255">
        <v>3</v>
      </c>
      <c r="AS16" s="64" t="s">
        <v>3530</v>
      </c>
      <c r="AT16" s="256" t="s">
        <v>1382</v>
      </c>
      <c r="AU16" s="64"/>
      <c r="AV16" s="255">
        <v>3</v>
      </c>
      <c r="AW16" s="64" t="s">
        <v>3531</v>
      </c>
      <c r="AX16" s="256" t="s">
        <v>3389</v>
      </c>
      <c r="AY16" s="64"/>
      <c r="AZ16" s="255">
        <v>3</v>
      </c>
      <c r="BA16" s="64" t="s">
        <v>3532</v>
      </c>
      <c r="BB16" s="256" t="s">
        <v>3438</v>
      </c>
      <c r="BC16" s="63"/>
      <c r="BD16" s="260">
        <v>3</v>
      </c>
      <c r="BE16" s="261" t="s">
        <v>3533</v>
      </c>
      <c r="BF16" s="256" t="s">
        <v>106</v>
      </c>
      <c r="BG16" s="64"/>
      <c r="BH16" s="255">
        <v>2</v>
      </c>
      <c r="BI16" s="260" t="s">
        <v>3534</v>
      </c>
      <c r="BJ16" s="64" t="s">
        <v>1194</v>
      </c>
      <c r="BK16" s="256"/>
      <c r="BL16" s="63">
        <v>3</v>
      </c>
      <c r="BM16" s="211" t="s">
        <v>3535</v>
      </c>
      <c r="BN16" s="215" t="s">
        <v>919</v>
      </c>
      <c r="BO16" s="64"/>
      <c r="BP16" s="255">
        <v>2</v>
      </c>
      <c r="BQ16" s="64" t="s">
        <v>3536</v>
      </c>
      <c r="BR16" s="256" t="s">
        <v>3537</v>
      </c>
      <c r="BU16" s="255">
        <v>5</v>
      </c>
      <c r="BV16" s="64" t="s">
        <v>4397</v>
      </c>
      <c r="BW16" s="256" t="s">
        <v>4398</v>
      </c>
      <c r="BX16" s="64"/>
      <c r="BY16" s="255">
        <v>4</v>
      </c>
      <c r="BZ16" s="64" t="s">
        <v>4399</v>
      </c>
      <c r="CA16" s="256" t="s">
        <v>4400</v>
      </c>
      <c r="CB16" s="64"/>
      <c r="CC16" s="255">
        <v>5</v>
      </c>
      <c r="CD16" s="64" t="s">
        <v>4401</v>
      </c>
      <c r="CE16" s="256" t="s">
        <v>4366</v>
      </c>
      <c r="CF16" s="63"/>
      <c r="CG16" s="260">
        <v>5</v>
      </c>
      <c r="CH16" s="64" t="s">
        <v>4402</v>
      </c>
      <c r="CI16" s="292" t="s">
        <v>402</v>
      </c>
      <c r="CJ16" s="64"/>
      <c r="CK16" s="255">
        <v>6</v>
      </c>
      <c r="CL16" s="64" t="s">
        <v>4403</v>
      </c>
      <c r="CM16" s="256" t="s">
        <v>4404</v>
      </c>
      <c r="CN16" s="64"/>
      <c r="CO16" s="255">
        <v>5</v>
      </c>
      <c r="CP16" s="64" t="s">
        <v>4405</v>
      </c>
      <c r="CQ16" s="256" t="s">
        <v>1476</v>
      </c>
      <c r="CR16" s="76"/>
      <c r="CS16" s="255">
        <v>5</v>
      </c>
      <c r="CT16" s="64" t="s">
        <v>4406</v>
      </c>
      <c r="CU16" s="256" t="s">
        <v>3672</v>
      </c>
      <c r="CV16" s="64"/>
      <c r="CW16" s="255">
        <v>5</v>
      </c>
      <c r="CX16" s="64" t="s">
        <v>4407</v>
      </c>
      <c r="CY16" s="256" t="s">
        <v>2071</v>
      </c>
      <c r="CZ16" s="64"/>
      <c r="DA16" s="260">
        <v>5</v>
      </c>
      <c r="DB16" s="64" t="s">
        <v>4408</v>
      </c>
      <c r="DC16" s="292" t="s">
        <v>3398</v>
      </c>
      <c r="DD16" s="64"/>
      <c r="DE16" s="255">
        <v>4</v>
      </c>
      <c r="DF16" s="64" t="s">
        <v>4409</v>
      </c>
      <c r="DG16" s="256" t="s">
        <v>4410</v>
      </c>
      <c r="DH16" s="64"/>
      <c r="DI16" s="255">
        <v>5</v>
      </c>
      <c r="DJ16" s="64" t="s">
        <v>4411</v>
      </c>
      <c r="DK16" s="256" t="s">
        <v>4412</v>
      </c>
      <c r="DL16" s="64"/>
      <c r="DM16" s="255">
        <v>4</v>
      </c>
      <c r="DN16" s="64" t="s">
        <v>4413</v>
      </c>
      <c r="DO16" s="256" t="s">
        <v>1473</v>
      </c>
      <c r="DP16" s="64"/>
      <c r="DQ16" s="261">
        <v>5</v>
      </c>
      <c r="DR16" s="293" t="s">
        <v>4414</v>
      </c>
      <c r="DS16" s="256" t="s">
        <v>1299</v>
      </c>
      <c r="DT16" s="64"/>
      <c r="DU16" s="255">
        <v>5</v>
      </c>
      <c r="DV16" s="64" t="s">
        <v>4415</v>
      </c>
      <c r="DW16" s="256" t="s">
        <v>4416</v>
      </c>
      <c r="DX16" s="63"/>
      <c r="DY16" s="260">
        <v>3</v>
      </c>
      <c r="DZ16" s="64" t="s">
        <v>4417</v>
      </c>
      <c r="EA16" s="292" t="s">
        <v>4418</v>
      </c>
      <c r="EB16" s="64"/>
      <c r="EC16" s="255">
        <v>5</v>
      </c>
      <c r="ED16" s="64" t="s">
        <v>4419</v>
      </c>
      <c r="EE16" s="256" t="s">
        <v>4249</v>
      </c>
      <c r="EF16" s="64"/>
      <c r="EG16" s="255">
        <v>3</v>
      </c>
      <c r="EH16" s="64" t="s">
        <v>4420</v>
      </c>
      <c r="EI16" s="76" t="s">
        <v>3688</v>
      </c>
      <c r="EJ16" s="76"/>
      <c r="EK16" s="67">
        <v>5</v>
      </c>
      <c r="EL16" s="64" t="s">
        <v>4421</v>
      </c>
      <c r="EM16" s="256" t="s">
        <v>4354</v>
      </c>
      <c r="EN16" s="63"/>
      <c r="EO16" s="255">
        <v>4</v>
      </c>
      <c r="EP16" s="64" t="s">
        <v>4422</v>
      </c>
      <c r="EQ16" s="256" t="s">
        <v>4423</v>
      </c>
      <c r="ER16" s="64"/>
      <c r="ES16" s="255">
        <v>5</v>
      </c>
      <c r="ET16" s="64" t="s">
        <v>4424</v>
      </c>
      <c r="EU16" s="256" t="s">
        <v>4220</v>
      </c>
      <c r="EV16" s="63"/>
      <c r="EW16" s="255">
        <v>4</v>
      </c>
      <c r="EX16" s="64" t="s">
        <v>4425</v>
      </c>
      <c r="EY16" s="256" t="s">
        <v>4426</v>
      </c>
      <c r="EZ16" s="64"/>
      <c r="FA16" s="63">
        <v>5</v>
      </c>
      <c r="FB16" s="64" t="s">
        <v>4427</v>
      </c>
      <c r="FC16" s="256" t="s">
        <v>4428</v>
      </c>
    </row>
    <row r="17" spans="1:159">
      <c r="A17" s="64"/>
      <c r="B17" s="64"/>
      <c r="C17" s="218" t="s">
        <v>3173</v>
      </c>
      <c r="D17" s="219"/>
      <c r="E17" s="219"/>
      <c r="F17" s="219"/>
      <c r="G17" s="219"/>
      <c r="H17" s="220"/>
      <c r="I17" s="64"/>
      <c r="J17" s="215"/>
      <c r="K17" s="212" t="s">
        <v>2663</v>
      </c>
      <c r="L17" s="213" t="s">
        <v>3174</v>
      </c>
      <c r="M17" s="214" t="s">
        <v>3175</v>
      </c>
      <c r="Q17" s="64"/>
      <c r="R17" s="65"/>
      <c r="S17" s="65"/>
      <c r="T17" s="15" t="s">
        <v>3284</v>
      </c>
      <c r="U17" s="230" t="s">
        <v>573</v>
      </c>
      <c r="V17" s="65"/>
      <c r="W17" s="63"/>
      <c r="X17" s="15" t="s">
        <v>3285</v>
      </c>
      <c r="Y17" s="235" t="s">
        <v>270</v>
      </c>
      <c r="AB17" s="255">
        <v>3</v>
      </c>
      <c r="AC17" s="64" t="s">
        <v>3538</v>
      </c>
      <c r="AD17" s="256" t="s">
        <v>3539</v>
      </c>
      <c r="AE17" s="64"/>
      <c r="AF17" s="255">
        <v>3</v>
      </c>
      <c r="AG17" s="64" t="s">
        <v>3540</v>
      </c>
      <c r="AH17" s="256" t="s">
        <v>120</v>
      </c>
      <c r="AI17" s="64"/>
      <c r="AJ17" s="255">
        <v>3</v>
      </c>
      <c r="AK17" s="64" t="s">
        <v>3541</v>
      </c>
      <c r="AL17" s="256" t="s">
        <v>3500</v>
      </c>
      <c r="AM17" s="63"/>
      <c r="AN17" s="255">
        <v>3</v>
      </c>
      <c r="AO17" s="64" t="s">
        <v>3542</v>
      </c>
      <c r="AP17" s="256" t="s">
        <v>3543</v>
      </c>
      <c r="AQ17" s="64"/>
      <c r="AR17" s="255">
        <v>3</v>
      </c>
      <c r="AS17" s="64" t="s">
        <v>3544</v>
      </c>
      <c r="AT17" s="256" t="s">
        <v>3545</v>
      </c>
      <c r="AU17" s="64"/>
      <c r="AV17" s="255">
        <v>3</v>
      </c>
      <c r="AW17" s="64" t="s">
        <v>3546</v>
      </c>
      <c r="AX17" s="256" t="s">
        <v>3402</v>
      </c>
      <c r="AY17" s="64"/>
      <c r="AZ17" s="255">
        <v>3</v>
      </c>
      <c r="BA17" s="64" t="s">
        <v>3547</v>
      </c>
      <c r="BB17" s="256" t="s">
        <v>3548</v>
      </c>
      <c r="BC17" s="63"/>
      <c r="BD17" s="260">
        <v>3</v>
      </c>
      <c r="BE17" s="261" t="s">
        <v>3549</v>
      </c>
      <c r="BF17" s="256" t="s">
        <v>3354</v>
      </c>
      <c r="BG17" s="64"/>
      <c r="BH17" s="255">
        <v>3</v>
      </c>
      <c r="BI17" s="260" t="s">
        <v>3550</v>
      </c>
      <c r="BJ17" s="64" t="s">
        <v>3551</v>
      </c>
      <c r="BK17" s="256"/>
      <c r="BL17" s="63">
        <v>3</v>
      </c>
      <c r="BM17" s="211" t="s">
        <v>3552</v>
      </c>
      <c r="BN17" s="215" t="s">
        <v>3553</v>
      </c>
      <c r="BO17" s="64"/>
      <c r="BP17" s="255">
        <v>3</v>
      </c>
      <c r="BQ17" s="64" t="s">
        <v>3554</v>
      </c>
      <c r="BR17" s="256" t="s">
        <v>3555</v>
      </c>
      <c r="BU17" s="255">
        <v>5</v>
      </c>
      <c r="BV17" s="64" t="s">
        <v>4429</v>
      </c>
      <c r="BW17" s="256" t="s">
        <v>4430</v>
      </c>
      <c r="BX17" s="64"/>
      <c r="BY17" s="255">
        <v>4</v>
      </c>
      <c r="BZ17" s="64" t="s">
        <v>4431</v>
      </c>
      <c r="CA17" s="256" t="s">
        <v>1426</v>
      </c>
      <c r="CB17" s="64"/>
      <c r="CC17" s="255">
        <v>5</v>
      </c>
      <c r="CD17" s="64" t="s">
        <v>4432</v>
      </c>
      <c r="CE17" s="256" t="s">
        <v>4433</v>
      </c>
      <c r="CF17" s="63"/>
      <c r="CG17" s="260">
        <v>5</v>
      </c>
      <c r="CH17" s="64" t="s">
        <v>4434</v>
      </c>
      <c r="CI17" s="292" t="s">
        <v>4435</v>
      </c>
      <c r="CJ17" s="64"/>
      <c r="CK17" s="63">
        <v>6</v>
      </c>
      <c r="CL17" s="64" t="s">
        <v>4436</v>
      </c>
      <c r="CM17" s="256" t="s">
        <v>4437</v>
      </c>
      <c r="CN17" s="64"/>
      <c r="CO17" s="255">
        <v>5</v>
      </c>
      <c r="CP17" s="64" t="s">
        <v>4438</v>
      </c>
      <c r="CQ17" s="256" t="s">
        <v>4439</v>
      </c>
      <c r="CR17" s="76"/>
      <c r="CS17" s="255">
        <v>5</v>
      </c>
      <c r="CT17" s="64" t="s">
        <v>4440</v>
      </c>
      <c r="CU17" s="256" t="s">
        <v>4066</v>
      </c>
      <c r="CV17" s="64"/>
      <c r="CW17" s="255">
        <v>5</v>
      </c>
      <c r="CX17" s="64" t="s">
        <v>4441</v>
      </c>
      <c r="CY17" s="256" t="s">
        <v>4132</v>
      </c>
      <c r="CZ17" s="64"/>
      <c r="DA17" s="260">
        <v>5</v>
      </c>
      <c r="DB17" s="64" t="s">
        <v>4442</v>
      </c>
      <c r="DC17" s="292" t="s">
        <v>4443</v>
      </c>
      <c r="DD17" s="64"/>
      <c r="DE17" s="255">
        <v>4</v>
      </c>
      <c r="DF17" s="64" t="s">
        <v>4444</v>
      </c>
      <c r="DG17" s="256" t="s">
        <v>3784</v>
      </c>
      <c r="DH17" s="64"/>
      <c r="DI17" s="255">
        <v>5</v>
      </c>
      <c r="DJ17" s="64" t="s">
        <v>4445</v>
      </c>
      <c r="DK17" s="256" t="s">
        <v>4011</v>
      </c>
      <c r="DL17" s="64"/>
      <c r="DM17" s="255">
        <v>5</v>
      </c>
      <c r="DN17" s="64" t="s">
        <v>4446</v>
      </c>
      <c r="DO17" s="256" t="s">
        <v>966</v>
      </c>
      <c r="DP17" s="64"/>
      <c r="DQ17" s="261">
        <v>5</v>
      </c>
      <c r="DR17" s="293" t="s">
        <v>4447</v>
      </c>
      <c r="DS17" s="256" t="s">
        <v>4448</v>
      </c>
      <c r="DT17" s="64"/>
      <c r="DU17" s="255">
        <v>5</v>
      </c>
      <c r="DV17" s="64" t="s">
        <v>4449</v>
      </c>
      <c r="DW17" s="256" t="s">
        <v>1979</v>
      </c>
      <c r="DX17" s="63"/>
      <c r="DY17" s="260">
        <v>4</v>
      </c>
      <c r="DZ17" s="64" t="s">
        <v>4450</v>
      </c>
      <c r="EA17" s="292" t="s">
        <v>4079</v>
      </c>
      <c r="EB17" s="64"/>
      <c r="EC17" s="63">
        <v>5</v>
      </c>
      <c r="ED17" s="64" t="s">
        <v>4451</v>
      </c>
      <c r="EE17" s="256" t="s">
        <v>888</v>
      </c>
      <c r="EF17" s="64"/>
      <c r="EG17" s="255">
        <v>3</v>
      </c>
      <c r="EH17" s="64" t="s">
        <v>4452</v>
      </c>
      <c r="EI17" s="76" t="s">
        <v>4453</v>
      </c>
      <c r="EJ17" s="76"/>
      <c r="EK17" s="67">
        <v>6</v>
      </c>
      <c r="EL17" s="64" t="s">
        <v>4454</v>
      </c>
      <c r="EM17" s="256" t="s">
        <v>4455</v>
      </c>
      <c r="EN17" s="63"/>
      <c r="EO17" s="255">
        <v>5</v>
      </c>
      <c r="EP17" s="64" t="s">
        <v>4456</v>
      </c>
      <c r="EQ17" s="256" t="s">
        <v>854</v>
      </c>
      <c r="ER17" s="64"/>
      <c r="ES17" s="255">
        <v>5</v>
      </c>
      <c r="ET17" s="64" t="s">
        <v>4457</v>
      </c>
      <c r="EU17" s="256" t="s">
        <v>4256</v>
      </c>
      <c r="EV17" s="63"/>
      <c r="EW17" s="255">
        <v>4</v>
      </c>
      <c r="EX17" s="64" t="s">
        <v>4458</v>
      </c>
      <c r="EY17" s="256" t="s">
        <v>3598</v>
      </c>
      <c r="EZ17" s="64"/>
      <c r="FA17" s="255">
        <v>5</v>
      </c>
      <c r="FB17" s="64" t="s">
        <v>4459</v>
      </c>
      <c r="FC17" s="256" t="s">
        <v>4460</v>
      </c>
    </row>
    <row r="18" spans="1:159" ht="15.75" thickBot="1">
      <c r="A18" s="64"/>
      <c r="B18" s="64"/>
      <c r="C18" s="17" t="s">
        <v>3176</v>
      </c>
      <c r="D18" s="17" t="s">
        <v>3177</v>
      </c>
      <c r="E18" s="17" t="s">
        <v>3178</v>
      </c>
      <c r="F18" s="17" t="s">
        <v>3179</v>
      </c>
      <c r="G18" s="17" t="s">
        <v>3180</v>
      </c>
      <c r="H18" s="17" t="s">
        <v>3181</v>
      </c>
      <c r="I18" s="64"/>
      <c r="J18" s="215"/>
      <c r="K18" s="212" t="s">
        <v>3182</v>
      </c>
      <c r="L18" s="213" t="s">
        <v>3183</v>
      </c>
      <c r="M18" s="214" t="s">
        <v>3184</v>
      </c>
      <c r="Q18" s="64"/>
      <c r="R18" s="65"/>
      <c r="S18" s="65"/>
      <c r="T18" s="236" t="s">
        <v>3286</v>
      </c>
      <c r="U18" s="237" t="s">
        <v>1532</v>
      </c>
      <c r="V18" s="65"/>
      <c r="W18" s="63"/>
      <c r="X18" s="114" t="s">
        <v>3287</v>
      </c>
      <c r="Y18" s="235" t="s">
        <v>753</v>
      </c>
      <c r="AB18" s="255">
        <v>3</v>
      </c>
      <c r="AC18" s="64" t="s">
        <v>3556</v>
      </c>
      <c r="AD18" s="256" t="s">
        <v>3557</v>
      </c>
      <c r="AE18" s="64"/>
      <c r="AF18" s="255">
        <v>3</v>
      </c>
      <c r="AG18" s="64" t="s">
        <v>3558</v>
      </c>
      <c r="AH18" s="256" t="s">
        <v>2816</v>
      </c>
      <c r="AI18" s="64"/>
      <c r="AJ18" s="255">
        <v>3</v>
      </c>
      <c r="AK18" s="64" t="s">
        <v>3559</v>
      </c>
      <c r="AL18" s="256" t="s">
        <v>3560</v>
      </c>
      <c r="AM18" s="63"/>
      <c r="AN18" s="255">
        <v>3</v>
      </c>
      <c r="AO18" s="64" t="s">
        <v>3561</v>
      </c>
      <c r="AP18" s="256" t="s">
        <v>3562</v>
      </c>
      <c r="AQ18" s="64"/>
      <c r="AR18" s="255">
        <v>3</v>
      </c>
      <c r="AS18" s="64" t="s">
        <v>3563</v>
      </c>
      <c r="AT18" s="256" t="s">
        <v>3564</v>
      </c>
      <c r="AU18" s="64"/>
      <c r="AV18" s="255">
        <v>3</v>
      </c>
      <c r="AW18" s="64" t="s">
        <v>3565</v>
      </c>
      <c r="AX18" s="256" t="s">
        <v>3566</v>
      </c>
      <c r="AY18" s="64"/>
      <c r="AZ18" s="255">
        <v>3</v>
      </c>
      <c r="BA18" s="64" t="s">
        <v>3567</v>
      </c>
      <c r="BB18" s="256" t="s">
        <v>3568</v>
      </c>
      <c r="BC18" s="63"/>
      <c r="BD18" s="260">
        <v>3</v>
      </c>
      <c r="BE18" s="261" t="s">
        <v>3569</v>
      </c>
      <c r="BF18" s="256" t="s">
        <v>3449</v>
      </c>
      <c r="BG18" s="64"/>
      <c r="BH18" s="255">
        <v>3</v>
      </c>
      <c r="BI18" s="260" t="s">
        <v>3570</v>
      </c>
      <c r="BJ18" s="64" t="s">
        <v>3571</v>
      </c>
      <c r="BK18" s="256"/>
      <c r="BL18" s="63">
        <v>3</v>
      </c>
      <c r="BM18" s="211" t="s">
        <v>3572</v>
      </c>
      <c r="BN18" s="215" t="s">
        <v>3573</v>
      </c>
      <c r="BO18" s="64"/>
      <c r="BP18" s="255">
        <v>3</v>
      </c>
      <c r="BQ18" s="64" t="s">
        <v>3574</v>
      </c>
      <c r="BR18" s="256" t="s">
        <v>3555</v>
      </c>
      <c r="BU18" s="255">
        <v>5</v>
      </c>
      <c r="BV18" s="64" t="s">
        <v>4461</v>
      </c>
      <c r="BW18" s="256" t="s">
        <v>4462</v>
      </c>
      <c r="BX18" s="64"/>
      <c r="BY18" s="255">
        <v>5</v>
      </c>
      <c r="BZ18" s="64" t="s">
        <v>4463</v>
      </c>
      <c r="CA18" s="256" t="s">
        <v>904</v>
      </c>
      <c r="CB18" s="64"/>
      <c r="CC18" s="255">
        <v>5</v>
      </c>
      <c r="CD18" s="64" t="s">
        <v>4464</v>
      </c>
      <c r="CE18" s="256" t="s">
        <v>4192</v>
      </c>
      <c r="CF18" s="63"/>
      <c r="CG18" s="260">
        <v>5</v>
      </c>
      <c r="CH18" s="64" t="s">
        <v>4465</v>
      </c>
      <c r="CI18" s="292" t="s">
        <v>3675</v>
      </c>
      <c r="CJ18" s="64"/>
      <c r="CK18" s="255">
        <v>7</v>
      </c>
      <c r="CL18" s="64" t="s">
        <v>4466</v>
      </c>
      <c r="CM18" s="256" t="s">
        <v>4467</v>
      </c>
      <c r="CN18" s="64"/>
      <c r="CO18" s="255">
        <v>6</v>
      </c>
      <c r="CP18" s="64" t="s">
        <v>4468</v>
      </c>
      <c r="CQ18" s="256" t="s">
        <v>1496</v>
      </c>
      <c r="CR18" s="76"/>
      <c r="CS18" s="255">
        <v>5</v>
      </c>
      <c r="CT18" s="64" t="s">
        <v>4469</v>
      </c>
      <c r="CU18" s="256" t="s">
        <v>3476</v>
      </c>
      <c r="CV18" s="64"/>
      <c r="CW18" s="255">
        <v>5</v>
      </c>
      <c r="CX18" s="64" t="s">
        <v>4470</v>
      </c>
      <c r="CY18" s="256" t="s">
        <v>3828</v>
      </c>
      <c r="CZ18" s="64"/>
      <c r="DA18" s="260">
        <v>5</v>
      </c>
      <c r="DB18" s="64" t="s">
        <v>4471</v>
      </c>
      <c r="DC18" s="292" t="s">
        <v>1452</v>
      </c>
      <c r="DD18" s="64"/>
      <c r="DE18" s="255">
        <v>4</v>
      </c>
      <c r="DF18" s="64" t="s">
        <v>4472</v>
      </c>
      <c r="DG18" s="256" t="s">
        <v>4473</v>
      </c>
      <c r="DH18" s="64"/>
      <c r="DI18" s="255">
        <v>5</v>
      </c>
      <c r="DJ18" s="64" t="s">
        <v>4474</v>
      </c>
      <c r="DK18" s="256" t="s">
        <v>4475</v>
      </c>
      <c r="DL18" s="64"/>
      <c r="DM18" s="255">
        <v>5</v>
      </c>
      <c r="DN18" s="64" t="s">
        <v>4476</v>
      </c>
      <c r="DO18" s="256" t="s">
        <v>1510</v>
      </c>
      <c r="DP18" s="64"/>
      <c r="DQ18" s="261">
        <v>5</v>
      </c>
      <c r="DR18" s="293" t="s">
        <v>4477</v>
      </c>
      <c r="DS18" s="256" t="s">
        <v>4140</v>
      </c>
      <c r="DT18" s="64"/>
      <c r="DU18" s="255">
        <v>5</v>
      </c>
      <c r="DV18" s="64" t="s">
        <v>4478</v>
      </c>
      <c r="DW18" s="256" t="s">
        <v>3419</v>
      </c>
      <c r="DX18" s="63"/>
      <c r="DY18" s="260">
        <v>4</v>
      </c>
      <c r="DZ18" s="64" t="s">
        <v>4479</v>
      </c>
      <c r="EA18" s="292" t="s">
        <v>1515</v>
      </c>
      <c r="EB18" s="64"/>
      <c r="EC18" s="255">
        <v>6</v>
      </c>
      <c r="ED18" s="64" t="s">
        <v>4480</v>
      </c>
      <c r="EE18" s="256" t="s">
        <v>4481</v>
      </c>
      <c r="EF18" s="64"/>
      <c r="EG18" s="255">
        <v>4</v>
      </c>
      <c r="EH18" s="64" t="s">
        <v>4482</v>
      </c>
      <c r="EI18" s="76" t="s">
        <v>4051</v>
      </c>
      <c r="EJ18" s="76"/>
      <c r="EK18" s="67">
        <v>6</v>
      </c>
      <c r="EL18" s="64" t="s">
        <v>4483</v>
      </c>
      <c r="EM18" s="256" t="s">
        <v>4354</v>
      </c>
      <c r="EN18" s="63"/>
      <c r="EO18" s="255">
        <v>5</v>
      </c>
      <c r="EP18" s="64" t="s">
        <v>4484</v>
      </c>
      <c r="EQ18" s="256" t="s">
        <v>4051</v>
      </c>
      <c r="ER18" s="64"/>
      <c r="ES18" s="255">
        <v>5</v>
      </c>
      <c r="ET18" s="64" t="s">
        <v>4485</v>
      </c>
      <c r="EU18" s="256" t="s">
        <v>4486</v>
      </c>
      <c r="EV18" s="63"/>
      <c r="EW18" s="255">
        <v>5</v>
      </c>
      <c r="EX18" s="64" t="s">
        <v>4487</v>
      </c>
      <c r="EY18" s="256" t="s">
        <v>4488</v>
      </c>
      <c r="EZ18" s="64"/>
      <c r="FA18" s="255">
        <v>5</v>
      </c>
      <c r="FB18" s="64" t="s">
        <v>4489</v>
      </c>
      <c r="FC18" s="256" t="s">
        <v>4490</v>
      </c>
    </row>
    <row r="19" spans="1:159">
      <c r="A19" s="64"/>
      <c r="B19" s="64"/>
      <c r="C19" s="17">
        <v>9</v>
      </c>
      <c r="D19" s="17">
        <v>6</v>
      </c>
      <c r="E19" s="17">
        <v>6</v>
      </c>
      <c r="F19" s="17">
        <v>6</v>
      </c>
      <c r="G19" s="17">
        <v>6</v>
      </c>
      <c r="H19" s="17">
        <v>0</v>
      </c>
      <c r="I19" s="64"/>
      <c r="J19" s="215"/>
      <c r="K19" s="212" t="s">
        <v>3185</v>
      </c>
      <c r="L19" s="213" t="s">
        <v>3186</v>
      </c>
      <c r="M19" s="214" t="s">
        <v>3187</v>
      </c>
      <c r="Q19" s="64"/>
      <c r="R19" s="65"/>
      <c r="S19" s="65"/>
      <c r="T19" s="233" t="s">
        <v>3288</v>
      </c>
      <c r="U19" s="241" t="s">
        <v>197</v>
      </c>
      <c r="V19" s="65"/>
      <c r="W19" s="63"/>
      <c r="X19" s="114" t="s">
        <v>3289</v>
      </c>
      <c r="Y19" s="235" t="s">
        <v>663</v>
      </c>
      <c r="AB19" s="262">
        <v>4</v>
      </c>
      <c r="AC19" s="64" t="s">
        <v>3575</v>
      </c>
      <c r="AD19" s="256" t="s">
        <v>3576</v>
      </c>
      <c r="AE19" s="64"/>
      <c r="AF19" s="255">
        <v>3</v>
      </c>
      <c r="AG19" s="64" t="s">
        <v>3577</v>
      </c>
      <c r="AH19" s="256" t="s">
        <v>3578</v>
      </c>
      <c r="AI19" s="64"/>
      <c r="AJ19" s="255">
        <v>4</v>
      </c>
      <c r="AK19" s="64" t="s">
        <v>3579</v>
      </c>
      <c r="AL19" s="256" t="s">
        <v>2664</v>
      </c>
      <c r="AM19" s="63"/>
      <c r="AN19" s="255">
        <v>4</v>
      </c>
      <c r="AO19" s="64" t="s">
        <v>3580</v>
      </c>
      <c r="AP19" s="256" t="s">
        <v>1414</v>
      </c>
      <c r="AQ19" s="64"/>
      <c r="AR19" s="255">
        <v>4</v>
      </c>
      <c r="AS19" s="64" t="s">
        <v>3581</v>
      </c>
      <c r="AT19" s="256" t="s">
        <v>3564</v>
      </c>
      <c r="AU19" s="64"/>
      <c r="AV19" s="255">
        <v>4</v>
      </c>
      <c r="AW19" s="64" t="s">
        <v>3582</v>
      </c>
      <c r="AX19" s="256" t="s">
        <v>3449</v>
      </c>
      <c r="AY19" s="64"/>
      <c r="AZ19" s="255">
        <v>4</v>
      </c>
      <c r="BA19" s="64" t="s">
        <v>3583</v>
      </c>
      <c r="BB19" s="256" t="s">
        <v>3416</v>
      </c>
      <c r="BC19" s="63"/>
      <c r="BD19" s="260">
        <v>4</v>
      </c>
      <c r="BE19" s="261" t="s">
        <v>3584</v>
      </c>
      <c r="BF19" s="256" t="s">
        <v>3354</v>
      </c>
      <c r="BG19" s="64"/>
      <c r="BH19" s="255">
        <v>3</v>
      </c>
      <c r="BI19" s="260" t="s">
        <v>3585</v>
      </c>
      <c r="BJ19" s="64" t="s">
        <v>3374</v>
      </c>
      <c r="BK19" s="256"/>
      <c r="BL19" s="63">
        <v>4</v>
      </c>
      <c r="BM19" s="211" t="s">
        <v>3586</v>
      </c>
      <c r="BN19" s="215" t="s">
        <v>3328</v>
      </c>
      <c r="BO19" s="64"/>
      <c r="BP19" s="255">
        <v>3</v>
      </c>
      <c r="BQ19" s="64" t="s">
        <v>3587</v>
      </c>
      <c r="BR19" s="256" t="s">
        <v>3588</v>
      </c>
      <c r="BU19" s="255">
        <v>5</v>
      </c>
      <c r="BV19" s="64" t="s">
        <v>4491</v>
      </c>
      <c r="BW19" s="256" t="s">
        <v>3697</v>
      </c>
      <c r="BX19" s="64"/>
      <c r="BY19" s="255">
        <v>5</v>
      </c>
      <c r="BZ19" s="64" t="s">
        <v>4492</v>
      </c>
      <c r="CA19" s="256" t="s">
        <v>896</v>
      </c>
      <c r="CB19" s="64"/>
      <c r="CC19" s="63">
        <v>5</v>
      </c>
      <c r="CD19" s="64" t="s">
        <v>4493</v>
      </c>
      <c r="CE19" s="256" t="s">
        <v>4494</v>
      </c>
      <c r="CF19" s="63"/>
      <c r="CG19" s="63">
        <v>6</v>
      </c>
      <c r="CH19" s="64" t="s">
        <v>4495</v>
      </c>
      <c r="CI19" s="292" t="s">
        <v>546</v>
      </c>
      <c r="CJ19" s="64"/>
      <c r="CK19" s="255">
        <v>8</v>
      </c>
      <c r="CL19" s="64" t="s">
        <v>4496</v>
      </c>
      <c r="CM19" s="256" t="s">
        <v>4497</v>
      </c>
      <c r="CN19" s="64"/>
      <c r="CO19" s="255">
        <v>6</v>
      </c>
      <c r="CP19" s="64" t="s">
        <v>4498</v>
      </c>
      <c r="CQ19" s="256" t="s">
        <v>1513</v>
      </c>
      <c r="CR19" s="76"/>
      <c r="CS19" s="255">
        <v>6</v>
      </c>
      <c r="CT19" s="64" t="s">
        <v>4499</v>
      </c>
      <c r="CU19" s="256" t="s">
        <v>3632</v>
      </c>
      <c r="CV19" s="64"/>
      <c r="CW19" s="255">
        <v>6</v>
      </c>
      <c r="CX19" s="64" t="s">
        <v>4500</v>
      </c>
      <c r="CY19" s="256" t="s">
        <v>4301</v>
      </c>
      <c r="CZ19" s="64"/>
      <c r="DA19" s="260">
        <v>6</v>
      </c>
      <c r="DB19" s="64" t="s">
        <v>4501</v>
      </c>
      <c r="DC19" s="292" t="s">
        <v>3500</v>
      </c>
      <c r="DD19" s="64"/>
      <c r="DE19" s="255">
        <v>5</v>
      </c>
      <c r="DF19" s="64" t="s">
        <v>4502</v>
      </c>
      <c r="DG19" s="256" t="s">
        <v>4316</v>
      </c>
      <c r="DH19" s="64"/>
      <c r="DI19" s="255">
        <v>6</v>
      </c>
      <c r="DJ19" s="64" t="s">
        <v>4503</v>
      </c>
      <c r="DK19" s="256" t="s">
        <v>4011</v>
      </c>
      <c r="DL19" s="64"/>
      <c r="DM19" s="255">
        <v>5</v>
      </c>
      <c r="DN19" s="64" t="s">
        <v>4504</v>
      </c>
      <c r="DO19" s="256" t="s">
        <v>971</v>
      </c>
      <c r="DP19" s="64"/>
      <c r="DQ19" s="261">
        <v>5</v>
      </c>
      <c r="DR19" s="293" t="s">
        <v>4505</v>
      </c>
      <c r="DS19" s="256" t="s">
        <v>1299</v>
      </c>
      <c r="DT19" s="64"/>
      <c r="DU19" s="255">
        <v>5</v>
      </c>
      <c r="DV19" s="64" t="s">
        <v>4506</v>
      </c>
      <c r="DW19" s="256" t="s">
        <v>4507</v>
      </c>
      <c r="DX19" s="63"/>
      <c r="DY19" s="260">
        <v>4</v>
      </c>
      <c r="DZ19" s="64" t="s">
        <v>4508</v>
      </c>
      <c r="EA19" s="292" t="s">
        <v>2920</v>
      </c>
      <c r="EB19" s="64"/>
      <c r="EC19" s="255">
        <v>6</v>
      </c>
      <c r="ED19" s="64" t="s">
        <v>4509</v>
      </c>
      <c r="EE19" s="256" t="s">
        <v>3804</v>
      </c>
      <c r="EF19" s="64"/>
      <c r="EG19" s="255">
        <v>4</v>
      </c>
      <c r="EH19" s="64" t="s">
        <v>4510</v>
      </c>
      <c r="EI19" s="76" t="s">
        <v>4511</v>
      </c>
      <c r="EJ19" s="76"/>
      <c r="EK19" s="67">
        <v>7</v>
      </c>
      <c r="EL19" s="64" t="s">
        <v>4512</v>
      </c>
      <c r="EM19" s="256" t="s">
        <v>4354</v>
      </c>
      <c r="EN19" s="63"/>
      <c r="EO19" s="255">
        <v>5</v>
      </c>
      <c r="EP19" s="64" t="s">
        <v>4513</v>
      </c>
      <c r="EQ19" s="256" t="s">
        <v>4218</v>
      </c>
      <c r="ER19" s="64"/>
      <c r="ES19" s="255">
        <v>6</v>
      </c>
      <c r="ET19" s="64" t="s">
        <v>4514</v>
      </c>
      <c r="EU19" s="256" t="s">
        <v>4515</v>
      </c>
      <c r="EV19" s="63"/>
      <c r="EW19" s="255">
        <v>5</v>
      </c>
      <c r="EX19" s="64" t="s">
        <v>4516</v>
      </c>
      <c r="EY19" s="256" t="s">
        <v>3779</v>
      </c>
      <c r="EZ19" s="64"/>
      <c r="FA19" s="255">
        <v>6</v>
      </c>
      <c r="FB19" s="64" t="s">
        <v>4517</v>
      </c>
      <c r="FC19" s="256" t="s">
        <v>4056</v>
      </c>
    </row>
    <row r="20" spans="1:159" ht="15.75" thickBot="1">
      <c r="A20" s="64"/>
      <c r="B20" s="64"/>
      <c r="C20" s="64"/>
      <c r="D20" s="64"/>
      <c r="E20" s="64"/>
      <c r="F20" s="64"/>
      <c r="G20" s="64"/>
      <c r="H20" s="64"/>
      <c r="I20" s="64"/>
      <c r="J20" s="215"/>
      <c r="K20" s="212" t="s">
        <v>3188</v>
      </c>
      <c r="L20" s="213" t="s">
        <v>3189</v>
      </c>
      <c r="M20" s="214" t="s">
        <v>3190</v>
      </c>
      <c r="Q20" s="64"/>
      <c r="R20" s="65"/>
      <c r="S20" s="65"/>
      <c r="T20" s="65" t="s">
        <v>3290</v>
      </c>
      <c r="U20" s="65" t="s">
        <v>3291</v>
      </c>
      <c r="V20" s="65"/>
      <c r="W20" s="63"/>
      <c r="X20" s="114" t="s">
        <v>3292</v>
      </c>
      <c r="Y20" s="235" t="s">
        <v>703</v>
      </c>
      <c r="AB20" s="262">
        <v>4</v>
      </c>
      <c r="AC20" s="64" t="s">
        <v>3589</v>
      </c>
      <c r="AD20" s="256" t="s">
        <v>854</v>
      </c>
      <c r="AE20" s="64"/>
      <c r="AF20" s="255">
        <v>3</v>
      </c>
      <c r="AG20" s="64" t="s">
        <v>3590</v>
      </c>
      <c r="AH20" s="256" t="s">
        <v>3591</v>
      </c>
      <c r="AI20" s="64"/>
      <c r="AJ20" s="255">
        <v>4</v>
      </c>
      <c r="AK20" s="64" t="s">
        <v>3592</v>
      </c>
      <c r="AL20" s="256" t="s">
        <v>3398</v>
      </c>
      <c r="AM20" s="63"/>
      <c r="AN20" s="255">
        <v>4</v>
      </c>
      <c r="AO20" s="64" t="s">
        <v>3593</v>
      </c>
      <c r="AP20" s="256" t="s">
        <v>3594</v>
      </c>
      <c r="AQ20" s="64"/>
      <c r="AR20" s="255">
        <v>4</v>
      </c>
      <c r="AS20" s="64" t="s">
        <v>3595</v>
      </c>
      <c r="AT20" s="256" t="s">
        <v>2600</v>
      </c>
      <c r="AU20" s="64"/>
      <c r="AV20" s="255">
        <v>4</v>
      </c>
      <c r="AW20" s="64" t="s">
        <v>3596</v>
      </c>
      <c r="AX20" s="256" t="s">
        <v>3402</v>
      </c>
      <c r="AY20" s="64"/>
      <c r="AZ20" s="255">
        <v>4</v>
      </c>
      <c r="BA20" s="64" t="s">
        <v>3597</v>
      </c>
      <c r="BB20" s="256" t="s">
        <v>3598</v>
      </c>
      <c r="BC20" s="63"/>
      <c r="BD20" s="260">
        <v>4</v>
      </c>
      <c r="BE20" s="261" t="s">
        <v>3599</v>
      </c>
      <c r="BF20" s="256" t="s">
        <v>3354</v>
      </c>
      <c r="BG20" s="64"/>
      <c r="BH20" s="255">
        <v>3</v>
      </c>
      <c r="BI20" s="260" t="s">
        <v>3600</v>
      </c>
      <c r="BJ20" s="64" t="s">
        <v>3476</v>
      </c>
      <c r="BK20" s="256"/>
      <c r="BL20" s="63">
        <v>4</v>
      </c>
      <c r="BM20" s="211" t="s">
        <v>3601</v>
      </c>
      <c r="BN20" s="215" t="s">
        <v>3602</v>
      </c>
      <c r="BO20" s="64"/>
      <c r="BP20" s="255">
        <v>3</v>
      </c>
      <c r="BQ20" s="64" t="s">
        <v>3603</v>
      </c>
      <c r="BR20" s="256" t="s">
        <v>3604</v>
      </c>
      <c r="BU20" s="255">
        <v>6</v>
      </c>
      <c r="BV20" s="64" t="s">
        <v>4518</v>
      </c>
      <c r="BW20" s="256" t="s">
        <v>3779</v>
      </c>
      <c r="BX20" s="64"/>
      <c r="BY20" s="255">
        <v>6</v>
      </c>
      <c r="BZ20" s="64" t="s">
        <v>4519</v>
      </c>
      <c r="CA20" s="256" t="s">
        <v>2299</v>
      </c>
      <c r="CB20" s="64"/>
      <c r="CC20" s="255">
        <v>6</v>
      </c>
      <c r="CD20" s="64" t="s">
        <v>4520</v>
      </c>
      <c r="CE20" s="256" t="s">
        <v>2741</v>
      </c>
      <c r="CF20" s="63"/>
      <c r="CG20" s="260">
        <v>6</v>
      </c>
      <c r="CH20" s="64" t="s">
        <v>4521</v>
      </c>
      <c r="CI20" s="292" t="s">
        <v>4522</v>
      </c>
      <c r="CJ20" s="64"/>
      <c r="CK20" s="294"/>
      <c r="CL20" s="265" t="s">
        <v>4523</v>
      </c>
      <c r="CM20" s="266" t="s">
        <v>732</v>
      </c>
      <c r="CN20" s="64"/>
      <c r="CO20" s="255">
        <v>7</v>
      </c>
      <c r="CP20" s="64" t="s">
        <v>4524</v>
      </c>
      <c r="CQ20" s="256" t="s">
        <v>1530</v>
      </c>
      <c r="CR20" s="76"/>
      <c r="CS20" s="255">
        <v>6</v>
      </c>
      <c r="CT20" s="64" t="s">
        <v>4525</v>
      </c>
      <c r="CU20" s="256" t="s">
        <v>3672</v>
      </c>
      <c r="CV20" s="64"/>
      <c r="CW20" s="255">
        <v>6</v>
      </c>
      <c r="CX20" s="64" t="s">
        <v>4526</v>
      </c>
      <c r="CY20" s="256" t="s">
        <v>4527</v>
      </c>
      <c r="CZ20" s="64"/>
      <c r="DA20" s="260">
        <v>6</v>
      </c>
      <c r="DB20" s="64" t="s">
        <v>4528</v>
      </c>
      <c r="DC20" s="292" t="s">
        <v>3482</v>
      </c>
      <c r="DD20" s="64"/>
      <c r="DE20" s="255">
        <v>5</v>
      </c>
      <c r="DF20" s="64" t="s">
        <v>4529</v>
      </c>
      <c r="DG20" s="256" t="s">
        <v>3192</v>
      </c>
      <c r="DH20" s="64"/>
      <c r="DI20" s="255">
        <v>6</v>
      </c>
      <c r="DJ20" s="64" t="s">
        <v>4530</v>
      </c>
      <c r="DK20" s="256" t="s">
        <v>4011</v>
      </c>
      <c r="DL20" s="64"/>
      <c r="DM20" s="255"/>
      <c r="DN20" s="265" t="s">
        <v>4531</v>
      </c>
      <c r="DO20" s="266" t="s">
        <v>1638</v>
      </c>
      <c r="DP20" s="265"/>
      <c r="DQ20" s="261">
        <v>6</v>
      </c>
      <c r="DR20" s="293" t="s">
        <v>4532</v>
      </c>
      <c r="DS20" s="256" t="s">
        <v>925</v>
      </c>
      <c r="DT20" s="64"/>
      <c r="DU20" s="255">
        <v>6</v>
      </c>
      <c r="DV20" s="64" t="s">
        <v>4533</v>
      </c>
      <c r="DW20" s="256" t="s">
        <v>3828</v>
      </c>
      <c r="DX20" s="63"/>
      <c r="DY20" s="260">
        <v>5</v>
      </c>
      <c r="DZ20" s="64" t="s">
        <v>4534</v>
      </c>
      <c r="EA20" s="292" t="s">
        <v>3632</v>
      </c>
      <c r="EB20" s="64"/>
      <c r="EC20" s="255">
        <v>7</v>
      </c>
      <c r="ED20" s="64" t="s">
        <v>4535</v>
      </c>
      <c r="EE20" s="256" t="s">
        <v>2701</v>
      </c>
      <c r="EF20" s="64"/>
      <c r="EG20" s="255">
        <v>5</v>
      </c>
      <c r="EH20" s="215" t="s">
        <v>4536</v>
      </c>
      <c r="EI20" s="30" t="s">
        <v>4511</v>
      </c>
      <c r="EJ20" s="76"/>
      <c r="EK20" s="67">
        <v>7</v>
      </c>
      <c r="EL20" s="64" t="s">
        <v>4537</v>
      </c>
      <c r="EM20" s="256" t="s">
        <v>4354</v>
      </c>
      <c r="EN20" s="63"/>
      <c r="EO20" s="255">
        <v>6</v>
      </c>
      <c r="EP20" s="64" t="s">
        <v>4538</v>
      </c>
      <c r="EQ20" s="256" t="s">
        <v>4539</v>
      </c>
      <c r="ER20" s="64"/>
      <c r="ES20" s="255">
        <v>6</v>
      </c>
      <c r="ET20" s="64" t="s">
        <v>4540</v>
      </c>
      <c r="EU20" s="256" t="s">
        <v>4541</v>
      </c>
      <c r="EV20" s="63"/>
      <c r="EW20" s="255">
        <v>6</v>
      </c>
      <c r="EX20" s="64" t="s">
        <v>4542</v>
      </c>
      <c r="EY20" s="256" t="s">
        <v>4025</v>
      </c>
      <c r="EZ20" s="64"/>
      <c r="FA20" s="255">
        <v>6</v>
      </c>
      <c r="FB20" s="64" t="s">
        <v>4543</v>
      </c>
      <c r="FC20" s="256" t="s">
        <v>4544</v>
      </c>
    </row>
    <row r="21" spans="1:159">
      <c r="A21" s="64"/>
      <c r="B21" s="64"/>
      <c r="C21" s="218" t="s">
        <v>3191</v>
      </c>
      <c r="D21" s="219"/>
      <c r="E21" s="219"/>
      <c r="F21" s="219"/>
      <c r="G21" s="219"/>
      <c r="H21" s="220"/>
      <c r="I21" s="64"/>
      <c r="J21" s="215"/>
      <c r="K21" s="212" t="s">
        <v>3192</v>
      </c>
      <c r="L21" s="221" t="s">
        <v>3193</v>
      </c>
      <c r="M21" s="214" t="s">
        <v>3194</v>
      </c>
      <c r="Q21" s="64"/>
      <c r="R21" s="65"/>
      <c r="S21" s="65"/>
      <c r="T21" s="233" t="s">
        <v>3293</v>
      </c>
      <c r="U21" s="241" t="s">
        <v>3294</v>
      </c>
      <c r="V21" s="65"/>
      <c r="W21" s="63"/>
      <c r="X21" s="114" t="s">
        <v>3295</v>
      </c>
      <c r="Y21" s="235" t="s">
        <v>1739</v>
      </c>
      <c r="AB21" s="262">
        <v>4</v>
      </c>
      <c r="AC21" s="64" t="s">
        <v>3605</v>
      </c>
      <c r="AD21" s="256" t="s">
        <v>3606</v>
      </c>
      <c r="AE21" s="64"/>
      <c r="AF21" s="255">
        <v>4</v>
      </c>
      <c r="AG21" s="64" t="s">
        <v>3607</v>
      </c>
      <c r="AH21" s="256" t="s">
        <v>129</v>
      </c>
      <c r="AI21" s="64"/>
      <c r="AJ21" s="255">
        <v>4</v>
      </c>
      <c r="AK21" s="64" t="s">
        <v>3608</v>
      </c>
      <c r="AL21" s="256" t="s">
        <v>1192</v>
      </c>
      <c r="AM21" s="63"/>
      <c r="AN21" s="255">
        <v>4</v>
      </c>
      <c r="AO21" s="64" t="s">
        <v>3609</v>
      </c>
      <c r="AP21" s="256" t="s">
        <v>1437</v>
      </c>
      <c r="AQ21" s="64"/>
      <c r="AR21" s="255">
        <v>4</v>
      </c>
      <c r="AS21" s="64" t="s">
        <v>3610</v>
      </c>
      <c r="AT21" s="256" t="s">
        <v>3517</v>
      </c>
      <c r="AU21" s="64"/>
      <c r="AV21" s="255">
        <v>4</v>
      </c>
      <c r="AW21" s="64" t="s">
        <v>3611</v>
      </c>
      <c r="AX21" s="256" t="s">
        <v>919</v>
      </c>
      <c r="AY21" s="64"/>
      <c r="AZ21" s="255">
        <v>4</v>
      </c>
      <c r="BA21" s="64" t="s">
        <v>3612</v>
      </c>
      <c r="BB21" s="256" t="s">
        <v>3613</v>
      </c>
      <c r="BC21" s="63"/>
      <c r="BD21" s="260">
        <v>4</v>
      </c>
      <c r="BE21" s="261" t="s">
        <v>3614</v>
      </c>
      <c r="BF21" s="256" t="s">
        <v>3615</v>
      </c>
      <c r="BG21" s="64"/>
      <c r="BH21" s="255">
        <v>3</v>
      </c>
      <c r="BI21" s="260" t="s">
        <v>3616</v>
      </c>
      <c r="BJ21" s="64" t="s">
        <v>3374</v>
      </c>
      <c r="BK21" s="256"/>
      <c r="BL21" s="63">
        <v>4</v>
      </c>
      <c r="BM21" s="211" t="s">
        <v>3617</v>
      </c>
      <c r="BN21" s="215" t="s">
        <v>3618</v>
      </c>
      <c r="BO21" s="64"/>
      <c r="BP21" s="255">
        <v>3</v>
      </c>
      <c r="BQ21" s="64" t="s">
        <v>3619</v>
      </c>
      <c r="BR21" s="256" t="s">
        <v>3620</v>
      </c>
      <c r="BU21" s="255">
        <v>6</v>
      </c>
      <c r="BV21" s="64" t="s">
        <v>4545</v>
      </c>
      <c r="BW21" s="256" t="s">
        <v>1670</v>
      </c>
      <c r="BX21" s="64"/>
      <c r="BY21" s="255">
        <v>7</v>
      </c>
      <c r="BZ21" s="64" t="s">
        <v>4546</v>
      </c>
      <c r="CA21" s="256" t="s">
        <v>945</v>
      </c>
      <c r="CB21" s="64"/>
      <c r="CC21" s="255">
        <v>6</v>
      </c>
      <c r="CD21" s="64" t="s">
        <v>4547</v>
      </c>
      <c r="CE21" s="256" t="s">
        <v>2738</v>
      </c>
      <c r="CF21" s="63"/>
      <c r="CG21" s="260">
        <v>7</v>
      </c>
      <c r="CH21" s="64" t="s">
        <v>4548</v>
      </c>
      <c r="CI21" s="292" t="s">
        <v>4549</v>
      </c>
      <c r="CJ21" s="64"/>
      <c r="CK21" s="294"/>
      <c r="CL21" s="265" t="s">
        <v>4550</v>
      </c>
      <c r="CM21" s="266" t="s">
        <v>4551</v>
      </c>
      <c r="CN21" s="64"/>
      <c r="CO21" s="255">
        <v>7</v>
      </c>
      <c r="CP21" s="64" t="s">
        <v>4552</v>
      </c>
      <c r="CQ21" s="256" t="s">
        <v>1406</v>
      </c>
      <c r="CR21" s="76"/>
      <c r="CS21" s="255">
        <v>7</v>
      </c>
      <c r="CT21" s="64" t="s">
        <v>4553</v>
      </c>
      <c r="CU21" s="256" t="s">
        <v>3435</v>
      </c>
      <c r="CV21" s="64"/>
      <c r="CW21" s="255">
        <v>7</v>
      </c>
      <c r="CX21" s="64" t="s">
        <v>4554</v>
      </c>
      <c r="CY21" s="256" t="s">
        <v>3828</v>
      </c>
      <c r="CZ21" s="64"/>
      <c r="DA21" s="260">
        <v>7</v>
      </c>
      <c r="DB21" s="64" t="s">
        <v>4555</v>
      </c>
      <c r="DC21" s="292" t="s">
        <v>4556</v>
      </c>
      <c r="DD21" s="64"/>
      <c r="DE21" s="255">
        <v>6</v>
      </c>
      <c r="DF21" s="64" t="s">
        <v>4557</v>
      </c>
      <c r="DG21" s="256" t="s">
        <v>4558</v>
      </c>
      <c r="DH21" s="64"/>
      <c r="DI21" s="255">
        <v>7</v>
      </c>
      <c r="DJ21" s="64" t="s">
        <v>4559</v>
      </c>
      <c r="DK21" s="256" t="s">
        <v>4011</v>
      </c>
      <c r="DL21" s="64"/>
      <c r="DM21" s="255"/>
      <c r="DN21" s="265" t="s">
        <v>4560</v>
      </c>
      <c r="DO21" s="266" t="s">
        <v>1548</v>
      </c>
      <c r="DP21" s="265"/>
      <c r="DQ21" s="261">
        <v>6</v>
      </c>
      <c r="DR21" s="293" t="s">
        <v>4561</v>
      </c>
      <c r="DS21" s="256" t="s">
        <v>4562</v>
      </c>
      <c r="DT21" s="64"/>
      <c r="DU21" s="255">
        <v>6</v>
      </c>
      <c r="DV21" s="64" t="s">
        <v>4563</v>
      </c>
      <c r="DW21" s="256" t="s">
        <v>4246</v>
      </c>
      <c r="DX21" s="63"/>
      <c r="DY21" s="260">
        <v>5</v>
      </c>
      <c r="DZ21" s="64" t="s">
        <v>4564</v>
      </c>
      <c r="EA21" s="292" t="s">
        <v>1633</v>
      </c>
      <c r="EB21" s="64"/>
      <c r="EC21" s="255"/>
      <c r="ED21" s="265" t="s">
        <v>4248</v>
      </c>
      <c r="EE21" s="266" t="s">
        <v>2772</v>
      </c>
      <c r="EF21" s="64"/>
      <c r="EG21" s="255">
        <v>5</v>
      </c>
      <c r="EH21" s="215" t="s">
        <v>4565</v>
      </c>
      <c r="EI21" s="30" t="s">
        <v>4387</v>
      </c>
      <c r="EJ21" s="76"/>
      <c r="EK21" s="67">
        <v>8</v>
      </c>
      <c r="EL21" s="64" t="s">
        <v>4566</v>
      </c>
      <c r="EM21" s="256" t="s">
        <v>4354</v>
      </c>
      <c r="EN21" s="63"/>
      <c r="EO21" s="255">
        <v>6</v>
      </c>
      <c r="EP21" s="64" t="s">
        <v>4567</v>
      </c>
      <c r="EQ21" s="256" t="s">
        <v>4423</v>
      </c>
      <c r="ER21" s="64"/>
      <c r="ES21" s="255">
        <v>7</v>
      </c>
      <c r="ET21" s="64" t="s">
        <v>4568</v>
      </c>
      <c r="EU21" s="256" t="s">
        <v>4569</v>
      </c>
      <c r="EV21" s="63"/>
      <c r="EW21" s="255">
        <v>7</v>
      </c>
      <c r="EX21" s="64" t="s">
        <v>4570</v>
      </c>
      <c r="EY21" s="256" t="s">
        <v>3154</v>
      </c>
      <c r="EZ21" s="64"/>
      <c r="FA21" s="255">
        <v>6</v>
      </c>
      <c r="FB21" s="64" t="s">
        <v>4571</v>
      </c>
      <c r="FC21" s="256" t="s">
        <v>919</v>
      </c>
    </row>
    <row r="22" spans="1:159" ht="15.75" thickBot="1">
      <c r="A22" s="64"/>
      <c r="B22" s="64"/>
      <c r="C22" s="17" t="s">
        <v>3176</v>
      </c>
      <c r="D22" s="17" t="s">
        <v>3177</v>
      </c>
      <c r="E22" s="17" t="s">
        <v>3178</v>
      </c>
      <c r="F22" s="17" t="s">
        <v>3179</v>
      </c>
      <c r="G22" s="17" t="s">
        <v>3180</v>
      </c>
      <c r="H22" s="17" t="s">
        <v>3195</v>
      </c>
      <c r="I22" s="64"/>
      <c r="J22" s="64"/>
      <c r="K22" s="212" t="s">
        <v>3196</v>
      </c>
      <c r="L22" s="213" t="s">
        <v>3197</v>
      </c>
      <c r="M22" s="214" t="s">
        <v>3198</v>
      </c>
      <c r="Q22" s="64"/>
      <c r="R22" s="65"/>
      <c r="S22" s="65"/>
      <c r="T22" s="238" t="s">
        <v>3296</v>
      </c>
      <c r="U22" s="239" t="s">
        <v>3297</v>
      </c>
      <c r="V22" s="65"/>
      <c r="W22" s="63"/>
      <c r="X22" s="120" t="s">
        <v>3298</v>
      </c>
      <c r="Y22" s="242" t="s">
        <v>1633</v>
      </c>
      <c r="AB22" s="262">
        <v>4</v>
      </c>
      <c r="AC22" s="64" t="s">
        <v>3621</v>
      </c>
      <c r="AD22" s="256" t="s">
        <v>3381</v>
      </c>
      <c r="AE22" s="64"/>
      <c r="AF22" s="255">
        <v>4</v>
      </c>
      <c r="AG22" s="64" t="s">
        <v>3622</v>
      </c>
      <c r="AH22" s="256" t="s">
        <v>908</v>
      </c>
      <c r="AI22" s="64"/>
      <c r="AJ22" s="255">
        <v>4</v>
      </c>
      <c r="AK22" s="64" t="s">
        <v>3623</v>
      </c>
      <c r="AL22" s="256" t="s">
        <v>3381</v>
      </c>
      <c r="AM22" s="63"/>
      <c r="AN22" s="255">
        <v>4</v>
      </c>
      <c r="AO22" s="64" t="s">
        <v>3624</v>
      </c>
      <c r="AP22" s="256" t="s">
        <v>3543</v>
      </c>
      <c r="AQ22" s="64"/>
      <c r="AR22" s="255">
        <v>4</v>
      </c>
      <c r="AS22" s="64" t="s">
        <v>3625</v>
      </c>
      <c r="AT22" s="256" t="s">
        <v>3517</v>
      </c>
      <c r="AU22" s="64"/>
      <c r="AV22" s="255">
        <v>4</v>
      </c>
      <c r="AW22" s="64" t="s">
        <v>3626</v>
      </c>
      <c r="AX22" s="256" t="s">
        <v>3402</v>
      </c>
      <c r="AY22" s="64"/>
      <c r="AZ22" s="255">
        <v>4</v>
      </c>
      <c r="BA22" s="64" t="s">
        <v>3627</v>
      </c>
      <c r="BB22" s="256" t="s">
        <v>3628</v>
      </c>
      <c r="BC22" s="63"/>
      <c r="BD22" s="260">
        <v>4</v>
      </c>
      <c r="BE22" s="261" t="s">
        <v>3629</v>
      </c>
      <c r="BF22" s="256" t="s">
        <v>3630</v>
      </c>
      <c r="BG22" s="64"/>
      <c r="BH22" s="255">
        <v>3</v>
      </c>
      <c r="BI22" s="260" t="s">
        <v>3631</v>
      </c>
      <c r="BJ22" s="64" t="s">
        <v>3632</v>
      </c>
      <c r="BK22" s="256"/>
      <c r="BL22" s="63">
        <v>4</v>
      </c>
      <c r="BM22" s="211" t="s">
        <v>3633</v>
      </c>
      <c r="BN22" s="215" t="s">
        <v>3634</v>
      </c>
      <c r="BO22" s="64"/>
      <c r="BP22" s="255">
        <v>4</v>
      </c>
      <c r="BQ22" s="64" t="s">
        <v>3635</v>
      </c>
      <c r="BR22" s="256" t="s">
        <v>3636</v>
      </c>
      <c r="BU22" s="255">
        <v>7</v>
      </c>
      <c r="BV22" s="64" t="s">
        <v>4572</v>
      </c>
      <c r="BW22" s="256" t="s">
        <v>1673</v>
      </c>
      <c r="BX22" s="64"/>
      <c r="BY22" s="294"/>
      <c r="BZ22" s="265" t="s">
        <v>4573</v>
      </c>
      <c r="CA22" s="266" t="s">
        <v>1003</v>
      </c>
      <c r="CB22" s="64"/>
      <c r="CC22" s="255">
        <v>7</v>
      </c>
      <c r="CD22" s="64" t="s">
        <v>4574</v>
      </c>
      <c r="CE22" s="256" t="s">
        <v>1979</v>
      </c>
      <c r="CF22" s="63"/>
      <c r="CG22" s="63">
        <v>8</v>
      </c>
      <c r="CH22" s="64" t="s">
        <v>4575</v>
      </c>
      <c r="CI22" s="292" t="s">
        <v>3675</v>
      </c>
      <c r="CJ22" s="64"/>
      <c r="CK22" s="294"/>
      <c r="CL22" s="265"/>
      <c r="CM22" s="266" t="s">
        <v>4576</v>
      </c>
      <c r="CN22" s="64"/>
      <c r="CO22" s="255">
        <v>8</v>
      </c>
      <c r="CP22" s="64" t="s">
        <v>4577</v>
      </c>
      <c r="CQ22" s="256" t="s">
        <v>4578</v>
      </c>
      <c r="CR22" s="76"/>
      <c r="CS22" s="255">
        <v>8</v>
      </c>
      <c r="CT22" s="64" t="s">
        <v>4579</v>
      </c>
      <c r="CU22" s="256" t="s">
        <v>3672</v>
      </c>
      <c r="CV22" s="64"/>
      <c r="CW22" s="255">
        <v>7</v>
      </c>
      <c r="CX22" s="64" t="s">
        <v>4580</v>
      </c>
      <c r="CY22" s="256" t="s">
        <v>3105</v>
      </c>
      <c r="CZ22" s="64"/>
      <c r="DA22" s="260">
        <v>7</v>
      </c>
      <c r="DB22" s="64" t="s">
        <v>4581</v>
      </c>
      <c r="DC22" s="292" t="s">
        <v>1192</v>
      </c>
      <c r="DD22" s="64"/>
      <c r="DE22" s="255">
        <v>7</v>
      </c>
      <c r="DF22" s="64" t="s">
        <v>4582</v>
      </c>
      <c r="DG22" s="256" t="s">
        <v>554</v>
      </c>
      <c r="DH22" s="64"/>
      <c r="DI22" s="255">
        <v>8</v>
      </c>
      <c r="DJ22" s="64" t="s">
        <v>4583</v>
      </c>
      <c r="DK22" s="256" t="s">
        <v>4011</v>
      </c>
      <c r="DL22" s="64"/>
      <c r="DM22" s="294"/>
      <c r="DN22" s="265" t="s">
        <v>4584</v>
      </c>
      <c r="DO22" s="266" t="s">
        <v>1000</v>
      </c>
      <c r="DP22" s="265"/>
      <c r="DQ22" s="268">
        <v>7</v>
      </c>
      <c r="DR22" s="293" t="s">
        <v>4585</v>
      </c>
      <c r="DS22" s="256" t="s">
        <v>925</v>
      </c>
      <c r="DT22" s="64"/>
      <c r="DU22" s="255">
        <v>7</v>
      </c>
      <c r="DV22" s="64" t="s">
        <v>4586</v>
      </c>
      <c r="DW22" s="256" t="s">
        <v>1979</v>
      </c>
      <c r="DX22" s="63"/>
      <c r="DY22" s="260"/>
      <c r="DZ22" s="265" t="s">
        <v>4587</v>
      </c>
      <c r="EA22" s="278" t="s">
        <v>1631</v>
      </c>
      <c r="EB22" s="64"/>
      <c r="EC22" s="255"/>
      <c r="ED22" s="265" t="s">
        <v>4588</v>
      </c>
      <c r="EE22" s="266" t="s">
        <v>1678</v>
      </c>
      <c r="EF22" s="64"/>
      <c r="EG22" s="255"/>
      <c r="EH22" s="265" t="s">
        <v>4589</v>
      </c>
      <c r="EI22" s="298" t="s">
        <v>2997</v>
      </c>
      <c r="EJ22" s="76"/>
      <c r="EK22" s="67"/>
      <c r="EL22" s="265" t="s">
        <v>4590</v>
      </c>
      <c r="EM22" s="266" t="s">
        <v>4591</v>
      </c>
      <c r="EN22" s="63"/>
      <c r="EO22" s="255">
        <v>7</v>
      </c>
      <c r="EP22" s="64" t="s">
        <v>4592</v>
      </c>
      <c r="EQ22" s="256" t="s">
        <v>3688</v>
      </c>
      <c r="ER22" s="64"/>
      <c r="ES22" s="255">
        <v>8</v>
      </c>
      <c r="ET22" s="64" t="s">
        <v>4593</v>
      </c>
      <c r="EU22" s="256" t="s">
        <v>1514</v>
      </c>
      <c r="EV22" s="63"/>
      <c r="EW22" s="255"/>
      <c r="EX22" s="265" t="s">
        <v>4594</v>
      </c>
      <c r="EY22" s="266" t="s">
        <v>985</v>
      </c>
      <c r="EZ22" s="64"/>
      <c r="FA22" s="255">
        <v>7</v>
      </c>
      <c r="FB22" s="64" t="s">
        <v>4595</v>
      </c>
      <c r="FC22" s="256" t="s">
        <v>4596</v>
      </c>
    </row>
    <row r="23" spans="1:159">
      <c r="A23" s="64"/>
      <c r="B23" s="64"/>
      <c r="C23" s="17">
        <v>13</v>
      </c>
      <c r="D23" s="17">
        <v>8</v>
      </c>
      <c r="E23" s="17">
        <v>4</v>
      </c>
      <c r="F23" s="17">
        <v>2</v>
      </c>
      <c r="G23" s="17">
        <v>1</v>
      </c>
      <c r="H23" s="17">
        <v>5</v>
      </c>
      <c r="I23" s="64"/>
      <c r="J23" s="64"/>
      <c r="K23" s="212" t="s">
        <v>3199</v>
      </c>
      <c r="L23" s="213" t="s">
        <v>3200</v>
      </c>
      <c r="M23" s="214" t="s">
        <v>3201</v>
      </c>
      <c r="Q23" s="64"/>
      <c r="R23" s="65"/>
      <c r="S23" s="65"/>
      <c r="T23" s="233" t="s">
        <v>3299</v>
      </c>
      <c r="U23" s="241" t="s">
        <v>3300</v>
      </c>
      <c r="V23" s="65"/>
      <c r="W23" s="63"/>
      <c r="X23" s="63"/>
      <c r="Y23" s="65"/>
      <c r="AB23" s="262">
        <v>4</v>
      </c>
      <c r="AC23" s="64" t="s">
        <v>3637</v>
      </c>
      <c r="AD23" s="256" t="s">
        <v>29</v>
      </c>
      <c r="AE23" s="64"/>
      <c r="AF23" s="255">
        <v>4</v>
      </c>
      <c r="AG23" s="64" t="s">
        <v>3638</v>
      </c>
      <c r="AH23" s="256" t="s">
        <v>899</v>
      </c>
      <c r="AI23" s="64"/>
      <c r="AJ23" s="255">
        <v>4</v>
      </c>
      <c r="AK23" s="64" t="s">
        <v>3639</v>
      </c>
      <c r="AL23" s="256" t="s">
        <v>3640</v>
      </c>
      <c r="AM23" s="63"/>
      <c r="AN23" s="255">
        <v>4</v>
      </c>
      <c r="AO23" s="64" t="s">
        <v>3641</v>
      </c>
      <c r="AP23" s="256" t="s">
        <v>3642</v>
      </c>
      <c r="AQ23" s="64"/>
      <c r="AR23" s="255">
        <v>4</v>
      </c>
      <c r="AS23" s="64" t="s">
        <v>3643</v>
      </c>
      <c r="AT23" s="256" t="s">
        <v>3644</v>
      </c>
      <c r="AU23" s="64"/>
      <c r="AV23" s="255">
        <v>4</v>
      </c>
      <c r="AW23" s="64" t="s">
        <v>3645</v>
      </c>
      <c r="AX23" s="256" t="s">
        <v>3419</v>
      </c>
      <c r="AY23" s="64"/>
      <c r="AZ23" s="255">
        <v>4</v>
      </c>
      <c r="BA23" s="64" t="s">
        <v>3646</v>
      </c>
      <c r="BB23" s="256" t="s">
        <v>1800</v>
      </c>
      <c r="BC23" s="63"/>
      <c r="BD23" s="260">
        <v>4</v>
      </c>
      <c r="BE23" s="261" t="s">
        <v>3647</v>
      </c>
      <c r="BF23" s="256" t="s">
        <v>3354</v>
      </c>
      <c r="BG23" s="64"/>
      <c r="BH23" s="255">
        <v>4</v>
      </c>
      <c r="BI23" s="260" t="s">
        <v>3648</v>
      </c>
      <c r="BJ23" s="64" t="s">
        <v>3649</v>
      </c>
      <c r="BK23" s="256"/>
      <c r="BL23" s="64">
        <v>4</v>
      </c>
      <c r="BM23" s="211" t="s">
        <v>3650</v>
      </c>
      <c r="BN23" s="215" t="s">
        <v>3494</v>
      </c>
      <c r="BO23" s="64"/>
      <c r="BP23" s="255">
        <v>4</v>
      </c>
      <c r="BQ23" s="64" t="s">
        <v>3651</v>
      </c>
      <c r="BR23" s="256" t="s">
        <v>1047</v>
      </c>
      <c r="BU23" s="255">
        <v>8</v>
      </c>
      <c r="BV23" s="64" t="s">
        <v>4597</v>
      </c>
      <c r="BW23" s="256" t="s">
        <v>4598</v>
      </c>
      <c r="BX23" s="64"/>
      <c r="BY23" s="255"/>
      <c r="BZ23" s="265" t="s">
        <v>4599</v>
      </c>
      <c r="CA23" s="266" t="s">
        <v>178</v>
      </c>
      <c r="CB23" s="64"/>
      <c r="CC23" s="255">
        <v>7</v>
      </c>
      <c r="CD23" s="64" t="s">
        <v>4600</v>
      </c>
      <c r="CE23" s="256" t="s">
        <v>4192</v>
      </c>
      <c r="CF23" s="63"/>
      <c r="CG23" s="260"/>
      <c r="CH23" s="265" t="s">
        <v>4601</v>
      </c>
      <c r="CI23" s="278" t="s">
        <v>2812</v>
      </c>
      <c r="CJ23" s="64"/>
      <c r="CK23" s="255"/>
      <c r="CL23" s="265" t="s">
        <v>3468</v>
      </c>
      <c r="CM23" s="266" t="s">
        <v>4602</v>
      </c>
      <c r="CN23" s="64"/>
      <c r="CO23" s="294"/>
      <c r="CP23" s="265" t="s">
        <v>4603</v>
      </c>
      <c r="CQ23" s="266" t="s">
        <v>1567</v>
      </c>
      <c r="CR23" s="298"/>
      <c r="CS23" s="255"/>
      <c r="CT23" s="265" t="s">
        <v>4604</v>
      </c>
      <c r="CU23" s="266" t="s">
        <v>4605</v>
      </c>
      <c r="CV23" s="64"/>
      <c r="CW23" s="255">
        <v>9</v>
      </c>
      <c r="CX23" s="64" t="s">
        <v>4606</v>
      </c>
      <c r="CY23" s="256" t="s">
        <v>3105</v>
      </c>
      <c r="CZ23" s="64"/>
      <c r="DA23" s="260"/>
      <c r="DB23" s="265" t="s">
        <v>4607</v>
      </c>
      <c r="DC23" s="278" t="s">
        <v>2072</v>
      </c>
      <c r="DD23" s="64"/>
      <c r="DE23" s="255"/>
      <c r="DF23" s="265" t="s">
        <v>4608</v>
      </c>
      <c r="DG23" s="266" t="s">
        <v>4609</v>
      </c>
      <c r="DH23" s="64"/>
      <c r="DI23" s="294"/>
      <c r="DJ23" s="265" t="s">
        <v>4610</v>
      </c>
      <c r="DK23" s="266" t="s">
        <v>965</v>
      </c>
      <c r="DL23" s="64"/>
      <c r="DM23" s="255"/>
      <c r="DN23" s="265" t="s">
        <v>4611</v>
      </c>
      <c r="DO23" s="266" t="s">
        <v>996</v>
      </c>
      <c r="DP23" s="265"/>
      <c r="DQ23" s="268"/>
      <c r="DR23" s="293" t="s">
        <v>4612</v>
      </c>
      <c r="DS23" s="256" t="s">
        <v>955</v>
      </c>
      <c r="DT23" s="64"/>
      <c r="DU23" s="294"/>
      <c r="DV23" s="265" t="s">
        <v>4613</v>
      </c>
      <c r="DW23" s="266" t="s">
        <v>4614</v>
      </c>
      <c r="DX23" s="63"/>
      <c r="DY23" s="260"/>
      <c r="DZ23" s="265" t="s">
        <v>4615</v>
      </c>
      <c r="EA23" s="278" t="s">
        <v>2809</v>
      </c>
      <c r="EB23" s="64"/>
      <c r="EC23" s="255"/>
      <c r="ED23" s="265" t="s">
        <v>4616</v>
      </c>
      <c r="EE23" s="266" t="s">
        <v>2773</v>
      </c>
      <c r="EF23" s="64"/>
      <c r="EG23" s="255"/>
      <c r="EH23" s="265" t="s">
        <v>4617</v>
      </c>
      <c r="EI23" s="298" t="s">
        <v>4618</v>
      </c>
      <c r="EJ23" s="76"/>
      <c r="EK23" s="67"/>
      <c r="EL23" s="265" t="s">
        <v>4619</v>
      </c>
      <c r="EM23" s="266" t="s">
        <v>2648</v>
      </c>
      <c r="EN23" s="63"/>
      <c r="EO23" s="255"/>
      <c r="EP23" s="265" t="s">
        <v>4620</v>
      </c>
      <c r="EQ23" s="266" t="s">
        <v>4621</v>
      </c>
      <c r="ER23" s="64"/>
      <c r="ES23" s="255"/>
      <c r="ET23" s="265" t="s">
        <v>4622</v>
      </c>
      <c r="EU23" s="266" t="s">
        <v>4623</v>
      </c>
      <c r="EV23" s="63"/>
      <c r="EW23" s="255"/>
      <c r="EX23" s="265" t="s">
        <v>4624</v>
      </c>
      <c r="EY23" s="266" t="s">
        <v>4625</v>
      </c>
      <c r="EZ23" s="64"/>
      <c r="FA23" s="255">
        <v>8</v>
      </c>
      <c r="FB23" s="64" t="s">
        <v>4626</v>
      </c>
      <c r="FC23" s="256" t="s">
        <v>4056</v>
      </c>
    </row>
    <row r="24" spans="1:159" ht="15.75" thickBo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222" t="s">
        <v>3202</v>
      </c>
      <c r="L24" s="223" t="s">
        <v>3131</v>
      </c>
      <c r="M24" s="214" t="s">
        <v>3203</v>
      </c>
      <c r="Q24" s="64"/>
      <c r="R24" s="65"/>
      <c r="S24" s="65"/>
      <c r="T24" s="238" t="s">
        <v>3301</v>
      </c>
      <c r="U24" s="239" t="s">
        <v>2914</v>
      </c>
      <c r="V24" s="65"/>
      <c r="W24" s="63"/>
      <c r="X24" s="63"/>
      <c r="Y24" s="63"/>
      <c r="AB24" s="262">
        <v>4</v>
      </c>
      <c r="AC24" s="64" t="s">
        <v>3652</v>
      </c>
      <c r="AD24" s="256" t="s">
        <v>3653</v>
      </c>
      <c r="AE24" s="64"/>
      <c r="AF24" s="255">
        <v>4</v>
      </c>
      <c r="AG24" s="64" t="s">
        <v>3654</v>
      </c>
      <c r="AH24" s="256" t="s">
        <v>108</v>
      </c>
      <c r="AI24" s="64"/>
      <c r="AJ24" s="255">
        <v>4</v>
      </c>
      <c r="AK24" s="64" t="s">
        <v>3655</v>
      </c>
      <c r="AL24" s="256" t="s">
        <v>3354</v>
      </c>
      <c r="AM24" s="63"/>
      <c r="AN24" s="255">
        <v>4</v>
      </c>
      <c r="AO24" s="64" t="s">
        <v>3656</v>
      </c>
      <c r="AP24" s="256" t="s">
        <v>1800</v>
      </c>
      <c r="AQ24" s="64"/>
      <c r="AR24" s="255">
        <v>4</v>
      </c>
      <c r="AS24" s="64" t="s">
        <v>3657</v>
      </c>
      <c r="AT24" s="256" t="s">
        <v>3658</v>
      </c>
      <c r="AU24" s="64"/>
      <c r="AV24" s="255">
        <v>4</v>
      </c>
      <c r="AW24" s="64" t="s">
        <v>3659</v>
      </c>
      <c r="AX24" s="256" t="s">
        <v>3386</v>
      </c>
      <c r="AY24" s="64"/>
      <c r="AZ24" s="255">
        <v>4</v>
      </c>
      <c r="BA24" s="64" t="s">
        <v>3660</v>
      </c>
      <c r="BB24" s="256" t="s">
        <v>3537</v>
      </c>
      <c r="BC24" s="63"/>
      <c r="BD24" s="260">
        <v>4</v>
      </c>
      <c r="BE24" s="261" t="s">
        <v>3661</v>
      </c>
      <c r="BF24" s="256" t="s">
        <v>232</v>
      </c>
      <c r="BG24" s="64"/>
      <c r="BH24" s="255">
        <v>4</v>
      </c>
      <c r="BI24" s="260" t="s">
        <v>3662</v>
      </c>
      <c r="BJ24" s="64" t="s">
        <v>3663</v>
      </c>
      <c r="BK24" s="256"/>
      <c r="BL24" s="64">
        <v>4</v>
      </c>
      <c r="BM24" s="211" t="s">
        <v>3664</v>
      </c>
      <c r="BN24" s="215" t="s">
        <v>3358</v>
      </c>
      <c r="BO24" s="64"/>
      <c r="BP24" s="255">
        <v>4</v>
      </c>
      <c r="BQ24" s="64" t="s">
        <v>3665</v>
      </c>
      <c r="BR24" s="256" t="s">
        <v>1020</v>
      </c>
      <c r="BU24" s="261"/>
      <c r="BV24" s="265" t="s">
        <v>4627</v>
      </c>
      <c r="BW24" s="266" t="s">
        <v>4628</v>
      </c>
      <c r="BX24" s="64"/>
      <c r="BY24" s="255"/>
      <c r="BZ24" s="265" t="s">
        <v>4629</v>
      </c>
      <c r="CA24" s="266" t="s">
        <v>978</v>
      </c>
      <c r="CB24" s="64"/>
      <c r="CC24" s="255"/>
      <c r="CD24" s="265" t="s">
        <v>4630</v>
      </c>
      <c r="CE24" s="266" t="s">
        <v>4631</v>
      </c>
      <c r="CF24" s="63"/>
      <c r="CG24" s="260"/>
      <c r="CH24" s="265" t="s">
        <v>4632</v>
      </c>
      <c r="CI24" s="278" t="s">
        <v>2662</v>
      </c>
      <c r="CJ24" s="64"/>
      <c r="CK24" s="255"/>
      <c r="CL24" s="265" t="s">
        <v>4633</v>
      </c>
      <c r="CM24" s="266" t="s">
        <v>1221</v>
      </c>
      <c r="CN24" s="64"/>
      <c r="CO24" s="294"/>
      <c r="CP24" s="265" t="s">
        <v>4634</v>
      </c>
      <c r="CQ24" s="266" t="s">
        <v>1586</v>
      </c>
      <c r="CR24" s="298"/>
      <c r="CS24" s="255"/>
      <c r="CT24" s="265" t="s">
        <v>4635</v>
      </c>
      <c r="CU24" s="266" t="s">
        <v>1594</v>
      </c>
      <c r="CV24" s="64"/>
      <c r="CW24" s="255"/>
      <c r="CX24" s="265" t="s">
        <v>4636</v>
      </c>
      <c r="CY24" s="266" t="s">
        <v>735</v>
      </c>
      <c r="CZ24" s="64"/>
      <c r="DA24" s="260"/>
      <c r="DB24" s="265" t="s">
        <v>4637</v>
      </c>
      <c r="DC24" s="278" t="s">
        <v>128</v>
      </c>
      <c r="DD24" s="64"/>
      <c r="DE24" s="255"/>
      <c r="DF24" s="265" t="s">
        <v>4638</v>
      </c>
      <c r="DG24" s="266" t="s">
        <v>4639</v>
      </c>
      <c r="DH24" s="64"/>
      <c r="DI24" s="268"/>
      <c r="DJ24" s="265" t="s">
        <v>4640</v>
      </c>
      <c r="DK24" s="266" t="s">
        <v>4641</v>
      </c>
      <c r="DL24" s="64"/>
      <c r="DM24" s="255"/>
      <c r="DN24" s="265" t="s">
        <v>4642</v>
      </c>
      <c r="DO24" s="266" t="s">
        <v>998</v>
      </c>
      <c r="DP24" s="265"/>
      <c r="DQ24" s="268"/>
      <c r="DR24" s="293" t="s">
        <v>4643</v>
      </c>
      <c r="DS24" s="256" t="s">
        <v>683</v>
      </c>
      <c r="DT24" s="64"/>
      <c r="DU24" s="294"/>
      <c r="DV24" s="265" t="s">
        <v>4644</v>
      </c>
      <c r="DW24" s="266" t="s">
        <v>4645</v>
      </c>
      <c r="DX24" s="63"/>
      <c r="DY24" s="260"/>
      <c r="DZ24" s="265" t="s">
        <v>4646</v>
      </c>
      <c r="EA24" s="278" t="s">
        <v>4647</v>
      </c>
      <c r="EB24" s="64"/>
      <c r="EC24" s="255"/>
      <c r="ED24" s="265" t="s">
        <v>4648</v>
      </c>
      <c r="EE24" s="266" t="s">
        <v>4649</v>
      </c>
      <c r="EF24" s="64"/>
      <c r="EG24" s="255"/>
      <c r="EH24" s="265" t="s">
        <v>4650</v>
      </c>
      <c r="EI24" s="298" t="s">
        <v>2992</v>
      </c>
      <c r="EJ24" s="76"/>
      <c r="EK24" s="67"/>
      <c r="EL24" s="265" t="s">
        <v>4651</v>
      </c>
      <c r="EM24" s="266" t="s">
        <v>4652</v>
      </c>
      <c r="EN24" s="63"/>
      <c r="EO24" s="255"/>
      <c r="EP24" s="265" t="s">
        <v>4653</v>
      </c>
      <c r="EQ24" s="266" t="s">
        <v>4654</v>
      </c>
      <c r="ER24" s="64"/>
      <c r="ES24" s="255"/>
      <c r="ET24" s="265" t="s">
        <v>4655</v>
      </c>
      <c r="EU24" s="266" t="s">
        <v>730</v>
      </c>
      <c r="EV24" s="63"/>
      <c r="EW24" s="255"/>
      <c r="EX24" s="265" t="s">
        <v>4656</v>
      </c>
      <c r="EY24" s="266" t="s">
        <v>4657</v>
      </c>
      <c r="EZ24" s="64"/>
      <c r="FA24" s="255"/>
      <c r="FB24" s="265" t="s">
        <v>4658</v>
      </c>
      <c r="FC24" s="266" t="s">
        <v>698</v>
      </c>
    </row>
    <row r="25" spans="1:159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211" t="s">
        <v>3204</v>
      </c>
      <c r="L25" s="64"/>
      <c r="M25" s="214" t="s">
        <v>3205</v>
      </c>
      <c r="Q25" s="64"/>
      <c r="R25" s="65"/>
      <c r="S25" s="65"/>
      <c r="T25" s="243" t="s">
        <v>3302</v>
      </c>
      <c r="U25" s="244" t="s">
        <v>3303</v>
      </c>
      <c r="V25" s="65"/>
      <c r="W25" s="63"/>
      <c r="X25" s="63"/>
      <c r="Y25" s="63"/>
      <c r="AB25" s="262">
        <v>5</v>
      </c>
      <c r="AC25" s="64" t="s">
        <v>3666</v>
      </c>
      <c r="AD25" s="256" t="s">
        <v>3667</v>
      </c>
      <c r="AE25" s="64"/>
      <c r="AF25" s="255">
        <v>4</v>
      </c>
      <c r="AG25" s="64" t="s">
        <v>3668</v>
      </c>
      <c r="AH25" s="256" t="s">
        <v>2069</v>
      </c>
      <c r="AI25" s="64"/>
      <c r="AJ25" s="255">
        <v>5</v>
      </c>
      <c r="AK25" s="64" t="s">
        <v>3669</v>
      </c>
      <c r="AL25" s="256" t="s">
        <v>3398</v>
      </c>
      <c r="AM25" s="63"/>
      <c r="AN25" s="255">
        <v>5</v>
      </c>
      <c r="AO25" s="64" t="s">
        <v>3670</v>
      </c>
      <c r="AP25" s="256" t="s">
        <v>888</v>
      </c>
      <c r="AQ25" s="64"/>
      <c r="AR25" s="255">
        <v>5</v>
      </c>
      <c r="AS25" s="64" t="s">
        <v>3671</v>
      </c>
      <c r="AT25" s="256" t="s">
        <v>3672</v>
      </c>
      <c r="AU25" s="64"/>
      <c r="AV25" s="255">
        <v>5</v>
      </c>
      <c r="AW25" s="64" t="s">
        <v>3673</v>
      </c>
      <c r="AX25" s="256" t="s">
        <v>3386</v>
      </c>
      <c r="AY25" s="64"/>
      <c r="AZ25" s="255">
        <v>5</v>
      </c>
      <c r="BA25" s="64" t="s">
        <v>3674</v>
      </c>
      <c r="BB25" s="256" t="s">
        <v>3675</v>
      </c>
      <c r="BC25" s="63"/>
      <c r="BD25" s="260">
        <v>5</v>
      </c>
      <c r="BE25" s="261" t="s">
        <v>3676</v>
      </c>
      <c r="BF25" s="256" t="s">
        <v>3354</v>
      </c>
      <c r="BG25" s="64"/>
      <c r="BH25" s="255">
        <v>4</v>
      </c>
      <c r="BI25" s="260" t="s">
        <v>3677</v>
      </c>
      <c r="BJ25" s="64" t="s">
        <v>3476</v>
      </c>
      <c r="BK25" s="256"/>
      <c r="BL25" s="64">
        <v>5</v>
      </c>
      <c r="BM25" s="211" t="s">
        <v>3678</v>
      </c>
      <c r="BN25" s="215" t="s">
        <v>789</v>
      </c>
      <c r="BO25" s="64"/>
      <c r="BP25" s="255">
        <v>4</v>
      </c>
      <c r="BQ25" s="64" t="s">
        <v>3679</v>
      </c>
      <c r="BR25" s="256" t="s">
        <v>3463</v>
      </c>
      <c r="BU25" s="261"/>
      <c r="BV25" s="265" t="s">
        <v>4659</v>
      </c>
      <c r="BW25" s="266" t="s">
        <v>1679</v>
      </c>
      <c r="BX25" s="64"/>
      <c r="BY25" s="255"/>
      <c r="BZ25" s="265" t="s">
        <v>4660</v>
      </c>
      <c r="CA25" s="266" t="s">
        <v>1001</v>
      </c>
      <c r="CB25" s="64"/>
      <c r="CC25" s="255"/>
      <c r="CD25" s="265" t="s">
        <v>4661</v>
      </c>
      <c r="CE25" s="266" t="s">
        <v>632</v>
      </c>
      <c r="CF25" s="63"/>
      <c r="CG25" s="260"/>
      <c r="CH25" s="64" t="s">
        <v>4548</v>
      </c>
      <c r="CI25" s="292" t="s">
        <v>1976</v>
      </c>
      <c r="CJ25" s="64"/>
      <c r="CK25" s="255"/>
      <c r="CL25" s="265" t="s">
        <v>4662</v>
      </c>
      <c r="CM25" s="266" t="s">
        <v>243</v>
      </c>
      <c r="CN25" s="64"/>
      <c r="CO25" s="268"/>
      <c r="CP25" s="265" t="s">
        <v>4663</v>
      </c>
      <c r="CQ25" s="266" t="s">
        <v>1629</v>
      </c>
      <c r="CR25" s="298"/>
      <c r="CS25" s="255"/>
      <c r="CT25" s="265" t="s">
        <v>4664</v>
      </c>
      <c r="CU25" s="266" t="s">
        <v>548</v>
      </c>
      <c r="CV25" s="64"/>
      <c r="CW25" s="255"/>
      <c r="CX25" s="265" t="s">
        <v>4665</v>
      </c>
      <c r="CY25" s="266" t="s">
        <v>646</v>
      </c>
      <c r="CZ25" s="64"/>
      <c r="DA25" s="260"/>
      <c r="DB25" s="265" t="s">
        <v>4666</v>
      </c>
      <c r="DC25" s="278" t="s">
        <v>4667</v>
      </c>
      <c r="DD25" s="64"/>
      <c r="DE25" s="255"/>
      <c r="DF25" s="265" t="s">
        <v>4668</v>
      </c>
      <c r="DG25" s="266" t="s">
        <v>1646</v>
      </c>
      <c r="DH25" s="64"/>
      <c r="DI25" s="268"/>
      <c r="DJ25" s="64" t="s">
        <v>4669</v>
      </c>
      <c r="DK25" s="256" t="s">
        <v>184</v>
      </c>
      <c r="DL25" s="64"/>
      <c r="DM25" s="255"/>
      <c r="DN25" s="265" t="s">
        <v>4670</v>
      </c>
      <c r="DO25" s="266" t="s">
        <v>995</v>
      </c>
      <c r="DP25" s="265"/>
      <c r="DQ25" s="268"/>
      <c r="DR25" s="293" t="s">
        <v>4671</v>
      </c>
      <c r="DS25" s="256" t="s">
        <v>754</v>
      </c>
      <c r="DT25" s="64"/>
      <c r="DU25" s="294"/>
      <c r="DV25" s="265" t="s">
        <v>4672</v>
      </c>
      <c r="DW25" s="266" t="s">
        <v>2780</v>
      </c>
      <c r="DX25" s="63"/>
      <c r="DY25" s="260"/>
      <c r="DZ25" s="265" t="s">
        <v>4673</v>
      </c>
      <c r="EA25" s="278" t="s">
        <v>2808</v>
      </c>
      <c r="EB25" s="64"/>
      <c r="EC25" s="255"/>
      <c r="ED25" s="265" t="s">
        <v>4674</v>
      </c>
      <c r="EE25" s="266" t="s">
        <v>4675</v>
      </c>
      <c r="EF25" s="64"/>
      <c r="EG25" s="255"/>
      <c r="EH25" s="265" t="s">
        <v>4676</v>
      </c>
      <c r="EI25" s="298" t="s">
        <v>4677</v>
      </c>
      <c r="EJ25" s="76"/>
      <c r="EK25" s="67"/>
      <c r="EL25" s="64"/>
      <c r="EM25" s="266" t="s">
        <v>4678</v>
      </c>
      <c r="EN25" s="63"/>
      <c r="EO25" s="255"/>
      <c r="EP25" s="64" t="s">
        <v>4679</v>
      </c>
      <c r="EQ25" s="256" t="s">
        <v>2739</v>
      </c>
      <c r="ER25" s="64"/>
      <c r="ES25" s="255"/>
      <c r="ET25" s="265" t="s">
        <v>4680</v>
      </c>
      <c r="EU25" s="266" t="s">
        <v>4681</v>
      </c>
      <c r="EV25" s="63"/>
      <c r="EW25" s="255"/>
      <c r="EX25" s="265" t="s">
        <v>4682</v>
      </c>
      <c r="EY25" s="266" t="s">
        <v>993</v>
      </c>
      <c r="EZ25" s="64"/>
      <c r="FA25" s="255"/>
      <c r="FB25" s="265" t="s">
        <v>4683</v>
      </c>
      <c r="FC25" s="266" t="s">
        <v>741</v>
      </c>
    </row>
    <row r="26" spans="1:159" ht="15.75" thickBo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214" t="s">
        <v>3206</v>
      </c>
      <c r="Q26" s="64"/>
      <c r="R26" s="65"/>
      <c r="S26" s="65"/>
      <c r="T26" s="15" t="s">
        <v>3304</v>
      </c>
      <c r="U26" s="230" t="s">
        <v>1519</v>
      </c>
      <c r="V26" s="65"/>
      <c r="W26" s="63"/>
      <c r="X26" s="63"/>
      <c r="Y26" s="63"/>
      <c r="AB26" s="262">
        <v>5</v>
      </c>
      <c r="AC26" s="64" t="s">
        <v>3680</v>
      </c>
      <c r="AD26" s="256" t="s">
        <v>919</v>
      </c>
      <c r="AE26" s="64"/>
      <c r="AF26" s="255">
        <v>4</v>
      </c>
      <c r="AG26" s="64" t="s">
        <v>3681</v>
      </c>
      <c r="AH26" s="256" t="s">
        <v>2816</v>
      </c>
      <c r="AI26" s="64"/>
      <c r="AJ26" s="255">
        <v>5</v>
      </c>
      <c r="AK26" s="64" t="s">
        <v>3682</v>
      </c>
      <c r="AL26" s="256" t="s">
        <v>3398</v>
      </c>
      <c r="AM26" s="63"/>
      <c r="AN26" s="255">
        <v>5</v>
      </c>
      <c r="AO26" s="64" t="s">
        <v>3683</v>
      </c>
      <c r="AP26" s="256" t="s">
        <v>3548</v>
      </c>
      <c r="AQ26" s="64"/>
      <c r="AR26" s="255">
        <v>5</v>
      </c>
      <c r="AS26" s="64" t="s">
        <v>3684</v>
      </c>
      <c r="AT26" s="256" t="s">
        <v>3545</v>
      </c>
      <c r="AU26" s="64"/>
      <c r="AV26" s="255">
        <v>5</v>
      </c>
      <c r="AW26" s="64" t="s">
        <v>3685</v>
      </c>
      <c r="AX26" s="256" t="s">
        <v>821</v>
      </c>
      <c r="AY26" s="64"/>
      <c r="AZ26" s="255">
        <v>5</v>
      </c>
      <c r="BA26" s="64" t="s">
        <v>3686</v>
      </c>
      <c r="BB26" s="256" t="s">
        <v>1673</v>
      </c>
      <c r="BC26" s="63"/>
      <c r="BD26" s="260">
        <v>5</v>
      </c>
      <c r="BE26" s="261" t="s">
        <v>3687</v>
      </c>
      <c r="BF26" s="256" t="s">
        <v>3688</v>
      </c>
      <c r="BG26" s="64"/>
      <c r="BH26" s="255">
        <v>4</v>
      </c>
      <c r="BI26" s="260" t="s">
        <v>3689</v>
      </c>
      <c r="BJ26" s="64" t="s">
        <v>1198</v>
      </c>
      <c r="BK26" s="256"/>
      <c r="BL26" s="64">
        <v>5</v>
      </c>
      <c r="BM26" s="211" t="s">
        <v>3690</v>
      </c>
      <c r="BN26" s="215" t="s">
        <v>789</v>
      </c>
      <c r="BO26" s="64"/>
      <c r="BP26" s="255">
        <v>5</v>
      </c>
      <c r="BQ26" s="64" t="s">
        <v>3691</v>
      </c>
      <c r="BR26" s="256" t="s">
        <v>3479</v>
      </c>
      <c r="BU26" s="261"/>
      <c r="BV26" s="270" t="s">
        <v>4684</v>
      </c>
      <c r="BW26" s="271" t="s">
        <v>1677</v>
      </c>
      <c r="BX26" s="64"/>
      <c r="BY26" s="255"/>
      <c r="BZ26" s="270" t="s">
        <v>4685</v>
      </c>
      <c r="CA26" s="271" t="s">
        <v>1625</v>
      </c>
      <c r="CB26" s="64"/>
      <c r="CC26" s="255"/>
      <c r="CD26" s="265" t="s">
        <v>4686</v>
      </c>
      <c r="CE26" s="266" t="s">
        <v>4687</v>
      </c>
      <c r="CF26" s="63"/>
      <c r="CG26" s="260"/>
      <c r="CH26" s="265" t="s">
        <v>4548</v>
      </c>
      <c r="CI26" s="278" t="s">
        <v>2659</v>
      </c>
      <c r="CJ26" s="64"/>
      <c r="CK26" s="255"/>
      <c r="CL26" s="265" t="s">
        <v>4688</v>
      </c>
      <c r="CM26" s="266" t="s">
        <v>239</v>
      </c>
      <c r="CN26" s="64"/>
      <c r="CO26" s="268"/>
      <c r="CP26" s="265" t="s">
        <v>4689</v>
      </c>
      <c r="CQ26" s="266" t="s">
        <v>1641</v>
      </c>
      <c r="CR26" s="298"/>
      <c r="CS26" s="255"/>
      <c r="CT26" s="265" t="s">
        <v>4690</v>
      </c>
      <c r="CU26" s="266" t="s">
        <v>4691</v>
      </c>
      <c r="CV26" s="64"/>
      <c r="CW26" s="255"/>
      <c r="CX26" s="270" t="s">
        <v>4692</v>
      </c>
      <c r="CY26" s="271" t="s">
        <v>4693</v>
      </c>
      <c r="CZ26" s="64"/>
      <c r="DA26" s="260"/>
      <c r="DB26" s="270" t="s">
        <v>4694</v>
      </c>
      <c r="DC26" s="279" t="s">
        <v>236</v>
      </c>
      <c r="DD26" s="64"/>
      <c r="DE26" s="255"/>
      <c r="DF26" s="270" t="s">
        <v>4695</v>
      </c>
      <c r="DG26" s="271" t="s">
        <v>1655</v>
      </c>
      <c r="DH26" s="64"/>
      <c r="DI26" s="295"/>
      <c r="DJ26" s="265" t="s">
        <v>4696</v>
      </c>
      <c r="DK26" s="266" t="s">
        <v>202</v>
      </c>
      <c r="DL26" s="64"/>
      <c r="DM26" s="255"/>
      <c r="DN26" s="270" t="s">
        <v>4697</v>
      </c>
      <c r="DO26" s="271" t="s">
        <v>989</v>
      </c>
      <c r="DP26" s="265"/>
      <c r="DQ26" s="268"/>
      <c r="DR26" s="293" t="s">
        <v>4698</v>
      </c>
      <c r="DS26" s="256" t="s">
        <v>4699</v>
      </c>
      <c r="DT26" s="64"/>
      <c r="DU26" s="294"/>
      <c r="DV26" s="270" t="s">
        <v>4700</v>
      </c>
      <c r="DW26" s="271" t="s">
        <v>4701</v>
      </c>
      <c r="DX26" s="63"/>
      <c r="DY26" s="260"/>
      <c r="DZ26" s="265" t="s">
        <v>4702</v>
      </c>
      <c r="EA26" s="278" t="s">
        <v>4703</v>
      </c>
      <c r="EB26" s="64"/>
      <c r="EC26" s="255"/>
      <c r="ED26" s="265" t="s">
        <v>4704</v>
      </c>
      <c r="EE26" s="266" t="s">
        <v>1675</v>
      </c>
      <c r="EF26" s="64"/>
      <c r="EG26" s="255"/>
      <c r="EH26" s="270" t="s">
        <v>4705</v>
      </c>
      <c r="EI26" s="270" t="s">
        <v>2798</v>
      </c>
      <c r="EJ26" s="76"/>
      <c r="EK26" s="67"/>
      <c r="EL26" s="265" t="s">
        <v>4706</v>
      </c>
      <c r="EM26" s="266" t="s">
        <v>4707</v>
      </c>
      <c r="EN26" s="63"/>
      <c r="EO26" s="255"/>
      <c r="EP26" s="265" t="s">
        <v>4708</v>
      </c>
      <c r="EQ26" s="266" t="s">
        <v>4709</v>
      </c>
      <c r="ER26" s="64"/>
      <c r="ES26" s="255"/>
      <c r="ET26" s="265" t="s">
        <v>4710</v>
      </c>
      <c r="EU26" s="266" t="s">
        <v>2908</v>
      </c>
      <c r="EV26" s="63"/>
      <c r="EW26" s="255"/>
      <c r="EX26" s="265" t="s">
        <v>4711</v>
      </c>
      <c r="EY26" s="266" t="s">
        <v>1002</v>
      </c>
      <c r="EZ26" s="64"/>
      <c r="FA26" s="255"/>
      <c r="FB26" s="265" t="s">
        <v>4712</v>
      </c>
      <c r="FC26" s="266" t="s">
        <v>4713</v>
      </c>
    </row>
    <row r="27" spans="1:159" ht="15.75" thickBot="1">
      <c r="A27" s="64"/>
      <c r="B27" s="218" t="s">
        <v>3207</v>
      </c>
      <c r="C27" s="219"/>
      <c r="D27" s="219"/>
      <c r="E27" s="219"/>
      <c r="F27" s="219"/>
      <c r="G27" s="64"/>
      <c r="H27" s="64"/>
      <c r="I27" s="215"/>
      <c r="J27" s="64"/>
      <c r="K27" s="64"/>
      <c r="L27" s="64"/>
      <c r="M27" s="214" t="s">
        <v>3208</v>
      </c>
      <c r="Q27" s="64"/>
      <c r="R27" s="65"/>
      <c r="S27" s="65"/>
      <c r="T27" s="238" t="s">
        <v>3305</v>
      </c>
      <c r="U27" s="239" t="s">
        <v>1209</v>
      </c>
      <c r="V27" s="65"/>
      <c r="W27" s="63"/>
      <c r="X27" s="63"/>
      <c r="Y27" s="63"/>
      <c r="AB27" s="262">
        <v>5</v>
      </c>
      <c r="AC27" s="64" t="s">
        <v>3692</v>
      </c>
      <c r="AD27" s="256" t="s">
        <v>3693</v>
      </c>
      <c r="AE27" s="64"/>
      <c r="AF27" s="255">
        <v>5</v>
      </c>
      <c r="AG27" s="64" t="s">
        <v>3694</v>
      </c>
      <c r="AH27" s="256" t="s">
        <v>1337</v>
      </c>
      <c r="AI27" s="64"/>
      <c r="AJ27" s="255">
        <v>5</v>
      </c>
      <c r="AK27" s="64" t="s">
        <v>3695</v>
      </c>
      <c r="AL27" s="256" t="s">
        <v>3505</v>
      </c>
      <c r="AM27" s="63"/>
      <c r="AN27" s="255">
        <v>5</v>
      </c>
      <c r="AO27" s="64" t="s">
        <v>3696</v>
      </c>
      <c r="AP27" s="256" t="s">
        <v>3697</v>
      </c>
      <c r="AQ27" s="64"/>
      <c r="AR27" s="255">
        <v>5</v>
      </c>
      <c r="AS27" s="64" t="s">
        <v>3698</v>
      </c>
      <c r="AT27" s="256" t="s">
        <v>1422</v>
      </c>
      <c r="AU27" s="64"/>
      <c r="AV27" s="255">
        <v>5</v>
      </c>
      <c r="AW27" s="64" t="s">
        <v>3699</v>
      </c>
      <c r="AX27" s="256" t="s">
        <v>3402</v>
      </c>
      <c r="AY27" s="64"/>
      <c r="AZ27" s="255">
        <v>5</v>
      </c>
      <c r="BA27" s="64" t="s">
        <v>3700</v>
      </c>
      <c r="BB27" s="256" t="s">
        <v>3529</v>
      </c>
      <c r="BC27" s="63"/>
      <c r="BD27" s="260">
        <v>5</v>
      </c>
      <c r="BE27" s="261" t="s">
        <v>3701</v>
      </c>
      <c r="BF27" s="256" t="s">
        <v>2666</v>
      </c>
      <c r="BG27" s="64"/>
      <c r="BH27" s="263">
        <v>4</v>
      </c>
      <c r="BI27" s="260" t="s">
        <v>3702</v>
      </c>
      <c r="BJ27" s="64" t="s">
        <v>1194</v>
      </c>
      <c r="BK27" s="256"/>
      <c r="BL27" s="264">
        <v>5</v>
      </c>
      <c r="BM27" s="211" t="s">
        <v>3703</v>
      </c>
      <c r="BN27" s="215" t="s">
        <v>3704</v>
      </c>
      <c r="BO27" s="64"/>
      <c r="BP27" s="255">
        <v>5</v>
      </c>
      <c r="BQ27" s="64" t="s">
        <v>3705</v>
      </c>
      <c r="BR27" s="256" t="s">
        <v>501</v>
      </c>
      <c r="BU27" s="273"/>
      <c r="BV27" s="274" t="s">
        <v>4714</v>
      </c>
      <c r="BW27" s="272" t="s">
        <v>1828</v>
      </c>
      <c r="BX27" s="64"/>
      <c r="BY27" s="269"/>
      <c r="BZ27" s="274" t="s">
        <v>4715</v>
      </c>
      <c r="CA27" s="272" t="s">
        <v>1583</v>
      </c>
      <c r="CB27" s="64"/>
      <c r="CC27" s="269"/>
      <c r="CD27" s="274" t="s">
        <v>4716</v>
      </c>
      <c r="CE27" s="272" t="s">
        <v>4717</v>
      </c>
      <c r="CF27" s="63"/>
      <c r="CG27" s="63"/>
      <c r="CH27" s="265" t="s">
        <v>4718</v>
      </c>
      <c r="CI27" s="265" t="s">
        <v>4719</v>
      </c>
      <c r="CJ27" s="64"/>
      <c r="CK27" s="269"/>
      <c r="CL27" s="274" t="s">
        <v>4720</v>
      </c>
      <c r="CM27" s="272" t="s">
        <v>4721</v>
      </c>
      <c r="CN27" s="64"/>
      <c r="CO27" s="295"/>
      <c r="CP27" s="274" t="s">
        <v>4722</v>
      </c>
      <c r="CQ27" s="272" t="s">
        <v>1824</v>
      </c>
      <c r="CR27" s="298"/>
      <c r="CS27" s="255"/>
      <c r="CT27" s="274" t="s">
        <v>4723</v>
      </c>
      <c r="CU27" s="272" t="s">
        <v>4724</v>
      </c>
      <c r="CV27" s="64"/>
      <c r="CW27" s="269"/>
      <c r="CX27" s="274" t="s">
        <v>4725</v>
      </c>
      <c r="CY27" s="272" t="s">
        <v>4726</v>
      </c>
      <c r="CZ27" s="64"/>
      <c r="DA27" s="296"/>
      <c r="DB27" s="265" t="s">
        <v>4727</v>
      </c>
      <c r="DC27" s="265" t="s">
        <v>1511</v>
      </c>
      <c r="DD27" s="64"/>
      <c r="DE27" s="269"/>
      <c r="DF27" s="274" t="s">
        <v>4728</v>
      </c>
      <c r="DG27" s="272" t="s">
        <v>4729</v>
      </c>
      <c r="DH27" s="64"/>
      <c r="DI27" s="64"/>
      <c r="DJ27" s="274" t="s">
        <v>4730</v>
      </c>
      <c r="DK27" s="272" t="s">
        <v>4731</v>
      </c>
      <c r="DL27" s="64"/>
      <c r="DM27" s="269"/>
      <c r="DN27" s="276" t="s">
        <v>4732</v>
      </c>
      <c r="DO27" s="277" t="s">
        <v>1494</v>
      </c>
      <c r="DP27" s="265"/>
      <c r="DQ27" s="295"/>
      <c r="DR27" s="276" t="s">
        <v>4733</v>
      </c>
      <c r="DS27" s="277" t="s">
        <v>2029</v>
      </c>
      <c r="DT27" s="64"/>
      <c r="DU27" s="297"/>
      <c r="DV27" s="274" t="s">
        <v>4734</v>
      </c>
      <c r="DW27" s="272" t="s">
        <v>1569</v>
      </c>
      <c r="DX27" s="63"/>
      <c r="DY27" s="260"/>
      <c r="DZ27" s="265" t="s">
        <v>4735</v>
      </c>
      <c r="EA27" s="265" t="s">
        <v>4736</v>
      </c>
      <c r="EB27" s="64"/>
      <c r="EC27" s="269"/>
      <c r="ED27" s="274" t="s">
        <v>4737</v>
      </c>
      <c r="EE27" s="272" t="s">
        <v>4738</v>
      </c>
      <c r="EF27" s="64"/>
      <c r="EG27" s="269"/>
      <c r="EH27" s="274" t="s">
        <v>4739</v>
      </c>
      <c r="EI27" s="274" t="s">
        <v>2796</v>
      </c>
      <c r="EJ27" s="76"/>
      <c r="EK27" s="63"/>
      <c r="EL27" s="274" t="s">
        <v>4740</v>
      </c>
      <c r="EM27" s="272" t="s">
        <v>2030</v>
      </c>
      <c r="EN27" s="63"/>
      <c r="EO27" s="63"/>
      <c r="EP27" s="274" t="s">
        <v>4741</v>
      </c>
      <c r="EQ27" s="272" t="s">
        <v>4742</v>
      </c>
      <c r="ER27" s="64"/>
      <c r="ES27" s="255"/>
      <c r="ET27" s="274" t="s">
        <v>4743</v>
      </c>
      <c r="EU27" s="272" t="s">
        <v>1587</v>
      </c>
      <c r="EV27" s="63"/>
      <c r="EW27" s="269"/>
      <c r="EX27" s="274" t="s">
        <v>4744</v>
      </c>
      <c r="EY27" s="272" t="s">
        <v>4745</v>
      </c>
      <c r="EZ27" s="64"/>
      <c r="FA27" s="269"/>
      <c r="FB27" s="274" t="s">
        <v>4746</v>
      </c>
      <c r="FC27" s="272" t="s">
        <v>4747</v>
      </c>
    </row>
    <row r="28" spans="1:159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214" t="s">
        <v>3209</v>
      </c>
      <c r="Q28" s="64"/>
      <c r="R28" s="65"/>
      <c r="S28" s="65"/>
      <c r="T28" s="233" t="s">
        <v>3306</v>
      </c>
      <c r="U28" s="241" t="s">
        <v>3307</v>
      </c>
      <c r="V28" s="65"/>
      <c r="W28" s="63"/>
      <c r="X28" s="63"/>
      <c r="Y28" s="63"/>
      <c r="AB28" s="262">
        <v>5</v>
      </c>
      <c r="AC28" s="64" t="s">
        <v>3706</v>
      </c>
      <c r="AD28" s="256" t="s">
        <v>3707</v>
      </c>
      <c r="AE28" s="64"/>
      <c r="AF28" s="255">
        <v>5</v>
      </c>
      <c r="AG28" s="64" t="s">
        <v>3708</v>
      </c>
      <c r="AH28" s="256" t="s">
        <v>2069</v>
      </c>
      <c r="AI28" s="64"/>
      <c r="AJ28" s="255">
        <v>5</v>
      </c>
      <c r="AK28" s="64" t="s">
        <v>3709</v>
      </c>
      <c r="AL28" s="256" t="s">
        <v>3484</v>
      </c>
      <c r="AM28" s="63"/>
      <c r="AN28" s="255">
        <v>5</v>
      </c>
      <c r="AO28" s="64" t="s">
        <v>3710</v>
      </c>
      <c r="AP28" s="256" t="s">
        <v>1462</v>
      </c>
      <c r="AQ28" s="64"/>
      <c r="AR28" s="255">
        <v>5</v>
      </c>
      <c r="AS28" s="64" t="s">
        <v>3711</v>
      </c>
      <c r="AT28" s="256" t="s">
        <v>3712</v>
      </c>
      <c r="AU28" s="64"/>
      <c r="AV28" s="255">
        <v>5</v>
      </c>
      <c r="AW28" s="64" t="s">
        <v>3713</v>
      </c>
      <c r="AX28" s="256" t="s">
        <v>3714</v>
      </c>
      <c r="AY28" s="64"/>
      <c r="AZ28" s="255">
        <v>5</v>
      </c>
      <c r="BA28" s="64" t="s">
        <v>3715</v>
      </c>
      <c r="BB28" s="256" t="s">
        <v>1863</v>
      </c>
      <c r="BC28" s="63"/>
      <c r="BD28" s="260">
        <v>5</v>
      </c>
      <c r="BE28" s="261" t="s">
        <v>3716</v>
      </c>
      <c r="BF28" s="256" t="s">
        <v>3386</v>
      </c>
      <c r="BG28" s="64"/>
      <c r="BH28" s="255">
        <v>4</v>
      </c>
      <c r="BI28" s="260" t="s">
        <v>3717</v>
      </c>
      <c r="BJ28" s="64" t="s">
        <v>3718</v>
      </c>
      <c r="BK28" s="256"/>
      <c r="BL28" s="64">
        <v>5</v>
      </c>
      <c r="BM28" s="211" t="s">
        <v>3719</v>
      </c>
      <c r="BN28" s="215" t="s">
        <v>3720</v>
      </c>
      <c r="BO28" s="64"/>
      <c r="BP28" s="255">
        <v>5</v>
      </c>
      <c r="BQ28" s="64" t="s">
        <v>3721</v>
      </c>
      <c r="BR28" s="256" t="s">
        <v>3598</v>
      </c>
      <c r="EJ28" s="76"/>
    </row>
    <row r="29" spans="1:159" ht="15.75" thickBo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215"/>
      <c r="M29" s="214" t="s">
        <v>3210</v>
      </c>
      <c r="Q29" s="64"/>
      <c r="R29" s="65"/>
      <c r="S29" s="65"/>
      <c r="T29" s="236" t="s">
        <v>3308</v>
      </c>
      <c r="U29" s="237" t="s">
        <v>189</v>
      </c>
      <c r="V29" s="65"/>
      <c r="W29" s="63"/>
      <c r="X29" s="63"/>
      <c r="Y29" s="63"/>
      <c r="AB29" s="262">
        <v>5</v>
      </c>
      <c r="AC29" s="64" t="s">
        <v>3722</v>
      </c>
      <c r="AD29" s="256" t="s">
        <v>3723</v>
      </c>
      <c r="AE29" s="64"/>
      <c r="AF29" s="255">
        <v>5</v>
      </c>
      <c r="AG29" s="64" t="s">
        <v>3724</v>
      </c>
      <c r="AH29" s="256" t="s">
        <v>144</v>
      </c>
      <c r="AI29" s="64"/>
      <c r="AJ29" s="255">
        <v>5</v>
      </c>
      <c r="AK29" s="64" t="s">
        <v>3725</v>
      </c>
      <c r="AL29" s="256" t="s">
        <v>3723</v>
      </c>
      <c r="AM29" s="63"/>
      <c r="AN29" s="255">
        <v>5</v>
      </c>
      <c r="AO29" s="64" t="s">
        <v>3726</v>
      </c>
      <c r="AP29" s="256" t="s">
        <v>3697</v>
      </c>
      <c r="AQ29" s="64"/>
      <c r="AR29" s="255">
        <v>5</v>
      </c>
      <c r="AS29" s="64" t="s">
        <v>3727</v>
      </c>
      <c r="AT29" s="256" t="s">
        <v>3728</v>
      </c>
      <c r="AU29" s="64"/>
      <c r="AV29" s="255">
        <v>5</v>
      </c>
      <c r="AW29" s="64" t="s">
        <v>3729</v>
      </c>
      <c r="AX29" s="256" t="s">
        <v>3730</v>
      </c>
      <c r="AY29" s="64"/>
      <c r="AZ29" s="255">
        <v>5</v>
      </c>
      <c r="BA29" s="64" t="s">
        <v>3731</v>
      </c>
      <c r="BB29" s="256" t="s">
        <v>3732</v>
      </c>
      <c r="BC29" s="63"/>
      <c r="BD29" s="260">
        <v>5</v>
      </c>
      <c r="BE29" s="261" t="s">
        <v>3733</v>
      </c>
      <c r="BF29" s="256" t="s">
        <v>3734</v>
      </c>
      <c r="BG29" s="64"/>
      <c r="BH29" s="255">
        <v>5</v>
      </c>
      <c r="BI29" s="260" t="s">
        <v>3735</v>
      </c>
      <c r="BJ29" s="64" t="s">
        <v>3736</v>
      </c>
      <c r="BK29" s="256"/>
      <c r="BL29" s="64">
        <v>5</v>
      </c>
      <c r="BM29" s="211" t="s">
        <v>3737</v>
      </c>
      <c r="BN29" s="215" t="s">
        <v>3461</v>
      </c>
      <c r="BO29" s="64"/>
      <c r="BP29" s="255">
        <v>5</v>
      </c>
      <c r="BQ29" s="64" t="s">
        <v>3738</v>
      </c>
      <c r="BR29" s="256" t="s">
        <v>3739</v>
      </c>
      <c r="EJ29" s="76"/>
    </row>
    <row r="30" spans="1:159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215"/>
      <c r="M30" s="214" t="s">
        <v>3211</v>
      </c>
      <c r="Q30" s="64"/>
      <c r="R30" s="65"/>
      <c r="S30" s="65"/>
      <c r="T30" s="233" t="s">
        <v>3309</v>
      </c>
      <c r="U30" s="241" t="s">
        <v>3310</v>
      </c>
      <c r="V30" s="65"/>
      <c r="W30" s="63"/>
      <c r="X30" s="63"/>
      <c r="Y30" s="63"/>
      <c r="AB30" s="262">
        <v>5</v>
      </c>
      <c r="AC30" s="64" t="s">
        <v>3740</v>
      </c>
      <c r="AD30" s="256" t="s">
        <v>3741</v>
      </c>
      <c r="AE30" s="64"/>
      <c r="AF30" s="255">
        <v>5</v>
      </c>
      <c r="AG30" s="64" t="s">
        <v>3742</v>
      </c>
      <c r="AH30" s="256" t="s">
        <v>3743</v>
      </c>
      <c r="AI30" s="64"/>
      <c r="AJ30" s="255">
        <v>5</v>
      </c>
      <c r="AK30" s="64" t="s">
        <v>3744</v>
      </c>
      <c r="AL30" s="256" t="s">
        <v>2664</v>
      </c>
      <c r="AM30" s="63"/>
      <c r="AN30" s="255">
        <v>5</v>
      </c>
      <c r="AO30" s="64" t="s">
        <v>3745</v>
      </c>
      <c r="AP30" s="256" t="s">
        <v>3746</v>
      </c>
      <c r="AQ30" s="64"/>
      <c r="AR30" s="255">
        <v>5</v>
      </c>
      <c r="AS30" s="64" t="s">
        <v>3747</v>
      </c>
      <c r="AT30" s="256" t="s">
        <v>3658</v>
      </c>
      <c r="AU30" s="64"/>
      <c r="AV30" s="255">
        <v>5</v>
      </c>
      <c r="AW30" s="64" t="s">
        <v>3748</v>
      </c>
      <c r="AX30" s="256" t="s">
        <v>3749</v>
      </c>
      <c r="AY30" s="64"/>
      <c r="AZ30" s="255">
        <v>6</v>
      </c>
      <c r="BA30" s="64" t="s">
        <v>3750</v>
      </c>
      <c r="BB30" s="256" t="s">
        <v>3421</v>
      </c>
      <c r="BC30" s="63"/>
      <c r="BD30" s="260">
        <v>5</v>
      </c>
      <c r="BE30" s="261" t="s">
        <v>3751</v>
      </c>
      <c r="BF30" s="256" t="s">
        <v>3752</v>
      </c>
      <c r="BG30" s="64"/>
      <c r="BH30" s="255">
        <v>5</v>
      </c>
      <c r="BI30" s="260" t="s">
        <v>3753</v>
      </c>
      <c r="BJ30" s="64" t="s">
        <v>3663</v>
      </c>
      <c r="BK30" s="256"/>
      <c r="BL30" s="64">
        <v>5</v>
      </c>
      <c r="BM30" s="211" t="s">
        <v>3754</v>
      </c>
      <c r="BN30" s="215" t="s">
        <v>919</v>
      </c>
      <c r="BO30" s="64"/>
      <c r="BP30" s="255">
        <v>6</v>
      </c>
      <c r="BQ30" s="64" t="s">
        <v>3755</v>
      </c>
      <c r="BR30" s="256" t="s">
        <v>3598</v>
      </c>
      <c r="EJ30" s="76"/>
    </row>
    <row r="31" spans="1:159" ht="15.75" thickBo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215"/>
      <c r="M31" s="214" t="s">
        <v>3212</v>
      </c>
      <c r="Q31" s="64"/>
      <c r="R31" s="65"/>
      <c r="S31" s="65"/>
      <c r="T31" s="238" t="s">
        <v>3311</v>
      </c>
      <c r="U31" s="239" t="s">
        <v>3312</v>
      </c>
      <c r="V31" s="65"/>
      <c r="W31" s="63"/>
      <c r="X31" s="63"/>
      <c r="Y31" s="63"/>
      <c r="AB31" s="262">
        <v>6</v>
      </c>
      <c r="AC31" s="64" t="s">
        <v>3756</v>
      </c>
      <c r="AD31" s="256" t="s">
        <v>3449</v>
      </c>
      <c r="AE31" s="64"/>
      <c r="AF31" s="255">
        <v>5</v>
      </c>
      <c r="AG31" s="64" t="s">
        <v>3757</v>
      </c>
      <c r="AH31" s="256" t="s">
        <v>3758</v>
      </c>
      <c r="AI31" s="64"/>
      <c r="AJ31" s="255">
        <v>6</v>
      </c>
      <c r="AK31" s="64" t="s">
        <v>3759</v>
      </c>
      <c r="AL31" s="256" t="s">
        <v>1979</v>
      </c>
      <c r="AM31" s="63"/>
      <c r="AN31" s="255">
        <v>6</v>
      </c>
      <c r="AO31" s="64" t="s">
        <v>3760</v>
      </c>
      <c r="AP31" s="256" t="s">
        <v>3761</v>
      </c>
      <c r="AQ31" s="64"/>
      <c r="AR31" s="255">
        <v>6</v>
      </c>
      <c r="AS31" s="64" t="s">
        <v>3762</v>
      </c>
      <c r="AT31" s="256" t="s">
        <v>3564</v>
      </c>
      <c r="AU31" s="64"/>
      <c r="AV31" s="255">
        <v>6</v>
      </c>
      <c r="AW31" s="64" t="s">
        <v>3763</v>
      </c>
      <c r="AX31" s="256" t="s">
        <v>3354</v>
      </c>
      <c r="AY31" s="64"/>
      <c r="AZ31" s="255">
        <v>6</v>
      </c>
      <c r="BA31" s="64" t="s">
        <v>3764</v>
      </c>
      <c r="BB31" s="256" t="s">
        <v>3765</v>
      </c>
      <c r="BC31" s="63"/>
      <c r="BD31" s="260">
        <v>6</v>
      </c>
      <c r="BE31" s="261" t="s">
        <v>3766</v>
      </c>
      <c r="BF31" s="256" t="s">
        <v>3494</v>
      </c>
      <c r="BG31" s="64"/>
      <c r="BH31" s="255">
        <v>5</v>
      </c>
      <c r="BI31" s="260" t="s">
        <v>3767</v>
      </c>
      <c r="BJ31" s="64" t="s">
        <v>3571</v>
      </c>
      <c r="BK31" s="256"/>
      <c r="BL31" s="64">
        <v>6</v>
      </c>
      <c r="BM31" s="211" t="s">
        <v>3768</v>
      </c>
      <c r="BN31" s="215" t="s">
        <v>864</v>
      </c>
      <c r="BO31" s="64"/>
      <c r="BP31" s="255">
        <v>6</v>
      </c>
      <c r="BQ31" s="64" t="s">
        <v>3769</v>
      </c>
      <c r="BR31" s="256" t="s">
        <v>3479</v>
      </c>
    </row>
    <row r="32" spans="1:159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215"/>
      <c r="M32" s="214" t="s">
        <v>3213</v>
      </c>
      <c r="Q32" s="64"/>
      <c r="R32" s="65"/>
      <c r="S32" s="65"/>
      <c r="T32" s="243" t="s">
        <v>3313</v>
      </c>
      <c r="U32" s="244" t="s">
        <v>131</v>
      </c>
      <c r="V32" s="65"/>
      <c r="W32" s="63"/>
      <c r="X32" s="63"/>
      <c r="Y32" s="63"/>
      <c r="AB32" s="262">
        <v>6</v>
      </c>
      <c r="AC32" s="64" t="s">
        <v>3770</v>
      </c>
      <c r="AD32" s="256" t="s">
        <v>3741</v>
      </c>
      <c r="AE32" s="64"/>
      <c r="AF32" s="255">
        <v>6</v>
      </c>
      <c r="AG32" s="64" t="s">
        <v>3771</v>
      </c>
      <c r="AH32" s="256" t="s">
        <v>3772</v>
      </c>
      <c r="AI32" s="64"/>
      <c r="AJ32" s="255">
        <v>6</v>
      </c>
      <c r="AK32" s="64" t="s">
        <v>3773</v>
      </c>
      <c r="AL32" s="256" t="s">
        <v>3419</v>
      </c>
      <c r="AM32" s="63"/>
      <c r="AN32" s="255">
        <v>6</v>
      </c>
      <c r="AO32" s="64" t="s">
        <v>3774</v>
      </c>
      <c r="AP32" s="256" t="s">
        <v>3775</v>
      </c>
      <c r="AQ32" s="64"/>
      <c r="AR32" s="255">
        <v>6</v>
      </c>
      <c r="AS32" s="64" t="s">
        <v>3776</v>
      </c>
      <c r="AT32" s="256" t="s">
        <v>3545</v>
      </c>
      <c r="AU32" s="64"/>
      <c r="AV32" s="255">
        <v>6</v>
      </c>
      <c r="AW32" s="64" t="s">
        <v>3777</v>
      </c>
      <c r="AX32" s="256" t="s">
        <v>3419</v>
      </c>
      <c r="AY32" s="64"/>
      <c r="AZ32" s="255">
        <v>6</v>
      </c>
      <c r="BA32" s="64" t="s">
        <v>3778</v>
      </c>
      <c r="BB32" s="256" t="s">
        <v>3779</v>
      </c>
      <c r="BC32" s="63"/>
      <c r="BD32" s="260">
        <v>6</v>
      </c>
      <c r="BE32" s="261" t="s">
        <v>3780</v>
      </c>
      <c r="BF32" s="256" t="s">
        <v>171</v>
      </c>
      <c r="BG32" s="64"/>
      <c r="BH32" s="255">
        <v>5</v>
      </c>
      <c r="BI32" s="260" t="s">
        <v>3781</v>
      </c>
      <c r="BJ32" s="64" t="s">
        <v>619</v>
      </c>
      <c r="BK32" s="256"/>
      <c r="BL32" s="64">
        <v>6</v>
      </c>
      <c r="BM32" s="211" t="s">
        <v>3782</v>
      </c>
      <c r="BN32" s="215" t="s">
        <v>3461</v>
      </c>
      <c r="BO32" s="64"/>
      <c r="BP32" s="255">
        <v>7</v>
      </c>
      <c r="BQ32" s="64" t="s">
        <v>3783</v>
      </c>
      <c r="BR32" s="256" t="s">
        <v>3784</v>
      </c>
    </row>
    <row r="33" spans="1:70">
      <c r="A33" s="64"/>
      <c r="B33" s="64"/>
      <c r="C33" s="123"/>
      <c r="D33" s="64"/>
      <c r="E33" s="64"/>
      <c r="F33" s="64"/>
      <c r="G33" s="64"/>
      <c r="H33" s="64"/>
      <c r="I33" s="64"/>
      <c r="J33" s="64"/>
      <c r="K33" s="64"/>
      <c r="L33" s="215"/>
      <c r="M33" s="214" t="s">
        <v>1159</v>
      </c>
      <c r="Q33" s="64"/>
      <c r="R33" s="65"/>
      <c r="S33" s="65"/>
      <c r="T33" s="15" t="s">
        <v>3314</v>
      </c>
      <c r="U33" s="230" t="s">
        <v>142</v>
      </c>
      <c r="V33" s="65"/>
      <c r="W33" s="63"/>
      <c r="X33" s="63"/>
      <c r="Y33" s="63"/>
      <c r="AB33" s="262">
        <v>6</v>
      </c>
      <c r="AC33" s="64" t="s">
        <v>3785</v>
      </c>
      <c r="AD33" s="256" t="s">
        <v>1192</v>
      </c>
      <c r="AE33" s="64"/>
      <c r="AF33" s="255">
        <v>6</v>
      </c>
      <c r="AG33" s="64" t="s">
        <v>3786</v>
      </c>
      <c r="AH33" s="256" t="s">
        <v>788</v>
      </c>
      <c r="AI33" s="64"/>
      <c r="AJ33" s="255">
        <v>6</v>
      </c>
      <c r="AK33" s="64" t="s">
        <v>3787</v>
      </c>
      <c r="AL33" s="256" t="s">
        <v>3640</v>
      </c>
      <c r="AM33" s="63"/>
      <c r="AN33" s="255">
        <v>6</v>
      </c>
      <c r="AO33" s="64" t="s">
        <v>3788</v>
      </c>
      <c r="AP33" s="256" t="s">
        <v>3594</v>
      </c>
      <c r="AQ33" s="64"/>
      <c r="AR33" s="255">
        <v>6</v>
      </c>
      <c r="AS33" s="64" t="s">
        <v>3789</v>
      </c>
      <c r="AT33" s="256" t="s">
        <v>3790</v>
      </c>
      <c r="AU33" s="64"/>
      <c r="AV33" s="255">
        <v>6</v>
      </c>
      <c r="AW33" s="64" t="s">
        <v>3791</v>
      </c>
      <c r="AX33" s="256" t="s">
        <v>3449</v>
      </c>
      <c r="AY33" s="64"/>
      <c r="AZ33" s="255">
        <v>7</v>
      </c>
      <c r="BA33" s="64" t="s">
        <v>3792</v>
      </c>
      <c r="BB33" s="256" t="s">
        <v>3628</v>
      </c>
      <c r="BC33" s="63"/>
      <c r="BD33" s="260">
        <v>6</v>
      </c>
      <c r="BE33" s="261" t="s">
        <v>3793</v>
      </c>
      <c r="BF33" s="256" t="s">
        <v>919</v>
      </c>
      <c r="BG33" s="64"/>
      <c r="BH33" s="255">
        <v>6</v>
      </c>
      <c r="BI33" s="260" t="s">
        <v>3794</v>
      </c>
      <c r="BJ33" s="64" t="s">
        <v>3571</v>
      </c>
      <c r="BK33" s="256"/>
      <c r="BL33" s="64">
        <v>6</v>
      </c>
      <c r="BM33" s="211" t="s">
        <v>3795</v>
      </c>
      <c r="BN33" s="215" t="s">
        <v>864</v>
      </c>
      <c r="BO33" s="64"/>
      <c r="BP33" s="255">
        <v>7</v>
      </c>
      <c r="BQ33" s="64" t="s">
        <v>3796</v>
      </c>
      <c r="BR33" s="256" t="s">
        <v>3739</v>
      </c>
    </row>
    <row r="34" spans="1:70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214" t="s">
        <v>3214</v>
      </c>
      <c r="Q34" s="64"/>
      <c r="R34" s="65"/>
      <c r="S34" s="65"/>
      <c r="T34" s="15" t="s">
        <v>3315</v>
      </c>
      <c r="U34" s="230" t="s">
        <v>1680</v>
      </c>
      <c r="V34" s="65"/>
      <c r="W34" s="63"/>
      <c r="X34" s="63"/>
      <c r="Y34" s="63"/>
      <c r="AB34" s="262">
        <v>6</v>
      </c>
      <c r="AC34" s="64" t="s">
        <v>3797</v>
      </c>
      <c r="AD34" s="256" t="s">
        <v>2946</v>
      </c>
      <c r="AE34" s="64"/>
      <c r="AF34" s="255">
        <v>6</v>
      </c>
      <c r="AG34" s="64" t="s">
        <v>3798</v>
      </c>
      <c r="AH34" s="256" t="s">
        <v>129</v>
      </c>
      <c r="AI34" s="64"/>
      <c r="AJ34" s="255">
        <v>7</v>
      </c>
      <c r="AK34" s="64" t="s">
        <v>3799</v>
      </c>
      <c r="AL34" s="256" t="s">
        <v>1979</v>
      </c>
      <c r="AM34" s="63"/>
      <c r="AN34" s="63">
        <v>6</v>
      </c>
      <c r="AO34" s="64" t="s">
        <v>3800</v>
      </c>
      <c r="AP34" s="256" t="s">
        <v>2385</v>
      </c>
      <c r="AQ34" s="64"/>
      <c r="AR34" s="255">
        <v>7</v>
      </c>
      <c r="AS34" s="64" t="s">
        <v>3801</v>
      </c>
      <c r="AT34" s="256" t="s">
        <v>3564</v>
      </c>
      <c r="AU34" s="64"/>
      <c r="AV34" s="255">
        <v>6</v>
      </c>
      <c r="AW34" s="64" t="s">
        <v>3802</v>
      </c>
      <c r="AX34" s="256" t="s">
        <v>3505</v>
      </c>
      <c r="AY34" s="64"/>
      <c r="AZ34" s="255">
        <v>7</v>
      </c>
      <c r="BA34" s="64" t="s">
        <v>3803</v>
      </c>
      <c r="BB34" s="256" t="s">
        <v>3804</v>
      </c>
      <c r="BC34" s="63"/>
      <c r="BD34" s="260">
        <v>7</v>
      </c>
      <c r="BE34" s="261" t="s">
        <v>3805</v>
      </c>
      <c r="BF34" s="256" t="s">
        <v>3354</v>
      </c>
      <c r="BG34" s="64"/>
      <c r="BH34" s="255">
        <v>6</v>
      </c>
      <c r="BI34" s="260" t="s">
        <v>3806</v>
      </c>
      <c r="BJ34" s="64" t="s">
        <v>3632</v>
      </c>
      <c r="BK34" s="256"/>
      <c r="BL34" s="64">
        <v>7</v>
      </c>
      <c r="BM34" s="211" t="s">
        <v>3807</v>
      </c>
      <c r="BN34" s="215" t="s">
        <v>3808</v>
      </c>
      <c r="BO34" s="64"/>
      <c r="BP34" s="255">
        <v>8</v>
      </c>
      <c r="BQ34" s="64" t="s">
        <v>3809</v>
      </c>
      <c r="BR34" s="256" t="s">
        <v>3810</v>
      </c>
    </row>
    <row r="35" spans="1:70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214" t="s">
        <v>3215</v>
      </c>
      <c r="Q35" s="64"/>
      <c r="R35" s="65"/>
      <c r="S35" s="65"/>
      <c r="T35" s="15" t="s">
        <v>3316</v>
      </c>
      <c r="U35" s="230" t="s">
        <v>3317</v>
      </c>
      <c r="V35" s="65"/>
      <c r="W35" s="63"/>
      <c r="X35" s="63"/>
      <c r="Y35" s="63"/>
      <c r="AB35" s="262">
        <v>6</v>
      </c>
      <c r="AC35" s="64" t="s">
        <v>3811</v>
      </c>
      <c r="AD35" s="256" t="s">
        <v>821</v>
      </c>
      <c r="AE35" s="64"/>
      <c r="AF35" s="255">
        <v>7</v>
      </c>
      <c r="AG35" s="64" t="s">
        <v>3812</v>
      </c>
      <c r="AH35" s="256" t="s">
        <v>3813</v>
      </c>
      <c r="AI35" s="64"/>
      <c r="AJ35" s="255">
        <v>7</v>
      </c>
      <c r="AK35" s="64" t="s">
        <v>3559</v>
      </c>
      <c r="AL35" s="256" t="s">
        <v>1192</v>
      </c>
      <c r="AM35" s="63"/>
      <c r="AN35" s="255">
        <v>7</v>
      </c>
      <c r="AO35" s="64" t="s">
        <v>3814</v>
      </c>
      <c r="AP35" s="256" t="s">
        <v>888</v>
      </c>
      <c r="AQ35" s="64"/>
      <c r="AR35" s="255">
        <v>7</v>
      </c>
      <c r="AS35" s="64" t="s">
        <v>3815</v>
      </c>
      <c r="AT35" s="256" t="s">
        <v>2600</v>
      </c>
      <c r="AU35" s="64"/>
      <c r="AV35" s="255">
        <v>7</v>
      </c>
      <c r="AW35" s="64" t="s">
        <v>3816</v>
      </c>
      <c r="AX35" s="256" t="s">
        <v>3402</v>
      </c>
      <c r="AY35" s="64"/>
      <c r="AZ35" s="255">
        <v>8</v>
      </c>
      <c r="BA35" s="64" t="s">
        <v>3817</v>
      </c>
      <c r="BB35" s="256" t="s">
        <v>3613</v>
      </c>
      <c r="BC35" s="63"/>
      <c r="BD35" s="260">
        <v>7</v>
      </c>
      <c r="BE35" s="261" t="s">
        <v>3818</v>
      </c>
      <c r="BF35" s="256" t="s">
        <v>3354</v>
      </c>
      <c r="BG35" s="64"/>
      <c r="BH35" s="255">
        <v>7</v>
      </c>
      <c r="BI35" s="260" t="s">
        <v>3819</v>
      </c>
      <c r="BJ35" s="64" t="s">
        <v>3736</v>
      </c>
      <c r="BK35" s="256"/>
      <c r="BL35" s="64">
        <v>8</v>
      </c>
      <c r="BM35" s="211" t="s">
        <v>3820</v>
      </c>
      <c r="BN35" s="215" t="s">
        <v>3358</v>
      </c>
      <c r="BO35" s="64"/>
      <c r="BP35" s="255"/>
      <c r="BQ35" s="265" t="s">
        <v>3821</v>
      </c>
      <c r="BR35" s="266" t="s">
        <v>3822</v>
      </c>
    </row>
    <row r="36" spans="1:70" ht="15.75" thickBo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214" t="s">
        <v>3216</v>
      </c>
      <c r="Q36" s="64"/>
      <c r="R36" s="65"/>
      <c r="S36" s="65"/>
      <c r="T36" s="15" t="s">
        <v>3318</v>
      </c>
      <c r="U36" s="230" t="s">
        <v>247</v>
      </c>
      <c r="V36" s="65"/>
      <c r="W36" s="65"/>
      <c r="X36" s="63"/>
      <c r="Y36" s="63"/>
      <c r="AB36" s="262">
        <v>7</v>
      </c>
      <c r="AC36" s="64" t="s">
        <v>3823</v>
      </c>
      <c r="AD36" s="256" t="s">
        <v>3824</v>
      </c>
      <c r="AE36" s="64"/>
      <c r="AF36" s="255">
        <v>7</v>
      </c>
      <c r="AG36" s="64" t="s">
        <v>3825</v>
      </c>
      <c r="AH36" s="256" t="s">
        <v>3826</v>
      </c>
      <c r="AI36" s="64"/>
      <c r="AJ36" s="255">
        <v>8</v>
      </c>
      <c r="AK36" s="64" t="s">
        <v>3827</v>
      </c>
      <c r="AL36" s="256" t="s">
        <v>3828</v>
      </c>
      <c r="AM36" s="63"/>
      <c r="AN36" s="255">
        <v>7</v>
      </c>
      <c r="AO36" s="64" t="s">
        <v>3829</v>
      </c>
      <c r="AP36" s="256" t="s">
        <v>3830</v>
      </c>
      <c r="AQ36" s="64"/>
      <c r="AR36" s="255">
        <v>8</v>
      </c>
      <c r="AS36" s="64" t="s">
        <v>3831</v>
      </c>
      <c r="AT36" s="256" t="s">
        <v>3790</v>
      </c>
      <c r="AU36" s="64"/>
      <c r="AV36" s="255">
        <v>7</v>
      </c>
      <c r="AW36" s="64" t="s">
        <v>3832</v>
      </c>
      <c r="AX36" s="256" t="s">
        <v>3419</v>
      </c>
      <c r="AY36" s="64"/>
      <c r="AZ36" s="255"/>
      <c r="BA36" s="265" t="s">
        <v>3833</v>
      </c>
      <c r="BB36" s="266" t="s">
        <v>774</v>
      </c>
      <c r="BC36" s="63"/>
      <c r="BD36" s="260">
        <v>8</v>
      </c>
      <c r="BE36" s="261" t="s">
        <v>3834</v>
      </c>
      <c r="BF36" s="256" t="s">
        <v>2821</v>
      </c>
      <c r="BG36" s="64"/>
      <c r="BH36" s="63"/>
      <c r="BI36" s="260" t="s">
        <v>3835</v>
      </c>
      <c r="BJ36" s="64" t="s">
        <v>3836</v>
      </c>
      <c r="BK36" s="256"/>
      <c r="BL36" s="64"/>
      <c r="BM36" s="267" t="s">
        <v>3837</v>
      </c>
      <c r="BN36" s="265" t="s">
        <v>3838</v>
      </c>
      <c r="BO36" s="64"/>
      <c r="BP36" s="255"/>
      <c r="BQ36" s="265" t="s">
        <v>3839</v>
      </c>
      <c r="BR36" s="266" t="s">
        <v>3840</v>
      </c>
    </row>
    <row r="37" spans="1:70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215"/>
      <c r="M37" s="214" t="s">
        <v>3217</v>
      </c>
      <c r="Q37" s="64"/>
      <c r="R37" s="65"/>
      <c r="S37" s="65"/>
      <c r="T37" s="233" t="s">
        <v>3319</v>
      </c>
      <c r="U37" s="241" t="s">
        <v>1439</v>
      </c>
      <c r="V37" s="65"/>
      <c r="W37" s="65"/>
      <c r="X37" s="63"/>
      <c r="Y37" s="63"/>
      <c r="AB37" s="262">
        <v>7</v>
      </c>
      <c r="AC37" s="64" t="s">
        <v>3841</v>
      </c>
      <c r="AD37" s="256" t="s">
        <v>3842</v>
      </c>
      <c r="AE37" s="64"/>
      <c r="AF37" s="255"/>
      <c r="AG37" s="265" t="s">
        <v>3843</v>
      </c>
      <c r="AH37" s="266" t="s">
        <v>263</v>
      </c>
      <c r="AI37" s="64"/>
      <c r="AJ37" s="255"/>
      <c r="AK37" s="265" t="s">
        <v>3844</v>
      </c>
      <c r="AL37" s="266" t="s">
        <v>3845</v>
      </c>
      <c r="AM37" s="63"/>
      <c r="AN37" s="255"/>
      <c r="AO37" s="265" t="s">
        <v>3846</v>
      </c>
      <c r="AP37" s="266" t="s">
        <v>759</v>
      </c>
      <c r="AQ37" s="64"/>
      <c r="AR37" s="63"/>
      <c r="AS37" s="64" t="s">
        <v>3847</v>
      </c>
      <c r="AT37" s="256" t="s">
        <v>555</v>
      </c>
      <c r="AU37" s="64"/>
      <c r="AV37" s="255"/>
      <c r="AW37" s="265" t="s">
        <v>3848</v>
      </c>
      <c r="AX37" s="266" t="s">
        <v>3849</v>
      </c>
      <c r="AY37" s="64"/>
      <c r="AZ37" s="255"/>
      <c r="BA37" s="265" t="s">
        <v>3850</v>
      </c>
      <c r="BB37" s="266" t="s">
        <v>3851</v>
      </c>
      <c r="BC37" s="63"/>
      <c r="BD37" s="260"/>
      <c r="BE37" s="268" t="s">
        <v>3852</v>
      </c>
      <c r="BF37" s="266" t="s">
        <v>3853</v>
      </c>
      <c r="BG37" s="64"/>
      <c r="BH37" s="255"/>
      <c r="BI37" s="267" t="s">
        <v>3854</v>
      </c>
      <c r="BJ37" s="265" t="s">
        <v>765</v>
      </c>
      <c r="BK37" s="256"/>
      <c r="BL37" s="64"/>
      <c r="BM37" s="267" t="s">
        <v>3855</v>
      </c>
      <c r="BN37" s="265" t="s">
        <v>3856</v>
      </c>
      <c r="BO37" s="64"/>
      <c r="BP37" s="255"/>
      <c r="BQ37" s="265" t="s">
        <v>3857</v>
      </c>
      <c r="BR37" s="266" t="s">
        <v>3858</v>
      </c>
    </row>
    <row r="38" spans="1:70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215"/>
      <c r="M38" s="214" t="s">
        <v>3218</v>
      </c>
      <c r="Q38" s="64"/>
      <c r="R38" s="65"/>
      <c r="S38" s="65"/>
      <c r="T38" s="15" t="s">
        <v>3320</v>
      </c>
      <c r="U38" s="230" t="s">
        <v>176</v>
      </c>
      <c r="V38" s="65"/>
      <c r="W38" s="65"/>
      <c r="X38" s="63"/>
      <c r="Y38" s="63"/>
      <c r="AB38" s="261"/>
      <c r="AC38" s="265" t="s">
        <v>3859</v>
      </c>
      <c r="AD38" s="266" t="s">
        <v>974</v>
      </c>
      <c r="AE38" s="64"/>
      <c r="AF38" s="255"/>
      <c r="AG38" s="265" t="s">
        <v>3860</v>
      </c>
      <c r="AH38" s="266" t="s">
        <v>279</v>
      </c>
      <c r="AI38" s="64"/>
      <c r="AJ38" s="255"/>
      <c r="AK38" s="265" t="s">
        <v>3861</v>
      </c>
      <c r="AL38" s="266" t="s">
        <v>1220</v>
      </c>
      <c r="AM38" s="63"/>
      <c r="AN38" s="255"/>
      <c r="AO38" s="265" t="s">
        <v>3862</v>
      </c>
      <c r="AP38" s="266" t="s">
        <v>752</v>
      </c>
      <c r="AQ38" s="64"/>
      <c r="AR38" s="255"/>
      <c r="AS38" s="265" t="s">
        <v>3863</v>
      </c>
      <c r="AT38" s="266" t="s">
        <v>669</v>
      </c>
      <c r="AU38" s="64"/>
      <c r="AV38" s="255"/>
      <c r="AW38" s="265" t="s">
        <v>3864</v>
      </c>
      <c r="AX38" s="266" t="s">
        <v>675</v>
      </c>
      <c r="AY38" s="64"/>
      <c r="AZ38" s="255"/>
      <c r="BA38" s="265" t="s">
        <v>3865</v>
      </c>
      <c r="BB38" s="266" t="s">
        <v>113</v>
      </c>
      <c r="BC38" s="63"/>
      <c r="BD38" s="260"/>
      <c r="BE38" s="268" t="s">
        <v>3866</v>
      </c>
      <c r="BF38" s="266" t="s">
        <v>944</v>
      </c>
      <c r="BG38" s="64"/>
      <c r="BH38" s="255"/>
      <c r="BI38" s="267" t="s">
        <v>3867</v>
      </c>
      <c r="BJ38" s="265" t="s">
        <v>1210</v>
      </c>
      <c r="BK38" s="256"/>
      <c r="BL38" s="64"/>
      <c r="BM38" s="267" t="s">
        <v>3868</v>
      </c>
      <c r="BN38" s="265" t="s">
        <v>152</v>
      </c>
      <c r="BO38" s="64"/>
      <c r="BP38" s="255"/>
      <c r="BQ38" s="265" t="s">
        <v>3869</v>
      </c>
      <c r="BR38" s="266" t="s">
        <v>1054</v>
      </c>
    </row>
    <row r="39" spans="1:70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215"/>
      <c r="M39" s="214" t="s">
        <v>3219</v>
      </c>
      <c r="Q39" s="64"/>
      <c r="R39" s="65"/>
      <c r="S39" s="65"/>
      <c r="T39" s="15" t="s">
        <v>3321</v>
      </c>
      <c r="U39" s="230" t="s">
        <v>1059</v>
      </c>
      <c r="V39" s="65"/>
      <c r="W39" s="65"/>
      <c r="X39" s="63"/>
      <c r="Y39" s="63"/>
      <c r="AB39" s="261"/>
      <c r="AC39" s="265" t="s">
        <v>3870</v>
      </c>
      <c r="AD39" s="266" t="s">
        <v>954</v>
      </c>
      <c r="AE39" s="64"/>
      <c r="AF39" s="255"/>
      <c r="AG39" s="265" t="s">
        <v>3871</v>
      </c>
      <c r="AH39" s="266" t="s">
        <v>175</v>
      </c>
      <c r="AI39" s="64"/>
      <c r="AJ39" s="255"/>
      <c r="AK39" s="265" t="s">
        <v>3872</v>
      </c>
      <c r="AL39" s="266" t="s">
        <v>761</v>
      </c>
      <c r="AM39" s="63"/>
      <c r="AN39" s="255"/>
      <c r="AO39" s="265" t="s">
        <v>3873</v>
      </c>
      <c r="AP39" s="266" t="s">
        <v>3874</v>
      </c>
      <c r="AQ39" s="64"/>
      <c r="AR39" s="255"/>
      <c r="AS39" s="265" t="s">
        <v>3875</v>
      </c>
      <c r="AT39" s="266" t="s">
        <v>3876</v>
      </c>
      <c r="AU39" s="64"/>
      <c r="AV39" s="255"/>
      <c r="AW39" s="265" t="s">
        <v>3877</v>
      </c>
      <c r="AX39" s="266" t="s">
        <v>3878</v>
      </c>
      <c r="AY39" s="64"/>
      <c r="AZ39" s="255"/>
      <c r="BA39" s="265" t="s">
        <v>3879</v>
      </c>
      <c r="BB39" s="266" t="s">
        <v>958</v>
      </c>
      <c r="BC39" s="63"/>
      <c r="BD39" s="260"/>
      <c r="BE39" s="268" t="s">
        <v>3880</v>
      </c>
      <c r="BF39" s="266" t="s">
        <v>686</v>
      </c>
      <c r="BG39" s="64"/>
      <c r="BH39" s="255"/>
      <c r="BI39" s="267" t="s">
        <v>3881</v>
      </c>
      <c r="BJ39" s="265" t="s">
        <v>760</v>
      </c>
      <c r="BK39" s="266"/>
      <c r="BL39" s="64"/>
      <c r="BM39" s="267" t="s">
        <v>3882</v>
      </c>
      <c r="BN39" s="265" t="s">
        <v>3883</v>
      </c>
      <c r="BO39" s="265"/>
      <c r="BP39" s="255"/>
      <c r="BQ39" s="265" t="s">
        <v>3884</v>
      </c>
      <c r="BR39" s="266" t="s">
        <v>734</v>
      </c>
    </row>
    <row r="40" spans="1:7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215"/>
      <c r="M40" s="214" t="s">
        <v>3220</v>
      </c>
      <c r="Q40" s="64"/>
      <c r="R40" s="65"/>
      <c r="S40" s="65"/>
      <c r="T40" s="15" t="s">
        <v>3322</v>
      </c>
      <c r="U40" s="230" t="s">
        <v>258</v>
      </c>
      <c r="V40" s="65"/>
      <c r="W40" s="65"/>
      <c r="X40" s="63"/>
      <c r="Y40" s="63"/>
      <c r="AB40" s="261"/>
      <c r="AC40" s="265" t="s">
        <v>3885</v>
      </c>
      <c r="AD40" s="266" t="s">
        <v>3886</v>
      </c>
      <c r="AE40" s="64"/>
      <c r="AF40" s="255"/>
      <c r="AG40" s="265" t="s">
        <v>3887</v>
      </c>
      <c r="AH40" s="266" t="s">
        <v>188</v>
      </c>
      <c r="AI40" s="64"/>
      <c r="AJ40" s="255"/>
      <c r="AK40" s="265" t="s">
        <v>3888</v>
      </c>
      <c r="AL40" s="266" t="s">
        <v>3889</v>
      </c>
      <c r="AM40" s="63"/>
      <c r="AN40" s="255"/>
      <c r="AO40" s="265" t="s">
        <v>3890</v>
      </c>
      <c r="AP40" s="266" t="s">
        <v>1501</v>
      </c>
      <c r="AQ40" s="64"/>
      <c r="AR40" s="255"/>
      <c r="AS40" s="265" t="s">
        <v>3891</v>
      </c>
      <c r="AT40" s="266" t="s">
        <v>3892</v>
      </c>
      <c r="AU40" s="64"/>
      <c r="AV40" s="255"/>
      <c r="AW40" s="265" t="s">
        <v>3893</v>
      </c>
      <c r="AX40" s="256" t="s">
        <v>3894</v>
      </c>
      <c r="AY40" s="64"/>
      <c r="AZ40" s="255"/>
      <c r="BA40" s="265" t="s">
        <v>3895</v>
      </c>
      <c r="BB40" s="266" t="s">
        <v>728</v>
      </c>
      <c r="BC40" s="63"/>
      <c r="BD40" s="260"/>
      <c r="BE40" s="268" t="s">
        <v>3896</v>
      </c>
      <c r="BF40" s="266" t="s">
        <v>254</v>
      </c>
      <c r="BG40" s="64"/>
      <c r="BH40" s="255"/>
      <c r="BI40" s="267" t="s">
        <v>3897</v>
      </c>
      <c r="BJ40" s="265" t="s">
        <v>915</v>
      </c>
      <c r="BK40" s="266"/>
      <c r="BL40" s="64"/>
      <c r="BM40" s="267" t="s">
        <v>3898</v>
      </c>
      <c r="BN40" s="265" t="s">
        <v>3899</v>
      </c>
      <c r="BO40" s="265"/>
      <c r="BP40" s="255"/>
      <c r="BQ40" s="265" t="s">
        <v>3900</v>
      </c>
      <c r="BR40" s="266" t="s">
        <v>2949</v>
      </c>
    </row>
    <row r="41" spans="1:70" ht="15.75" thickBo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215"/>
      <c r="M41" s="214" t="s">
        <v>3221</v>
      </c>
      <c r="Q41" s="64"/>
      <c r="R41" s="65"/>
      <c r="S41" s="65"/>
      <c r="T41" s="238" t="s">
        <v>3323</v>
      </c>
      <c r="U41" s="239" t="s">
        <v>1899</v>
      </c>
      <c r="V41" s="65"/>
      <c r="W41" s="65"/>
      <c r="X41" s="63"/>
      <c r="Y41" s="63"/>
      <c r="AB41" s="261"/>
      <c r="AC41" s="265" t="s">
        <v>3901</v>
      </c>
      <c r="AD41" s="266" t="s">
        <v>2877</v>
      </c>
      <c r="AE41" s="64"/>
      <c r="AF41" s="255"/>
      <c r="AG41" s="265" t="s">
        <v>3902</v>
      </c>
      <c r="AH41" s="266" t="s">
        <v>229</v>
      </c>
      <c r="AI41" s="64"/>
      <c r="AJ41" s="255"/>
      <c r="AK41" s="265" t="s">
        <v>3903</v>
      </c>
      <c r="AL41" s="266" t="s">
        <v>981</v>
      </c>
      <c r="AM41" s="63"/>
      <c r="AN41" s="255"/>
      <c r="AO41" s="265" t="s">
        <v>3904</v>
      </c>
      <c r="AP41" s="266" t="s">
        <v>726</v>
      </c>
      <c r="AQ41" s="64"/>
      <c r="AR41" s="255"/>
      <c r="AS41" s="265" t="s">
        <v>3905</v>
      </c>
      <c r="AT41" s="266" t="s">
        <v>3906</v>
      </c>
      <c r="AU41" s="64"/>
      <c r="AV41" s="63"/>
      <c r="AW41" s="265" t="s">
        <v>3907</v>
      </c>
      <c r="AX41" s="266" t="s">
        <v>1142</v>
      </c>
      <c r="AY41" s="64"/>
      <c r="AZ41" s="255"/>
      <c r="BA41" s="265" t="s">
        <v>3908</v>
      </c>
      <c r="BB41" s="266" t="s">
        <v>764</v>
      </c>
      <c r="BC41" s="63"/>
      <c r="BD41" s="260"/>
      <c r="BE41" s="268" t="s">
        <v>3909</v>
      </c>
      <c r="BF41" s="266" t="s">
        <v>226</v>
      </c>
      <c r="BG41" s="64"/>
      <c r="BH41" s="255"/>
      <c r="BI41" s="267" t="s">
        <v>3910</v>
      </c>
      <c r="BJ41" s="265" t="s">
        <v>1215</v>
      </c>
      <c r="BK41" s="266"/>
      <c r="BL41" s="64"/>
      <c r="BM41" s="267" t="s">
        <v>3911</v>
      </c>
      <c r="BN41" s="265" t="s">
        <v>1534</v>
      </c>
      <c r="BO41" s="265"/>
      <c r="BP41" s="255"/>
      <c r="BQ41" s="265" t="s">
        <v>3912</v>
      </c>
      <c r="BR41" s="266" t="s">
        <v>1057</v>
      </c>
    </row>
    <row r="42" spans="1:70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215"/>
      <c r="M42" s="214" t="s">
        <v>3222</v>
      </c>
      <c r="Q42" s="64"/>
      <c r="R42" s="65"/>
      <c r="S42" s="65"/>
      <c r="T42" s="65"/>
      <c r="U42" s="65"/>
      <c r="V42" s="65"/>
      <c r="W42" s="65"/>
      <c r="X42" s="63"/>
      <c r="Y42" s="63"/>
      <c r="AB42" s="261"/>
      <c r="AC42" s="265" t="s">
        <v>3913</v>
      </c>
      <c r="AD42" s="266" t="s">
        <v>938</v>
      </c>
      <c r="AE42" s="64"/>
      <c r="AF42" s="255"/>
      <c r="AG42" s="265" t="s">
        <v>3914</v>
      </c>
      <c r="AH42" s="266" t="s">
        <v>1543</v>
      </c>
      <c r="AI42" s="64"/>
      <c r="AJ42" s="255"/>
      <c r="AK42" s="265" t="s">
        <v>3915</v>
      </c>
      <c r="AL42" s="266" t="s">
        <v>769</v>
      </c>
      <c r="AM42" s="63"/>
      <c r="AN42" s="255"/>
      <c r="AO42" s="265" t="s">
        <v>3916</v>
      </c>
      <c r="AP42" s="266" t="s">
        <v>1805</v>
      </c>
      <c r="AQ42" s="64"/>
      <c r="AR42" s="255"/>
      <c r="AS42" s="265" t="s">
        <v>3917</v>
      </c>
      <c r="AT42" s="266" t="s">
        <v>3918</v>
      </c>
      <c r="AU42" s="64"/>
      <c r="AV42" s="255"/>
      <c r="AW42" s="265" t="s">
        <v>3919</v>
      </c>
      <c r="AX42" s="256" t="s">
        <v>3920</v>
      </c>
      <c r="AY42" s="64"/>
      <c r="AZ42" s="255"/>
      <c r="BA42" s="265" t="s">
        <v>3921</v>
      </c>
      <c r="BB42" s="266" t="s">
        <v>1873</v>
      </c>
      <c r="BC42" s="63"/>
      <c r="BD42" s="260"/>
      <c r="BE42" s="268" t="s">
        <v>3922</v>
      </c>
      <c r="BF42" s="266" t="s">
        <v>249</v>
      </c>
      <c r="BG42" s="64"/>
      <c r="BH42" s="255"/>
      <c r="BI42" s="267" t="s">
        <v>3923</v>
      </c>
      <c r="BJ42" s="265" t="s">
        <v>3924</v>
      </c>
      <c r="BK42" s="266"/>
      <c r="BL42" s="64"/>
      <c r="BM42" s="267" t="s">
        <v>3925</v>
      </c>
      <c r="BN42" s="265" t="s">
        <v>1784</v>
      </c>
      <c r="BO42" s="265"/>
      <c r="BP42" s="255"/>
      <c r="BQ42" s="265" t="s">
        <v>3926</v>
      </c>
      <c r="BR42" s="266" t="s">
        <v>145</v>
      </c>
    </row>
    <row r="43" spans="1:70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215"/>
      <c r="M43" s="214" t="s">
        <v>3223</v>
      </c>
      <c r="AB43" s="261"/>
      <c r="AC43" s="265" t="s">
        <v>3927</v>
      </c>
      <c r="AD43" s="266" t="s">
        <v>3928</v>
      </c>
      <c r="AE43" s="64"/>
      <c r="AF43" s="63"/>
      <c r="AG43" s="265" t="s">
        <v>3929</v>
      </c>
      <c r="AH43" s="266" t="s">
        <v>200</v>
      </c>
      <c r="AI43" s="64"/>
      <c r="AJ43" s="255"/>
      <c r="AK43" s="265" t="s">
        <v>3930</v>
      </c>
      <c r="AL43" s="266" t="s">
        <v>1231</v>
      </c>
      <c r="AM43" s="63"/>
      <c r="AN43" s="255"/>
      <c r="AO43" s="265" t="s">
        <v>3931</v>
      </c>
      <c r="AP43" s="266" t="s">
        <v>3932</v>
      </c>
      <c r="AQ43" s="64"/>
      <c r="AR43" s="255"/>
      <c r="AS43" s="265" t="s">
        <v>3933</v>
      </c>
      <c r="AT43" s="266" t="s">
        <v>987</v>
      </c>
      <c r="AU43" s="64"/>
      <c r="AV43" s="255"/>
      <c r="AW43" s="265" t="s">
        <v>3934</v>
      </c>
      <c r="AX43" s="256" t="s">
        <v>3935</v>
      </c>
      <c r="AY43" s="64"/>
      <c r="AZ43" s="255"/>
      <c r="BA43" s="265" t="s">
        <v>3936</v>
      </c>
      <c r="BB43" s="266" t="s">
        <v>775</v>
      </c>
      <c r="BC43" s="63"/>
      <c r="BD43" s="260"/>
      <c r="BE43" s="268" t="s">
        <v>3937</v>
      </c>
      <c r="BF43" s="266" t="s">
        <v>3938</v>
      </c>
      <c r="BG43" s="64"/>
      <c r="BH43" s="255"/>
      <c r="BI43" s="267" t="s">
        <v>3939</v>
      </c>
      <c r="BJ43" s="265" t="s">
        <v>3940</v>
      </c>
      <c r="BK43" s="266"/>
      <c r="BL43" s="64"/>
      <c r="BM43" s="267" t="s">
        <v>3941</v>
      </c>
      <c r="BN43" s="265" t="s">
        <v>205</v>
      </c>
      <c r="BO43" s="265"/>
      <c r="BP43" s="255"/>
      <c r="BQ43" s="265" t="s">
        <v>3942</v>
      </c>
      <c r="BR43" s="266" t="s">
        <v>1072</v>
      </c>
    </row>
    <row r="44" spans="1:70" ht="15.75" thickBo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215"/>
      <c r="M44" s="214" t="s">
        <v>838</v>
      </c>
      <c r="AB44" s="261"/>
      <c r="AC44" s="265" t="s">
        <v>3943</v>
      </c>
      <c r="AD44" s="266" t="s">
        <v>3944</v>
      </c>
      <c r="AE44" s="64"/>
      <c r="AF44" s="255"/>
      <c r="AG44" s="265" t="s">
        <v>3945</v>
      </c>
      <c r="AH44" s="266" t="s">
        <v>1579</v>
      </c>
      <c r="AI44" s="64"/>
      <c r="AJ44" s="269"/>
      <c r="AK44" s="265"/>
      <c r="AL44" s="266" t="s">
        <v>2917</v>
      </c>
      <c r="AM44" s="63"/>
      <c r="AN44" s="63"/>
      <c r="AO44" s="265" t="s">
        <v>3946</v>
      </c>
      <c r="AP44" s="256" t="s">
        <v>2981</v>
      </c>
      <c r="AQ44" s="64"/>
      <c r="AR44" s="255"/>
      <c r="AS44" s="265" t="s">
        <v>3947</v>
      </c>
      <c r="AT44" s="266" t="s">
        <v>2861</v>
      </c>
      <c r="AU44" s="64"/>
      <c r="AV44" s="255"/>
      <c r="AW44" s="265" t="s">
        <v>3948</v>
      </c>
      <c r="AX44" s="256" t="s">
        <v>1576</v>
      </c>
      <c r="AY44" s="64"/>
      <c r="AZ44" s="269"/>
      <c r="BA44" s="270" t="s">
        <v>3949</v>
      </c>
      <c r="BB44" s="271" t="s">
        <v>1909</v>
      </c>
      <c r="BC44" s="63"/>
      <c r="BD44" s="260"/>
      <c r="BE44" s="268" t="s">
        <v>3950</v>
      </c>
      <c r="BF44" s="266" t="s">
        <v>3951</v>
      </c>
      <c r="BG44" s="64"/>
      <c r="BH44" s="255"/>
      <c r="BI44" s="267" t="s">
        <v>3952</v>
      </c>
      <c r="BJ44" s="265" t="s">
        <v>3953</v>
      </c>
      <c r="BK44" s="272"/>
      <c r="BL44" s="64"/>
      <c r="BM44" s="267" t="s">
        <v>3954</v>
      </c>
      <c r="BN44" s="265" t="s">
        <v>3955</v>
      </c>
      <c r="BO44" s="265"/>
      <c r="BP44" s="269"/>
      <c r="BQ44" s="265" t="s">
        <v>3956</v>
      </c>
      <c r="BR44" s="266" t="s">
        <v>1653</v>
      </c>
    </row>
    <row r="45" spans="1:70" ht="15.75" thickBo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215"/>
      <c r="M45" s="214" t="s">
        <v>3224</v>
      </c>
      <c r="AB45" s="273"/>
      <c r="AC45" s="274" t="s">
        <v>3957</v>
      </c>
      <c r="AD45" s="272" t="s">
        <v>3958</v>
      </c>
      <c r="AE45" s="64"/>
      <c r="AF45" s="269"/>
      <c r="AG45" s="274" t="s">
        <v>3959</v>
      </c>
      <c r="AH45" s="275" t="s">
        <v>3960</v>
      </c>
      <c r="AI45" s="64"/>
      <c r="AJ45" s="63"/>
      <c r="AK45" s="274" t="s">
        <v>3961</v>
      </c>
      <c r="AL45" s="272" t="s">
        <v>219</v>
      </c>
      <c r="AM45" s="63"/>
      <c r="AN45" s="269"/>
      <c r="AO45" s="274" t="s">
        <v>3962</v>
      </c>
      <c r="AP45" s="272" t="s">
        <v>3963</v>
      </c>
      <c r="AQ45" s="64"/>
      <c r="AR45" s="269"/>
      <c r="AS45" s="274" t="s">
        <v>3964</v>
      </c>
      <c r="AT45" s="272" t="s">
        <v>3965</v>
      </c>
      <c r="AU45" s="64"/>
      <c r="AV45" s="269"/>
      <c r="AW45" s="276" t="s">
        <v>3966</v>
      </c>
      <c r="AX45" s="277" t="s">
        <v>3967</v>
      </c>
      <c r="AY45" s="64"/>
      <c r="AZ45" s="63"/>
      <c r="BA45" s="274" t="s">
        <v>3968</v>
      </c>
      <c r="BB45" s="277" t="s">
        <v>3969</v>
      </c>
      <c r="BC45" s="63"/>
      <c r="BD45" s="260"/>
      <c r="BE45" s="273" t="s">
        <v>3970</v>
      </c>
      <c r="BF45" s="277" t="s">
        <v>1630</v>
      </c>
      <c r="BG45" s="64"/>
      <c r="BH45" s="269"/>
      <c r="BI45" s="276" t="s">
        <v>3971</v>
      </c>
      <c r="BJ45" s="276" t="s">
        <v>3972</v>
      </c>
      <c r="BK45" s="278"/>
      <c r="BL45" s="64"/>
      <c r="BM45" s="270" t="s">
        <v>3973</v>
      </c>
      <c r="BN45" s="279" t="s">
        <v>231</v>
      </c>
      <c r="BO45" s="278"/>
      <c r="BP45" s="63"/>
      <c r="BQ45" s="274" t="s">
        <v>3974</v>
      </c>
      <c r="BR45" s="272" t="s">
        <v>268</v>
      </c>
    </row>
    <row r="46" spans="1:70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215"/>
      <c r="M46" s="224" t="s">
        <v>3225</v>
      </c>
    </row>
    <row r="47" spans="1:70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215"/>
      <c r="M47" s="212" t="s">
        <v>3226</v>
      </c>
    </row>
  </sheetData>
  <mergeCells count="39">
    <mergeCell ref="EX3:EY3"/>
    <mergeCell ref="FB3:FC3"/>
    <mergeCell ref="BU2:FC2"/>
    <mergeCell ref="DZ3:EA3"/>
    <mergeCell ref="ED3:EE3"/>
    <mergeCell ref="EH3:EI3"/>
    <mergeCell ref="EL3:EM3"/>
    <mergeCell ref="EP3:EQ3"/>
    <mergeCell ref="ET3:EU3"/>
    <mergeCell ref="CX3:CY3"/>
    <mergeCell ref="DB3:DC3"/>
    <mergeCell ref="DF3:DG3"/>
    <mergeCell ref="DJ3:DK3"/>
    <mergeCell ref="DN3:DO3"/>
    <mergeCell ref="DV3:DW3"/>
    <mergeCell ref="BZ3:CA3"/>
    <mergeCell ref="CD3:CE3"/>
    <mergeCell ref="CH3:CI3"/>
    <mergeCell ref="CL3:CM3"/>
    <mergeCell ref="CP3:CQ3"/>
    <mergeCell ref="CT3:CU3"/>
    <mergeCell ref="BE3:BF3"/>
    <mergeCell ref="BJ3:BK3"/>
    <mergeCell ref="BN3:BO3"/>
    <mergeCell ref="BQ3:BR3"/>
    <mergeCell ref="AB2:BR2"/>
    <mergeCell ref="BV3:BW3"/>
    <mergeCell ref="AG3:AH3"/>
    <mergeCell ref="AK3:AL3"/>
    <mergeCell ref="AO3:AP3"/>
    <mergeCell ref="AS3:AT3"/>
    <mergeCell ref="AW3:AX3"/>
    <mergeCell ref="BA3:BB3"/>
    <mergeCell ref="K3:L3"/>
    <mergeCell ref="C17:H17"/>
    <mergeCell ref="C21:H21"/>
    <mergeCell ref="B27:F27"/>
    <mergeCell ref="R2:Y2"/>
    <mergeCell ref="AC3:A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6C9AA"/>
  </sheetPr>
  <dimension ref="A1:AN32"/>
  <sheetViews>
    <sheetView topLeftCell="C1" zoomScaleNormal="100" workbookViewId="0">
      <selection activeCell="F31" sqref="F31"/>
    </sheetView>
  </sheetViews>
  <sheetFormatPr baseColWidth="10" defaultColWidth="9.140625" defaultRowHeight="15"/>
  <cols>
    <col min="1" max="1" width="3" customWidth="1"/>
    <col min="2" max="2" width="22.140625" customWidth="1"/>
    <col min="3" max="3" width="3" customWidth="1"/>
    <col min="4" max="4" width="28.5703125" customWidth="1"/>
    <col min="5" max="5" width="3" customWidth="1"/>
    <col min="6" max="6" width="22.85546875" customWidth="1"/>
    <col min="7" max="7" width="3" customWidth="1"/>
    <col min="8" max="8" width="20.140625" customWidth="1"/>
    <col min="9" max="9" width="3" customWidth="1"/>
    <col min="10" max="10" width="23" customWidth="1"/>
    <col min="11" max="11" width="3" customWidth="1"/>
    <col min="12" max="12" width="29.42578125" customWidth="1"/>
    <col min="13" max="13" width="3.140625" customWidth="1"/>
    <col min="14" max="14" width="42" customWidth="1"/>
    <col min="15" max="15" width="3.140625" customWidth="1"/>
    <col min="16" max="16" width="39.5703125" customWidth="1"/>
    <col min="17" max="17" width="3.140625" customWidth="1"/>
    <col min="18" max="18" width="30.85546875" customWidth="1"/>
    <col min="19" max="19" width="3.140625" customWidth="1"/>
    <col min="20" max="20" width="47.28515625" bestFit="1" customWidth="1"/>
    <col min="21" max="21" width="3.140625" customWidth="1"/>
    <col min="22" max="22" width="21.42578125" customWidth="1"/>
    <col min="23" max="23" width="3" customWidth="1"/>
    <col min="24" max="24" width="19.42578125" customWidth="1"/>
    <col min="25" max="25" width="3" customWidth="1"/>
    <col min="26" max="26" width="19.42578125" customWidth="1"/>
    <col min="27" max="27" width="3.42578125" customWidth="1"/>
    <col min="28" max="28" width="24.140625" customWidth="1"/>
    <col min="29" max="29" width="3" style="65" bestFit="1" customWidth="1"/>
    <col min="30" max="30" width="24.85546875" style="65" bestFit="1" customWidth="1"/>
    <col min="31" max="31" width="3" bestFit="1" customWidth="1"/>
    <col min="32" max="32" width="21.85546875" bestFit="1" customWidth="1"/>
    <col min="33" max="33" width="3" bestFit="1" customWidth="1"/>
    <col min="34" max="34" width="25.7109375" bestFit="1" customWidth="1"/>
    <col min="35" max="35" width="3" bestFit="1" customWidth="1"/>
    <col min="36" max="36" width="20.85546875" bestFit="1" customWidth="1"/>
    <col min="37" max="37" width="3" bestFit="1" customWidth="1"/>
    <col min="38" max="38" width="22.7109375" bestFit="1" customWidth="1"/>
    <col min="39" max="39" width="3" bestFit="1" customWidth="1"/>
    <col min="40" max="40" width="42.85546875" bestFit="1" customWidth="1"/>
    <col min="41" max="1023" width="10.7109375" customWidth="1"/>
  </cols>
  <sheetData>
    <row r="1" spans="1:40">
      <c r="A1" s="7">
        <f>SUM(A2:A32)</f>
        <v>60</v>
      </c>
      <c r="B1" s="4" t="s">
        <v>776</v>
      </c>
      <c r="C1" s="7">
        <f>SUM(C2:C26)</f>
        <v>60</v>
      </c>
      <c r="D1" s="4" t="s">
        <v>777</v>
      </c>
      <c r="E1" s="7">
        <f>SUM(E2:E26)</f>
        <v>60</v>
      </c>
      <c r="F1" s="4" t="s">
        <v>778</v>
      </c>
      <c r="G1" s="7">
        <f>SUM(G2:G19)</f>
        <v>60</v>
      </c>
      <c r="H1" s="4" t="s">
        <v>779</v>
      </c>
      <c r="I1" s="7">
        <f>SUM(I2:I24)</f>
        <v>60</v>
      </c>
      <c r="J1" s="6" t="s">
        <v>780</v>
      </c>
      <c r="K1" s="7">
        <f>SUM(K2:K21)</f>
        <v>60</v>
      </c>
      <c r="L1" s="41" t="s">
        <v>781</v>
      </c>
      <c r="M1" s="4">
        <f>SUM(M2:M19)</f>
        <v>60</v>
      </c>
      <c r="N1" s="4" t="s">
        <v>2902</v>
      </c>
      <c r="O1" s="4">
        <f>SUM(O2:O18)</f>
        <v>60</v>
      </c>
      <c r="P1" s="33" t="s">
        <v>782</v>
      </c>
      <c r="Q1" s="4">
        <f>SUM(Q2:Q23)</f>
        <v>60</v>
      </c>
      <c r="R1" s="4" t="s">
        <v>783</v>
      </c>
      <c r="S1" s="4">
        <f>SUM(S2:S23)</f>
        <v>60</v>
      </c>
      <c r="T1" s="33" t="s">
        <v>2909</v>
      </c>
      <c r="U1" s="4">
        <f>SUM(S2:S23)</f>
        <v>60</v>
      </c>
      <c r="V1" s="4" t="s">
        <v>784</v>
      </c>
      <c r="W1" s="4">
        <f>SUM(W2:W31)</f>
        <v>60</v>
      </c>
      <c r="X1" s="4" t="s">
        <v>785</v>
      </c>
      <c r="Y1" s="42">
        <f>SUM(Y2:Y67)</f>
        <v>60</v>
      </c>
      <c r="Z1" s="4" t="s">
        <v>786</v>
      </c>
      <c r="AA1" s="42">
        <v>60</v>
      </c>
      <c r="AB1" s="33" t="s">
        <v>787</v>
      </c>
      <c r="AC1" s="89">
        <f>SUM(AC2:AC32)</f>
        <v>60</v>
      </c>
      <c r="AD1" s="175" t="s">
        <v>2145</v>
      </c>
      <c r="AE1" s="7">
        <f>SUM(AE2:AE13)</f>
        <v>60</v>
      </c>
      <c r="AF1" s="4" t="s">
        <v>2146</v>
      </c>
      <c r="AG1" s="7">
        <f>SUM(AG2:AG27)</f>
        <v>60</v>
      </c>
      <c r="AH1" s="4" t="s">
        <v>2147</v>
      </c>
      <c r="AI1" s="7">
        <f>SUM(AI2:AI23)</f>
        <v>60</v>
      </c>
      <c r="AJ1" s="6" t="s">
        <v>2148</v>
      </c>
      <c r="AK1" s="17">
        <f>SUM(AK2:AK16)</f>
        <v>60</v>
      </c>
      <c r="AL1" s="130" t="s">
        <v>2149</v>
      </c>
      <c r="AM1" s="17">
        <f>SUM(AM2:AM29)</f>
        <v>60</v>
      </c>
      <c r="AN1" s="130" t="s">
        <v>2582</v>
      </c>
    </row>
    <row r="2" spans="1:40">
      <c r="A2" s="5">
        <v>4</v>
      </c>
      <c r="B2" s="5" t="s">
        <v>24</v>
      </c>
      <c r="C2" s="7">
        <v>4</v>
      </c>
      <c r="D2" s="7" t="s">
        <v>22</v>
      </c>
      <c r="E2" s="7">
        <v>4</v>
      </c>
      <c r="F2" s="7" t="s">
        <v>788</v>
      </c>
      <c r="G2" s="5">
        <v>3</v>
      </c>
      <c r="H2" s="5" t="s">
        <v>789</v>
      </c>
      <c r="I2" s="8">
        <v>4</v>
      </c>
      <c r="J2" s="8" t="s">
        <v>54</v>
      </c>
      <c r="K2" s="18">
        <v>4</v>
      </c>
      <c r="L2" s="39" t="s">
        <v>790</v>
      </c>
      <c r="M2" s="17">
        <v>4</v>
      </c>
      <c r="N2" s="17" t="s">
        <v>791</v>
      </c>
      <c r="O2" s="7">
        <v>4</v>
      </c>
      <c r="P2" s="13" t="s">
        <v>792</v>
      </c>
      <c r="Q2" s="7">
        <v>1</v>
      </c>
      <c r="R2" s="7" t="s">
        <v>793</v>
      </c>
      <c r="S2" s="17">
        <v>4</v>
      </c>
      <c r="T2" s="13" t="s">
        <v>794</v>
      </c>
      <c r="U2" s="7">
        <v>3</v>
      </c>
      <c r="V2" s="7" t="s">
        <v>795</v>
      </c>
      <c r="W2" s="7">
        <v>1</v>
      </c>
      <c r="X2" s="7" t="s">
        <v>796</v>
      </c>
      <c r="Y2" s="43">
        <v>4</v>
      </c>
      <c r="Z2" s="7" t="s">
        <v>325</v>
      </c>
      <c r="AA2" s="43">
        <v>4</v>
      </c>
      <c r="AB2" s="13" t="s">
        <v>797</v>
      </c>
      <c r="AC2" s="18">
        <v>1</v>
      </c>
      <c r="AD2" s="18" t="s">
        <v>2165</v>
      </c>
      <c r="AE2" s="5">
        <v>4</v>
      </c>
      <c r="AF2" s="12" t="s">
        <v>19</v>
      </c>
      <c r="AG2" s="5">
        <v>4</v>
      </c>
      <c r="AH2" s="5" t="s">
        <v>337</v>
      </c>
      <c r="AI2" s="8">
        <v>4</v>
      </c>
      <c r="AJ2" s="8" t="s">
        <v>54</v>
      </c>
      <c r="AK2" s="18">
        <v>4</v>
      </c>
      <c r="AL2" s="8" t="s">
        <v>1791</v>
      </c>
      <c r="AM2" s="18">
        <v>2</v>
      </c>
      <c r="AN2" s="8" t="s">
        <v>978</v>
      </c>
    </row>
    <row r="3" spans="1:40">
      <c r="A3" s="5">
        <v>1</v>
      </c>
      <c r="B3" s="5" t="s">
        <v>798</v>
      </c>
      <c r="C3" s="7">
        <v>4</v>
      </c>
      <c r="D3" s="18" t="s">
        <v>799</v>
      </c>
      <c r="E3" s="7">
        <v>4</v>
      </c>
      <c r="F3" s="7" t="s">
        <v>800</v>
      </c>
      <c r="G3" s="5">
        <v>4</v>
      </c>
      <c r="H3" s="5" t="s">
        <v>801</v>
      </c>
      <c r="I3" s="7">
        <v>9</v>
      </c>
      <c r="J3" s="7" t="s">
        <v>26</v>
      </c>
      <c r="K3" s="18">
        <v>4</v>
      </c>
      <c r="L3" s="39" t="s">
        <v>802</v>
      </c>
      <c r="M3" s="17">
        <v>4</v>
      </c>
      <c r="N3" s="17" t="s">
        <v>324</v>
      </c>
      <c r="O3" s="7">
        <v>2</v>
      </c>
      <c r="P3" s="13" t="s">
        <v>803</v>
      </c>
      <c r="Q3" s="7">
        <v>4</v>
      </c>
      <c r="R3" s="7" t="s">
        <v>804</v>
      </c>
      <c r="S3" s="17">
        <v>1</v>
      </c>
      <c r="T3" s="89" t="s">
        <v>2165</v>
      </c>
      <c r="U3" s="7">
        <v>4</v>
      </c>
      <c r="V3" s="7" t="s">
        <v>805</v>
      </c>
      <c r="W3" s="7">
        <v>1</v>
      </c>
      <c r="X3" s="7" t="s">
        <v>806</v>
      </c>
      <c r="Y3" s="43">
        <v>4</v>
      </c>
      <c r="Z3" s="7" t="s">
        <v>346</v>
      </c>
      <c r="AA3" s="43">
        <v>2</v>
      </c>
      <c r="AB3" s="13" t="s">
        <v>342</v>
      </c>
      <c r="AC3" s="18">
        <v>1</v>
      </c>
      <c r="AD3" s="18" t="s">
        <v>1991</v>
      </c>
      <c r="AE3" s="5">
        <v>16</v>
      </c>
      <c r="AF3" s="12" t="s">
        <v>9</v>
      </c>
      <c r="AG3" s="8">
        <v>2</v>
      </c>
      <c r="AH3" s="8" t="s">
        <v>2180</v>
      </c>
      <c r="AI3" s="7">
        <v>1</v>
      </c>
      <c r="AJ3" s="7" t="s">
        <v>2910</v>
      </c>
      <c r="AK3" s="18">
        <v>14</v>
      </c>
      <c r="AL3" s="18" t="s">
        <v>1790</v>
      </c>
      <c r="AM3" s="18">
        <v>1</v>
      </c>
      <c r="AN3" s="8" t="s">
        <v>203</v>
      </c>
    </row>
    <row r="4" spans="1:40">
      <c r="A4" s="5">
        <v>1</v>
      </c>
      <c r="B4" s="5" t="s">
        <v>807</v>
      </c>
      <c r="C4" s="7">
        <v>4</v>
      </c>
      <c r="D4" s="18" t="s">
        <v>808</v>
      </c>
      <c r="E4" s="7">
        <v>2</v>
      </c>
      <c r="F4" s="7" t="s">
        <v>809</v>
      </c>
      <c r="G4" s="5">
        <v>1</v>
      </c>
      <c r="H4" s="5" t="s">
        <v>810</v>
      </c>
      <c r="I4" s="8">
        <v>8</v>
      </c>
      <c r="J4" s="8" t="s">
        <v>40</v>
      </c>
      <c r="K4" s="18">
        <v>4</v>
      </c>
      <c r="L4" s="39" t="s">
        <v>811</v>
      </c>
      <c r="M4" s="17">
        <v>4</v>
      </c>
      <c r="N4" s="17" t="s">
        <v>2903</v>
      </c>
      <c r="O4" s="7">
        <v>3</v>
      </c>
      <c r="P4" s="13" t="s">
        <v>812</v>
      </c>
      <c r="Q4" s="7">
        <v>1</v>
      </c>
      <c r="R4" s="7" t="s">
        <v>813</v>
      </c>
      <c r="S4" s="8">
        <v>1</v>
      </c>
      <c r="T4" s="8" t="s">
        <v>111</v>
      </c>
      <c r="U4" s="7">
        <v>3</v>
      </c>
      <c r="V4" s="7" t="s">
        <v>815</v>
      </c>
      <c r="W4" s="7">
        <v>1</v>
      </c>
      <c r="X4" s="7" t="s">
        <v>816</v>
      </c>
      <c r="Y4" s="43">
        <v>4</v>
      </c>
      <c r="Z4" s="7" t="s">
        <v>393</v>
      </c>
      <c r="AA4" s="43">
        <v>3</v>
      </c>
      <c r="AB4" s="13" t="s">
        <v>817</v>
      </c>
      <c r="AC4" s="8">
        <v>1</v>
      </c>
      <c r="AD4" s="8" t="s">
        <v>324</v>
      </c>
      <c r="AE4" s="5">
        <v>4</v>
      </c>
      <c r="AF4" s="12" t="s">
        <v>66</v>
      </c>
      <c r="AG4" s="5">
        <v>3</v>
      </c>
      <c r="AH4" s="5" t="s">
        <v>384</v>
      </c>
      <c r="AI4" s="17">
        <v>1</v>
      </c>
      <c r="AJ4" s="17" t="s">
        <v>865</v>
      </c>
      <c r="AK4" s="18">
        <v>4</v>
      </c>
      <c r="AL4" s="8" t="s">
        <v>1798</v>
      </c>
      <c r="AM4" s="18">
        <v>4</v>
      </c>
      <c r="AN4" s="8" t="s">
        <v>178</v>
      </c>
    </row>
    <row r="5" spans="1:40">
      <c r="A5" s="18">
        <v>1</v>
      </c>
      <c r="B5" s="18" t="s">
        <v>818</v>
      </c>
      <c r="C5" s="7">
        <v>1</v>
      </c>
      <c r="D5" s="18" t="s">
        <v>106</v>
      </c>
      <c r="E5" s="5">
        <v>4</v>
      </c>
      <c r="F5" s="5" t="s">
        <v>819</v>
      </c>
      <c r="G5" s="5">
        <v>3</v>
      </c>
      <c r="H5" s="5" t="s">
        <v>820</v>
      </c>
      <c r="I5" s="8">
        <v>4</v>
      </c>
      <c r="J5" s="8" t="s">
        <v>351</v>
      </c>
      <c r="K5" s="18">
        <v>4</v>
      </c>
      <c r="L5" s="39" t="s">
        <v>821</v>
      </c>
      <c r="M5" s="17">
        <v>4</v>
      </c>
      <c r="N5" s="17" t="s">
        <v>2904</v>
      </c>
      <c r="O5" s="7">
        <v>10</v>
      </c>
      <c r="P5" s="13" t="s">
        <v>822</v>
      </c>
      <c r="Q5" s="7">
        <v>4</v>
      </c>
      <c r="R5" s="7" t="s">
        <v>823</v>
      </c>
      <c r="S5">
        <v>1</v>
      </c>
      <c r="T5" s="89" t="s">
        <v>824</v>
      </c>
      <c r="U5" s="7">
        <v>4</v>
      </c>
      <c r="V5" s="7" t="s">
        <v>825</v>
      </c>
      <c r="W5" s="7">
        <v>4</v>
      </c>
      <c r="X5" s="7" t="s">
        <v>826</v>
      </c>
      <c r="Y5" s="43">
        <v>4</v>
      </c>
      <c r="Z5" s="7" t="s">
        <v>420</v>
      </c>
      <c r="AA5" s="43">
        <v>1</v>
      </c>
      <c r="AB5" s="13" t="s">
        <v>827</v>
      </c>
      <c r="AC5" s="8">
        <v>1</v>
      </c>
      <c r="AD5" s="8" t="s">
        <v>2195</v>
      </c>
      <c r="AE5" s="5">
        <v>4</v>
      </c>
      <c r="AF5" s="12" t="s">
        <v>43</v>
      </c>
      <c r="AG5" s="5">
        <v>1</v>
      </c>
      <c r="AH5" s="5" t="s">
        <v>407</v>
      </c>
      <c r="AI5" s="17">
        <v>1</v>
      </c>
      <c r="AJ5" s="17" t="s">
        <v>380</v>
      </c>
      <c r="AK5" s="18">
        <v>4</v>
      </c>
      <c r="AL5" s="18" t="s">
        <v>43</v>
      </c>
      <c r="AM5" s="18">
        <v>1</v>
      </c>
      <c r="AN5" s="8" t="s">
        <v>3085</v>
      </c>
    </row>
    <row r="6" spans="1:40">
      <c r="A6" s="5">
        <v>4</v>
      </c>
      <c r="B6" s="5" t="s">
        <v>148</v>
      </c>
      <c r="C6" s="7">
        <v>1</v>
      </c>
      <c r="D6" s="18" t="s">
        <v>828</v>
      </c>
      <c r="E6" s="5">
        <v>3</v>
      </c>
      <c r="F6" s="5" t="s">
        <v>829</v>
      </c>
      <c r="G6" s="5">
        <v>4</v>
      </c>
      <c r="H6" s="5" t="s">
        <v>830</v>
      </c>
      <c r="I6" s="7">
        <v>1</v>
      </c>
      <c r="J6" s="7" t="s">
        <v>831</v>
      </c>
      <c r="K6" s="18">
        <v>4</v>
      </c>
      <c r="L6" s="39" t="s">
        <v>832</v>
      </c>
      <c r="M6" s="17">
        <v>4</v>
      </c>
      <c r="N6" s="17" t="s">
        <v>367</v>
      </c>
      <c r="O6" s="7">
        <v>4</v>
      </c>
      <c r="P6" s="13" t="s">
        <v>833</v>
      </c>
      <c r="Q6" s="7">
        <v>4</v>
      </c>
      <c r="R6" s="7" t="s">
        <v>834</v>
      </c>
      <c r="S6" s="17">
        <v>4</v>
      </c>
      <c r="T6" s="89" t="s">
        <v>814</v>
      </c>
      <c r="U6" s="7">
        <v>3</v>
      </c>
      <c r="V6" s="7" t="s">
        <v>836</v>
      </c>
      <c r="W6" s="7">
        <v>1</v>
      </c>
      <c r="X6" s="7" t="s">
        <v>837</v>
      </c>
      <c r="Y6" s="43">
        <v>4</v>
      </c>
      <c r="Z6" s="7" t="s">
        <v>466</v>
      </c>
      <c r="AA6" s="43">
        <v>12</v>
      </c>
      <c r="AB6" s="13" t="s">
        <v>838</v>
      </c>
      <c r="AC6" s="8">
        <v>1</v>
      </c>
      <c r="AD6" s="8" t="s">
        <v>2210</v>
      </c>
      <c r="AE6" s="5">
        <v>4</v>
      </c>
      <c r="AF6" s="12" t="s">
        <v>95</v>
      </c>
      <c r="AG6" s="18">
        <v>3</v>
      </c>
      <c r="AH6" s="8" t="s">
        <v>2905</v>
      </c>
      <c r="AI6" s="8">
        <v>18</v>
      </c>
      <c r="AJ6" s="8" t="s">
        <v>40</v>
      </c>
      <c r="AK6" s="8">
        <v>1</v>
      </c>
      <c r="AL6" s="8" t="s">
        <v>1910</v>
      </c>
      <c r="AM6" s="18">
        <v>3</v>
      </c>
      <c r="AN6" s="8" t="s">
        <v>998</v>
      </c>
    </row>
    <row r="7" spans="1:40">
      <c r="A7" s="5">
        <v>1</v>
      </c>
      <c r="B7" s="18" t="s">
        <v>839</v>
      </c>
      <c r="C7" s="7">
        <v>1</v>
      </c>
      <c r="D7" s="18" t="s">
        <v>840</v>
      </c>
      <c r="E7" s="17">
        <v>1</v>
      </c>
      <c r="F7" s="17" t="s">
        <v>841</v>
      </c>
      <c r="G7" s="5">
        <v>4</v>
      </c>
      <c r="H7" s="18" t="s">
        <v>60</v>
      </c>
      <c r="I7" s="7">
        <v>1</v>
      </c>
      <c r="J7" s="7" t="s">
        <v>842</v>
      </c>
      <c r="K7" s="18">
        <v>2</v>
      </c>
      <c r="L7" s="39" t="s">
        <v>843</v>
      </c>
      <c r="M7" s="17">
        <v>4</v>
      </c>
      <c r="N7" s="17" t="s">
        <v>2905</v>
      </c>
      <c r="O7" s="7">
        <v>4</v>
      </c>
      <c r="P7" s="13" t="s">
        <v>844</v>
      </c>
      <c r="Q7" s="7">
        <v>1</v>
      </c>
      <c r="R7" s="7" t="s">
        <v>845</v>
      </c>
      <c r="S7" s="17">
        <v>1</v>
      </c>
      <c r="T7" s="167" t="s">
        <v>415</v>
      </c>
      <c r="U7" s="7">
        <v>4</v>
      </c>
      <c r="V7" s="7" t="s">
        <v>846</v>
      </c>
      <c r="W7" s="17">
        <v>1</v>
      </c>
      <c r="X7" s="17" t="s">
        <v>847</v>
      </c>
      <c r="Y7" s="43">
        <v>4</v>
      </c>
      <c r="Z7" s="7" t="s">
        <v>491</v>
      </c>
      <c r="AA7" s="43">
        <v>2</v>
      </c>
      <c r="AB7" s="13" t="s">
        <v>848</v>
      </c>
      <c r="AC7" s="8">
        <v>1</v>
      </c>
      <c r="AD7" s="8" t="s">
        <v>415</v>
      </c>
      <c r="AE7" s="5">
        <v>4</v>
      </c>
      <c r="AF7" s="12" t="s">
        <v>110</v>
      </c>
      <c r="AG7" s="18">
        <v>1</v>
      </c>
      <c r="AH7" s="18" t="s">
        <v>1388</v>
      </c>
      <c r="AI7" s="8">
        <v>1</v>
      </c>
      <c r="AJ7" s="8" t="s">
        <v>52</v>
      </c>
      <c r="AK7" s="18">
        <v>1</v>
      </c>
      <c r="AL7" s="8" t="s">
        <v>2239</v>
      </c>
      <c r="AM7" s="137">
        <v>2</v>
      </c>
      <c r="AN7" s="8" t="s">
        <v>1000</v>
      </c>
    </row>
    <row r="8" spans="1:40">
      <c r="A8" s="5">
        <v>1</v>
      </c>
      <c r="B8" s="5" t="s">
        <v>849</v>
      </c>
      <c r="C8" s="7">
        <v>2</v>
      </c>
      <c r="D8" s="18" t="s">
        <v>850</v>
      </c>
      <c r="E8" s="20">
        <v>1</v>
      </c>
      <c r="F8" s="20" t="s">
        <v>851</v>
      </c>
      <c r="G8" s="5">
        <v>2</v>
      </c>
      <c r="H8" s="5" t="s">
        <v>852</v>
      </c>
      <c r="I8" s="7">
        <v>1</v>
      </c>
      <c r="J8" s="7" t="s">
        <v>853</v>
      </c>
      <c r="K8" s="18">
        <v>4</v>
      </c>
      <c r="L8" s="39" t="s">
        <v>854</v>
      </c>
      <c r="M8" s="17">
        <v>1</v>
      </c>
      <c r="N8" s="17" t="s">
        <v>2907</v>
      </c>
      <c r="O8" s="7">
        <v>4</v>
      </c>
      <c r="P8" s="13" t="s">
        <v>855</v>
      </c>
      <c r="Q8" s="7">
        <v>4</v>
      </c>
      <c r="R8" s="7" t="s">
        <v>856</v>
      </c>
      <c r="S8" s="17">
        <v>4</v>
      </c>
      <c r="T8" s="89" t="s">
        <v>835</v>
      </c>
      <c r="U8" s="7">
        <v>2</v>
      </c>
      <c r="V8" s="7" t="s">
        <v>858</v>
      </c>
      <c r="W8" s="7">
        <v>1</v>
      </c>
      <c r="X8" s="7" t="s">
        <v>859</v>
      </c>
      <c r="Y8" s="43">
        <v>4</v>
      </c>
      <c r="Z8" s="7" t="s">
        <v>514</v>
      </c>
      <c r="AA8" s="43">
        <v>4</v>
      </c>
      <c r="AB8" s="13" t="s">
        <v>860</v>
      </c>
      <c r="AC8" s="8">
        <v>1</v>
      </c>
      <c r="AD8" s="8" t="s">
        <v>463</v>
      </c>
      <c r="AE8" s="5">
        <v>4</v>
      </c>
      <c r="AF8" s="12" t="s">
        <v>135</v>
      </c>
      <c r="AG8" s="5">
        <v>1</v>
      </c>
      <c r="AH8" s="5" t="s">
        <v>2256</v>
      </c>
      <c r="AI8" s="7">
        <v>4</v>
      </c>
      <c r="AJ8" s="7" t="s">
        <v>148</v>
      </c>
      <c r="AK8" s="18">
        <v>4</v>
      </c>
      <c r="AL8" s="8" t="s">
        <v>1957</v>
      </c>
      <c r="AM8" s="137">
        <v>4</v>
      </c>
      <c r="AN8" s="8" t="s">
        <v>3086</v>
      </c>
    </row>
    <row r="9" spans="1:40">
      <c r="A9" s="23">
        <v>1</v>
      </c>
      <c r="B9" s="23" t="s">
        <v>861</v>
      </c>
      <c r="C9" s="7">
        <v>1</v>
      </c>
      <c r="D9" s="18" t="s">
        <v>862</v>
      </c>
      <c r="E9" s="5">
        <v>3</v>
      </c>
      <c r="F9" s="5" t="s">
        <v>863</v>
      </c>
      <c r="G9" s="5">
        <v>1</v>
      </c>
      <c r="H9" s="5" t="s">
        <v>864</v>
      </c>
      <c r="I9" s="17">
        <v>1</v>
      </c>
      <c r="J9" s="17" t="s">
        <v>865</v>
      </c>
      <c r="K9" s="18">
        <v>1</v>
      </c>
      <c r="L9" s="39" t="s">
        <v>866</v>
      </c>
      <c r="M9" s="17">
        <v>4</v>
      </c>
      <c r="N9" s="17" t="s">
        <v>2906</v>
      </c>
      <c r="O9" s="7">
        <v>2</v>
      </c>
      <c r="P9" s="13" t="s">
        <v>867</v>
      </c>
      <c r="Q9" s="7">
        <v>3</v>
      </c>
      <c r="R9" s="7" t="s">
        <v>868</v>
      </c>
      <c r="S9" s="17">
        <v>1</v>
      </c>
      <c r="T9" s="89" t="s">
        <v>510</v>
      </c>
      <c r="U9" s="7">
        <v>3</v>
      </c>
      <c r="V9" s="7" t="s">
        <v>870</v>
      </c>
      <c r="W9" s="7">
        <v>2</v>
      </c>
      <c r="X9" s="7" t="s">
        <v>871</v>
      </c>
      <c r="Y9" s="43">
        <v>3</v>
      </c>
      <c r="Z9" s="17" t="s">
        <v>872</v>
      </c>
      <c r="AA9" s="43">
        <v>4</v>
      </c>
      <c r="AB9" s="13" t="s">
        <v>873</v>
      </c>
      <c r="AC9" s="8">
        <v>1</v>
      </c>
      <c r="AD9" s="8" t="s">
        <v>2255</v>
      </c>
      <c r="AE9" s="5">
        <v>4</v>
      </c>
      <c r="AF9" s="12" t="s">
        <v>732</v>
      </c>
      <c r="AG9" s="5">
        <v>1</v>
      </c>
      <c r="AH9" s="5" t="s">
        <v>2271</v>
      </c>
      <c r="AI9" s="7">
        <v>1</v>
      </c>
      <c r="AJ9" s="7" t="s">
        <v>842</v>
      </c>
      <c r="AK9" s="8">
        <v>4</v>
      </c>
      <c r="AL9" s="8" t="s">
        <v>1966</v>
      </c>
      <c r="AM9" s="18">
        <v>2</v>
      </c>
      <c r="AN9" s="8" t="s">
        <v>3087</v>
      </c>
    </row>
    <row r="10" spans="1:40">
      <c r="A10" s="5">
        <v>1</v>
      </c>
      <c r="B10" s="5" t="s">
        <v>874</v>
      </c>
      <c r="C10" s="7">
        <v>1</v>
      </c>
      <c r="D10" s="18" t="s">
        <v>875</v>
      </c>
      <c r="E10" s="23">
        <v>1</v>
      </c>
      <c r="F10" s="23" t="s">
        <v>876</v>
      </c>
      <c r="G10" s="5">
        <v>3</v>
      </c>
      <c r="H10" s="5" t="s">
        <v>877</v>
      </c>
      <c r="I10" s="17">
        <v>1</v>
      </c>
      <c r="J10" s="17" t="s">
        <v>380</v>
      </c>
      <c r="K10" s="18">
        <v>4</v>
      </c>
      <c r="L10" s="39" t="s">
        <v>878</v>
      </c>
      <c r="M10" s="17">
        <v>1</v>
      </c>
      <c r="N10" s="17" t="s">
        <v>465</v>
      </c>
      <c r="O10" s="7">
        <v>1</v>
      </c>
      <c r="P10" s="13" t="s">
        <v>879</v>
      </c>
      <c r="Q10" s="7">
        <v>1</v>
      </c>
      <c r="R10" s="7" t="s">
        <v>880</v>
      </c>
      <c r="S10" s="17">
        <v>4</v>
      </c>
      <c r="T10" s="89" t="s">
        <v>857</v>
      </c>
      <c r="U10" s="7">
        <v>1</v>
      </c>
      <c r="V10" s="7" t="s">
        <v>882</v>
      </c>
      <c r="W10" s="17">
        <v>1</v>
      </c>
      <c r="X10" s="17" t="s">
        <v>883</v>
      </c>
      <c r="Y10" s="43">
        <v>2</v>
      </c>
      <c r="Z10" s="7" t="s">
        <v>884</v>
      </c>
      <c r="AA10" s="43">
        <v>4</v>
      </c>
      <c r="AB10" s="13" t="s">
        <v>885</v>
      </c>
      <c r="AC10" s="138">
        <v>4</v>
      </c>
      <c r="AD10" s="138" t="s">
        <v>2603</v>
      </c>
      <c r="AE10" s="5">
        <v>4</v>
      </c>
      <c r="AF10" s="12" t="s">
        <v>744</v>
      </c>
      <c r="AG10" s="5">
        <v>1</v>
      </c>
      <c r="AH10" s="5" t="s">
        <v>104</v>
      </c>
      <c r="AI10" s="7">
        <v>1</v>
      </c>
      <c r="AJ10" s="7" t="s">
        <v>853</v>
      </c>
      <c r="AK10" s="18">
        <v>4</v>
      </c>
      <c r="AL10" s="8" t="s">
        <v>1958</v>
      </c>
      <c r="AM10" s="18">
        <v>2</v>
      </c>
      <c r="AN10" s="8" t="s">
        <v>3088</v>
      </c>
    </row>
    <row r="11" spans="1:40">
      <c r="A11" s="5">
        <v>1</v>
      </c>
      <c r="B11" s="5" t="s">
        <v>886</v>
      </c>
      <c r="C11" s="7">
        <v>4</v>
      </c>
      <c r="D11" s="18" t="s">
        <v>172</v>
      </c>
      <c r="E11" s="5">
        <v>2</v>
      </c>
      <c r="F11" s="5" t="s">
        <v>887</v>
      </c>
      <c r="G11" s="5">
        <v>4</v>
      </c>
      <c r="H11" s="5" t="s">
        <v>102</v>
      </c>
      <c r="I11" s="7">
        <v>1</v>
      </c>
      <c r="J11" s="7" t="s">
        <v>888</v>
      </c>
      <c r="K11" s="18">
        <v>1</v>
      </c>
      <c r="L11" s="39" t="s">
        <v>889</v>
      </c>
      <c r="M11" s="17">
        <v>1</v>
      </c>
      <c r="N11" s="17" t="s">
        <v>2371</v>
      </c>
      <c r="O11" s="7">
        <v>1</v>
      </c>
      <c r="P11" s="13" t="s">
        <v>890</v>
      </c>
      <c r="Q11" s="7">
        <v>2</v>
      </c>
      <c r="R11" s="7" t="s">
        <v>891</v>
      </c>
      <c r="S11" s="17">
        <v>4</v>
      </c>
      <c r="T11" s="89" t="s">
        <v>869</v>
      </c>
      <c r="U11" s="7">
        <v>3</v>
      </c>
      <c r="V11" s="7" t="s">
        <v>893</v>
      </c>
      <c r="W11" s="7">
        <v>1</v>
      </c>
      <c r="X11" s="7" t="s">
        <v>894</v>
      </c>
      <c r="Y11" s="44">
        <v>4</v>
      </c>
      <c r="Z11" s="17" t="s">
        <v>895</v>
      </c>
      <c r="AA11" s="43">
        <v>1</v>
      </c>
      <c r="AB11" s="13" t="s">
        <v>619</v>
      </c>
      <c r="AC11" s="8">
        <v>4</v>
      </c>
      <c r="AD11" s="8" t="s">
        <v>2270</v>
      </c>
      <c r="AE11" s="18">
        <v>4</v>
      </c>
      <c r="AF11" s="39" t="s">
        <v>1958</v>
      </c>
      <c r="AG11" s="23">
        <v>1</v>
      </c>
      <c r="AH11" s="23" t="s">
        <v>465</v>
      </c>
      <c r="AI11" s="20">
        <v>1</v>
      </c>
      <c r="AJ11" s="20" t="s">
        <v>2299</v>
      </c>
      <c r="AK11" s="8">
        <v>4</v>
      </c>
      <c r="AL11" s="8" t="s">
        <v>1961</v>
      </c>
      <c r="AM11" s="137">
        <v>1</v>
      </c>
      <c r="AN11" s="8" t="s">
        <v>3089</v>
      </c>
    </row>
    <row r="12" spans="1:40">
      <c r="A12" s="5">
        <v>1</v>
      </c>
      <c r="B12" s="5" t="s">
        <v>896</v>
      </c>
      <c r="C12" s="7">
        <v>1</v>
      </c>
      <c r="D12" s="18" t="s">
        <v>570</v>
      </c>
      <c r="E12" s="23">
        <v>1</v>
      </c>
      <c r="F12" s="23" t="s">
        <v>897</v>
      </c>
      <c r="G12" s="5">
        <v>3</v>
      </c>
      <c r="H12" s="5" t="s">
        <v>114</v>
      </c>
      <c r="I12" s="7">
        <v>1</v>
      </c>
      <c r="J12" s="7" t="s">
        <v>898</v>
      </c>
      <c r="K12" s="18">
        <v>1</v>
      </c>
      <c r="L12" s="39" t="s">
        <v>899</v>
      </c>
      <c r="M12" s="17">
        <v>4</v>
      </c>
      <c r="N12" s="17" t="s">
        <v>263</v>
      </c>
      <c r="O12" s="7">
        <v>3</v>
      </c>
      <c r="P12" s="13" t="s">
        <v>240</v>
      </c>
      <c r="Q12" s="7">
        <v>1</v>
      </c>
      <c r="R12" s="7" t="s">
        <v>900</v>
      </c>
      <c r="S12" s="128">
        <v>1</v>
      </c>
      <c r="T12" s="167" t="s">
        <v>2001</v>
      </c>
      <c r="U12" s="7">
        <v>2</v>
      </c>
      <c r="V12" s="7" t="s">
        <v>901</v>
      </c>
      <c r="W12" s="7">
        <v>2</v>
      </c>
      <c r="X12" s="7" t="s">
        <v>902</v>
      </c>
      <c r="Y12" s="43">
        <v>3</v>
      </c>
      <c r="Z12" s="7" t="s">
        <v>903</v>
      </c>
      <c r="AA12" s="43">
        <v>1</v>
      </c>
      <c r="AB12" s="13" t="s">
        <v>171</v>
      </c>
      <c r="AC12" s="8">
        <v>1</v>
      </c>
      <c r="AD12" s="8" t="s">
        <v>367</v>
      </c>
      <c r="AE12" s="18">
        <v>4</v>
      </c>
      <c r="AF12" s="39" t="s">
        <v>1577</v>
      </c>
      <c r="AG12" s="5">
        <v>1</v>
      </c>
      <c r="AH12" s="5" t="s">
        <v>2313</v>
      </c>
      <c r="AI12" s="7">
        <v>1</v>
      </c>
      <c r="AJ12" s="7" t="s">
        <v>898</v>
      </c>
      <c r="AK12" s="18">
        <v>3</v>
      </c>
      <c r="AL12" s="8" t="s">
        <v>2314</v>
      </c>
      <c r="AM12" s="137">
        <v>1</v>
      </c>
      <c r="AN12" s="8" t="s">
        <v>3090</v>
      </c>
    </row>
    <row r="13" spans="1:40">
      <c r="A13" s="5">
        <v>1</v>
      </c>
      <c r="B13" s="5" t="s">
        <v>904</v>
      </c>
      <c r="C13" s="7">
        <v>2</v>
      </c>
      <c r="D13" s="18" t="s">
        <v>905</v>
      </c>
      <c r="E13" s="5">
        <v>1</v>
      </c>
      <c r="F13" s="5" t="s">
        <v>906</v>
      </c>
      <c r="G13" s="5">
        <v>4</v>
      </c>
      <c r="H13" s="5" t="s">
        <v>126</v>
      </c>
      <c r="I13" s="17">
        <v>1</v>
      </c>
      <c r="J13" s="17" t="s">
        <v>907</v>
      </c>
      <c r="K13" s="18">
        <v>1</v>
      </c>
      <c r="L13" s="39" t="s">
        <v>908</v>
      </c>
      <c r="M13" s="17">
        <v>1</v>
      </c>
      <c r="N13" s="17" t="s">
        <v>276</v>
      </c>
      <c r="O13" s="7">
        <v>3</v>
      </c>
      <c r="P13" s="13" t="s">
        <v>909</v>
      </c>
      <c r="Q13" s="7">
        <v>1</v>
      </c>
      <c r="R13" s="7" t="s">
        <v>910</v>
      </c>
      <c r="S13" s="17">
        <v>3</v>
      </c>
      <c r="T13" s="89" t="s">
        <v>881</v>
      </c>
      <c r="U13" s="7">
        <v>1</v>
      </c>
      <c r="V13" s="7" t="s">
        <v>912</v>
      </c>
      <c r="W13" s="7">
        <v>1</v>
      </c>
      <c r="X13" s="7" t="s">
        <v>913</v>
      </c>
      <c r="Y13" s="43">
        <v>2</v>
      </c>
      <c r="Z13" s="7" t="s">
        <v>914</v>
      </c>
      <c r="AA13" s="43">
        <v>4</v>
      </c>
      <c r="AB13" s="13" t="s">
        <v>915</v>
      </c>
      <c r="AC13" s="18">
        <v>3</v>
      </c>
      <c r="AD13" s="18" t="s">
        <v>392</v>
      </c>
      <c r="AE13" s="5">
        <v>4</v>
      </c>
      <c r="AF13" s="12" t="s">
        <v>230</v>
      </c>
      <c r="AG13" s="5">
        <v>1</v>
      </c>
      <c r="AH13" s="18" t="s">
        <v>2327</v>
      </c>
      <c r="AI13" s="17">
        <v>1</v>
      </c>
      <c r="AJ13" s="17" t="s">
        <v>907</v>
      </c>
      <c r="AK13" s="18">
        <v>1</v>
      </c>
      <c r="AL13" s="8" t="s">
        <v>2328</v>
      </c>
      <c r="AM13" s="137">
        <v>1</v>
      </c>
      <c r="AN13" s="8" t="s">
        <v>1843</v>
      </c>
    </row>
    <row r="14" spans="1:40">
      <c r="A14" s="18">
        <v>1</v>
      </c>
      <c r="B14" s="18" t="s">
        <v>916</v>
      </c>
      <c r="C14" s="17">
        <v>1</v>
      </c>
      <c r="D14" s="18" t="s">
        <v>917</v>
      </c>
      <c r="E14" s="17">
        <v>1</v>
      </c>
      <c r="F14" s="17" t="s">
        <v>918</v>
      </c>
      <c r="G14" s="5">
        <v>4</v>
      </c>
      <c r="H14" s="5" t="s">
        <v>139</v>
      </c>
      <c r="I14" s="7">
        <v>3</v>
      </c>
      <c r="J14" s="7" t="s">
        <v>752</v>
      </c>
      <c r="K14" s="18">
        <v>1</v>
      </c>
      <c r="L14" s="39" t="s">
        <v>919</v>
      </c>
      <c r="M14" s="17">
        <v>4</v>
      </c>
      <c r="N14" s="17" t="s">
        <v>267</v>
      </c>
      <c r="O14" s="7">
        <v>4</v>
      </c>
      <c r="P14" s="13" t="s">
        <v>122</v>
      </c>
      <c r="Q14" s="7">
        <v>1</v>
      </c>
      <c r="R14" s="7" t="s">
        <v>920</v>
      </c>
      <c r="S14" s="17">
        <v>3</v>
      </c>
      <c r="T14" s="89" t="s">
        <v>892</v>
      </c>
      <c r="U14" s="7">
        <v>4</v>
      </c>
      <c r="V14" s="7" t="s">
        <v>267</v>
      </c>
      <c r="W14" s="7">
        <v>1</v>
      </c>
      <c r="X14" s="7" t="s">
        <v>922</v>
      </c>
      <c r="Y14" s="43">
        <v>2</v>
      </c>
      <c r="Z14" s="7" t="s">
        <v>923</v>
      </c>
      <c r="AA14" s="43">
        <v>4</v>
      </c>
      <c r="AB14" s="13" t="s">
        <v>924</v>
      </c>
      <c r="AC14" s="18">
        <v>1</v>
      </c>
      <c r="AD14" s="18" t="s">
        <v>419</v>
      </c>
      <c r="AG14" s="18">
        <v>1</v>
      </c>
      <c r="AH14" s="5" t="s">
        <v>572</v>
      </c>
      <c r="AI14" s="7">
        <v>4</v>
      </c>
      <c r="AJ14" s="7" t="s">
        <v>178</v>
      </c>
      <c r="AK14" s="18">
        <v>4</v>
      </c>
      <c r="AL14" s="18" t="s">
        <v>2911</v>
      </c>
      <c r="AM14" s="137">
        <v>1</v>
      </c>
      <c r="AN14" s="8" t="s">
        <v>3091</v>
      </c>
    </row>
    <row r="15" spans="1:40">
      <c r="A15" s="5">
        <v>1</v>
      </c>
      <c r="B15" s="5" t="s">
        <v>925</v>
      </c>
      <c r="C15" s="17">
        <v>1</v>
      </c>
      <c r="D15" s="18" t="s">
        <v>926</v>
      </c>
      <c r="E15" s="17">
        <v>1</v>
      </c>
      <c r="F15" s="17" t="s">
        <v>927</v>
      </c>
      <c r="G15" s="5">
        <v>4</v>
      </c>
      <c r="H15" s="5" t="s">
        <v>928</v>
      </c>
      <c r="I15" s="7">
        <v>3</v>
      </c>
      <c r="J15" s="7" t="s">
        <v>744</v>
      </c>
      <c r="K15" s="5">
        <v>1</v>
      </c>
      <c r="L15" s="12" t="s">
        <v>929</v>
      </c>
      <c r="M15" s="17">
        <v>4</v>
      </c>
      <c r="N15" s="17" t="s">
        <v>721</v>
      </c>
      <c r="O15" s="7">
        <v>4</v>
      </c>
      <c r="P15" s="13" t="s">
        <v>930</v>
      </c>
      <c r="Q15" s="7">
        <v>4</v>
      </c>
      <c r="R15" s="7" t="s">
        <v>931</v>
      </c>
      <c r="S15" s="17">
        <v>4</v>
      </c>
      <c r="T15" s="89" t="s">
        <v>775</v>
      </c>
      <c r="U15" s="7">
        <v>4</v>
      </c>
      <c r="V15" s="7" t="s">
        <v>263</v>
      </c>
      <c r="W15" s="7">
        <v>2</v>
      </c>
      <c r="X15" s="7" t="s">
        <v>932</v>
      </c>
      <c r="Y15" s="45">
        <v>2</v>
      </c>
      <c r="Z15" s="17" t="s">
        <v>933</v>
      </c>
      <c r="AA15" s="46">
        <v>2</v>
      </c>
      <c r="AB15" s="13" t="s">
        <v>934</v>
      </c>
      <c r="AC15" s="18">
        <v>1</v>
      </c>
      <c r="AD15" s="18" t="s">
        <v>2001</v>
      </c>
      <c r="AG15" s="18">
        <v>1</v>
      </c>
      <c r="AH15" s="18" t="s">
        <v>607</v>
      </c>
      <c r="AI15" s="7">
        <v>1</v>
      </c>
      <c r="AJ15" s="7" t="s">
        <v>978</v>
      </c>
      <c r="AK15" s="18">
        <v>4</v>
      </c>
      <c r="AL15" s="8" t="s">
        <v>2355</v>
      </c>
      <c r="AM15" s="137">
        <v>1</v>
      </c>
      <c r="AN15" s="8" t="s">
        <v>3092</v>
      </c>
    </row>
    <row r="16" spans="1:40">
      <c r="A16" s="5">
        <v>1</v>
      </c>
      <c r="B16" s="5" t="s">
        <v>935</v>
      </c>
      <c r="C16" s="7">
        <v>4</v>
      </c>
      <c r="D16" s="18" t="s">
        <v>936</v>
      </c>
      <c r="E16" s="5">
        <v>4</v>
      </c>
      <c r="F16" s="5" t="s">
        <v>263</v>
      </c>
      <c r="G16" s="5">
        <v>4</v>
      </c>
      <c r="H16" s="5" t="s">
        <v>937</v>
      </c>
      <c r="I16" s="7">
        <v>4</v>
      </c>
      <c r="J16" s="7" t="s">
        <v>201</v>
      </c>
      <c r="K16" s="5">
        <v>4</v>
      </c>
      <c r="L16" s="12" t="s">
        <v>938</v>
      </c>
      <c r="M16" s="17">
        <v>4</v>
      </c>
      <c r="N16" s="17" t="s">
        <v>656</v>
      </c>
      <c r="O16" s="7">
        <v>4</v>
      </c>
      <c r="P16" s="13" t="s">
        <v>939</v>
      </c>
      <c r="Q16" s="7">
        <v>4</v>
      </c>
      <c r="R16" s="7" t="s">
        <v>940</v>
      </c>
      <c r="S16" s="17">
        <v>4</v>
      </c>
      <c r="T16" s="89" t="s">
        <v>911</v>
      </c>
      <c r="U16" s="7">
        <v>3</v>
      </c>
      <c r="V16" s="7" t="s">
        <v>276</v>
      </c>
      <c r="W16" s="17">
        <v>1</v>
      </c>
      <c r="X16" s="17" t="s">
        <v>942</v>
      </c>
      <c r="Y16" s="45">
        <v>2</v>
      </c>
      <c r="Z16" s="17" t="s">
        <v>943</v>
      </c>
      <c r="AA16" s="46">
        <v>3</v>
      </c>
      <c r="AB16" s="13" t="s">
        <v>944</v>
      </c>
      <c r="AC16" s="18">
        <v>1</v>
      </c>
      <c r="AD16" s="18" t="s">
        <v>465</v>
      </c>
      <c r="AG16" s="18">
        <v>1</v>
      </c>
      <c r="AH16" s="18" t="s">
        <v>2371</v>
      </c>
      <c r="AI16" s="7">
        <v>4</v>
      </c>
      <c r="AJ16" s="7" t="s">
        <v>201</v>
      </c>
      <c r="AK16" s="18">
        <v>4</v>
      </c>
      <c r="AL16" s="18" t="s">
        <v>732</v>
      </c>
      <c r="AM16" s="137">
        <v>1</v>
      </c>
      <c r="AN16" s="8" t="s">
        <v>3093</v>
      </c>
    </row>
    <row r="17" spans="1:40">
      <c r="A17" s="5">
        <v>1</v>
      </c>
      <c r="B17" s="5" t="s">
        <v>945</v>
      </c>
      <c r="C17" s="7">
        <v>4</v>
      </c>
      <c r="D17" s="18" t="s">
        <v>646</v>
      </c>
      <c r="E17" s="5">
        <v>3</v>
      </c>
      <c r="F17" s="5" t="s">
        <v>267</v>
      </c>
      <c r="G17" s="5">
        <v>4</v>
      </c>
      <c r="H17" s="5" t="s">
        <v>946</v>
      </c>
      <c r="I17" s="7">
        <v>3</v>
      </c>
      <c r="J17" s="7" t="s">
        <v>947</v>
      </c>
      <c r="K17" s="18">
        <v>4</v>
      </c>
      <c r="L17" s="39" t="s">
        <v>188</v>
      </c>
      <c r="M17" s="17">
        <v>4</v>
      </c>
      <c r="N17" s="17" t="s">
        <v>2908</v>
      </c>
      <c r="O17" s="7">
        <v>4</v>
      </c>
      <c r="P17" s="13" t="s">
        <v>949</v>
      </c>
      <c r="Q17" s="7">
        <v>4</v>
      </c>
      <c r="R17" s="7" t="s">
        <v>950</v>
      </c>
      <c r="S17" s="17">
        <v>4</v>
      </c>
      <c r="T17" s="89" t="s">
        <v>921</v>
      </c>
      <c r="U17" s="7">
        <v>3</v>
      </c>
      <c r="V17" s="7" t="s">
        <v>951</v>
      </c>
      <c r="W17" s="17">
        <v>1</v>
      </c>
      <c r="X17" s="17" t="s">
        <v>952</v>
      </c>
      <c r="Y17" s="43">
        <v>4</v>
      </c>
      <c r="Z17" s="7" t="s">
        <v>537</v>
      </c>
      <c r="AA17" s="43">
        <v>3</v>
      </c>
      <c r="AB17" s="13" t="s">
        <v>254</v>
      </c>
      <c r="AC17" s="18">
        <v>1</v>
      </c>
      <c r="AD17" s="18" t="s">
        <v>536</v>
      </c>
      <c r="AG17" s="18">
        <v>1</v>
      </c>
      <c r="AH17" s="18" t="s">
        <v>2385</v>
      </c>
      <c r="AI17" s="7">
        <v>3</v>
      </c>
      <c r="AJ17" s="7" t="s">
        <v>947</v>
      </c>
      <c r="AM17" s="137">
        <v>1</v>
      </c>
      <c r="AN17" s="8" t="s">
        <v>3094</v>
      </c>
    </row>
    <row r="18" spans="1:40">
      <c r="A18" s="5">
        <v>1</v>
      </c>
      <c r="B18" s="5" t="s">
        <v>953</v>
      </c>
      <c r="C18" s="7">
        <v>4</v>
      </c>
      <c r="D18" s="18" t="s">
        <v>226</v>
      </c>
      <c r="E18" s="5">
        <v>3</v>
      </c>
      <c r="F18" s="5" t="s">
        <v>276</v>
      </c>
      <c r="G18" s="5">
        <v>4</v>
      </c>
      <c r="H18" s="5" t="s">
        <v>168</v>
      </c>
      <c r="I18" s="7">
        <v>3</v>
      </c>
      <c r="J18" s="7" t="s">
        <v>548</v>
      </c>
      <c r="K18" s="18">
        <v>4</v>
      </c>
      <c r="L18" s="39" t="s">
        <v>954</v>
      </c>
      <c r="M18" s="17">
        <v>4</v>
      </c>
      <c r="N18" s="17" t="s">
        <v>1149</v>
      </c>
      <c r="O18" s="7">
        <v>3</v>
      </c>
      <c r="P18" s="13" t="s">
        <v>956</v>
      </c>
      <c r="Q18" s="7">
        <v>1</v>
      </c>
      <c r="R18" s="7" t="s">
        <v>957</v>
      </c>
      <c r="S18" s="17">
        <v>4</v>
      </c>
      <c r="T18" s="89" t="s">
        <v>113</v>
      </c>
      <c r="U18" s="7">
        <v>3</v>
      </c>
      <c r="V18" s="7" t="s">
        <v>608</v>
      </c>
      <c r="W18" s="20">
        <v>1</v>
      </c>
      <c r="X18" s="20" t="s">
        <v>959</v>
      </c>
      <c r="Y18" s="11">
        <v>4</v>
      </c>
      <c r="Z18" s="5" t="s">
        <v>960</v>
      </c>
      <c r="AA18" s="11">
        <v>3</v>
      </c>
      <c r="AB18" s="12" t="s">
        <v>961</v>
      </c>
      <c r="AC18" s="18">
        <v>1</v>
      </c>
      <c r="AD18" s="18" t="s">
        <v>2370</v>
      </c>
      <c r="AG18" s="18">
        <v>1</v>
      </c>
      <c r="AH18" s="18" t="s">
        <v>681</v>
      </c>
      <c r="AI18" s="7">
        <v>3</v>
      </c>
      <c r="AJ18" s="7" t="s">
        <v>548</v>
      </c>
      <c r="AM18" s="137">
        <v>1</v>
      </c>
      <c r="AN18" s="8" t="s">
        <v>3095</v>
      </c>
    </row>
    <row r="19" spans="1:40">
      <c r="A19" s="5">
        <v>4</v>
      </c>
      <c r="B19" s="5" t="s">
        <v>683</v>
      </c>
      <c r="C19" s="7">
        <v>4</v>
      </c>
      <c r="D19" s="18" t="s">
        <v>962</v>
      </c>
      <c r="E19" s="5">
        <v>3</v>
      </c>
      <c r="F19" s="5" t="s">
        <v>669</v>
      </c>
      <c r="G19" s="5">
        <v>4</v>
      </c>
      <c r="H19" s="5" t="s">
        <v>963</v>
      </c>
      <c r="I19" s="17">
        <v>2</v>
      </c>
      <c r="J19" s="17" t="s">
        <v>964</v>
      </c>
      <c r="K19" s="18">
        <v>4</v>
      </c>
      <c r="L19" s="39" t="s">
        <v>200</v>
      </c>
      <c r="M19" s="17">
        <v>4</v>
      </c>
      <c r="N19" s="17" t="s">
        <v>702</v>
      </c>
      <c r="Q19" s="7">
        <v>4</v>
      </c>
      <c r="R19" s="7" t="s">
        <v>769</v>
      </c>
      <c r="S19" s="17">
        <v>4</v>
      </c>
      <c r="T19" s="89" t="s">
        <v>941</v>
      </c>
      <c r="U19" s="7">
        <v>4</v>
      </c>
      <c r="V19" s="7" t="s">
        <v>965</v>
      </c>
      <c r="W19" s="7">
        <v>1</v>
      </c>
      <c r="X19" s="7" t="s">
        <v>966</v>
      </c>
      <c r="Y19" s="43">
        <v>4</v>
      </c>
      <c r="Z19" s="7" t="s">
        <v>621</v>
      </c>
      <c r="AA19" s="43">
        <v>3</v>
      </c>
      <c r="AB19" s="13" t="s">
        <v>765</v>
      </c>
      <c r="AC19" s="18">
        <v>1</v>
      </c>
      <c r="AD19" s="18" t="s">
        <v>2020</v>
      </c>
      <c r="AG19" s="18">
        <v>4</v>
      </c>
      <c r="AH19" s="18" t="s">
        <v>1158</v>
      </c>
      <c r="AI19" s="17">
        <v>1</v>
      </c>
      <c r="AJ19" s="17" t="s">
        <v>2410</v>
      </c>
      <c r="AM19" s="137">
        <v>4</v>
      </c>
      <c r="AN19" s="8" t="s">
        <v>3096</v>
      </c>
    </row>
    <row r="20" spans="1:40">
      <c r="A20" s="5">
        <v>4</v>
      </c>
      <c r="B20" s="5" t="s">
        <v>967</v>
      </c>
      <c r="C20" s="7">
        <v>4</v>
      </c>
      <c r="D20" s="18" t="s">
        <v>696</v>
      </c>
      <c r="E20" s="23">
        <v>1</v>
      </c>
      <c r="F20" s="23" t="s">
        <v>279</v>
      </c>
      <c r="I20" s="7">
        <v>1</v>
      </c>
      <c r="J20" s="7" t="s">
        <v>968</v>
      </c>
      <c r="K20" s="18">
        <v>4</v>
      </c>
      <c r="L20" s="39" t="s">
        <v>175</v>
      </c>
      <c r="Q20" s="7">
        <v>4</v>
      </c>
      <c r="R20" s="7" t="s">
        <v>969</v>
      </c>
      <c r="S20" s="17">
        <v>4</v>
      </c>
      <c r="T20" s="89" t="s">
        <v>728</v>
      </c>
      <c r="U20" s="7">
        <v>2</v>
      </c>
      <c r="V20" s="7" t="s">
        <v>970</v>
      </c>
      <c r="W20" s="7">
        <v>1</v>
      </c>
      <c r="X20" s="7" t="s">
        <v>971</v>
      </c>
      <c r="AC20" s="18">
        <v>1</v>
      </c>
      <c r="AD20" s="18" t="s">
        <v>653</v>
      </c>
      <c r="AG20" s="18">
        <v>4</v>
      </c>
      <c r="AH20" s="18" t="s">
        <v>2423</v>
      </c>
      <c r="AI20" s="7">
        <v>1</v>
      </c>
      <c r="AJ20" s="7" t="s">
        <v>1815</v>
      </c>
      <c r="AM20" s="137">
        <v>2</v>
      </c>
      <c r="AN20" s="8" t="s">
        <v>3097</v>
      </c>
    </row>
    <row r="21" spans="1:40">
      <c r="A21" s="5">
        <v>1</v>
      </c>
      <c r="B21" s="5" t="s">
        <v>955</v>
      </c>
      <c r="C21" s="7">
        <v>3</v>
      </c>
      <c r="D21" s="18" t="s">
        <v>686</v>
      </c>
      <c r="E21" s="17">
        <v>1</v>
      </c>
      <c r="F21" s="17" t="s">
        <v>972</v>
      </c>
      <c r="I21" s="7">
        <v>1</v>
      </c>
      <c r="J21" s="7" t="s">
        <v>973</v>
      </c>
      <c r="K21" s="18">
        <v>4</v>
      </c>
      <c r="L21" s="39" t="s">
        <v>974</v>
      </c>
      <c r="Q21" s="7">
        <v>4</v>
      </c>
      <c r="R21" s="7" t="s">
        <v>975</v>
      </c>
      <c r="S21" s="17">
        <v>4</v>
      </c>
      <c r="T21" s="89" t="s">
        <v>958</v>
      </c>
      <c r="U21" s="7">
        <v>4</v>
      </c>
      <c r="V21" s="7" t="s">
        <v>976</v>
      </c>
      <c r="W21" s="17">
        <v>1</v>
      </c>
      <c r="X21" s="17" t="s">
        <v>977</v>
      </c>
      <c r="AC21" s="18">
        <v>1</v>
      </c>
      <c r="AD21" s="18" t="s">
        <v>2013</v>
      </c>
      <c r="AG21" s="18">
        <v>4</v>
      </c>
      <c r="AH21" s="18" t="s">
        <v>759</v>
      </c>
      <c r="AI21" s="7">
        <v>1</v>
      </c>
      <c r="AJ21" s="7" t="s">
        <v>973</v>
      </c>
      <c r="AM21" s="137">
        <v>1</v>
      </c>
      <c r="AN21" s="8" t="s">
        <v>3098</v>
      </c>
    </row>
    <row r="22" spans="1:40">
      <c r="A22" s="5">
        <v>1</v>
      </c>
      <c r="B22" s="5" t="s">
        <v>978</v>
      </c>
      <c r="C22" s="7">
        <v>1</v>
      </c>
      <c r="D22" s="18" t="s">
        <v>934</v>
      </c>
      <c r="E22" s="5">
        <v>4</v>
      </c>
      <c r="F22" s="5" t="s">
        <v>979</v>
      </c>
      <c r="I22" s="20">
        <v>1</v>
      </c>
      <c r="J22" s="20" t="s">
        <v>980</v>
      </c>
      <c r="Q22" s="7">
        <v>4</v>
      </c>
      <c r="R22" s="7" t="s">
        <v>981</v>
      </c>
      <c r="W22" s="17">
        <v>1</v>
      </c>
      <c r="X22" s="17" t="s">
        <v>982</v>
      </c>
      <c r="AC22" s="18">
        <v>1</v>
      </c>
      <c r="AD22" s="18" t="s">
        <v>2422</v>
      </c>
      <c r="AG22" s="18">
        <v>4</v>
      </c>
      <c r="AH22" s="18" t="s">
        <v>752</v>
      </c>
      <c r="AI22" s="7">
        <v>3</v>
      </c>
      <c r="AJ22" s="7" t="s">
        <v>983</v>
      </c>
      <c r="AM22" s="137">
        <v>2</v>
      </c>
      <c r="AN22" s="8" t="s">
        <v>3099</v>
      </c>
    </row>
    <row r="23" spans="1:40">
      <c r="A23" s="5">
        <v>4</v>
      </c>
      <c r="B23" s="5" t="s">
        <v>595</v>
      </c>
      <c r="C23" s="7">
        <v>4</v>
      </c>
      <c r="D23" s="18" t="s">
        <v>254</v>
      </c>
      <c r="E23" s="7">
        <v>4</v>
      </c>
      <c r="F23" s="7" t="s">
        <v>614</v>
      </c>
      <c r="I23" s="7">
        <v>3</v>
      </c>
      <c r="J23" s="7" t="s">
        <v>983</v>
      </c>
      <c r="L23" s="203" t="s">
        <v>3107</v>
      </c>
      <c r="N23" s="47"/>
      <c r="Q23" s="7">
        <v>3</v>
      </c>
      <c r="R23" s="7" t="s">
        <v>984</v>
      </c>
      <c r="W23" s="7">
        <v>4</v>
      </c>
      <c r="X23" s="7" t="s">
        <v>985</v>
      </c>
      <c r="AC23" s="8">
        <v>4</v>
      </c>
      <c r="AD23" s="8" t="s">
        <v>113</v>
      </c>
      <c r="AG23" s="18">
        <v>4</v>
      </c>
      <c r="AH23" s="18" t="s">
        <v>744</v>
      </c>
      <c r="AI23" s="17">
        <v>4</v>
      </c>
      <c r="AJ23" s="17" t="s">
        <v>1625</v>
      </c>
      <c r="AM23" s="137">
        <v>4</v>
      </c>
      <c r="AN23" s="8" t="s">
        <v>995</v>
      </c>
    </row>
    <row r="24" spans="1:40">
      <c r="A24" s="7">
        <v>1</v>
      </c>
      <c r="B24" s="18" t="s">
        <v>203</v>
      </c>
      <c r="C24" s="7">
        <v>2</v>
      </c>
      <c r="D24" s="18" t="s">
        <v>986</v>
      </c>
      <c r="E24" s="7">
        <v>4</v>
      </c>
      <c r="F24" s="7" t="s">
        <v>987</v>
      </c>
      <c r="I24" s="17">
        <v>3</v>
      </c>
      <c r="J24" s="17" t="s">
        <v>988</v>
      </c>
      <c r="K24" s="132">
        <v>4</v>
      </c>
      <c r="L24" s="203" t="s">
        <v>3108</v>
      </c>
      <c r="W24" s="7">
        <v>4</v>
      </c>
      <c r="X24" s="7" t="s">
        <v>989</v>
      </c>
      <c r="AC24" s="18">
        <v>4</v>
      </c>
      <c r="AD24" s="18" t="s">
        <v>656</v>
      </c>
      <c r="AG24" s="18">
        <v>4</v>
      </c>
      <c r="AH24" s="18" t="s">
        <v>1568</v>
      </c>
      <c r="AM24" s="137">
        <v>4</v>
      </c>
      <c r="AN24" s="8" t="s">
        <v>2583</v>
      </c>
    </row>
    <row r="25" spans="1:40">
      <c r="A25" s="18">
        <v>1</v>
      </c>
      <c r="B25" s="18" t="s">
        <v>948</v>
      </c>
      <c r="C25" s="17">
        <v>1</v>
      </c>
      <c r="D25" s="18" t="s">
        <v>743</v>
      </c>
      <c r="E25" s="7">
        <v>2</v>
      </c>
      <c r="F25" s="7" t="s">
        <v>990</v>
      </c>
      <c r="K25" s="132">
        <v>4</v>
      </c>
      <c r="L25" s="203" t="s">
        <v>3109</v>
      </c>
      <c r="W25" s="7">
        <v>4</v>
      </c>
      <c r="X25" s="7" t="s">
        <v>991</v>
      </c>
      <c r="AC25" s="18">
        <v>4</v>
      </c>
      <c r="AD25" s="18" t="s">
        <v>728</v>
      </c>
      <c r="AG25" s="23">
        <v>4</v>
      </c>
      <c r="AH25" s="23" t="s">
        <v>656</v>
      </c>
      <c r="AM25" s="137">
        <v>4</v>
      </c>
      <c r="AN25" s="8" t="s">
        <v>989</v>
      </c>
    </row>
    <row r="26" spans="1:40">
      <c r="A26" s="7">
        <v>4</v>
      </c>
      <c r="B26" s="18" t="s">
        <v>992</v>
      </c>
      <c r="C26" s="7">
        <v>1</v>
      </c>
      <c r="D26" s="18" t="s">
        <v>753</v>
      </c>
      <c r="E26" s="17">
        <v>2</v>
      </c>
      <c r="F26" s="17" t="s">
        <v>608</v>
      </c>
      <c r="W26" s="7">
        <v>4</v>
      </c>
      <c r="X26" s="7" t="s">
        <v>993</v>
      </c>
      <c r="AC26" s="18">
        <v>4</v>
      </c>
      <c r="AD26" s="18" t="s">
        <v>721</v>
      </c>
      <c r="AG26" s="18">
        <v>3</v>
      </c>
      <c r="AH26" s="18" t="s">
        <v>672</v>
      </c>
      <c r="AM26" s="137">
        <v>3</v>
      </c>
      <c r="AN26" s="8" t="s">
        <v>1547</v>
      </c>
    </row>
    <row r="27" spans="1:40">
      <c r="A27" s="7">
        <v>4</v>
      </c>
      <c r="B27" s="7" t="s">
        <v>994</v>
      </c>
      <c r="W27" s="7">
        <v>4</v>
      </c>
      <c r="X27" s="7" t="s">
        <v>995</v>
      </c>
      <c r="AC27" s="18">
        <v>1</v>
      </c>
      <c r="AD27" s="18" t="s">
        <v>209</v>
      </c>
      <c r="AG27" s="18">
        <v>4</v>
      </c>
      <c r="AH27" s="18" t="s">
        <v>2473</v>
      </c>
      <c r="AM27" s="137">
        <v>3</v>
      </c>
      <c r="AN27" s="8" t="s">
        <v>1001</v>
      </c>
    </row>
    <row r="28" spans="1:40">
      <c r="A28" s="5">
        <v>3</v>
      </c>
      <c r="B28" s="5" t="s">
        <v>736</v>
      </c>
      <c r="W28" s="7">
        <v>4</v>
      </c>
      <c r="X28" s="7" t="s">
        <v>996</v>
      </c>
      <c r="AC28" s="18">
        <v>3</v>
      </c>
      <c r="AD28" s="18" t="s">
        <v>775</v>
      </c>
      <c r="AM28" s="137">
        <v>3</v>
      </c>
      <c r="AN28" s="8" t="s">
        <v>2584</v>
      </c>
    </row>
    <row r="29" spans="1:40">
      <c r="A29" s="5">
        <v>3</v>
      </c>
      <c r="B29" s="5" t="s">
        <v>997</v>
      </c>
      <c r="W29" s="20">
        <v>2</v>
      </c>
      <c r="X29" s="20" t="s">
        <v>998</v>
      </c>
      <c r="AC29" s="18">
        <v>1</v>
      </c>
      <c r="AD29" s="18" t="s">
        <v>774</v>
      </c>
      <c r="AM29" s="137">
        <v>1</v>
      </c>
      <c r="AN29" s="8" t="s">
        <v>2585</v>
      </c>
    </row>
    <row r="30" spans="1:40">
      <c r="A30" s="18">
        <v>1</v>
      </c>
      <c r="B30" s="18" t="s">
        <v>999</v>
      </c>
      <c r="W30" s="7">
        <v>3</v>
      </c>
      <c r="X30" s="7" t="s">
        <v>1000</v>
      </c>
      <c r="AC30" s="18">
        <v>4</v>
      </c>
      <c r="AD30" s="18" t="s">
        <v>1873</v>
      </c>
    </row>
    <row r="31" spans="1:40">
      <c r="A31" s="7">
        <v>3</v>
      </c>
      <c r="B31" s="18" t="s">
        <v>1001</v>
      </c>
      <c r="W31" s="7">
        <v>4</v>
      </c>
      <c r="X31" s="7" t="s">
        <v>1002</v>
      </c>
      <c r="AC31" s="18">
        <v>4</v>
      </c>
      <c r="AD31" s="18" t="s">
        <v>730</v>
      </c>
      <c r="AM31" s="64"/>
      <c r="AN31" s="64"/>
    </row>
    <row r="32" spans="1:40">
      <c r="A32" s="5">
        <v>3</v>
      </c>
      <c r="B32" s="5" t="s">
        <v>1003</v>
      </c>
      <c r="AC32" s="18">
        <v>2</v>
      </c>
      <c r="AD32" s="18" t="s">
        <v>748</v>
      </c>
      <c r="AM32" s="64"/>
      <c r="AN32" s="6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7"/>
  <sheetViews>
    <sheetView zoomScaleNormal="100" workbookViewId="0">
      <selection activeCell="J5" sqref="J5"/>
    </sheetView>
  </sheetViews>
  <sheetFormatPr baseColWidth="10" defaultColWidth="9.140625" defaultRowHeight="15"/>
  <cols>
    <col min="1" max="1" width="3" style="2" customWidth="1"/>
    <col min="2" max="2" width="30" bestFit="1" customWidth="1"/>
    <col min="3" max="3" width="3" style="2" customWidth="1"/>
    <col min="4" max="4" width="30.140625" bestFit="1" customWidth="1"/>
    <col min="5" max="5" width="3" style="2" customWidth="1"/>
    <col min="6" max="6" width="19.42578125" customWidth="1"/>
    <col min="7" max="7" width="3" style="2" customWidth="1"/>
    <col min="8" max="8" width="27.42578125" customWidth="1"/>
    <col min="9" max="9" width="3" style="2" customWidth="1"/>
    <col min="10" max="10" width="30.140625" customWidth="1"/>
    <col min="11" max="11" width="3" style="2" customWidth="1"/>
    <col min="12" max="12" width="19.42578125" customWidth="1"/>
    <col min="13" max="28" width="10.7109375" customWidth="1"/>
    <col min="29" max="29" width="3" customWidth="1"/>
    <col min="30" max="30" width="40" customWidth="1"/>
    <col min="31" max="1025" width="10.7109375" customWidth="1"/>
  </cols>
  <sheetData>
    <row r="1" spans="1:12">
      <c r="A1" s="4">
        <f>SUM(A2:A25)</f>
        <v>60</v>
      </c>
      <c r="B1" s="10" t="s">
        <v>1004</v>
      </c>
      <c r="C1" s="6">
        <f>SUM(C2:C25)</f>
        <v>60</v>
      </c>
      <c r="D1" s="48" t="s">
        <v>1005</v>
      </c>
      <c r="E1" s="6">
        <f>SUM(E2:E25)</f>
        <v>60</v>
      </c>
      <c r="F1" s="49" t="s">
        <v>1006</v>
      </c>
      <c r="G1" s="6">
        <f>SUM(G2:G27)</f>
        <v>60</v>
      </c>
      <c r="H1" s="48" t="s">
        <v>1007</v>
      </c>
      <c r="I1" s="4">
        <f>SUM(I2:I25)</f>
        <v>60</v>
      </c>
      <c r="J1" s="10" t="s">
        <v>1008</v>
      </c>
      <c r="K1" s="42">
        <f>SUM(K2:K26)</f>
        <v>60</v>
      </c>
      <c r="L1" s="4" t="s">
        <v>1009</v>
      </c>
    </row>
    <row r="2" spans="1:12">
      <c r="A2" s="7">
        <v>1</v>
      </c>
      <c r="B2" s="22" t="s">
        <v>314</v>
      </c>
      <c r="C2" s="5">
        <v>2</v>
      </c>
      <c r="D2" s="19" t="s">
        <v>314</v>
      </c>
      <c r="E2" s="5">
        <v>1</v>
      </c>
      <c r="F2" s="19" t="s">
        <v>1010</v>
      </c>
      <c r="G2" s="5">
        <v>2</v>
      </c>
      <c r="H2" s="19" t="s">
        <v>314</v>
      </c>
      <c r="I2" s="7">
        <v>3</v>
      </c>
      <c r="J2" s="14" t="s">
        <v>1011</v>
      </c>
      <c r="K2" s="17">
        <v>1</v>
      </c>
      <c r="L2" s="22" t="s">
        <v>1012</v>
      </c>
    </row>
    <row r="3" spans="1:12">
      <c r="A3" s="7">
        <v>4</v>
      </c>
      <c r="B3" s="22" t="s">
        <v>1013</v>
      </c>
      <c r="C3" s="5">
        <v>4</v>
      </c>
      <c r="D3" s="19" t="s">
        <v>1014</v>
      </c>
      <c r="E3" s="5">
        <v>1</v>
      </c>
      <c r="F3" s="19" t="s">
        <v>1015</v>
      </c>
      <c r="G3" s="5">
        <v>4</v>
      </c>
      <c r="H3" s="19" t="s">
        <v>1016</v>
      </c>
      <c r="I3" s="7">
        <v>17</v>
      </c>
      <c r="J3" s="14" t="s">
        <v>1017</v>
      </c>
      <c r="K3" s="17">
        <v>1</v>
      </c>
      <c r="L3" s="22" t="s">
        <v>1018</v>
      </c>
    </row>
    <row r="4" spans="1:12">
      <c r="A4" s="7">
        <v>1</v>
      </c>
      <c r="B4" s="22" t="s">
        <v>1019</v>
      </c>
      <c r="C4" s="5">
        <v>4</v>
      </c>
      <c r="D4" s="19" t="s">
        <v>1012</v>
      </c>
      <c r="E4" s="5">
        <v>1</v>
      </c>
      <c r="F4" s="19" t="s">
        <v>1020</v>
      </c>
      <c r="G4" s="5">
        <v>1</v>
      </c>
      <c r="H4" s="19" t="s">
        <v>1021</v>
      </c>
      <c r="I4" s="7">
        <v>15</v>
      </c>
      <c r="J4" s="14" t="s">
        <v>1022</v>
      </c>
      <c r="K4" s="7">
        <v>1</v>
      </c>
      <c r="L4" s="22" t="s">
        <v>1023</v>
      </c>
    </row>
    <row r="5" spans="1:12">
      <c r="A5" s="7">
        <v>1</v>
      </c>
      <c r="B5" s="22" t="s">
        <v>1012</v>
      </c>
      <c r="C5" s="5">
        <v>1</v>
      </c>
      <c r="D5" s="19" t="s">
        <v>1024</v>
      </c>
      <c r="E5" s="5">
        <v>1</v>
      </c>
      <c r="F5" s="19" t="s">
        <v>1025</v>
      </c>
      <c r="G5" s="5">
        <v>1</v>
      </c>
      <c r="H5" s="19" t="s">
        <v>1026</v>
      </c>
      <c r="I5" s="7">
        <v>3</v>
      </c>
      <c r="J5" s="14" t="s">
        <v>734</v>
      </c>
      <c r="K5" s="17">
        <v>1</v>
      </c>
      <c r="L5" s="22" t="s">
        <v>1027</v>
      </c>
    </row>
    <row r="6" spans="1:12">
      <c r="A6" s="7">
        <v>1</v>
      </c>
      <c r="B6" s="22" t="s">
        <v>1028</v>
      </c>
      <c r="C6" s="5">
        <v>1</v>
      </c>
      <c r="D6" s="19" t="s">
        <v>1028</v>
      </c>
      <c r="E6" s="5">
        <v>18</v>
      </c>
      <c r="F6" s="19" t="s">
        <v>1029</v>
      </c>
      <c r="G6" s="5">
        <v>4</v>
      </c>
      <c r="H6" s="19" t="s">
        <v>1012</v>
      </c>
      <c r="I6" s="7">
        <v>1</v>
      </c>
      <c r="J6" s="14" t="s">
        <v>1030</v>
      </c>
      <c r="K6" s="17">
        <v>4</v>
      </c>
      <c r="L6" s="22" t="s">
        <v>1031</v>
      </c>
    </row>
    <row r="7" spans="1:12">
      <c r="A7" s="7">
        <v>4</v>
      </c>
      <c r="B7" s="22" t="s">
        <v>1032</v>
      </c>
      <c r="C7" s="5">
        <v>4</v>
      </c>
      <c r="D7" s="19" t="s">
        <v>381</v>
      </c>
      <c r="E7" s="5">
        <v>1</v>
      </c>
      <c r="F7" s="19" t="s">
        <v>549</v>
      </c>
      <c r="G7" s="5">
        <v>1</v>
      </c>
      <c r="H7" s="19" t="s">
        <v>1024</v>
      </c>
      <c r="I7" s="7">
        <v>3</v>
      </c>
      <c r="J7" s="14" t="s">
        <v>1033</v>
      </c>
      <c r="K7" s="17">
        <v>2</v>
      </c>
      <c r="L7" s="22" t="s">
        <v>405</v>
      </c>
    </row>
    <row r="8" spans="1:12">
      <c r="A8" s="7">
        <v>1</v>
      </c>
      <c r="B8" s="22" t="s">
        <v>1015</v>
      </c>
      <c r="C8" s="5">
        <v>1</v>
      </c>
      <c r="D8" s="19" t="s">
        <v>1034</v>
      </c>
      <c r="E8" s="5">
        <v>1</v>
      </c>
      <c r="F8" s="19" t="s">
        <v>1035</v>
      </c>
      <c r="G8" s="5">
        <v>2</v>
      </c>
      <c r="H8" s="19" t="s">
        <v>1028</v>
      </c>
      <c r="I8" s="7">
        <v>4</v>
      </c>
      <c r="J8" s="14" t="s">
        <v>1036</v>
      </c>
      <c r="K8" s="17">
        <v>4</v>
      </c>
      <c r="L8" s="22" t="s">
        <v>1016</v>
      </c>
    </row>
    <row r="9" spans="1:12">
      <c r="A9" s="7">
        <v>4</v>
      </c>
      <c r="B9" s="22" t="s">
        <v>381</v>
      </c>
      <c r="C9" s="5">
        <v>3</v>
      </c>
      <c r="D9" s="19" t="s">
        <v>405</v>
      </c>
      <c r="E9" s="5">
        <v>1</v>
      </c>
      <c r="F9" s="21" t="s">
        <v>1037</v>
      </c>
      <c r="G9" s="5">
        <v>1</v>
      </c>
      <c r="H9" s="19" t="s">
        <v>1038</v>
      </c>
      <c r="I9" s="7">
        <v>3</v>
      </c>
      <c r="J9" s="14" t="s">
        <v>1039</v>
      </c>
      <c r="K9" s="17">
        <v>3</v>
      </c>
      <c r="L9" s="22" t="s">
        <v>1020</v>
      </c>
    </row>
    <row r="10" spans="1:12">
      <c r="A10" s="7">
        <v>1</v>
      </c>
      <c r="B10" s="22" t="s">
        <v>1034</v>
      </c>
      <c r="C10" s="5">
        <v>1</v>
      </c>
      <c r="D10" s="19" t="s">
        <v>1040</v>
      </c>
      <c r="E10" s="5">
        <v>1</v>
      </c>
      <c r="F10" s="21" t="s">
        <v>1041</v>
      </c>
      <c r="G10" s="5">
        <v>1</v>
      </c>
      <c r="H10" s="19" t="s">
        <v>1042</v>
      </c>
      <c r="I10" s="7">
        <v>4</v>
      </c>
      <c r="J10" s="14" t="s">
        <v>145</v>
      </c>
      <c r="K10" s="17">
        <v>2</v>
      </c>
      <c r="L10" s="22" t="s">
        <v>501</v>
      </c>
    </row>
    <row r="11" spans="1:12">
      <c r="A11" s="7">
        <v>2</v>
      </c>
      <c r="B11" s="22" t="s">
        <v>405</v>
      </c>
      <c r="C11" s="5">
        <v>2</v>
      </c>
      <c r="D11" s="19" t="s">
        <v>1043</v>
      </c>
      <c r="E11" s="5">
        <v>3</v>
      </c>
      <c r="F11" s="21" t="s">
        <v>1032</v>
      </c>
      <c r="G11" s="5">
        <v>4</v>
      </c>
      <c r="H11" s="19" t="s">
        <v>1044</v>
      </c>
      <c r="I11" s="7">
        <v>4</v>
      </c>
      <c r="J11" s="14" t="s">
        <v>1045</v>
      </c>
      <c r="K11" s="17">
        <v>1</v>
      </c>
      <c r="L11" s="22" t="s">
        <v>549</v>
      </c>
    </row>
    <row r="12" spans="1:12">
      <c r="A12" s="7">
        <v>1</v>
      </c>
      <c r="B12" s="22" t="s">
        <v>1043</v>
      </c>
      <c r="C12" s="5">
        <v>1</v>
      </c>
      <c r="D12" s="19" t="s">
        <v>323</v>
      </c>
      <c r="E12" s="5">
        <v>2</v>
      </c>
      <c r="F12" s="21" t="s">
        <v>1019</v>
      </c>
      <c r="G12" s="5">
        <v>1</v>
      </c>
      <c r="H12" s="19" t="s">
        <v>1034</v>
      </c>
      <c r="I12" s="7">
        <v>3</v>
      </c>
      <c r="J12" s="14" t="s">
        <v>1046</v>
      </c>
      <c r="K12" s="7">
        <v>1</v>
      </c>
      <c r="L12" s="22" t="s">
        <v>1047</v>
      </c>
    </row>
    <row r="13" spans="1:12">
      <c r="A13" s="7">
        <v>1</v>
      </c>
      <c r="B13" s="22" t="s">
        <v>323</v>
      </c>
      <c r="C13" s="5">
        <v>2</v>
      </c>
      <c r="D13" s="19" t="s">
        <v>1023</v>
      </c>
      <c r="E13" s="5">
        <v>1</v>
      </c>
      <c r="F13" s="21" t="s">
        <v>1048</v>
      </c>
      <c r="G13" s="5">
        <v>1</v>
      </c>
      <c r="H13" s="19" t="s">
        <v>1049</v>
      </c>
      <c r="K13" s="17">
        <v>4</v>
      </c>
      <c r="L13" s="22" t="s">
        <v>1050</v>
      </c>
    </row>
    <row r="14" spans="1:12">
      <c r="A14" s="7">
        <v>10</v>
      </c>
      <c r="B14" s="22" t="s">
        <v>1029</v>
      </c>
      <c r="C14" s="5">
        <v>2</v>
      </c>
      <c r="D14" s="50" t="s">
        <v>1051</v>
      </c>
      <c r="E14" s="5">
        <v>3</v>
      </c>
      <c r="F14" s="19" t="s">
        <v>1052</v>
      </c>
      <c r="G14" s="5">
        <v>3</v>
      </c>
      <c r="H14" s="19" t="s">
        <v>405</v>
      </c>
      <c r="K14" s="17">
        <v>1</v>
      </c>
      <c r="L14" s="22" t="s">
        <v>665</v>
      </c>
    </row>
    <row r="15" spans="1:12">
      <c r="A15" s="7">
        <v>2</v>
      </c>
      <c r="B15" s="22" t="s">
        <v>549</v>
      </c>
      <c r="C15" s="5">
        <v>2</v>
      </c>
      <c r="D15" s="19" t="s">
        <v>1053</v>
      </c>
      <c r="E15" s="5">
        <v>3</v>
      </c>
      <c r="F15" s="19" t="s">
        <v>1054</v>
      </c>
      <c r="G15" s="5">
        <v>1</v>
      </c>
      <c r="H15" s="19" t="s">
        <v>323</v>
      </c>
      <c r="K15" s="17">
        <v>1</v>
      </c>
      <c r="L15" s="22" t="s">
        <v>1010</v>
      </c>
    </row>
    <row r="16" spans="1:12">
      <c r="A16" s="7">
        <v>2</v>
      </c>
      <c r="B16" s="22" t="s">
        <v>1052</v>
      </c>
      <c r="C16" s="5">
        <v>4</v>
      </c>
      <c r="D16" s="19" t="s">
        <v>1054</v>
      </c>
      <c r="E16" s="5">
        <v>4</v>
      </c>
      <c r="F16" s="19" t="s">
        <v>1055</v>
      </c>
      <c r="G16" s="5">
        <v>1</v>
      </c>
      <c r="H16" s="19" t="s">
        <v>1023</v>
      </c>
      <c r="K16" s="17">
        <v>4</v>
      </c>
      <c r="L16" s="22" t="s">
        <v>1054</v>
      </c>
    </row>
    <row r="17" spans="1:12">
      <c r="A17" s="7">
        <v>4</v>
      </c>
      <c r="B17" s="22" t="s">
        <v>1056</v>
      </c>
      <c r="C17" s="5">
        <v>4</v>
      </c>
      <c r="D17" s="19" t="s">
        <v>1033</v>
      </c>
      <c r="E17" s="5">
        <v>4</v>
      </c>
      <c r="F17" s="19" t="s">
        <v>1057</v>
      </c>
      <c r="G17" s="5">
        <v>1</v>
      </c>
      <c r="H17" s="19" t="s">
        <v>1051</v>
      </c>
      <c r="K17" s="17">
        <v>4</v>
      </c>
      <c r="L17" s="22" t="s">
        <v>1057</v>
      </c>
    </row>
    <row r="18" spans="1:12">
      <c r="A18" s="7">
        <v>2</v>
      </c>
      <c r="B18" s="22" t="s">
        <v>1054</v>
      </c>
      <c r="C18" s="5">
        <v>4</v>
      </c>
      <c r="D18" s="19" t="s">
        <v>1039</v>
      </c>
      <c r="E18" s="51">
        <v>4</v>
      </c>
      <c r="F18" s="19" t="s">
        <v>1058</v>
      </c>
      <c r="G18" s="5">
        <v>1</v>
      </c>
      <c r="H18" s="19" t="s">
        <v>1053</v>
      </c>
      <c r="K18" s="52">
        <v>4</v>
      </c>
      <c r="L18" s="8" t="s">
        <v>1059</v>
      </c>
    </row>
    <row r="19" spans="1:12">
      <c r="A19" s="7">
        <v>1</v>
      </c>
      <c r="B19" s="22" t="s">
        <v>734</v>
      </c>
      <c r="C19" s="5">
        <v>4</v>
      </c>
      <c r="D19" s="19" t="s">
        <v>1057</v>
      </c>
      <c r="E19" s="5">
        <v>4</v>
      </c>
      <c r="F19" s="19" t="s">
        <v>770</v>
      </c>
      <c r="G19" s="5">
        <v>3</v>
      </c>
      <c r="H19" s="19" t="s">
        <v>1060</v>
      </c>
      <c r="K19" s="17">
        <v>3</v>
      </c>
      <c r="L19" s="22" t="s">
        <v>734</v>
      </c>
    </row>
    <row r="20" spans="1:12">
      <c r="A20" s="7">
        <v>1</v>
      </c>
      <c r="B20" s="22" t="s">
        <v>1061</v>
      </c>
      <c r="C20" s="5">
        <v>4</v>
      </c>
      <c r="D20" s="19" t="s">
        <v>1062</v>
      </c>
      <c r="E20" s="51">
        <v>4</v>
      </c>
      <c r="F20" s="19" t="s">
        <v>1063</v>
      </c>
      <c r="G20" s="5">
        <v>4</v>
      </c>
      <c r="H20" s="19" t="s">
        <v>1064</v>
      </c>
      <c r="K20" s="17">
        <v>4</v>
      </c>
      <c r="L20" s="22" t="s">
        <v>1055</v>
      </c>
    </row>
    <row r="21" spans="1:12">
      <c r="A21" s="7">
        <v>3</v>
      </c>
      <c r="B21" s="22" t="s">
        <v>1065</v>
      </c>
      <c r="C21" s="5">
        <v>4</v>
      </c>
      <c r="D21" s="19" t="s">
        <v>145</v>
      </c>
      <c r="E21" s="5">
        <v>2</v>
      </c>
      <c r="F21" s="19" t="s">
        <v>1066</v>
      </c>
      <c r="G21" s="5">
        <v>4</v>
      </c>
      <c r="H21" s="19" t="s">
        <v>1056</v>
      </c>
      <c r="K21" s="17">
        <v>1</v>
      </c>
      <c r="L21" s="53" t="s">
        <v>1067</v>
      </c>
    </row>
    <row r="22" spans="1:12">
      <c r="A22" s="7">
        <v>4</v>
      </c>
      <c r="B22" s="22" t="s">
        <v>1057</v>
      </c>
      <c r="C22" s="5">
        <v>4</v>
      </c>
      <c r="D22" s="19" t="s">
        <v>1068</v>
      </c>
      <c r="G22" s="5">
        <v>1</v>
      </c>
      <c r="H22" s="19" t="s">
        <v>1061</v>
      </c>
      <c r="K22" s="17">
        <v>2</v>
      </c>
      <c r="L22" s="22" t="s">
        <v>1052</v>
      </c>
    </row>
    <row r="23" spans="1:12">
      <c r="A23" s="7">
        <v>1</v>
      </c>
      <c r="B23" s="22" t="s">
        <v>1069</v>
      </c>
      <c r="C23" s="5">
        <v>1</v>
      </c>
      <c r="D23" s="19" t="s">
        <v>1070</v>
      </c>
      <c r="G23" s="5">
        <v>4</v>
      </c>
      <c r="H23" s="19" t="s">
        <v>1039</v>
      </c>
      <c r="K23" s="17">
        <v>3</v>
      </c>
      <c r="L23" s="22" t="s">
        <v>145</v>
      </c>
    </row>
    <row r="24" spans="1:12">
      <c r="A24" s="7">
        <v>4</v>
      </c>
      <c r="B24" s="22" t="s">
        <v>145</v>
      </c>
      <c r="C24" s="5">
        <v>1</v>
      </c>
      <c r="D24" s="19" t="s">
        <v>1071</v>
      </c>
      <c r="G24" s="5">
        <v>4</v>
      </c>
      <c r="H24" s="19" t="s">
        <v>1057</v>
      </c>
      <c r="K24" s="17">
        <v>3</v>
      </c>
      <c r="L24" s="22" t="s">
        <v>1068</v>
      </c>
    </row>
    <row r="25" spans="1:12">
      <c r="A25" s="7">
        <v>4</v>
      </c>
      <c r="B25" s="22" t="s">
        <v>1058</v>
      </c>
      <c r="C25" s="47"/>
      <c r="D25" s="54"/>
      <c r="E25" s="55"/>
      <c r="F25" s="54"/>
      <c r="G25" s="5">
        <v>4</v>
      </c>
      <c r="H25" s="19" t="s">
        <v>145</v>
      </c>
      <c r="K25" s="52">
        <v>4</v>
      </c>
      <c r="L25" s="22" t="s">
        <v>770</v>
      </c>
    </row>
    <row r="26" spans="1:12">
      <c r="C26" s="47"/>
      <c r="D26" s="54"/>
      <c r="E26" s="55"/>
      <c r="F26" s="54"/>
      <c r="G26" s="5">
        <v>4</v>
      </c>
      <c r="H26" s="19" t="s">
        <v>1072</v>
      </c>
      <c r="K26" s="17">
        <v>1</v>
      </c>
      <c r="L26" s="22" t="s">
        <v>251</v>
      </c>
    </row>
    <row r="27" spans="1:12">
      <c r="C27" s="47"/>
      <c r="D27" s="54"/>
      <c r="E27" s="47"/>
      <c r="F27" s="54"/>
      <c r="G27" s="5">
        <v>2</v>
      </c>
      <c r="H27" s="19" t="s">
        <v>1070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F25"/>
  <sheetViews>
    <sheetView zoomScaleNormal="100" workbookViewId="0">
      <selection activeCell="D14" sqref="D14"/>
    </sheetView>
  </sheetViews>
  <sheetFormatPr baseColWidth="10" defaultColWidth="9.140625" defaultRowHeight="15"/>
  <cols>
    <col min="1" max="1" width="3" style="2" customWidth="1"/>
    <col min="2" max="2" width="31.42578125" style="26" customWidth="1"/>
    <col min="3" max="3" width="3" style="2" customWidth="1"/>
    <col min="4" max="4" width="29.42578125" customWidth="1"/>
    <col min="5" max="5" width="3" style="2" customWidth="1"/>
    <col min="6" max="6" width="36.140625" customWidth="1"/>
    <col min="7" max="7" width="3" style="2" customWidth="1"/>
    <col min="8" max="8" width="45.85546875" customWidth="1"/>
    <col min="9" max="9" width="3" style="2" customWidth="1"/>
    <col min="10" max="10" width="35.140625" customWidth="1"/>
    <col min="11" max="11" width="3" style="2" customWidth="1"/>
    <col min="12" max="12" width="24.42578125" style="26" customWidth="1"/>
    <col min="13" max="1025" width="10.7109375" customWidth="1"/>
  </cols>
  <sheetData>
    <row r="1" spans="1:32" s="188" customFormat="1">
      <c r="A1" s="177">
        <f>SUM(A2:A29)</f>
        <v>60</v>
      </c>
      <c r="B1" s="186" t="s">
        <v>1073</v>
      </c>
      <c r="C1" s="177">
        <f>SUM(C2:C29)</f>
        <v>60</v>
      </c>
      <c r="D1" s="177" t="s">
        <v>1074</v>
      </c>
      <c r="E1" s="177">
        <f>SUM(E2:E29)</f>
        <v>60</v>
      </c>
      <c r="F1" s="177" t="s">
        <v>1075</v>
      </c>
      <c r="G1" s="178">
        <f>SUM(G2:G29)</f>
        <v>60</v>
      </c>
      <c r="H1" s="187" t="s">
        <v>1076</v>
      </c>
      <c r="I1" s="177">
        <f>SUM(I2:I29)</f>
        <v>60</v>
      </c>
      <c r="J1" s="177" t="s">
        <v>1077</v>
      </c>
      <c r="K1" s="177">
        <f>SUM(K2:K29)</f>
        <v>60</v>
      </c>
      <c r="L1" s="177" t="s">
        <v>1078</v>
      </c>
    </row>
    <row r="2" spans="1:32">
      <c r="A2" s="17">
        <v>1</v>
      </c>
      <c r="B2" s="59" t="s">
        <v>536</v>
      </c>
      <c r="C2" s="17">
        <v>4</v>
      </c>
      <c r="D2" s="22" t="s">
        <v>1079</v>
      </c>
      <c r="E2" s="17">
        <v>2</v>
      </c>
      <c r="F2" s="60" t="s">
        <v>1080</v>
      </c>
      <c r="G2" s="18">
        <v>4</v>
      </c>
      <c r="H2" s="61" t="s">
        <v>1081</v>
      </c>
      <c r="I2" s="17">
        <v>4</v>
      </c>
      <c r="J2" s="22" t="s">
        <v>1082</v>
      </c>
      <c r="K2" s="17">
        <v>4</v>
      </c>
      <c r="L2" s="22" t="s">
        <v>311</v>
      </c>
    </row>
    <row r="3" spans="1:32">
      <c r="A3" s="17">
        <v>3</v>
      </c>
      <c r="B3" s="59" t="s">
        <v>1083</v>
      </c>
      <c r="C3" s="17">
        <v>4</v>
      </c>
      <c r="D3" s="22" t="s">
        <v>1084</v>
      </c>
      <c r="E3" s="17">
        <v>4</v>
      </c>
      <c r="F3" s="60" t="s">
        <v>1082</v>
      </c>
      <c r="G3" s="18">
        <v>3</v>
      </c>
      <c r="H3" s="61" t="s">
        <v>311</v>
      </c>
      <c r="I3" s="17">
        <v>4</v>
      </c>
      <c r="J3" s="22" t="s">
        <v>1085</v>
      </c>
      <c r="K3" s="17">
        <v>1</v>
      </c>
      <c r="L3" s="22" t="s">
        <v>1086</v>
      </c>
    </row>
    <row r="4" spans="1:32">
      <c r="A4" s="17">
        <v>4</v>
      </c>
      <c r="B4" s="59" t="s">
        <v>1087</v>
      </c>
      <c r="C4" s="17">
        <v>1</v>
      </c>
      <c r="D4" s="22" t="s">
        <v>1088</v>
      </c>
      <c r="E4" s="17">
        <v>2</v>
      </c>
      <c r="F4" s="60" t="s">
        <v>1089</v>
      </c>
      <c r="G4" s="18">
        <v>4</v>
      </c>
      <c r="H4" s="61" t="s">
        <v>171</v>
      </c>
      <c r="I4" s="17">
        <v>4</v>
      </c>
      <c r="J4" s="22" t="s">
        <v>1090</v>
      </c>
      <c r="K4" s="17">
        <v>1</v>
      </c>
      <c r="L4" s="22" t="s">
        <v>1091</v>
      </c>
    </row>
    <row r="5" spans="1:32">
      <c r="A5" s="17">
        <v>4</v>
      </c>
      <c r="B5" s="59" t="s">
        <v>1092</v>
      </c>
      <c r="C5" s="17">
        <v>1</v>
      </c>
      <c r="D5" s="22" t="s">
        <v>1093</v>
      </c>
      <c r="E5" s="17">
        <v>1</v>
      </c>
      <c r="F5" s="60" t="s">
        <v>1094</v>
      </c>
      <c r="G5" s="18">
        <v>4</v>
      </c>
      <c r="H5" s="61" t="s">
        <v>1095</v>
      </c>
      <c r="I5" s="17">
        <v>1</v>
      </c>
      <c r="J5" s="22" t="s">
        <v>1096</v>
      </c>
      <c r="K5" s="17">
        <v>9</v>
      </c>
      <c r="L5" s="22" t="s">
        <v>1097</v>
      </c>
      <c r="AF5" s="62"/>
    </row>
    <row r="6" spans="1:32">
      <c r="A6" s="17">
        <v>4</v>
      </c>
      <c r="B6" s="59" t="s">
        <v>1082</v>
      </c>
      <c r="C6" s="17">
        <v>4</v>
      </c>
      <c r="D6" s="22" t="s">
        <v>1098</v>
      </c>
      <c r="E6" s="17">
        <v>4</v>
      </c>
      <c r="F6" s="60" t="s">
        <v>1099</v>
      </c>
      <c r="G6" s="18">
        <v>2</v>
      </c>
      <c r="H6" s="61" t="s">
        <v>1100</v>
      </c>
      <c r="I6" s="17">
        <v>4</v>
      </c>
      <c r="J6" s="22" t="s">
        <v>1101</v>
      </c>
      <c r="K6" s="17">
        <v>2</v>
      </c>
      <c r="L6" s="22" t="s">
        <v>1107</v>
      </c>
      <c r="AF6" s="62"/>
    </row>
    <row r="7" spans="1:32">
      <c r="A7" s="17">
        <v>2</v>
      </c>
      <c r="B7" s="59" t="s">
        <v>1089</v>
      </c>
      <c r="C7" s="17">
        <v>1</v>
      </c>
      <c r="D7" s="22" t="s">
        <v>1103</v>
      </c>
      <c r="E7" s="17">
        <v>4</v>
      </c>
      <c r="F7" s="60" t="s">
        <v>1104</v>
      </c>
      <c r="G7" s="18">
        <v>3</v>
      </c>
      <c r="H7" s="61" t="s">
        <v>1105</v>
      </c>
      <c r="I7" s="17">
        <v>1</v>
      </c>
      <c r="J7" s="22" t="s">
        <v>1106</v>
      </c>
      <c r="K7" s="17">
        <v>4</v>
      </c>
      <c r="L7" s="22" t="s">
        <v>1104</v>
      </c>
      <c r="AF7" s="62"/>
    </row>
    <row r="8" spans="1:32">
      <c r="A8" s="17">
        <v>1</v>
      </c>
      <c r="B8" s="59" t="s">
        <v>1108</v>
      </c>
      <c r="C8" s="17">
        <v>1</v>
      </c>
      <c r="D8" s="22" t="s">
        <v>1109</v>
      </c>
      <c r="E8" s="17">
        <v>4</v>
      </c>
      <c r="F8" s="60" t="s">
        <v>1110</v>
      </c>
      <c r="G8" s="18">
        <v>4</v>
      </c>
      <c r="H8" s="61" t="s">
        <v>1111</v>
      </c>
      <c r="I8" s="17">
        <v>3</v>
      </c>
      <c r="J8" s="22" t="s">
        <v>1112</v>
      </c>
      <c r="K8" s="17">
        <v>3</v>
      </c>
      <c r="L8" s="22" t="s">
        <v>1116</v>
      </c>
      <c r="AF8" s="62"/>
    </row>
    <row r="9" spans="1:32">
      <c r="A9" s="17">
        <v>4</v>
      </c>
      <c r="B9" s="59" t="s">
        <v>1104</v>
      </c>
      <c r="C9" s="17">
        <v>4</v>
      </c>
      <c r="D9" s="22" t="s">
        <v>1113</v>
      </c>
      <c r="E9" s="17">
        <v>2</v>
      </c>
      <c r="F9" s="60" t="s">
        <v>1091</v>
      </c>
      <c r="G9" s="18">
        <v>4</v>
      </c>
      <c r="H9" s="61" t="s">
        <v>1114</v>
      </c>
      <c r="I9" s="17">
        <v>1</v>
      </c>
      <c r="J9" s="22" t="s">
        <v>1115</v>
      </c>
      <c r="K9" s="17">
        <v>3</v>
      </c>
      <c r="L9" s="22" t="s">
        <v>1119</v>
      </c>
      <c r="AF9" s="62"/>
    </row>
    <row r="10" spans="1:32">
      <c r="A10" s="17">
        <v>3</v>
      </c>
      <c r="B10" s="59" t="s">
        <v>1091</v>
      </c>
      <c r="C10" s="17">
        <v>1</v>
      </c>
      <c r="D10" s="22" t="s">
        <v>1117</v>
      </c>
      <c r="E10" s="17">
        <v>1</v>
      </c>
      <c r="F10" s="60" t="s">
        <v>1116</v>
      </c>
      <c r="G10" s="18">
        <v>15</v>
      </c>
      <c r="H10" s="61" t="s">
        <v>838</v>
      </c>
      <c r="I10" s="17">
        <v>3</v>
      </c>
      <c r="J10" s="22" t="s">
        <v>1118</v>
      </c>
      <c r="K10" s="17">
        <v>4</v>
      </c>
      <c r="L10" s="22" t="s">
        <v>1089</v>
      </c>
      <c r="AF10" s="62"/>
    </row>
    <row r="11" spans="1:32">
      <c r="A11" s="17">
        <v>1</v>
      </c>
      <c r="B11" s="59" t="s">
        <v>1120</v>
      </c>
      <c r="C11" s="17">
        <v>4</v>
      </c>
      <c r="D11" s="22" t="s">
        <v>1121</v>
      </c>
      <c r="E11" s="17">
        <v>1</v>
      </c>
      <c r="F11" s="60" t="s">
        <v>1122</v>
      </c>
      <c r="G11" s="18">
        <v>2</v>
      </c>
      <c r="H11" s="61" t="s">
        <v>1123</v>
      </c>
      <c r="I11" s="17">
        <v>1</v>
      </c>
      <c r="J11" s="22" t="s">
        <v>1120</v>
      </c>
      <c r="K11" s="17">
        <v>1</v>
      </c>
      <c r="L11" s="22" t="s">
        <v>1125</v>
      </c>
      <c r="AF11" s="62"/>
    </row>
    <row r="12" spans="1:32">
      <c r="A12" s="17">
        <v>1</v>
      </c>
      <c r="B12" s="59" t="s">
        <v>1116</v>
      </c>
      <c r="C12" s="17">
        <v>1</v>
      </c>
      <c r="D12" s="22" t="s">
        <v>465</v>
      </c>
      <c r="E12" s="17">
        <v>2</v>
      </c>
      <c r="F12" s="60" t="s">
        <v>311</v>
      </c>
      <c r="G12" s="18">
        <v>3</v>
      </c>
      <c r="H12" s="61" t="s">
        <v>934</v>
      </c>
      <c r="I12" s="17">
        <v>1</v>
      </c>
      <c r="J12" s="22" t="s">
        <v>1124</v>
      </c>
      <c r="K12" s="17">
        <v>1</v>
      </c>
      <c r="L12" s="22" t="s">
        <v>519</v>
      </c>
      <c r="AF12" s="62"/>
    </row>
    <row r="13" spans="1:32">
      <c r="A13" s="17">
        <v>1</v>
      </c>
      <c r="B13" s="59" t="s">
        <v>311</v>
      </c>
      <c r="C13" s="17">
        <v>3</v>
      </c>
      <c r="D13" s="22" t="s">
        <v>536</v>
      </c>
      <c r="E13" s="17">
        <v>1</v>
      </c>
      <c r="F13" s="60" t="s">
        <v>1101</v>
      </c>
      <c r="G13" s="18">
        <v>4</v>
      </c>
      <c r="H13" s="61" t="s">
        <v>696</v>
      </c>
      <c r="I13" s="17">
        <v>1</v>
      </c>
      <c r="J13" s="22" t="s">
        <v>588</v>
      </c>
      <c r="K13" s="17">
        <v>4</v>
      </c>
      <c r="L13" s="22" t="s">
        <v>1130</v>
      </c>
      <c r="AF13" s="62"/>
    </row>
    <row r="14" spans="1:32">
      <c r="A14" s="17">
        <v>4</v>
      </c>
      <c r="B14" s="59" t="s">
        <v>324</v>
      </c>
      <c r="C14" s="17">
        <v>2</v>
      </c>
      <c r="D14" s="22" t="s">
        <v>1126</v>
      </c>
      <c r="E14" s="17">
        <v>2</v>
      </c>
      <c r="F14" s="60" t="s">
        <v>1127</v>
      </c>
      <c r="G14" s="18">
        <v>4</v>
      </c>
      <c r="H14" s="61" t="s">
        <v>1128</v>
      </c>
      <c r="I14" s="17">
        <v>1</v>
      </c>
      <c r="J14" s="22" t="s">
        <v>1129</v>
      </c>
      <c r="K14" s="17">
        <v>2</v>
      </c>
      <c r="L14" s="22" t="s">
        <v>1135</v>
      </c>
      <c r="AF14" s="62"/>
    </row>
    <row r="15" spans="1:32">
      <c r="A15" s="17">
        <v>1</v>
      </c>
      <c r="B15" s="59" t="s">
        <v>1131</v>
      </c>
      <c r="C15" s="17">
        <v>1</v>
      </c>
      <c r="D15" s="22" t="s">
        <v>1132</v>
      </c>
      <c r="E15" s="17">
        <v>2</v>
      </c>
      <c r="F15" s="60" t="s">
        <v>1133</v>
      </c>
      <c r="G15" s="18">
        <v>4</v>
      </c>
      <c r="H15" s="61" t="s">
        <v>944</v>
      </c>
      <c r="I15" s="17">
        <v>4</v>
      </c>
      <c r="J15" s="22" t="s">
        <v>1134</v>
      </c>
      <c r="K15" s="17">
        <v>2</v>
      </c>
      <c r="L15" s="22" t="s">
        <v>1139</v>
      </c>
      <c r="AF15" s="62"/>
    </row>
    <row r="16" spans="1:32">
      <c r="A16" s="17">
        <v>4</v>
      </c>
      <c r="B16" s="59" t="s">
        <v>1136</v>
      </c>
      <c r="C16" s="17">
        <v>3</v>
      </c>
      <c r="D16" s="22" t="s">
        <v>1137</v>
      </c>
      <c r="E16" s="17">
        <v>4</v>
      </c>
      <c r="F16" s="60" t="s">
        <v>1138</v>
      </c>
      <c r="G16" s="63"/>
      <c r="H16" s="64"/>
      <c r="I16" s="17">
        <v>4</v>
      </c>
      <c r="J16" s="22" t="s">
        <v>675</v>
      </c>
      <c r="K16" s="17">
        <v>4</v>
      </c>
      <c r="L16" s="22" t="s">
        <v>1143</v>
      </c>
      <c r="AF16" s="62"/>
    </row>
    <row r="17" spans="1:32">
      <c r="A17" s="17">
        <v>4</v>
      </c>
      <c r="B17" s="59" t="s">
        <v>1140</v>
      </c>
      <c r="C17" s="17">
        <v>4</v>
      </c>
      <c r="D17" s="22" t="s">
        <v>1141</v>
      </c>
      <c r="E17" s="17">
        <v>4</v>
      </c>
      <c r="F17" s="60" t="s">
        <v>1142</v>
      </c>
      <c r="G17" s="63"/>
      <c r="H17" s="64"/>
      <c r="I17" s="17">
        <v>4</v>
      </c>
      <c r="J17" s="22" t="s">
        <v>1139</v>
      </c>
      <c r="K17" s="17">
        <v>4</v>
      </c>
      <c r="L17" s="22" t="s">
        <v>975</v>
      </c>
      <c r="AF17" s="62"/>
    </row>
    <row r="18" spans="1:32">
      <c r="A18" s="17">
        <v>4</v>
      </c>
      <c r="B18" s="59" t="s">
        <v>1142</v>
      </c>
      <c r="C18" s="17">
        <v>3</v>
      </c>
      <c r="D18" s="22" t="s">
        <v>1144</v>
      </c>
      <c r="E18" s="17">
        <v>1</v>
      </c>
      <c r="F18" s="60" t="s">
        <v>1134</v>
      </c>
      <c r="G18" s="63"/>
      <c r="H18" s="64"/>
      <c r="I18" s="17">
        <v>4</v>
      </c>
      <c r="J18" s="22" t="s">
        <v>895</v>
      </c>
      <c r="K18" s="17">
        <v>4</v>
      </c>
      <c r="L18" s="22" t="s">
        <v>675</v>
      </c>
      <c r="AF18" s="62"/>
    </row>
    <row r="19" spans="1:32">
      <c r="A19" s="17">
        <v>4</v>
      </c>
      <c r="B19" s="59" t="s">
        <v>1145</v>
      </c>
      <c r="C19" s="17">
        <v>3</v>
      </c>
      <c r="D19" s="22" t="s">
        <v>1146</v>
      </c>
      <c r="E19" s="17">
        <v>4</v>
      </c>
      <c r="F19" s="60" t="s">
        <v>1147</v>
      </c>
      <c r="G19" s="63"/>
      <c r="H19" s="64"/>
      <c r="I19" s="17">
        <v>4</v>
      </c>
      <c r="J19" s="22" t="s">
        <v>1148</v>
      </c>
      <c r="K19" s="17">
        <v>4</v>
      </c>
      <c r="L19" s="22" t="s">
        <v>1142</v>
      </c>
    </row>
    <row r="20" spans="1:32">
      <c r="A20" s="17">
        <v>2</v>
      </c>
      <c r="B20" s="59" t="s">
        <v>1134</v>
      </c>
      <c r="C20" s="17">
        <v>3</v>
      </c>
      <c r="D20" s="22" t="s">
        <v>1149</v>
      </c>
      <c r="E20" s="17">
        <v>4</v>
      </c>
      <c r="F20" s="60" t="s">
        <v>1150</v>
      </c>
      <c r="G20" s="63"/>
      <c r="H20" s="64"/>
      <c r="I20" s="17">
        <v>3</v>
      </c>
      <c r="J20" s="22" t="s">
        <v>1151</v>
      </c>
      <c r="K20" s="17">
        <v>3</v>
      </c>
      <c r="L20" s="22" t="s">
        <v>1154</v>
      </c>
      <c r="AF20" s="62"/>
    </row>
    <row r="21" spans="1:32">
      <c r="A21" s="17">
        <v>4</v>
      </c>
      <c r="B21" s="59" t="s">
        <v>1146</v>
      </c>
      <c r="C21" s="17">
        <v>3</v>
      </c>
      <c r="D21" s="22" t="s">
        <v>1152</v>
      </c>
      <c r="E21" s="17">
        <v>4</v>
      </c>
      <c r="F21" s="60" t="s">
        <v>675</v>
      </c>
      <c r="G21" s="63"/>
      <c r="H21" s="64"/>
      <c r="I21" s="17">
        <v>4</v>
      </c>
      <c r="J21" s="22" t="s">
        <v>1153</v>
      </c>
      <c r="AF21" s="62"/>
    </row>
    <row r="22" spans="1:32">
      <c r="A22" s="17">
        <v>4</v>
      </c>
      <c r="B22" s="59" t="s">
        <v>675</v>
      </c>
      <c r="C22" s="17">
        <v>3</v>
      </c>
      <c r="D22" s="22" t="s">
        <v>1140</v>
      </c>
      <c r="E22" s="17">
        <v>4</v>
      </c>
      <c r="F22" s="60" t="s">
        <v>1155</v>
      </c>
      <c r="G22" s="63"/>
      <c r="H22" s="64"/>
      <c r="I22" s="17">
        <v>4</v>
      </c>
      <c r="J22" s="22" t="s">
        <v>1156</v>
      </c>
      <c r="K22" s="63"/>
      <c r="L22" s="65"/>
      <c r="AF22" s="62"/>
    </row>
    <row r="23" spans="1:32">
      <c r="A23" s="63"/>
      <c r="B23" s="65"/>
      <c r="C23" s="17">
        <v>3</v>
      </c>
      <c r="D23" s="22" t="s">
        <v>1157</v>
      </c>
      <c r="E23" s="17">
        <v>3</v>
      </c>
      <c r="F23" s="60" t="s">
        <v>1154</v>
      </c>
      <c r="G23" s="63"/>
      <c r="H23" s="64"/>
      <c r="I23" s="63"/>
      <c r="J23" s="64"/>
      <c r="K23" s="63"/>
      <c r="L23" s="65"/>
      <c r="AF23" s="62"/>
    </row>
    <row r="24" spans="1:32">
      <c r="A24" s="63"/>
      <c r="B24" s="65"/>
      <c r="C24" s="17">
        <v>2</v>
      </c>
      <c r="D24" s="22" t="s">
        <v>1158</v>
      </c>
      <c r="E24" s="63"/>
      <c r="F24" s="64"/>
      <c r="G24" s="63"/>
      <c r="H24" s="64"/>
      <c r="I24" s="63"/>
      <c r="J24" s="64"/>
      <c r="K24" s="63"/>
      <c r="L24" s="65"/>
      <c r="AF24" s="62"/>
    </row>
    <row r="25" spans="1:32">
      <c r="A25" s="63"/>
      <c r="B25" s="66"/>
      <c r="C25" s="17">
        <v>1</v>
      </c>
      <c r="D25" s="22" t="s">
        <v>256</v>
      </c>
      <c r="E25" s="63"/>
      <c r="F25" s="64"/>
      <c r="G25" s="63"/>
      <c r="H25" s="64"/>
      <c r="I25" s="63"/>
      <c r="J25" s="64"/>
      <c r="K25" s="63"/>
      <c r="L25" s="65"/>
      <c r="AF25" s="6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N27"/>
  <sheetViews>
    <sheetView zoomScaleNormal="100" workbookViewId="0">
      <selection activeCell="D28" sqref="D28"/>
    </sheetView>
  </sheetViews>
  <sheetFormatPr baseColWidth="10" defaultColWidth="9.140625" defaultRowHeight="15"/>
  <cols>
    <col min="1" max="1" width="3" customWidth="1"/>
    <col min="2" max="2" width="22.42578125" customWidth="1"/>
    <col min="3" max="3" width="3" customWidth="1"/>
    <col min="4" max="4" width="23.5703125" customWidth="1"/>
    <col min="5" max="5" width="3" customWidth="1"/>
    <col min="6" max="6" width="22.5703125" customWidth="1"/>
    <col min="7" max="7" width="3" customWidth="1"/>
    <col min="8" max="8" width="21.5703125" customWidth="1"/>
    <col min="9" max="9" width="3" customWidth="1"/>
    <col min="10" max="10" width="33.5703125" customWidth="1"/>
    <col min="11" max="11" width="3" customWidth="1"/>
    <col min="12" max="12" width="19.85546875" bestFit="1" customWidth="1"/>
    <col min="13" max="13" width="3" customWidth="1"/>
    <col min="14" max="14" width="20" bestFit="1" customWidth="1"/>
    <col min="15" max="1025" width="10.7109375" customWidth="1"/>
  </cols>
  <sheetData>
    <row r="1" spans="1:14" s="149" customFormat="1">
      <c r="A1" s="177">
        <f>SUM(A2:A16)</f>
        <v>60</v>
      </c>
      <c r="B1" s="177" t="s">
        <v>1159</v>
      </c>
      <c r="C1" s="177">
        <f>SUM(C2:C24)</f>
        <v>60</v>
      </c>
      <c r="D1" s="177" t="s">
        <v>1160</v>
      </c>
      <c r="E1" s="177">
        <f>SUM(E2:E27)</f>
        <v>60</v>
      </c>
      <c r="F1" s="177" t="s">
        <v>1161</v>
      </c>
      <c r="G1" s="177">
        <f>SUM(G2:G22)</f>
        <v>60</v>
      </c>
      <c r="H1" s="186" t="s">
        <v>1162</v>
      </c>
      <c r="I1" s="177">
        <f>SUM(I2:I28)</f>
        <v>60</v>
      </c>
      <c r="J1" s="177" t="s">
        <v>1163</v>
      </c>
      <c r="K1" s="189">
        <f>SUM(K2:K27)</f>
        <v>60</v>
      </c>
      <c r="L1" s="177" t="s">
        <v>1164</v>
      </c>
      <c r="M1" s="177">
        <f>SUM(M2:M27)</f>
        <v>60</v>
      </c>
      <c r="N1" s="177" t="s">
        <v>1165</v>
      </c>
    </row>
    <row r="2" spans="1:14">
      <c r="A2" s="5">
        <v>4</v>
      </c>
      <c r="B2" s="5" t="s">
        <v>1166</v>
      </c>
      <c r="C2" s="5">
        <v>2</v>
      </c>
      <c r="D2" s="5" t="s">
        <v>323</v>
      </c>
      <c r="E2" s="7">
        <v>4</v>
      </c>
      <c r="F2" s="7" t="s">
        <v>54</v>
      </c>
      <c r="G2" s="7">
        <v>4</v>
      </c>
      <c r="H2" s="13" t="s">
        <v>1167</v>
      </c>
      <c r="I2" s="7">
        <v>1</v>
      </c>
      <c r="J2" s="7" t="s">
        <v>1168</v>
      </c>
      <c r="K2" s="43">
        <v>4</v>
      </c>
      <c r="L2" s="7" t="s">
        <v>19</v>
      </c>
      <c r="M2" s="7">
        <v>4</v>
      </c>
      <c r="N2" s="7" t="s">
        <v>54</v>
      </c>
    </row>
    <row r="3" spans="1:14">
      <c r="A3" s="5">
        <v>1</v>
      </c>
      <c r="B3" s="5" t="s">
        <v>1097</v>
      </c>
      <c r="C3" s="8">
        <v>1</v>
      </c>
      <c r="D3" s="8" t="s">
        <v>1169</v>
      </c>
      <c r="E3" s="7">
        <v>4</v>
      </c>
      <c r="F3" s="7" t="s">
        <v>1082</v>
      </c>
      <c r="G3" s="7">
        <v>1</v>
      </c>
      <c r="H3" s="13" t="s">
        <v>1170</v>
      </c>
      <c r="I3" s="7">
        <v>1</v>
      </c>
      <c r="J3" s="7" t="s">
        <v>1171</v>
      </c>
      <c r="K3" s="43">
        <v>4</v>
      </c>
      <c r="L3" s="7" t="s">
        <v>1172</v>
      </c>
      <c r="M3" s="7">
        <v>4</v>
      </c>
      <c r="N3" s="7" t="s">
        <v>59</v>
      </c>
    </row>
    <row r="4" spans="1:14">
      <c r="A4" s="5">
        <v>8</v>
      </c>
      <c r="B4" s="5" t="s">
        <v>1173</v>
      </c>
      <c r="C4" s="5">
        <v>2</v>
      </c>
      <c r="D4" s="5" t="s">
        <v>1174</v>
      </c>
      <c r="E4" s="7">
        <v>4</v>
      </c>
      <c r="F4" s="7" t="s">
        <v>1085</v>
      </c>
      <c r="G4" s="7">
        <v>4</v>
      </c>
      <c r="H4" s="13" t="s">
        <v>1082</v>
      </c>
      <c r="I4" s="7">
        <v>1</v>
      </c>
      <c r="J4" s="7" t="s">
        <v>1175</v>
      </c>
      <c r="K4" s="43">
        <v>1</v>
      </c>
      <c r="L4" s="7" t="s">
        <v>1176</v>
      </c>
      <c r="M4" s="7">
        <v>4</v>
      </c>
      <c r="N4" s="7" t="s">
        <v>1177</v>
      </c>
    </row>
    <row r="5" spans="1:14">
      <c r="A5" s="5">
        <v>8</v>
      </c>
      <c r="B5" s="5" t="s">
        <v>1178</v>
      </c>
      <c r="C5" s="5">
        <v>2</v>
      </c>
      <c r="D5" s="5" t="s">
        <v>1179</v>
      </c>
      <c r="E5" s="7">
        <v>1</v>
      </c>
      <c r="F5" s="7" t="s">
        <v>19</v>
      </c>
      <c r="G5" s="7">
        <v>1</v>
      </c>
      <c r="H5" s="13" t="s">
        <v>1180</v>
      </c>
      <c r="I5" s="7">
        <v>1</v>
      </c>
      <c r="J5" s="7" t="s">
        <v>1176</v>
      </c>
      <c r="K5" s="43">
        <v>4</v>
      </c>
      <c r="L5" s="7" t="s">
        <v>1181</v>
      </c>
      <c r="M5" s="7">
        <v>11</v>
      </c>
      <c r="N5" s="7" t="s">
        <v>40</v>
      </c>
    </row>
    <row r="6" spans="1:14">
      <c r="A6" s="5">
        <v>4</v>
      </c>
      <c r="B6" s="5" t="s">
        <v>1182</v>
      </c>
      <c r="C6" s="5">
        <v>4</v>
      </c>
      <c r="D6" s="5" t="s">
        <v>1183</v>
      </c>
      <c r="E6" s="7">
        <v>1</v>
      </c>
      <c r="F6" s="7" t="s">
        <v>1184</v>
      </c>
      <c r="G6" s="7">
        <v>6</v>
      </c>
      <c r="H6" s="13" t="s">
        <v>1185</v>
      </c>
      <c r="I6" s="7">
        <v>4</v>
      </c>
      <c r="J6" s="7" t="s">
        <v>30</v>
      </c>
      <c r="K6" s="43">
        <v>4</v>
      </c>
      <c r="L6" s="7" t="s">
        <v>73</v>
      </c>
      <c r="M6" s="7">
        <v>1</v>
      </c>
      <c r="N6" s="7" t="s">
        <v>1088</v>
      </c>
    </row>
    <row r="7" spans="1:14">
      <c r="A7" s="5">
        <v>4</v>
      </c>
      <c r="B7" s="5" t="s">
        <v>1186</v>
      </c>
      <c r="C7" s="5">
        <v>1</v>
      </c>
      <c r="D7" s="5" t="s">
        <v>1187</v>
      </c>
      <c r="E7" s="7">
        <v>1</v>
      </c>
      <c r="F7" s="7" t="s">
        <v>1088</v>
      </c>
      <c r="G7" s="7">
        <v>1</v>
      </c>
      <c r="H7" s="13" t="s">
        <v>1088</v>
      </c>
      <c r="I7" s="7">
        <v>4</v>
      </c>
      <c r="J7" s="7" t="s">
        <v>1188</v>
      </c>
      <c r="K7" s="43">
        <v>1</v>
      </c>
      <c r="L7" s="7" t="s">
        <v>1189</v>
      </c>
      <c r="M7" s="7">
        <v>4</v>
      </c>
      <c r="N7" s="7" t="s">
        <v>1190</v>
      </c>
    </row>
    <row r="8" spans="1:14">
      <c r="A8" s="5">
        <v>4</v>
      </c>
      <c r="B8" s="5" t="s">
        <v>1191</v>
      </c>
      <c r="C8" s="5">
        <v>4</v>
      </c>
      <c r="D8" s="5" t="s">
        <v>535</v>
      </c>
      <c r="E8" s="7">
        <v>1</v>
      </c>
      <c r="F8" s="7" t="s">
        <v>94</v>
      </c>
      <c r="G8" s="7">
        <v>4</v>
      </c>
      <c r="H8" s="13" t="s">
        <v>1192</v>
      </c>
      <c r="I8" s="7">
        <v>2</v>
      </c>
      <c r="J8" s="7" t="s">
        <v>1172</v>
      </c>
      <c r="K8" s="43">
        <v>1</v>
      </c>
      <c r="L8" s="7" t="s">
        <v>427</v>
      </c>
      <c r="M8" s="128">
        <v>2</v>
      </c>
      <c r="N8" s="128" t="s">
        <v>983</v>
      </c>
    </row>
    <row r="9" spans="1:14">
      <c r="A9" s="5">
        <v>2</v>
      </c>
      <c r="B9" s="5" t="s">
        <v>508</v>
      </c>
      <c r="C9" s="5">
        <v>4</v>
      </c>
      <c r="D9" s="5" t="s">
        <v>1194</v>
      </c>
      <c r="E9" s="7">
        <v>1</v>
      </c>
      <c r="F9" s="7" t="s">
        <v>1195</v>
      </c>
      <c r="G9" s="7">
        <v>4</v>
      </c>
      <c r="H9" s="13" t="s">
        <v>1085</v>
      </c>
      <c r="I9" s="7">
        <v>2</v>
      </c>
      <c r="J9" s="7" t="s">
        <v>1196</v>
      </c>
      <c r="K9" s="43">
        <v>1</v>
      </c>
      <c r="L9" s="7" t="s">
        <v>1197</v>
      </c>
      <c r="M9" s="7">
        <v>3</v>
      </c>
      <c r="N9" s="7" t="s">
        <v>1193</v>
      </c>
    </row>
    <row r="10" spans="1:14">
      <c r="A10" s="5">
        <v>4</v>
      </c>
      <c r="B10" s="5" t="s">
        <v>122</v>
      </c>
      <c r="C10" s="5">
        <v>2</v>
      </c>
      <c r="D10" s="5" t="s">
        <v>1198</v>
      </c>
      <c r="E10" s="7">
        <v>4</v>
      </c>
      <c r="F10" s="7" t="s">
        <v>73</v>
      </c>
      <c r="G10" s="128">
        <v>1</v>
      </c>
      <c r="H10" s="169" t="s">
        <v>619</v>
      </c>
      <c r="I10" s="7">
        <v>1</v>
      </c>
      <c r="J10" s="7" t="s">
        <v>1199</v>
      </c>
      <c r="K10" s="43">
        <v>1</v>
      </c>
      <c r="L10" s="7" t="s">
        <v>1200</v>
      </c>
      <c r="M10" s="7">
        <v>4</v>
      </c>
      <c r="N10" s="7" t="s">
        <v>201</v>
      </c>
    </row>
    <row r="11" spans="1:14">
      <c r="A11" s="5">
        <v>4</v>
      </c>
      <c r="B11" s="5" t="s">
        <v>180</v>
      </c>
      <c r="C11" s="5">
        <v>3</v>
      </c>
      <c r="D11" s="5" t="s">
        <v>619</v>
      </c>
      <c r="E11" s="7">
        <v>1</v>
      </c>
      <c r="F11" s="7" t="s">
        <v>476</v>
      </c>
      <c r="G11" s="7">
        <v>1</v>
      </c>
      <c r="H11" s="13" t="s">
        <v>311</v>
      </c>
      <c r="I11" s="7">
        <v>1</v>
      </c>
      <c r="J11" s="7" t="s">
        <v>1201</v>
      </c>
      <c r="K11" s="43">
        <v>1</v>
      </c>
      <c r="L11" s="7" t="s">
        <v>1202</v>
      </c>
      <c r="M11" s="7">
        <v>4</v>
      </c>
      <c r="N11" s="7" t="s">
        <v>548</v>
      </c>
    </row>
    <row r="12" spans="1:14">
      <c r="A12" s="5">
        <v>4</v>
      </c>
      <c r="B12" s="5" t="s">
        <v>1203</v>
      </c>
      <c r="C12" s="5">
        <v>1</v>
      </c>
      <c r="D12" s="5" t="s">
        <v>1204</v>
      </c>
      <c r="E12" s="7">
        <v>2</v>
      </c>
      <c r="F12" s="7" t="s">
        <v>1205</v>
      </c>
      <c r="G12" s="7">
        <v>4</v>
      </c>
      <c r="H12" s="13" t="s">
        <v>1188</v>
      </c>
      <c r="I12" s="7">
        <v>2</v>
      </c>
      <c r="J12" s="7" t="s">
        <v>428</v>
      </c>
      <c r="K12" s="43">
        <v>1</v>
      </c>
      <c r="L12" s="7" t="s">
        <v>1206</v>
      </c>
      <c r="M12" s="7">
        <v>1</v>
      </c>
      <c r="N12" s="7" t="s">
        <v>241</v>
      </c>
    </row>
    <row r="13" spans="1:14">
      <c r="A13" s="5">
        <v>4</v>
      </c>
      <c r="B13" s="5" t="s">
        <v>197</v>
      </c>
      <c r="C13" s="5">
        <v>1</v>
      </c>
      <c r="D13" s="5" t="s">
        <v>1208</v>
      </c>
      <c r="E13" s="7">
        <v>1</v>
      </c>
      <c r="F13" s="7" t="s">
        <v>519</v>
      </c>
      <c r="G13" s="7">
        <v>4</v>
      </c>
      <c r="H13" s="13" t="s">
        <v>211</v>
      </c>
      <c r="I13" s="7">
        <v>1</v>
      </c>
      <c r="J13" s="7" t="s">
        <v>596</v>
      </c>
      <c r="K13" s="43">
        <v>1</v>
      </c>
      <c r="L13" s="7" t="s">
        <v>613</v>
      </c>
      <c r="M13" s="7">
        <v>3</v>
      </c>
      <c r="N13" s="7" t="s">
        <v>1207</v>
      </c>
    </row>
    <row r="14" spans="1:14">
      <c r="A14" s="5">
        <v>4</v>
      </c>
      <c r="B14" s="5" t="s">
        <v>1209</v>
      </c>
      <c r="C14" s="5">
        <v>4</v>
      </c>
      <c r="D14" s="5" t="s">
        <v>1210</v>
      </c>
      <c r="E14" s="7">
        <v>1</v>
      </c>
      <c r="F14" s="7" t="s">
        <v>1211</v>
      </c>
      <c r="G14" s="7">
        <v>4</v>
      </c>
      <c r="H14" s="13" t="s">
        <v>201</v>
      </c>
      <c r="I14" s="7">
        <v>2</v>
      </c>
      <c r="J14" s="7" t="s">
        <v>1212</v>
      </c>
      <c r="K14" s="43">
        <v>4</v>
      </c>
      <c r="L14" s="7" t="s">
        <v>981</v>
      </c>
      <c r="M14" s="7">
        <v>4</v>
      </c>
      <c r="N14" s="7" t="s">
        <v>212</v>
      </c>
    </row>
    <row r="15" spans="1:14">
      <c r="A15" s="5">
        <v>4</v>
      </c>
      <c r="B15" s="5" t="s">
        <v>1214</v>
      </c>
      <c r="C15" s="5">
        <v>2</v>
      </c>
      <c r="D15" s="5" t="s">
        <v>1215</v>
      </c>
      <c r="E15" s="7">
        <v>1</v>
      </c>
      <c r="F15" s="7" t="s">
        <v>613</v>
      </c>
      <c r="G15" s="7">
        <v>4</v>
      </c>
      <c r="H15" s="13" t="s">
        <v>761</v>
      </c>
      <c r="I15" s="7">
        <v>4</v>
      </c>
      <c r="J15" s="7" t="s">
        <v>190</v>
      </c>
      <c r="K15" s="43">
        <v>4</v>
      </c>
      <c r="L15" s="7" t="s">
        <v>180</v>
      </c>
      <c r="M15" s="7">
        <v>4</v>
      </c>
      <c r="N15" s="7" t="s">
        <v>1213</v>
      </c>
    </row>
    <row r="16" spans="1:14">
      <c r="A16" s="5">
        <v>1</v>
      </c>
      <c r="B16" s="5" t="s">
        <v>1217</v>
      </c>
      <c r="C16" s="5">
        <v>4</v>
      </c>
      <c r="D16" s="5" t="s">
        <v>765</v>
      </c>
      <c r="E16" s="7">
        <v>4</v>
      </c>
      <c r="F16" s="7" t="s">
        <v>1134</v>
      </c>
      <c r="G16" s="7">
        <v>3</v>
      </c>
      <c r="H16" s="13" t="s">
        <v>548</v>
      </c>
      <c r="I16" s="7">
        <v>4</v>
      </c>
      <c r="J16" s="7" t="s">
        <v>211</v>
      </c>
      <c r="K16" s="43">
        <v>4</v>
      </c>
      <c r="L16" s="7" t="s">
        <v>239</v>
      </c>
      <c r="M16" s="7">
        <v>4</v>
      </c>
      <c r="N16" s="7" t="s">
        <v>1216</v>
      </c>
    </row>
    <row r="17" spans="3:14">
      <c r="C17" s="5">
        <v>3</v>
      </c>
      <c r="D17" s="5" t="s">
        <v>1218</v>
      </c>
      <c r="E17" s="7">
        <v>3</v>
      </c>
      <c r="F17" s="7" t="s">
        <v>1207</v>
      </c>
      <c r="G17" s="7">
        <v>1</v>
      </c>
      <c r="H17" s="13" t="s">
        <v>238</v>
      </c>
      <c r="I17" s="7">
        <v>4</v>
      </c>
      <c r="J17" s="7" t="s">
        <v>981</v>
      </c>
      <c r="K17" s="43">
        <v>4</v>
      </c>
      <c r="L17" s="7" t="s">
        <v>984</v>
      </c>
      <c r="M17" s="7">
        <v>3</v>
      </c>
      <c r="N17" s="7" t="s">
        <v>267</v>
      </c>
    </row>
    <row r="18" spans="3:14">
      <c r="C18" s="5">
        <v>3</v>
      </c>
      <c r="D18" s="5" t="s">
        <v>1219</v>
      </c>
      <c r="E18" s="7">
        <v>4</v>
      </c>
      <c r="F18" s="7" t="s">
        <v>675</v>
      </c>
      <c r="G18" s="7">
        <v>2</v>
      </c>
      <c r="H18" s="13" t="s">
        <v>1207</v>
      </c>
      <c r="I18" s="7">
        <v>2</v>
      </c>
      <c r="J18" s="7" t="s">
        <v>710</v>
      </c>
      <c r="K18" s="43">
        <v>3</v>
      </c>
      <c r="L18" s="7" t="s">
        <v>243</v>
      </c>
      <c r="M18" s="67"/>
    </row>
    <row r="19" spans="3:14">
      <c r="C19" s="5">
        <v>3</v>
      </c>
      <c r="D19" s="5" t="s">
        <v>710</v>
      </c>
      <c r="E19" s="7">
        <v>4</v>
      </c>
      <c r="F19" s="7" t="s">
        <v>201</v>
      </c>
      <c r="G19" s="7">
        <v>4</v>
      </c>
      <c r="H19" s="13" t="s">
        <v>1134</v>
      </c>
      <c r="I19" s="7">
        <v>4</v>
      </c>
      <c r="J19" s="7" t="s">
        <v>1220</v>
      </c>
      <c r="K19" s="43">
        <v>4</v>
      </c>
      <c r="L19" s="7" t="s">
        <v>1164</v>
      </c>
      <c r="M19" s="67"/>
    </row>
    <row r="20" spans="3:14">
      <c r="C20" s="5">
        <v>3</v>
      </c>
      <c r="D20" s="5" t="s">
        <v>180</v>
      </c>
      <c r="E20" s="7">
        <v>4</v>
      </c>
      <c r="F20" s="7" t="s">
        <v>239</v>
      </c>
      <c r="G20" s="7">
        <v>1</v>
      </c>
      <c r="H20" s="13" t="s">
        <v>147</v>
      </c>
      <c r="I20" s="7">
        <v>1</v>
      </c>
      <c r="J20" s="7" t="s">
        <v>772</v>
      </c>
      <c r="K20" s="43">
        <v>1</v>
      </c>
      <c r="L20" s="7" t="s">
        <v>1221</v>
      </c>
      <c r="M20" s="67"/>
    </row>
    <row r="21" spans="3:14">
      <c r="C21" s="5">
        <v>4</v>
      </c>
      <c r="D21" s="5" t="s">
        <v>1222</v>
      </c>
      <c r="E21" s="7">
        <v>4</v>
      </c>
      <c r="F21" s="7" t="s">
        <v>243</v>
      </c>
      <c r="G21" s="7">
        <v>4</v>
      </c>
      <c r="H21" s="13" t="s">
        <v>675</v>
      </c>
      <c r="I21" s="7">
        <v>1</v>
      </c>
      <c r="J21" s="7" t="s">
        <v>1223</v>
      </c>
      <c r="K21" s="17">
        <v>4</v>
      </c>
      <c r="L21" s="17" t="s">
        <v>197</v>
      </c>
      <c r="M21" s="28"/>
    </row>
    <row r="22" spans="3:14">
      <c r="C22" s="5">
        <v>3</v>
      </c>
      <c r="D22" s="5" t="s">
        <v>1224</v>
      </c>
      <c r="E22" s="7">
        <v>4</v>
      </c>
      <c r="F22" s="7" t="s">
        <v>548</v>
      </c>
      <c r="G22" s="17">
        <v>2</v>
      </c>
      <c r="H22" s="13" t="s">
        <v>983</v>
      </c>
      <c r="I22" s="7">
        <v>4</v>
      </c>
      <c r="J22" s="7" t="s">
        <v>1225</v>
      </c>
      <c r="K22" s="17">
        <v>4</v>
      </c>
      <c r="L22" s="17" t="s">
        <v>1209</v>
      </c>
      <c r="M22" s="28"/>
    </row>
    <row r="23" spans="3:14">
      <c r="C23" s="5">
        <v>2</v>
      </c>
      <c r="D23" s="5" t="s">
        <v>1226</v>
      </c>
      <c r="E23" s="20">
        <v>2</v>
      </c>
      <c r="F23" s="20" t="s">
        <v>1224</v>
      </c>
      <c r="I23" s="7">
        <v>4</v>
      </c>
      <c r="J23" s="7" t="s">
        <v>610</v>
      </c>
      <c r="K23" s="7">
        <v>4</v>
      </c>
      <c r="L23" s="7" t="s">
        <v>223</v>
      </c>
      <c r="M23" s="67"/>
    </row>
    <row r="24" spans="3:14">
      <c r="C24" s="5">
        <v>2</v>
      </c>
      <c r="D24" s="5" t="s">
        <v>760</v>
      </c>
      <c r="E24" s="7">
        <v>1</v>
      </c>
      <c r="F24" s="7" t="s">
        <v>1227</v>
      </c>
      <c r="I24" s="7">
        <v>4</v>
      </c>
      <c r="J24" s="7" t="s">
        <v>592</v>
      </c>
    </row>
    <row r="25" spans="3:14">
      <c r="E25" s="7">
        <v>1</v>
      </c>
      <c r="F25" s="7" t="s">
        <v>1228</v>
      </c>
      <c r="I25" s="7">
        <v>1</v>
      </c>
      <c r="J25" s="7" t="s">
        <v>1229</v>
      </c>
    </row>
    <row r="26" spans="3:14">
      <c r="E26" s="7">
        <v>1</v>
      </c>
      <c r="F26" s="7" t="s">
        <v>1230</v>
      </c>
      <c r="I26" s="7">
        <v>3</v>
      </c>
      <c r="J26" s="7" t="s">
        <v>1231</v>
      </c>
    </row>
    <row r="27" spans="3:14">
      <c r="E27" s="7">
        <v>1</v>
      </c>
      <c r="F27" s="7" t="s">
        <v>766</v>
      </c>
      <c r="I27" s="7">
        <v>1</v>
      </c>
      <c r="J27" s="7" t="s">
        <v>1232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CB61"/>
  <sheetViews>
    <sheetView topLeftCell="BQ1" zoomScaleNormal="100" workbookViewId="0">
      <selection activeCell="BT26" sqref="BT26"/>
    </sheetView>
  </sheetViews>
  <sheetFormatPr baseColWidth="10" defaultColWidth="9.140625" defaultRowHeight="15"/>
  <cols>
    <col min="1" max="1" width="3" customWidth="1"/>
    <col min="2" max="2" width="20.42578125" customWidth="1"/>
    <col min="3" max="3" width="3" style="2" customWidth="1"/>
    <col min="4" max="4" width="21.42578125" customWidth="1"/>
    <col min="5" max="5" width="3" style="2" customWidth="1"/>
    <col min="6" max="6" width="25.5703125" customWidth="1"/>
    <col min="7" max="7" width="3" style="2" customWidth="1"/>
    <col min="8" max="8" width="25.42578125" customWidth="1"/>
    <col min="9" max="9" width="3" style="26" customWidth="1"/>
    <col min="10" max="10" width="21.5703125" customWidth="1"/>
    <col min="11" max="11" width="3" customWidth="1"/>
    <col min="12" max="12" width="24.42578125" customWidth="1"/>
    <col min="13" max="13" width="3" style="26" customWidth="1"/>
    <col min="14" max="14" width="27.42578125" customWidth="1"/>
    <col min="15" max="15" width="3" customWidth="1"/>
    <col min="16" max="16" width="19.42578125" style="26" customWidth="1"/>
    <col min="17" max="17" width="3" style="26" customWidth="1"/>
    <col min="18" max="18" width="24.5703125" style="26" customWidth="1"/>
    <col min="19" max="19" width="3" style="26" customWidth="1"/>
    <col min="20" max="20" width="33.42578125" style="26" customWidth="1"/>
    <col min="21" max="21" width="3" style="26" customWidth="1"/>
    <col min="22" max="22" width="23.5703125" style="26" customWidth="1"/>
    <col min="23" max="23" width="3" style="26" customWidth="1"/>
    <col min="24" max="24" width="22.42578125" customWidth="1"/>
    <col min="25" max="25" width="3" style="26" customWidth="1"/>
    <col min="26" max="26" width="20" style="26" customWidth="1"/>
    <col min="27" max="27" width="3" style="26" customWidth="1"/>
    <col min="28" max="28" width="21.5703125" style="26" customWidth="1"/>
    <col min="29" max="29" width="3" style="26" customWidth="1"/>
    <col min="30" max="30" width="20.85546875" style="26" customWidth="1"/>
    <col min="31" max="31" width="3" style="26" customWidth="1"/>
    <col min="32" max="32" width="22.140625" style="26" customWidth="1"/>
    <col min="33" max="33" width="3" style="26" customWidth="1"/>
    <col min="34" max="34" width="26.85546875" style="2" customWidth="1"/>
    <col min="35" max="35" width="3" style="26" customWidth="1"/>
    <col min="36" max="36" width="38.5703125" style="26" customWidth="1"/>
    <col min="37" max="37" width="3" style="26" customWidth="1"/>
    <col min="38" max="38" width="20.42578125" style="26" bestFit="1" customWidth="1"/>
    <col min="39" max="39" width="3" style="26" customWidth="1"/>
    <col min="40" max="40" width="21.85546875" style="26" customWidth="1"/>
    <col min="41" max="41" width="3" style="26" customWidth="1"/>
    <col min="42" max="42" width="27.42578125" style="26" customWidth="1"/>
    <col min="43" max="43" width="3" style="26" customWidth="1"/>
    <col min="44" max="44" width="22.42578125" style="26" customWidth="1"/>
    <col min="45" max="45" width="3" style="26" customWidth="1"/>
    <col min="46" max="46" width="22.42578125" style="26" customWidth="1"/>
    <col min="47" max="47" width="3" style="26" customWidth="1"/>
    <col min="48" max="48" width="27.5703125" style="26" customWidth="1"/>
    <col min="49" max="49" width="3" style="26" customWidth="1"/>
    <col min="50" max="50" width="27.5703125" style="26" customWidth="1"/>
    <col min="51" max="51" width="3" style="26" customWidth="1"/>
    <col min="52" max="52" width="18.5703125" style="26" customWidth="1"/>
    <col min="53" max="53" width="3" style="26" customWidth="1"/>
    <col min="54" max="54" width="25.5703125" style="26" customWidth="1"/>
    <col min="55" max="55" width="3" style="26" customWidth="1"/>
    <col min="56" max="56" width="33.140625" style="26" customWidth="1"/>
    <col min="57" max="57" width="3" style="26" customWidth="1"/>
    <col min="58" max="58" width="22.85546875" style="26" customWidth="1"/>
    <col min="59" max="59" width="3" style="26" customWidth="1"/>
    <col min="60" max="60" width="22.42578125" style="26" customWidth="1"/>
    <col min="61" max="61" width="3" style="26" customWidth="1"/>
    <col min="62" max="62" width="25.5703125" style="26" customWidth="1"/>
    <col min="63" max="63" width="3" style="26" customWidth="1"/>
    <col min="64" max="64" width="25" customWidth="1"/>
    <col min="65" max="65" width="3" style="26" customWidth="1"/>
    <col min="66" max="66" width="22.5703125" style="26" customWidth="1"/>
    <col min="67" max="67" width="3" style="26" customWidth="1"/>
    <col min="68" max="68" width="23.42578125" style="26" customWidth="1"/>
    <col min="69" max="69" width="3" style="26" customWidth="1"/>
    <col min="70" max="70" width="27.140625" style="26" customWidth="1"/>
    <col min="71" max="71" width="3" style="26" customWidth="1"/>
    <col min="72" max="72" width="18.42578125" customWidth="1"/>
    <col min="73" max="73" width="3" style="26" customWidth="1"/>
    <col min="74" max="74" width="24" customWidth="1"/>
    <col min="75" max="75" width="3" bestFit="1" customWidth="1"/>
    <col min="76" max="76" width="19.7109375" bestFit="1" customWidth="1"/>
    <col min="77" max="77" width="3" bestFit="1" customWidth="1"/>
    <col min="78" max="78" width="30.28515625" bestFit="1" customWidth="1"/>
    <col min="79" max="79" width="3" bestFit="1" customWidth="1"/>
    <col min="80" max="80" width="24.5703125" bestFit="1" customWidth="1"/>
    <col min="81" max="1025" width="10.7109375" customWidth="1"/>
  </cols>
  <sheetData>
    <row r="1" spans="1:80" s="191" customFormat="1">
      <c r="A1" s="177">
        <f>SUM(A2:A66)</f>
        <v>60</v>
      </c>
      <c r="B1" s="177" t="s">
        <v>1233</v>
      </c>
      <c r="C1" s="177">
        <f>SUM(C2:C66)</f>
        <v>60</v>
      </c>
      <c r="D1" s="177" t="s">
        <v>1234</v>
      </c>
      <c r="E1" s="177">
        <f>SUM(E2:E66)</f>
        <v>60</v>
      </c>
      <c r="F1" s="177" t="s">
        <v>1235</v>
      </c>
      <c r="G1" s="177">
        <f>SUM(G2:G66)</f>
        <v>60</v>
      </c>
      <c r="H1" s="186" t="s">
        <v>1236</v>
      </c>
      <c r="I1" s="177">
        <f>SUM(I2:I66)</f>
        <v>60</v>
      </c>
      <c r="J1" s="177" t="s">
        <v>1237</v>
      </c>
      <c r="K1" s="177">
        <f>SUM(K2:K66)</f>
        <v>60</v>
      </c>
      <c r="L1" s="177" t="s">
        <v>1238</v>
      </c>
      <c r="M1" s="177">
        <f>SUM(M2:M66)</f>
        <v>60</v>
      </c>
      <c r="N1" s="177" t="s">
        <v>1239</v>
      </c>
      <c r="O1" s="177">
        <f>SUM(O2:O66)</f>
        <v>60</v>
      </c>
      <c r="P1" s="177" t="s">
        <v>1240</v>
      </c>
      <c r="Q1" s="189">
        <f>SUM(Q2:Q66)</f>
        <v>60</v>
      </c>
      <c r="R1" s="186" t="s">
        <v>1241</v>
      </c>
      <c r="S1" s="177">
        <f>SUM(S2:S66)</f>
        <v>60</v>
      </c>
      <c r="T1" s="177" t="s">
        <v>1242</v>
      </c>
      <c r="U1" s="178">
        <f>SUM(U2:U66)</f>
        <v>60</v>
      </c>
      <c r="V1" s="178" t="s">
        <v>1243</v>
      </c>
      <c r="W1" s="177">
        <f>SUM(W2:W66)</f>
        <v>60</v>
      </c>
      <c r="X1" s="177" t="s">
        <v>1244</v>
      </c>
      <c r="Y1" s="177">
        <f>SUM(Y2:Y66)</f>
        <v>60</v>
      </c>
      <c r="Z1" s="186" t="s">
        <v>2942</v>
      </c>
      <c r="AA1" s="177">
        <f>SUM(AA2:AA66)</f>
        <v>60</v>
      </c>
      <c r="AB1" s="186" t="s">
        <v>1245</v>
      </c>
      <c r="AC1" s="178">
        <f>SUM(AC2:AC66)</f>
        <v>60</v>
      </c>
      <c r="AD1" s="178" t="s">
        <v>1246</v>
      </c>
      <c r="AE1" s="177">
        <f>SUM(AE2:AE66)</f>
        <v>60</v>
      </c>
      <c r="AF1" s="177" t="s">
        <v>1247</v>
      </c>
      <c r="AG1" s="177">
        <f>SUM(AG2:AG66)</f>
        <v>60</v>
      </c>
      <c r="AH1" s="177" t="s">
        <v>1248</v>
      </c>
      <c r="AI1" s="177">
        <f>SUM(AI2:AI66)</f>
        <v>60</v>
      </c>
      <c r="AJ1" s="186" t="s">
        <v>1249</v>
      </c>
      <c r="AK1" s="177">
        <f>SUM(AK2:AK66)</f>
        <v>60</v>
      </c>
      <c r="AL1" s="177" t="s">
        <v>1250</v>
      </c>
      <c r="AM1" s="177">
        <f>SUM(AM2:AM66)</f>
        <v>60</v>
      </c>
      <c r="AN1" s="186" t="s">
        <v>1251</v>
      </c>
      <c r="AO1" s="177">
        <f>SUM(AO2:AO66)</f>
        <v>60</v>
      </c>
      <c r="AP1" s="177" t="s">
        <v>1252</v>
      </c>
      <c r="AQ1" s="177">
        <f>SUM(AQ2:AQ66)</f>
        <v>60</v>
      </c>
      <c r="AR1" s="177" t="s">
        <v>1253</v>
      </c>
      <c r="AS1" s="190">
        <f>SUM(AS2:AS22)</f>
        <v>60</v>
      </c>
      <c r="AT1" s="190" t="s">
        <v>1254</v>
      </c>
      <c r="AU1" s="177">
        <f>SUM(AU2:AU66)</f>
        <v>60</v>
      </c>
      <c r="AV1" s="177" t="s">
        <v>1255</v>
      </c>
      <c r="AW1" s="177">
        <f>SUM(AW2:AW66)</f>
        <v>60</v>
      </c>
      <c r="AX1" s="186" t="s">
        <v>1256</v>
      </c>
      <c r="AY1" s="177">
        <f>SUM(AY2:AY66)</f>
        <v>60</v>
      </c>
      <c r="AZ1" s="186" t="s">
        <v>1257</v>
      </c>
      <c r="BA1" s="177">
        <f>SUM(BA2:BA66)</f>
        <v>60</v>
      </c>
      <c r="BB1" s="177" t="s">
        <v>1258</v>
      </c>
      <c r="BC1" s="177">
        <f>SUM(BC2:BC66)</f>
        <v>60</v>
      </c>
      <c r="BD1" s="177" t="s">
        <v>1259</v>
      </c>
      <c r="BE1" s="177">
        <f>SUM(BE2:BE66)</f>
        <v>60</v>
      </c>
      <c r="BF1" s="186" t="s">
        <v>1260</v>
      </c>
      <c r="BG1" s="177">
        <f>SUM(BG2:BG66)</f>
        <v>60</v>
      </c>
      <c r="BH1" s="177" t="s">
        <v>1261</v>
      </c>
      <c r="BI1" s="177">
        <f>SUM(BI2:BI66)</f>
        <v>60</v>
      </c>
      <c r="BJ1" s="177" t="s">
        <v>1262</v>
      </c>
      <c r="BK1" s="177">
        <f>SUM(BK2:BK66)</f>
        <v>60</v>
      </c>
      <c r="BL1" s="177" t="s">
        <v>1263</v>
      </c>
      <c r="BM1" s="177">
        <f>SUM(BM2:BM66)</f>
        <v>60</v>
      </c>
      <c r="BN1" s="186" t="s">
        <v>1264</v>
      </c>
      <c r="BO1" s="177">
        <f>SUM(BO2:BO66)</f>
        <v>60</v>
      </c>
      <c r="BP1" s="177" t="s">
        <v>1265</v>
      </c>
      <c r="BQ1" s="177">
        <f>SUM(BQ2:BQ66)</f>
        <v>60</v>
      </c>
      <c r="BR1" s="177" t="s">
        <v>1266</v>
      </c>
      <c r="BS1" s="177">
        <f>SUM(BS2:BS66)</f>
        <v>60</v>
      </c>
      <c r="BT1" s="177" t="s">
        <v>1267</v>
      </c>
      <c r="BU1" s="177">
        <f>SUM(BU2:BU66)</f>
        <v>60</v>
      </c>
      <c r="BV1" s="177" t="s">
        <v>1268</v>
      </c>
      <c r="BW1" s="17">
        <f>SUM(BW2:BW19)</f>
        <v>60</v>
      </c>
      <c r="BX1" s="57" t="s">
        <v>2834</v>
      </c>
      <c r="BY1" s="17">
        <f>SUM(BY2:BY19)</f>
        <v>60</v>
      </c>
      <c r="BZ1" s="57" t="s">
        <v>2645</v>
      </c>
      <c r="CA1" s="17">
        <f>SUM(CA2:CA29)</f>
        <v>60</v>
      </c>
      <c r="CB1" s="130" t="s">
        <v>2602</v>
      </c>
    </row>
    <row r="2" spans="1:80">
      <c r="A2" s="7">
        <v>4</v>
      </c>
      <c r="B2" s="22" t="s">
        <v>19</v>
      </c>
      <c r="C2" s="17">
        <v>2</v>
      </c>
      <c r="D2" s="22" t="s">
        <v>508</v>
      </c>
      <c r="E2" s="17">
        <v>2</v>
      </c>
      <c r="F2" s="8" t="s">
        <v>1269</v>
      </c>
      <c r="G2" s="17">
        <v>4</v>
      </c>
      <c r="H2" s="14" t="s">
        <v>328</v>
      </c>
      <c r="I2" s="7">
        <v>4</v>
      </c>
      <c r="J2" s="22" t="s">
        <v>54</v>
      </c>
      <c r="K2" s="7">
        <v>4</v>
      </c>
      <c r="L2" s="22" t="s">
        <v>324</v>
      </c>
      <c r="M2" s="7">
        <v>1</v>
      </c>
      <c r="N2" s="22" t="s">
        <v>314</v>
      </c>
      <c r="O2" s="17">
        <v>1</v>
      </c>
      <c r="P2" s="22" t="s">
        <v>1012</v>
      </c>
      <c r="Q2" s="35">
        <v>4</v>
      </c>
      <c r="R2" s="34" t="s">
        <v>1270</v>
      </c>
      <c r="S2" s="7">
        <v>4</v>
      </c>
      <c r="T2" s="53" t="s">
        <v>1271</v>
      </c>
      <c r="U2" s="5">
        <v>13</v>
      </c>
      <c r="V2" s="21" t="s">
        <v>1272</v>
      </c>
      <c r="W2" s="7">
        <v>4</v>
      </c>
      <c r="X2" s="7" t="s">
        <v>1273</v>
      </c>
      <c r="Y2" s="7">
        <v>4</v>
      </c>
      <c r="Z2" s="68" t="s">
        <v>1274</v>
      </c>
      <c r="AA2" s="7">
        <v>4</v>
      </c>
      <c r="AB2" s="34" t="s">
        <v>1275</v>
      </c>
      <c r="AC2" s="21">
        <v>4</v>
      </c>
      <c r="AD2" s="19" t="s">
        <v>1276</v>
      </c>
      <c r="AE2" s="5">
        <v>1</v>
      </c>
      <c r="AF2" s="8" t="s">
        <v>38</v>
      </c>
      <c r="AG2" s="8">
        <v>4</v>
      </c>
      <c r="AH2" s="17" t="s">
        <v>24</v>
      </c>
      <c r="AI2" s="22">
        <v>4</v>
      </c>
      <c r="AJ2" s="68" t="s">
        <v>373</v>
      </c>
      <c r="AK2" s="7">
        <v>4</v>
      </c>
      <c r="AL2" s="22" t="s">
        <v>33</v>
      </c>
      <c r="AM2" s="7">
        <v>4</v>
      </c>
      <c r="AN2" s="34" t="s">
        <v>33</v>
      </c>
      <c r="AO2" s="22">
        <v>4</v>
      </c>
      <c r="AP2" s="8" t="s">
        <v>1277</v>
      </c>
      <c r="AQ2" s="7">
        <v>4</v>
      </c>
      <c r="AR2" s="22" t="s">
        <v>1278</v>
      </c>
      <c r="AS2" s="69">
        <v>4</v>
      </c>
      <c r="AT2" s="25" t="s">
        <v>1279</v>
      </c>
      <c r="AU2" s="7">
        <v>4</v>
      </c>
      <c r="AV2" s="8" t="s">
        <v>22</v>
      </c>
      <c r="AW2" s="7">
        <v>4</v>
      </c>
      <c r="AX2" s="34" t="s">
        <v>22</v>
      </c>
      <c r="AY2" s="22">
        <v>3</v>
      </c>
      <c r="AZ2" s="14" t="s">
        <v>1280</v>
      </c>
      <c r="BA2" s="7">
        <v>1</v>
      </c>
      <c r="BB2" s="22" t="s">
        <v>1281</v>
      </c>
      <c r="BC2" s="7">
        <v>12</v>
      </c>
      <c r="BD2" s="22" t="s">
        <v>1282</v>
      </c>
      <c r="BE2" s="22">
        <v>4</v>
      </c>
      <c r="BF2" s="14" t="s">
        <v>1283</v>
      </c>
      <c r="BG2" s="8">
        <v>1</v>
      </c>
      <c r="BH2" s="22" t="s">
        <v>1284</v>
      </c>
      <c r="BI2" s="7">
        <v>4</v>
      </c>
      <c r="BJ2" s="22" t="s">
        <v>1285</v>
      </c>
      <c r="BK2" s="43">
        <v>4</v>
      </c>
      <c r="BL2" s="7" t="s">
        <v>325</v>
      </c>
      <c r="BM2" s="7">
        <v>14</v>
      </c>
      <c r="BN2" s="14" t="s">
        <v>388</v>
      </c>
      <c r="BO2" s="70">
        <v>4</v>
      </c>
      <c r="BP2" s="8" t="s">
        <v>331</v>
      </c>
      <c r="BQ2" s="8">
        <v>11</v>
      </c>
      <c r="BR2" s="8" t="s">
        <v>1286</v>
      </c>
      <c r="BS2" s="8">
        <v>4</v>
      </c>
      <c r="BT2" s="8" t="s">
        <v>31</v>
      </c>
      <c r="BU2" s="5">
        <v>4</v>
      </c>
      <c r="BV2" s="5" t="s">
        <v>23</v>
      </c>
      <c r="BW2" s="8">
        <v>1</v>
      </c>
      <c r="BX2" s="8" t="s">
        <v>2853</v>
      </c>
      <c r="BY2" s="8">
        <v>4</v>
      </c>
      <c r="BZ2" s="8" t="s">
        <v>54</v>
      </c>
      <c r="CA2" s="18">
        <v>4</v>
      </c>
      <c r="CB2" s="8" t="s">
        <v>2165</v>
      </c>
    </row>
    <row r="3" spans="1:80">
      <c r="A3" s="7">
        <v>4</v>
      </c>
      <c r="B3" s="22" t="s">
        <v>1172</v>
      </c>
      <c r="C3" s="17">
        <v>4</v>
      </c>
      <c r="D3" s="22" t="s">
        <v>59</v>
      </c>
      <c r="E3" s="17">
        <v>3</v>
      </c>
      <c r="F3" s="8" t="s">
        <v>1287</v>
      </c>
      <c r="G3" s="17">
        <v>4</v>
      </c>
      <c r="H3" s="14" t="s">
        <v>1288</v>
      </c>
      <c r="I3" s="7">
        <v>4</v>
      </c>
      <c r="J3" s="22" t="s">
        <v>1289</v>
      </c>
      <c r="K3" s="7">
        <v>2</v>
      </c>
      <c r="L3" s="22" t="s">
        <v>1082</v>
      </c>
      <c r="M3" s="7">
        <v>4</v>
      </c>
      <c r="N3" s="22" t="s">
        <v>1016</v>
      </c>
      <c r="O3" s="17">
        <v>1</v>
      </c>
      <c r="P3" s="22" t="s">
        <v>1018</v>
      </c>
      <c r="Q3" s="35">
        <v>4</v>
      </c>
      <c r="R3" s="34" t="s">
        <v>1290</v>
      </c>
      <c r="S3" s="7">
        <v>4</v>
      </c>
      <c r="T3" s="53" t="s">
        <v>1291</v>
      </c>
      <c r="U3" s="5">
        <v>3</v>
      </c>
      <c r="V3" s="21" t="s">
        <v>1273</v>
      </c>
      <c r="W3" s="7">
        <v>4</v>
      </c>
      <c r="X3" s="7" t="s">
        <v>1292</v>
      </c>
      <c r="Y3" s="7">
        <v>4</v>
      </c>
      <c r="Z3" s="68" t="s">
        <v>133</v>
      </c>
      <c r="AA3" s="7">
        <v>4</v>
      </c>
      <c r="AB3" s="34" t="s">
        <v>1293</v>
      </c>
      <c r="AC3" s="21">
        <v>4</v>
      </c>
      <c r="AD3" s="19" t="s">
        <v>1294</v>
      </c>
      <c r="AE3" s="5">
        <v>4</v>
      </c>
      <c r="AF3" s="22" t="s">
        <v>24</v>
      </c>
      <c r="AG3" s="22">
        <v>4</v>
      </c>
      <c r="AH3" s="17" t="s">
        <v>1295</v>
      </c>
      <c r="AI3" s="22">
        <v>4</v>
      </c>
      <c r="AJ3" s="68" t="s">
        <v>447</v>
      </c>
      <c r="AK3" s="7">
        <v>4</v>
      </c>
      <c r="AL3" s="22" t="s">
        <v>32</v>
      </c>
      <c r="AM3" s="7">
        <v>4</v>
      </c>
      <c r="AN3" s="34" t="s">
        <v>1296</v>
      </c>
      <c r="AO3" s="22">
        <v>4</v>
      </c>
      <c r="AP3" s="8" t="s">
        <v>1297</v>
      </c>
      <c r="AQ3" s="7">
        <v>4</v>
      </c>
      <c r="AR3" s="22" t="s">
        <v>1298</v>
      </c>
      <c r="AS3" s="69">
        <v>2</v>
      </c>
      <c r="AT3" s="25" t="s">
        <v>1299</v>
      </c>
      <c r="AU3" s="7">
        <v>3</v>
      </c>
      <c r="AV3" s="8" t="s">
        <v>1300</v>
      </c>
      <c r="AW3" s="7">
        <v>4</v>
      </c>
      <c r="AX3" s="34" t="s">
        <v>74</v>
      </c>
      <c r="AY3" s="22">
        <v>2</v>
      </c>
      <c r="AZ3" s="14" t="s">
        <v>1301</v>
      </c>
      <c r="BA3" s="7">
        <v>1</v>
      </c>
      <c r="BB3" s="22" t="s">
        <v>1302</v>
      </c>
      <c r="BC3" s="7">
        <v>4</v>
      </c>
      <c r="BD3" s="22" t="s">
        <v>1303</v>
      </c>
      <c r="BE3" s="22">
        <v>3</v>
      </c>
      <c r="BF3" s="14" t="s">
        <v>1304</v>
      </c>
      <c r="BG3" s="8">
        <v>4</v>
      </c>
      <c r="BH3" s="22" t="s">
        <v>1305</v>
      </c>
      <c r="BI3" s="7">
        <v>4</v>
      </c>
      <c r="BJ3" s="53" t="s">
        <v>1306</v>
      </c>
      <c r="BK3" s="43">
        <v>4</v>
      </c>
      <c r="BL3" s="7" t="s">
        <v>346</v>
      </c>
      <c r="BM3" s="7">
        <v>4</v>
      </c>
      <c r="BN3" s="14" t="s">
        <v>1307</v>
      </c>
      <c r="BO3" s="70">
        <v>2</v>
      </c>
      <c r="BP3" s="8" t="s">
        <v>312</v>
      </c>
      <c r="BQ3" s="8">
        <v>4</v>
      </c>
      <c r="BR3" s="8" t="s">
        <v>100</v>
      </c>
      <c r="BS3" s="8">
        <v>2</v>
      </c>
      <c r="BT3" s="8" t="s">
        <v>810</v>
      </c>
      <c r="BU3" s="5">
        <v>4</v>
      </c>
      <c r="BV3" s="5" t="s">
        <v>45</v>
      </c>
      <c r="BW3" s="8">
        <v>1</v>
      </c>
      <c r="BX3" s="8" t="s">
        <v>2854</v>
      </c>
      <c r="BY3" s="17">
        <v>4</v>
      </c>
      <c r="BZ3" s="17" t="s">
        <v>2646</v>
      </c>
      <c r="CA3" s="18">
        <v>1</v>
      </c>
      <c r="CB3" s="8" t="s">
        <v>111</v>
      </c>
    </row>
    <row r="4" spans="1:80">
      <c r="A4" s="7">
        <v>4</v>
      </c>
      <c r="B4" s="22" t="s">
        <v>1181</v>
      </c>
      <c r="C4" s="17">
        <v>4</v>
      </c>
      <c r="D4" s="22" t="s">
        <v>19</v>
      </c>
      <c r="E4" s="17">
        <v>2</v>
      </c>
      <c r="F4" s="22" t="s">
        <v>1308</v>
      </c>
      <c r="G4" s="17">
        <v>21</v>
      </c>
      <c r="H4" s="14" t="s">
        <v>1309</v>
      </c>
      <c r="I4" s="7">
        <v>1</v>
      </c>
      <c r="J4" s="22" t="s">
        <v>1310</v>
      </c>
      <c r="K4" s="7">
        <v>1</v>
      </c>
      <c r="L4" s="22" t="s">
        <v>311</v>
      </c>
      <c r="M4" s="7">
        <v>1</v>
      </c>
      <c r="N4" s="22" t="s">
        <v>1019</v>
      </c>
      <c r="O4" s="7">
        <v>1</v>
      </c>
      <c r="P4" s="8" t="s">
        <v>1023</v>
      </c>
      <c r="Q4" s="35">
        <v>4</v>
      </c>
      <c r="R4" s="34" t="s">
        <v>1311</v>
      </c>
      <c r="S4" s="7">
        <v>1</v>
      </c>
      <c r="T4" s="53" t="s">
        <v>1312</v>
      </c>
      <c r="U4" s="5">
        <v>4</v>
      </c>
      <c r="V4" s="21" t="s">
        <v>1313</v>
      </c>
      <c r="W4" s="7">
        <v>1</v>
      </c>
      <c r="X4" s="7" t="s">
        <v>1314</v>
      </c>
      <c r="Y4" s="7">
        <v>4</v>
      </c>
      <c r="Z4" s="68" t="s">
        <v>1315</v>
      </c>
      <c r="AA4" s="7">
        <v>3</v>
      </c>
      <c r="AB4" s="34" t="s">
        <v>1316</v>
      </c>
      <c r="AC4" s="21">
        <v>4</v>
      </c>
      <c r="AD4" s="19" t="s">
        <v>1317</v>
      </c>
      <c r="AE4" s="5">
        <v>2</v>
      </c>
      <c r="AF4" s="22" t="s">
        <v>1318</v>
      </c>
      <c r="AG4" s="22">
        <v>4</v>
      </c>
      <c r="AH4" s="17" t="s">
        <v>1319</v>
      </c>
      <c r="AI4" s="22">
        <v>1</v>
      </c>
      <c r="AJ4" s="68" t="s">
        <v>1320</v>
      </c>
      <c r="AK4" s="7">
        <v>4</v>
      </c>
      <c r="AL4" s="22" t="s">
        <v>826</v>
      </c>
      <c r="AM4" s="7">
        <v>4</v>
      </c>
      <c r="AN4" s="34" t="s">
        <v>1321</v>
      </c>
      <c r="AO4" s="22">
        <v>4</v>
      </c>
      <c r="AP4" s="8" t="s">
        <v>336</v>
      </c>
      <c r="AQ4" s="7">
        <v>4</v>
      </c>
      <c r="AR4" s="22" t="s">
        <v>1322</v>
      </c>
      <c r="AS4" s="69">
        <v>4</v>
      </c>
      <c r="AT4" s="25" t="s">
        <v>1323</v>
      </c>
      <c r="AU4" s="7">
        <v>4</v>
      </c>
      <c r="AV4" s="8" t="s">
        <v>1324</v>
      </c>
      <c r="AW4" s="7">
        <v>4</v>
      </c>
      <c r="AX4" s="34" t="s">
        <v>1325</v>
      </c>
      <c r="AY4" s="22">
        <v>3</v>
      </c>
      <c r="AZ4" s="14" t="s">
        <v>1326</v>
      </c>
      <c r="BA4" s="7">
        <v>1</v>
      </c>
      <c r="BB4" s="22" t="s">
        <v>117</v>
      </c>
      <c r="BC4" s="7">
        <v>4</v>
      </c>
      <c r="BD4" s="22" t="s">
        <v>1327</v>
      </c>
      <c r="BE4" s="22">
        <v>4</v>
      </c>
      <c r="BF4" s="14" t="s">
        <v>1328</v>
      </c>
      <c r="BG4" s="8">
        <v>4</v>
      </c>
      <c r="BH4" s="22" t="s">
        <v>1329</v>
      </c>
      <c r="BI4" s="7">
        <v>4</v>
      </c>
      <c r="BJ4" s="22" t="s">
        <v>1330</v>
      </c>
      <c r="BK4" s="43">
        <v>2</v>
      </c>
      <c r="BL4" s="7" t="s">
        <v>368</v>
      </c>
      <c r="BM4" s="7">
        <v>4</v>
      </c>
      <c r="BN4" s="14" t="s">
        <v>136</v>
      </c>
      <c r="BO4" s="70">
        <v>4</v>
      </c>
      <c r="BP4" s="8" t="s">
        <v>352</v>
      </c>
      <c r="BQ4" s="8">
        <v>4</v>
      </c>
      <c r="BR4" s="8" t="s">
        <v>1331</v>
      </c>
      <c r="BS4" s="8">
        <v>2</v>
      </c>
      <c r="BT4" s="8" t="s">
        <v>864</v>
      </c>
      <c r="BU4" s="5">
        <v>4</v>
      </c>
      <c r="BV4" s="5" t="s">
        <v>394</v>
      </c>
      <c r="BW4" s="8">
        <v>3</v>
      </c>
      <c r="BX4" s="8" t="s">
        <v>2835</v>
      </c>
      <c r="BY4" s="133">
        <v>1</v>
      </c>
      <c r="BZ4" s="8" t="s">
        <v>453</v>
      </c>
      <c r="CA4" s="18">
        <v>1</v>
      </c>
      <c r="CB4" s="138" t="s">
        <v>2597</v>
      </c>
    </row>
    <row r="5" spans="1:80">
      <c r="A5" s="7">
        <v>3</v>
      </c>
      <c r="B5" s="22" t="s">
        <v>1332</v>
      </c>
      <c r="C5" s="17">
        <v>4</v>
      </c>
      <c r="D5" s="22" t="s">
        <v>73</v>
      </c>
      <c r="E5" s="17">
        <v>3</v>
      </c>
      <c r="F5" s="22" t="s">
        <v>1333</v>
      </c>
      <c r="G5" s="17">
        <v>11</v>
      </c>
      <c r="H5" s="14" t="s">
        <v>1334</v>
      </c>
      <c r="I5" s="7">
        <v>1</v>
      </c>
      <c r="J5" s="22" t="s">
        <v>1174</v>
      </c>
      <c r="K5" s="17">
        <v>7</v>
      </c>
      <c r="L5" s="22" t="s">
        <v>1097</v>
      </c>
      <c r="M5" s="7">
        <v>1</v>
      </c>
      <c r="N5" s="22" t="s">
        <v>1012</v>
      </c>
      <c r="O5" s="17">
        <v>1</v>
      </c>
      <c r="P5" s="22" t="s">
        <v>1027</v>
      </c>
      <c r="Q5" s="35">
        <v>4</v>
      </c>
      <c r="R5" s="34" t="s">
        <v>1335</v>
      </c>
      <c r="S5" s="7">
        <v>1</v>
      </c>
      <c r="T5" s="53" t="s">
        <v>1336</v>
      </c>
      <c r="U5" s="5">
        <v>4</v>
      </c>
      <c r="V5" s="21" t="s">
        <v>831</v>
      </c>
      <c r="W5" s="7">
        <v>1</v>
      </c>
      <c r="X5" s="7" t="s">
        <v>896</v>
      </c>
      <c r="Y5" s="7">
        <v>4</v>
      </c>
      <c r="Z5" s="68" t="s">
        <v>1337</v>
      </c>
      <c r="AA5" s="7">
        <v>4</v>
      </c>
      <c r="AB5" s="34" t="s">
        <v>1338</v>
      </c>
      <c r="AC5" s="21">
        <v>4</v>
      </c>
      <c r="AD5" s="19" t="s">
        <v>1339</v>
      </c>
      <c r="AE5" s="5">
        <v>3</v>
      </c>
      <c r="AF5" s="22" t="s">
        <v>806</v>
      </c>
      <c r="AG5" s="22">
        <v>3</v>
      </c>
      <c r="AH5" s="17" t="s">
        <v>1340</v>
      </c>
      <c r="AI5" s="22">
        <v>1</v>
      </c>
      <c r="AJ5" s="68" t="s">
        <v>471</v>
      </c>
      <c r="AK5" s="7">
        <v>4</v>
      </c>
      <c r="AL5" s="22" t="s">
        <v>859</v>
      </c>
      <c r="AM5" s="7">
        <v>4</v>
      </c>
      <c r="AN5" s="34" t="s">
        <v>1341</v>
      </c>
      <c r="AO5" s="22">
        <v>2</v>
      </c>
      <c r="AP5" s="8" t="s">
        <v>1342</v>
      </c>
      <c r="AQ5" s="7">
        <v>1</v>
      </c>
      <c r="AR5" s="22" t="s">
        <v>1343</v>
      </c>
      <c r="AS5" s="69">
        <v>2</v>
      </c>
      <c r="AT5" s="25" t="s">
        <v>1344</v>
      </c>
      <c r="AU5" s="7">
        <v>3</v>
      </c>
      <c r="AV5" s="8" t="s">
        <v>1345</v>
      </c>
      <c r="AW5" s="7">
        <v>4</v>
      </c>
      <c r="AX5" s="34" t="s">
        <v>1346</v>
      </c>
      <c r="AY5" s="22">
        <v>3</v>
      </c>
      <c r="AZ5" s="14" t="s">
        <v>1347</v>
      </c>
      <c r="BA5" s="7">
        <v>1</v>
      </c>
      <c r="BB5" s="22" t="s">
        <v>1348</v>
      </c>
      <c r="BC5" s="7">
        <v>4</v>
      </c>
      <c r="BD5" s="22" t="s">
        <v>1349</v>
      </c>
      <c r="BE5" s="22">
        <v>2</v>
      </c>
      <c r="BF5" s="14" t="s">
        <v>1350</v>
      </c>
      <c r="BG5" s="8">
        <v>1</v>
      </c>
      <c r="BH5" s="22" t="s">
        <v>1351</v>
      </c>
      <c r="BI5" s="7">
        <v>4</v>
      </c>
      <c r="BJ5" s="22" t="s">
        <v>1352</v>
      </c>
      <c r="BK5" s="43">
        <v>4</v>
      </c>
      <c r="BL5" s="7" t="s">
        <v>393</v>
      </c>
      <c r="BM5" s="7">
        <v>4</v>
      </c>
      <c r="BN5" s="14" t="s">
        <v>1353</v>
      </c>
      <c r="BO5" s="8">
        <v>3</v>
      </c>
      <c r="BP5" s="8" t="s">
        <v>2948</v>
      </c>
      <c r="BQ5" s="8">
        <v>1</v>
      </c>
      <c r="BR5" s="8" t="s">
        <v>165</v>
      </c>
      <c r="BS5" s="19">
        <v>4</v>
      </c>
      <c r="BT5" s="19" t="s">
        <v>830</v>
      </c>
      <c r="BU5" s="5">
        <v>4</v>
      </c>
      <c r="BV5" s="5" t="s">
        <v>29</v>
      </c>
      <c r="BW5" s="17">
        <v>7</v>
      </c>
      <c r="BX5" s="17" t="s">
        <v>2836</v>
      </c>
      <c r="BY5" s="133">
        <v>4</v>
      </c>
      <c r="BZ5" s="136" t="s">
        <v>2632</v>
      </c>
      <c r="CA5" s="18">
        <v>1</v>
      </c>
      <c r="CB5" s="138" t="s">
        <v>415</v>
      </c>
    </row>
    <row r="6" spans="1:80">
      <c r="A6" s="7">
        <v>4</v>
      </c>
      <c r="B6" s="22" t="s">
        <v>73</v>
      </c>
      <c r="C6" s="17">
        <v>1</v>
      </c>
      <c r="D6" s="22" t="s">
        <v>1355</v>
      </c>
      <c r="E6" s="17">
        <v>4</v>
      </c>
      <c r="F6" s="8" t="s">
        <v>1356</v>
      </c>
      <c r="G6" s="17">
        <v>4</v>
      </c>
      <c r="H6" s="14" t="s">
        <v>1357</v>
      </c>
      <c r="I6" s="7">
        <v>1</v>
      </c>
      <c r="J6" s="22" t="s">
        <v>1179</v>
      </c>
      <c r="K6" s="7">
        <v>1</v>
      </c>
      <c r="L6" s="22" t="s">
        <v>1091</v>
      </c>
      <c r="M6" s="7">
        <v>1</v>
      </c>
      <c r="N6" s="22" t="s">
        <v>1028</v>
      </c>
      <c r="O6" s="17">
        <v>1</v>
      </c>
      <c r="P6" s="8" t="s">
        <v>1034</v>
      </c>
      <c r="Q6" s="35">
        <v>4</v>
      </c>
      <c r="R6" s="34" t="s">
        <v>1358</v>
      </c>
      <c r="S6" s="7">
        <v>1</v>
      </c>
      <c r="T6" s="53" t="s">
        <v>1359</v>
      </c>
      <c r="U6" s="5">
        <v>1</v>
      </c>
      <c r="V6" s="21" t="s">
        <v>1360</v>
      </c>
      <c r="W6" s="7">
        <v>1</v>
      </c>
      <c r="X6" s="7" t="s">
        <v>1361</v>
      </c>
      <c r="Y6" s="7">
        <v>4</v>
      </c>
      <c r="Z6" s="68" t="s">
        <v>39</v>
      </c>
      <c r="AA6" s="7">
        <v>4</v>
      </c>
      <c r="AB6" s="34" t="s">
        <v>1362</v>
      </c>
      <c r="AC6" s="21">
        <v>3</v>
      </c>
      <c r="AD6" s="19" t="s">
        <v>1363</v>
      </c>
      <c r="AE6" s="18">
        <v>1</v>
      </c>
      <c r="AF6" s="22" t="s">
        <v>798</v>
      </c>
      <c r="AG6" s="22">
        <v>4</v>
      </c>
      <c r="AH6" s="17" t="s">
        <v>148</v>
      </c>
      <c r="AI6" s="22">
        <v>1</v>
      </c>
      <c r="AJ6" s="68" t="s">
        <v>517</v>
      </c>
      <c r="AK6" s="7">
        <v>3</v>
      </c>
      <c r="AL6" s="22" t="s">
        <v>1364</v>
      </c>
      <c r="AM6" s="7">
        <v>4</v>
      </c>
      <c r="AN6" s="34" t="s">
        <v>1365</v>
      </c>
      <c r="AO6" s="22">
        <v>4</v>
      </c>
      <c r="AP6" s="8" t="s">
        <v>430</v>
      </c>
      <c r="AQ6" s="7">
        <v>4</v>
      </c>
      <c r="AR6" s="53" t="s">
        <v>1366</v>
      </c>
      <c r="AS6" s="69">
        <v>2</v>
      </c>
      <c r="AT6" s="25" t="s">
        <v>1367</v>
      </c>
      <c r="AU6" s="7">
        <v>4</v>
      </c>
      <c r="AV6" s="8" t="s">
        <v>1368</v>
      </c>
      <c r="AW6" s="7">
        <v>1</v>
      </c>
      <c r="AX6" s="34" t="s">
        <v>1369</v>
      </c>
      <c r="AY6" s="22">
        <v>3</v>
      </c>
      <c r="AZ6" s="14" t="s">
        <v>1370</v>
      </c>
      <c r="BA6" s="7">
        <v>1</v>
      </c>
      <c r="BB6" s="22" t="s">
        <v>1371</v>
      </c>
      <c r="BC6" s="7">
        <v>1</v>
      </c>
      <c r="BD6" s="22" t="s">
        <v>1372</v>
      </c>
      <c r="BE6" s="22">
        <v>4</v>
      </c>
      <c r="BF6" s="14" t="s">
        <v>1373</v>
      </c>
      <c r="BG6" s="8">
        <v>4</v>
      </c>
      <c r="BH6" s="22" t="s">
        <v>1374</v>
      </c>
      <c r="BI6" s="7">
        <v>4</v>
      </c>
      <c r="BJ6" s="22" t="s">
        <v>1375</v>
      </c>
      <c r="BK6" s="43">
        <v>4</v>
      </c>
      <c r="BL6" s="7" t="s">
        <v>420</v>
      </c>
      <c r="BM6" s="7">
        <v>2</v>
      </c>
      <c r="BN6" s="14" t="s">
        <v>1376</v>
      </c>
      <c r="BO6" s="70">
        <v>1</v>
      </c>
      <c r="BP6" s="8" t="s">
        <v>1354</v>
      </c>
      <c r="BQ6" s="8">
        <v>4</v>
      </c>
      <c r="BR6" s="8" t="s">
        <v>57</v>
      </c>
      <c r="BS6" s="22">
        <v>2</v>
      </c>
      <c r="BT6" s="22" t="s">
        <v>852</v>
      </c>
      <c r="BU6" s="5">
        <v>4</v>
      </c>
      <c r="BV6" s="5" t="s">
        <v>78</v>
      </c>
      <c r="BW6" s="133">
        <v>3</v>
      </c>
      <c r="BX6" s="8" t="s">
        <v>2837</v>
      </c>
      <c r="BY6" s="133">
        <v>4</v>
      </c>
      <c r="BZ6" s="133" t="s">
        <v>2652</v>
      </c>
      <c r="CA6" s="18">
        <v>1</v>
      </c>
      <c r="CB6" s="138" t="s">
        <v>2598</v>
      </c>
    </row>
    <row r="7" spans="1:80">
      <c r="A7" s="7">
        <v>1</v>
      </c>
      <c r="B7" s="22" t="s">
        <v>1189</v>
      </c>
      <c r="C7" s="17">
        <v>4</v>
      </c>
      <c r="D7" s="22" t="s">
        <v>1378</v>
      </c>
      <c r="E7" s="17">
        <v>4</v>
      </c>
      <c r="F7" s="8" t="s">
        <v>1379</v>
      </c>
      <c r="G7" s="17">
        <v>4</v>
      </c>
      <c r="H7" s="14" t="s">
        <v>237</v>
      </c>
      <c r="I7" s="7">
        <v>1</v>
      </c>
      <c r="J7" s="22" t="s">
        <v>1187</v>
      </c>
      <c r="K7" s="7">
        <v>4</v>
      </c>
      <c r="L7" s="22" t="s">
        <v>1104</v>
      </c>
      <c r="M7" s="7">
        <v>4</v>
      </c>
      <c r="N7" s="22" t="s">
        <v>1032</v>
      </c>
      <c r="O7" s="17">
        <v>4</v>
      </c>
      <c r="P7" s="22" t="s">
        <v>381</v>
      </c>
      <c r="Q7" s="35">
        <v>4</v>
      </c>
      <c r="R7" s="34" t="s">
        <v>1380</v>
      </c>
      <c r="S7" s="7">
        <v>1</v>
      </c>
      <c r="T7" s="53" t="s">
        <v>1381</v>
      </c>
      <c r="U7" s="5">
        <v>4</v>
      </c>
      <c r="V7" s="21" t="s">
        <v>351</v>
      </c>
      <c r="W7" s="7">
        <v>4</v>
      </c>
      <c r="X7" s="7" t="s">
        <v>1382</v>
      </c>
      <c r="Y7" s="7">
        <v>4</v>
      </c>
      <c r="Z7" s="68" t="s">
        <v>25</v>
      </c>
      <c r="AA7" s="7">
        <v>3</v>
      </c>
      <c r="AB7" s="34" t="s">
        <v>1383</v>
      </c>
      <c r="AC7" s="21">
        <v>2</v>
      </c>
      <c r="AD7" s="19" t="s">
        <v>1384</v>
      </c>
      <c r="AE7" s="18">
        <v>4</v>
      </c>
      <c r="AF7" s="22" t="s">
        <v>148</v>
      </c>
      <c r="AG7" s="22">
        <v>1</v>
      </c>
      <c r="AH7" s="17" t="s">
        <v>1385</v>
      </c>
      <c r="AI7" s="22">
        <v>4</v>
      </c>
      <c r="AJ7" s="68" t="s">
        <v>329</v>
      </c>
      <c r="AK7" s="7">
        <v>2</v>
      </c>
      <c r="AL7" s="22" t="s">
        <v>902</v>
      </c>
      <c r="AM7" s="7">
        <v>4</v>
      </c>
      <c r="AN7" s="34" t="s">
        <v>232</v>
      </c>
      <c r="AO7" s="22">
        <v>1</v>
      </c>
      <c r="AP7" s="8" t="s">
        <v>1386</v>
      </c>
      <c r="AQ7" s="7">
        <v>3</v>
      </c>
      <c r="AR7" s="22" t="s">
        <v>513</v>
      </c>
      <c r="AS7" s="69">
        <v>4</v>
      </c>
      <c r="AT7" s="25" t="s">
        <v>1387</v>
      </c>
      <c r="AU7" s="7">
        <v>1</v>
      </c>
      <c r="AV7" s="8" t="s">
        <v>1388</v>
      </c>
      <c r="AW7" s="7">
        <v>4</v>
      </c>
      <c r="AX7" s="8" t="s">
        <v>1389</v>
      </c>
      <c r="AY7" s="22">
        <v>2</v>
      </c>
      <c r="AZ7" s="14" t="s">
        <v>1390</v>
      </c>
      <c r="BA7" s="7">
        <v>1</v>
      </c>
      <c r="BB7" s="22" t="s">
        <v>1391</v>
      </c>
      <c r="BC7" s="7">
        <v>1</v>
      </c>
      <c r="BD7" s="22" t="s">
        <v>1392</v>
      </c>
      <c r="BE7" s="22">
        <v>2</v>
      </c>
      <c r="BF7" s="14" t="s">
        <v>1393</v>
      </c>
      <c r="BG7" s="8">
        <v>4</v>
      </c>
      <c r="BH7" s="22" t="s">
        <v>1394</v>
      </c>
      <c r="BI7" s="7">
        <v>3</v>
      </c>
      <c r="BJ7" s="22" t="s">
        <v>1395</v>
      </c>
      <c r="BK7" s="43">
        <v>4</v>
      </c>
      <c r="BL7" s="7" t="s">
        <v>466</v>
      </c>
      <c r="BM7" s="7">
        <v>4</v>
      </c>
      <c r="BN7" s="14" t="s">
        <v>1396</v>
      </c>
      <c r="BO7" s="70">
        <v>1</v>
      </c>
      <c r="BP7" s="8" t="s">
        <v>1377</v>
      </c>
      <c r="BQ7" s="8">
        <v>1</v>
      </c>
      <c r="BR7" s="8" t="s">
        <v>458</v>
      </c>
      <c r="BS7" s="19">
        <v>4</v>
      </c>
      <c r="BT7" s="21" t="s">
        <v>60</v>
      </c>
      <c r="BU7" s="5">
        <v>4</v>
      </c>
      <c r="BV7" s="5" t="s">
        <v>602</v>
      </c>
      <c r="BW7" s="133">
        <v>4</v>
      </c>
      <c r="BX7" s="8" t="s">
        <v>1946</v>
      </c>
      <c r="BY7" s="133">
        <v>4</v>
      </c>
      <c r="BZ7" s="133" t="s">
        <v>2653</v>
      </c>
      <c r="CA7" s="18">
        <v>4</v>
      </c>
      <c r="CB7" s="138" t="s">
        <v>2603</v>
      </c>
    </row>
    <row r="8" spans="1:80">
      <c r="A8" s="7">
        <v>1</v>
      </c>
      <c r="B8" s="22" t="s">
        <v>427</v>
      </c>
      <c r="C8" s="17">
        <v>4</v>
      </c>
      <c r="D8" s="22" t="s">
        <v>63</v>
      </c>
      <c r="E8" s="17">
        <v>2</v>
      </c>
      <c r="F8" s="8" t="s">
        <v>409</v>
      </c>
      <c r="G8" s="17">
        <v>4</v>
      </c>
      <c r="H8" s="14" t="s">
        <v>122</v>
      </c>
      <c r="I8" s="7">
        <v>4</v>
      </c>
      <c r="J8" s="22" t="s">
        <v>535</v>
      </c>
      <c r="K8" s="7">
        <v>3</v>
      </c>
      <c r="L8" s="22" t="s">
        <v>1116</v>
      </c>
      <c r="M8" s="7">
        <v>1</v>
      </c>
      <c r="N8" s="22" t="s">
        <v>1015</v>
      </c>
      <c r="O8" s="17">
        <v>2</v>
      </c>
      <c r="P8" s="22" t="s">
        <v>405</v>
      </c>
      <c r="Q8" s="35">
        <v>4</v>
      </c>
      <c r="R8" s="34" t="s">
        <v>1398</v>
      </c>
      <c r="S8" s="7">
        <v>3</v>
      </c>
      <c r="T8" s="53" t="s">
        <v>1399</v>
      </c>
      <c r="U8" s="5">
        <v>1</v>
      </c>
      <c r="V8" s="21" t="s">
        <v>1314</v>
      </c>
      <c r="W8" s="7">
        <v>4</v>
      </c>
      <c r="X8" s="7" t="s">
        <v>1400</v>
      </c>
      <c r="Y8" s="7">
        <v>1</v>
      </c>
      <c r="Z8" s="68" t="s">
        <v>144</v>
      </c>
      <c r="AA8" s="7">
        <v>4</v>
      </c>
      <c r="AB8" s="34" t="s">
        <v>1401</v>
      </c>
      <c r="AC8" s="21">
        <v>3</v>
      </c>
      <c r="AD8" s="19" t="s">
        <v>1402</v>
      </c>
      <c r="AE8" s="18">
        <v>4</v>
      </c>
      <c r="AF8" s="22" t="s">
        <v>1403</v>
      </c>
      <c r="AG8" s="22">
        <v>3</v>
      </c>
      <c r="AH8" s="17" t="s">
        <v>1404</v>
      </c>
      <c r="AI8" s="22">
        <v>4</v>
      </c>
      <c r="AJ8" s="68" t="s">
        <v>398</v>
      </c>
      <c r="AK8" s="7">
        <v>2</v>
      </c>
      <c r="AL8" s="22" t="s">
        <v>922</v>
      </c>
      <c r="AM8" s="7">
        <v>3</v>
      </c>
      <c r="AN8" s="34" t="s">
        <v>1405</v>
      </c>
      <c r="AO8" s="22">
        <v>2</v>
      </c>
      <c r="AP8" s="8" t="s">
        <v>479</v>
      </c>
      <c r="AQ8" s="7">
        <v>1</v>
      </c>
      <c r="AR8" s="22" t="s">
        <v>1406</v>
      </c>
      <c r="AS8" s="69">
        <v>3</v>
      </c>
      <c r="AT8" s="25" t="s">
        <v>1407</v>
      </c>
      <c r="AU8" s="7">
        <v>4</v>
      </c>
      <c r="AV8" s="8" t="s">
        <v>1389</v>
      </c>
      <c r="AW8" s="7">
        <v>2</v>
      </c>
      <c r="AX8" s="68" t="s">
        <v>1408</v>
      </c>
      <c r="AY8" s="53">
        <v>2</v>
      </c>
      <c r="AZ8" s="14" t="s">
        <v>1409</v>
      </c>
      <c r="BA8" s="7">
        <v>1</v>
      </c>
      <c r="BB8" s="22" t="s">
        <v>1410</v>
      </c>
      <c r="BC8" s="7">
        <v>1</v>
      </c>
      <c r="BD8" s="22" t="s">
        <v>1411</v>
      </c>
      <c r="BE8" s="22">
        <v>2</v>
      </c>
      <c r="BF8" s="14" t="s">
        <v>1412</v>
      </c>
      <c r="BG8" s="8">
        <v>1</v>
      </c>
      <c r="BH8" s="22" t="s">
        <v>1413</v>
      </c>
      <c r="BI8" s="7">
        <v>4</v>
      </c>
      <c r="BJ8" s="22" t="s">
        <v>1414</v>
      </c>
      <c r="BK8" s="43">
        <v>3</v>
      </c>
      <c r="BL8" s="7" t="s">
        <v>491</v>
      </c>
      <c r="BM8" s="7">
        <v>2</v>
      </c>
      <c r="BN8" s="14" t="s">
        <v>414</v>
      </c>
      <c r="BO8" s="70">
        <v>4</v>
      </c>
      <c r="BP8" s="8" t="s">
        <v>2945</v>
      </c>
      <c r="BQ8" s="8">
        <v>1</v>
      </c>
      <c r="BR8" s="8" t="s">
        <v>1415</v>
      </c>
      <c r="BS8" s="19">
        <v>4</v>
      </c>
      <c r="BT8" s="19" t="s">
        <v>1416</v>
      </c>
      <c r="BU8" s="5">
        <v>4</v>
      </c>
      <c r="BV8" s="5" t="s">
        <v>158</v>
      </c>
      <c r="BW8" s="133">
        <v>4</v>
      </c>
      <c r="BX8" s="133" t="s">
        <v>1952</v>
      </c>
      <c r="BY8" s="133">
        <v>3</v>
      </c>
      <c r="BZ8" s="133" t="s">
        <v>478</v>
      </c>
      <c r="CA8" s="137">
        <v>4</v>
      </c>
      <c r="CB8" s="138" t="s">
        <v>510</v>
      </c>
    </row>
    <row r="9" spans="1:80">
      <c r="A9" s="7">
        <v>1</v>
      </c>
      <c r="B9" s="22" t="s">
        <v>1197</v>
      </c>
      <c r="C9" s="17">
        <v>3</v>
      </c>
      <c r="D9" s="22" t="s">
        <v>1417</v>
      </c>
      <c r="E9" s="17">
        <v>4</v>
      </c>
      <c r="F9" s="146" t="s">
        <v>2939</v>
      </c>
      <c r="G9" s="17">
        <v>4</v>
      </c>
      <c r="H9" s="14" t="s">
        <v>1224</v>
      </c>
      <c r="I9" s="7">
        <v>1</v>
      </c>
      <c r="J9" s="22" t="s">
        <v>1169</v>
      </c>
      <c r="K9" s="7">
        <v>3</v>
      </c>
      <c r="L9" s="22" t="s">
        <v>1418</v>
      </c>
      <c r="M9" s="7">
        <v>4</v>
      </c>
      <c r="N9" s="22" t="s">
        <v>381</v>
      </c>
      <c r="O9" s="17">
        <v>4</v>
      </c>
      <c r="P9" s="22" t="s">
        <v>1016</v>
      </c>
      <c r="Q9" s="35">
        <v>4</v>
      </c>
      <c r="R9" s="34" t="s">
        <v>1419</v>
      </c>
      <c r="S9" s="7">
        <v>1</v>
      </c>
      <c r="T9" s="53" t="s">
        <v>1420</v>
      </c>
      <c r="U9" s="5">
        <v>1</v>
      </c>
      <c r="V9" s="21" t="s">
        <v>1421</v>
      </c>
      <c r="W9" s="7">
        <v>3</v>
      </c>
      <c r="X9" s="7" t="s">
        <v>1422</v>
      </c>
      <c r="Y9" s="7">
        <v>1</v>
      </c>
      <c r="Z9" s="68" t="s">
        <v>159</v>
      </c>
      <c r="AA9" s="7">
        <v>1</v>
      </c>
      <c r="AB9" s="34" t="s">
        <v>1423</v>
      </c>
      <c r="AC9" s="21">
        <v>3</v>
      </c>
      <c r="AD9" s="19" t="s">
        <v>1424</v>
      </c>
      <c r="AE9" s="18">
        <v>1</v>
      </c>
      <c r="AF9" s="22" t="s">
        <v>1425</v>
      </c>
      <c r="AG9" s="22">
        <v>1</v>
      </c>
      <c r="AH9" s="17" t="s">
        <v>1426</v>
      </c>
      <c r="AI9" s="22">
        <v>2</v>
      </c>
      <c r="AJ9" s="68" t="s">
        <v>350</v>
      </c>
      <c r="AK9" s="7">
        <v>1</v>
      </c>
      <c r="AL9" s="22" t="s">
        <v>1427</v>
      </c>
      <c r="AM9" s="7">
        <v>4</v>
      </c>
      <c r="AN9" s="34" t="s">
        <v>1428</v>
      </c>
      <c r="AO9" s="22">
        <v>1</v>
      </c>
      <c r="AP9" s="8" t="s">
        <v>1429</v>
      </c>
      <c r="AQ9" s="7">
        <v>3</v>
      </c>
      <c r="AR9" s="22" t="s">
        <v>1430</v>
      </c>
      <c r="AS9" s="69">
        <v>1</v>
      </c>
      <c r="AT9" s="25" t="s">
        <v>1431</v>
      </c>
      <c r="AU9" s="7">
        <v>1</v>
      </c>
      <c r="AV9" s="8" t="s">
        <v>511</v>
      </c>
      <c r="AW9" s="7">
        <v>3</v>
      </c>
      <c r="AX9" s="34" t="s">
        <v>1432</v>
      </c>
      <c r="AY9" s="22">
        <v>4</v>
      </c>
      <c r="AZ9" s="14" t="s">
        <v>1433</v>
      </c>
      <c r="BA9" s="7">
        <v>1</v>
      </c>
      <c r="BB9" s="53" t="s">
        <v>1434</v>
      </c>
      <c r="BC9" s="7">
        <v>1</v>
      </c>
      <c r="BD9" s="22" t="s">
        <v>1435</v>
      </c>
      <c r="BE9" s="22">
        <v>2</v>
      </c>
      <c r="BF9" s="14" t="s">
        <v>1189</v>
      </c>
      <c r="BG9" s="8">
        <v>1</v>
      </c>
      <c r="BH9" s="22" t="s">
        <v>1436</v>
      </c>
      <c r="BI9" s="7">
        <v>1</v>
      </c>
      <c r="BJ9" s="22" t="s">
        <v>1437</v>
      </c>
      <c r="BK9" s="43">
        <v>3</v>
      </c>
      <c r="BL9" s="7" t="s">
        <v>514</v>
      </c>
      <c r="BM9" s="7">
        <v>4</v>
      </c>
      <c r="BN9" s="14" t="s">
        <v>1438</v>
      </c>
      <c r="BO9" s="70">
        <v>1</v>
      </c>
      <c r="BP9" s="8" t="s">
        <v>1397</v>
      </c>
      <c r="BQ9" s="8">
        <v>4</v>
      </c>
      <c r="BR9" s="8" t="s">
        <v>1439</v>
      </c>
      <c r="BS9" s="19">
        <v>4</v>
      </c>
      <c r="BT9" s="19" t="s">
        <v>1440</v>
      </c>
      <c r="BU9" s="5">
        <v>4</v>
      </c>
      <c r="BV9" s="5" t="s">
        <v>173</v>
      </c>
      <c r="BW9" s="133">
        <v>4</v>
      </c>
      <c r="BX9" s="133" t="s">
        <v>354</v>
      </c>
      <c r="BY9" s="133">
        <v>2</v>
      </c>
      <c r="BZ9" s="133" t="s">
        <v>579</v>
      </c>
      <c r="CA9" s="18">
        <v>3</v>
      </c>
      <c r="CB9" s="138" t="s">
        <v>2601</v>
      </c>
    </row>
    <row r="10" spans="1:80">
      <c r="A10" s="7">
        <v>1</v>
      </c>
      <c r="B10" s="22" t="s">
        <v>1200</v>
      </c>
      <c r="C10" s="17">
        <v>4</v>
      </c>
      <c r="D10" s="22" t="s">
        <v>1221</v>
      </c>
      <c r="E10" s="7">
        <v>4</v>
      </c>
      <c r="F10" s="8" t="s">
        <v>1441</v>
      </c>
      <c r="G10" s="7">
        <v>4</v>
      </c>
      <c r="H10" s="14" t="s">
        <v>949</v>
      </c>
      <c r="I10" s="7">
        <v>1</v>
      </c>
      <c r="J10" s="22" t="s">
        <v>1442</v>
      </c>
      <c r="K10" s="7">
        <v>3</v>
      </c>
      <c r="L10" s="22" t="s">
        <v>1089</v>
      </c>
      <c r="M10" s="7">
        <v>1</v>
      </c>
      <c r="N10" s="22" t="s">
        <v>1034</v>
      </c>
      <c r="O10" s="17">
        <v>3</v>
      </c>
      <c r="P10" s="22" t="s">
        <v>1020</v>
      </c>
      <c r="Q10" s="35">
        <v>4</v>
      </c>
      <c r="R10" s="34" t="s">
        <v>1443</v>
      </c>
      <c r="S10" s="7">
        <v>1</v>
      </c>
      <c r="T10" s="53" t="s">
        <v>1444</v>
      </c>
      <c r="U10" s="5">
        <v>2</v>
      </c>
      <c r="V10" s="21" t="s">
        <v>1445</v>
      </c>
      <c r="W10" s="7">
        <v>1</v>
      </c>
      <c r="X10" s="7" t="s">
        <v>1446</v>
      </c>
      <c r="Y10" s="7">
        <v>4</v>
      </c>
      <c r="Z10" s="68" t="s">
        <v>120</v>
      </c>
      <c r="AA10" s="7">
        <v>1</v>
      </c>
      <c r="AB10" s="34" t="s">
        <v>1447</v>
      </c>
      <c r="AC10" s="21">
        <v>2</v>
      </c>
      <c r="AD10" s="19" t="s">
        <v>1448</v>
      </c>
      <c r="AE10" s="5">
        <v>1</v>
      </c>
      <c r="AF10" s="22" t="s">
        <v>1449</v>
      </c>
      <c r="AG10" s="22">
        <v>1</v>
      </c>
      <c r="AH10" s="17" t="s">
        <v>1450</v>
      </c>
      <c r="AI10" s="22">
        <v>4</v>
      </c>
      <c r="AJ10" s="68" t="s">
        <v>1451</v>
      </c>
      <c r="AK10" s="7">
        <v>2</v>
      </c>
      <c r="AL10" s="22" t="s">
        <v>932</v>
      </c>
      <c r="AM10" s="7">
        <v>1</v>
      </c>
      <c r="AN10" s="34" t="s">
        <v>1452</v>
      </c>
      <c r="AO10" s="22">
        <v>1</v>
      </c>
      <c r="AP10" s="8" t="s">
        <v>1453</v>
      </c>
      <c r="AQ10" s="7">
        <v>1</v>
      </c>
      <c r="AR10" s="22" t="s">
        <v>1454</v>
      </c>
      <c r="AS10" s="69">
        <v>2</v>
      </c>
      <c r="AT10" s="25" t="s">
        <v>1455</v>
      </c>
      <c r="AU10" s="7">
        <v>1</v>
      </c>
      <c r="AV10" s="8" t="s">
        <v>1456</v>
      </c>
      <c r="AW10" s="7">
        <v>1</v>
      </c>
      <c r="AX10" s="34" t="s">
        <v>1457</v>
      </c>
      <c r="AY10" s="22">
        <v>3</v>
      </c>
      <c r="AZ10" s="14" t="s">
        <v>1458</v>
      </c>
      <c r="BA10" s="7">
        <v>1</v>
      </c>
      <c r="BB10" s="22" t="s">
        <v>1459</v>
      </c>
      <c r="BC10" s="7">
        <v>1</v>
      </c>
      <c r="BD10" s="22" t="s">
        <v>1460</v>
      </c>
      <c r="BE10" s="22">
        <v>4</v>
      </c>
      <c r="BF10" s="14" t="s">
        <v>72</v>
      </c>
      <c r="BG10" s="8">
        <v>1</v>
      </c>
      <c r="BH10" s="22" t="s">
        <v>1461</v>
      </c>
      <c r="BI10" s="7">
        <v>4</v>
      </c>
      <c r="BJ10" s="22" t="s">
        <v>1462</v>
      </c>
      <c r="BK10" s="43">
        <v>4</v>
      </c>
      <c r="BL10" s="7" t="s">
        <v>537</v>
      </c>
      <c r="BM10" s="7">
        <v>4</v>
      </c>
      <c r="BN10" s="14" t="s">
        <v>269</v>
      </c>
      <c r="BO10" s="70">
        <v>4</v>
      </c>
      <c r="BP10" s="8" t="s">
        <v>425</v>
      </c>
      <c r="BQ10" s="35">
        <v>4</v>
      </c>
      <c r="BR10" s="8" t="s">
        <v>1463</v>
      </c>
      <c r="BS10" s="21">
        <v>4</v>
      </c>
      <c r="BT10" s="21" t="s">
        <v>182</v>
      </c>
      <c r="BU10" s="5">
        <v>4</v>
      </c>
      <c r="BV10" s="5" t="s">
        <v>187</v>
      </c>
      <c r="BW10" s="133">
        <v>3</v>
      </c>
      <c r="BX10" s="133" t="s">
        <v>378</v>
      </c>
      <c r="BY10" s="133">
        <v>1</v>
      </c>
      <c r="BZ10" s="133" t="s">
        <v>2651</v>
      </c>
      <c r="CA10" s="137">
        <v>1</v>
      </c>
      <c r="CB10" s="138" t="s">
        <v>2600</v>
      </c>
    </row>
    <row r="11" spans="1:80">
      <c r="A11" s="7">
        <v>1</v>
      </c>
      <c r="B11" s="22" t="s">
        <v>103</v>
      </c>
      <c r="C11" s="7">
        <v>4</v>
      </c>
      <c r="D11" s="22" t="s">
        <v>1486</v>
      </c>
      <c r="E11" s="17">
        <v>4</v>
      </c>
      <c r="F11" s="8" t="s">
        <v>1464</v>
      </c>
      <c r="G11" s="63"/>
      <c r="H11" s="65"/>
      <c r="I11" s="7">
        <v>3</v>
      </c>
      <c r="J11" s="22" t="s">
        <v>1194</v>
      </c>
      <c r="K11" s="7">
        <v>1</v>
      </c>
      <c r="L11" s="22" t="s">
        <v>465</v>
      </c>
      <c r="M11" s="7">
        <v>2</v>
      </c>
      <c r="N11" s="22" t="s">
        <v>405</v>
      </c>
      <c r="O11" s="17">
        <v>2</v>
      </c>
      <c r="P11" s="22" t="s">
        <v>501</v>
      </c>
      <c r="Q11" s="35">
        <v>4</v>
      </c>
      <c r="R11" s="34" t="s">
        <v>1465</v>
      </c>
      <c r="S11" s="7">
        <v>1</v>
      </c>
      <c r="T11" s="53" t="s">
        <v>1466</v>
      </c>
      <c r="U11" s="5">
        <v>2</v>
      </c>
      <c r="V11" s="21" t="s">
        <v>1467</v>
      </c>
      <c r="W11" s="7">
        <v>4</v>
      </c>
      <c r="X11" s="7" t="s">
        <v>1468</v>
      </c>
      <c r="Y11" s="7">
        <v>4</v>
      </c>
      <c r="Z11" s="68" t="s">
        <v>899</v>
      </c>
      <c r="AA11" s="7">
        <v>2</v>
      </c>
      <c r="AB11" s="68" t="s">
        <v>1469</v>
      </c>
      <c r="AC11" s="71">
        <v>2</v>
      </c>
      <c r="AD11" s="19" t="s">
        <v>1470</v>
      </c>
      <c r="AE11" s="18">
        <v>1</v>
      </c>
      <c r="AF11" s="22" t="s">
        <v>916</v>
      </c>
      <c r="AG11" s="22">
        <v>1</v>
      </c>
      <c r="AH11" s="17" t="s">
        <v>1471</v>
      </c>
      <c r="AI11" s="22">
        <v>1</v>
      </c>
      <c r="AJ11" s="68" t="s">
        <v>1472</v>
      </c>
      <c r="AK11" s="7">
        <v>1</v>
      </c>
      <c r="AL11" s="22" t="s">
        <v>1473</v>
      </c>
      <c r="AM11" s="7">
        <v>4</v>
      </c>
      <c r="AN11" s="34" t="s">
        <v>1474</v>
      </c>
      <c r="AO11" s="53">
        <v>1</v>
      </c>
      <c r="AP11" s="8" t="s">
        <v>1475</v>
      </c>
      <c r="AQ11" s="7">
        <v>1</v>
      </c>
      <c r="AR11" s="22" t="s">
        <v>599</v>
      </c>
      <c r="AS11" s="69">
        <v>2</v>
      </c>
      <c r="AT11" s="25" t="s">
        <v>1476</v>
      </c>
      <c r="AU11" s="7">
        <v>1</v>
      </c>
      <c r="AV11" s="8" t="s">
        <v>1477</v>
      </c>
      <c r="AW11" s="7">
        <v>2</v>
      </c>
      <c r="AX11" s="34" t="s">
        <v>1478</v>
      </c>
      <c r="AY11" s="22">
        <v>2</v>
      </c>
      <c r="AZ11" s="14" t="s">
        <v>1479</v>
      </c>
      <c r="BA11" s="7">
        <v>1</v>
      </c>
      <c r="BB11" s="22" t="s">
        <v>1480</v>
      </c>
      <c r="BC11" s="7">
        <v>4</v>
      </c>
      <c r="BD11" s="22" t="s">
        <v>194</v>
      </c>
      <c r="BE11" s="53">
        <v>2</v>
      </c>
      <c r="BF11" s="14" t="s">
        <v>1481</v>
      </c>
      <c r="BG11" s="8">
        <v>1</v>
      </c>
      <c r="BH11" s="22" t="s">
        <v>1482</v>
      </c>
      <c r="BI11" s="7">
        <v>1</v>
      </c>
      <c r="BJ11" s="22" t="s">
        <v>572</v>
      </c>
      <c r="BK11" s="43">
        <v>4</v>
      </c>
      <c r="BL11" s="7" t="s">
        <v>561</v>
      </c>
      <c r="BM11" s="7">
        <v>4</v>
      </c>
      <c r="BN11" s="14" t="s">
        <v>1483</v>
      </c>
      <c r="BO11" s="70">
        <v>2</v>
      </c>
      <c r="BP11" s="8" t="s">
        <v>397</v>
      </c>
      <c r="BQ11" s="35">
        <v>4</v>
      </c>
      <c r="BR11" s="8" t="s">
        <v>1485</v>
      </c>
      <c r="BS11" s="19">
        <v>4</v>
      </c>
      <c r="BT11" s="19" t="s">
        <v>102</v>
      </c>
      <c r="BU11" s="18">
        <v>4</v>
      </c>
      <c r="BV11" s="18" t="s">
        <v>698</v>
      </c>
      <c r="BW11" s="133">
        <v>1</v>
      </c>
      <c r="BX11" s="133" t="s">
        <v>1960</v>
      </c>
      <c r="BY11" s="133">
        <v>4</v>
      </c>
      <c r="BZ11" s="133" t="s">
        <v>738</v>
      </c>
      <c r="CA11" s="137">
        <v>1</v>
      </c>
      <c r="CB11" s="8" t="s">
        <v>2001</v>
      </c>
    </row>
    <row r="12" spans="1:80">
      <c r="A12" s="7">
        <v>1</v>
      </c>
      <c r="B12" s="22" t="s">
        <v>1206</v>
      </c>
      <c r="C12" s="7">
        <v>4</v>
      </c>
      <c r="D12" s="22" t="s">
        <v>243</v>
      </c>
      <c r="E12" s="17">
        <v>2</v>
      </c>
      <c r="F12" s="8" t="s">
        <v>1487</v>
      </c>
      <c r="G12" s="63"/>
      <c r="H12" s="64"/>
      <c r="I12" s="7">
        <v>1</v>
      </c>
      <c r="J12" s="22" t="s">
        <v>1488</v>
      </c>
      <c r="K12" s="7">
        <v>1</v>
      </c>
      <c r="L12" s="22" t="s">
        <v>1125</v>
      </c>
      <c r="M12" s="7">
        <v>1</v>
      </c>
      <c r="N12" s="22" t="s">
        <v>1043</v>
      </c>
      <c r="O12" s="17">
        <v>1</v>
      </c>
      <c r="P12" s="22" t="s">
        <v>549</v>
      </c>
      <c r="Q12" s="35">
        <v>4</v>
      </c>
      <c r="R12" s="34" t="s">
        <v>1489</v>
      </c>
      <c r="S12" s="7">
        <v>1</v>
      </c>
      <c r="T12" s="53" t="s">
        <v>1490</v>
      </c>
      <c r="U12" s="5">
        <v>1</v>
      </c>
      <c r="V12" s="21" t="s">
        <v>110</v>
      </c>
      <c r="W12" s="7">
        <v>4</v>
      </c>
      <c r="X12" s="7" t="s">
        <v>987</v>
      </c>
      <c r="Y12" s="7">
        <v>4</v>
      </c>
      <c r="Z12" s="68" t="s">
        <v>229</v>
      </c>
      <c r="AA12" s="7">
        <v>4</v>
      </c>
      <c r="AB12" s="34" t="s">
        <v>1491</v>
      </c>
      <c r="AC12" s="71">
        <v>1</v>
      </c>
      <c r="AD12" s="19" t="s">
        <v>1492</v>
      </c>
      <c r="AE12" s="18">
        <v>1</v>
      </c>
      <c r="AF12" s="22" t="s">
        <v>904</v>
      </c>
      <c r="AG12" s="22">
        <v>1</v>
      </c>
      <c r="AH12" s="17" t="s">
        <v>1493</v>
      </c>
      <c r="AI12" s="22">
        <v>4</v>
      </c>
      <c r="AJ12" s="68" t="s">
        <v>625</v>
      </c>
      <c r="AK12" s="7">
        <v>1</v>
      </c>
      <c r="AL12" s="22" t="s">
        <v>971</v>
      </c>
      <c r="AM12" s="7">
        <v>4</v>
      </c>
      <c r="AN12" s="34" t="s">
        <v>1494</v>
      </c>
      <c r="AO12" s="22">
        <v>1</v>
      </c>
      <c r="AP12" s="8" t="s">
        <v>245</v>
      </c>
      <c r="AQ12" s="7">
        <v>1</v>
      </c>
      <c r="AR12" s="22" t="s">
        <v>1495</v>
      </c>
      <c r="AS12" s="69">
        <v>2</v>
      </c>
      <c r="AT12" s="25" t="s">
        <v>1496</v>
      </c>
      <c r="AU12" s="26">
        <v>1</v>
      </c>
      <c r="AV12" s="26" t="s">
        <v>2943</v>
      </c>
      <c r="AW12" s="7">
        <v>1</v>
      </c>
      <c r="AX12" s="34" t="s">
        <v>1497</v>
      </c>
      <c r="AY12" s="22">
        <v>4</v>
      </c>
      <c r="AZ12" s="14" t="s">
        <v>1498</v>
      </c>
      <c r="BA12" s="7">
        <v>1</v>
      </c>
      <c r="BB12" s="22" t="s">
        <v>1499</v>
      </c>
      <c r="BC12" s="7">
        <v>4</v>
      </c>
      <c r="BD12" s="22" t="s">
        <v>131</v>
      </c>
      <c r="BE12" s="53">
        <v>2</v>
      </c>
      <c r="BF12" s="14" t="s">
        <v>1202</v>
      </c>
      <c r="BG12" s="8">
        <v>1</v>
      </c>
      <c r="BH12" s="22" t="s">
        <v>1500</v>
      </c>
      <c r="BI12" s="7">
        <v>4</v>
      </c>
      <c r="BJ12" s="22" t="s">
        <v>1501</v>
      </c>
      <c r="BK12" s="43">
        <v>4</v>
      </c>
      <c r="BL12" s="7" t="s">
        <v>582</v>
      </c>
      <c r="BM12" s="7">
        <v>4</v>
      </c>
      <c r="BN12" s="14" t="s">
        <v>1502</v>
      </c>
      <c r="BO12" s="70">
        <v>2</v>
      </c>
      <c r="BP12" s="8" t="s">
        <v>157</v>
      </c>
      <c r="BQ12" s="35">
        <v>4</v>
      </c>
      <c r="BR12" s="8" t="s">
        <v>1503</v>
      </c>
      <c r="BS12" s="19">
        <v>4</v>
      </c>
      <c r="BT12" s="19" t="s">
        <v>114</v>
      </c>
      <c r="BU12" s="18">
        <v>2</v>
      </c>
      <c r="BV12" s="18" t="s">
        <v>740</v>
      </c>
      <c r="BW12" s="133">
        <v>3</v>
      </c>
      <c r="BX12" s="133" t="s">
        <v>2838</v>
      </c>
      <c r="BY12" s="133">
        <v>3</v>
      </c>
      <c r="BZ12" s="133" t="s">
        <v>2645</v>
      </c>
      <c r="CA12" s="137">
        <v>1</v>
      </c>
      <c r="CB12" s="8" t="s">
        <v>2606</v>
      </c>
    </row>
    <row r="13" spans="1:80">
      <c r="A13" s="7">
        <v>1</v>
      </c>
      <c r="B13" s="22" t="s">
        <v>1355</v>
      </c>
      <c r="C13" s="17">
        <v>4</v>
      </c>
      <c r="D13" s="22" t="s">
        <v>239</v>
      </c>
      <c r="E13" s="17">
        <v>4</v>
      </c>
      <c r="F13" s="8" t="s">
        <v>1214</v>
      </c>
      <c r="G13" s="63"/>
      <c r="H13" s="64"/>
      <c r="I13" s="7">
        <v>1</v>
      </c>
      <c r="J13" s="22" t="s">
        <v>619</v>
      </c>
      <c r="K13" s="7">
        <v>1</v>
      </c>
      <c r="L13" s="22" t="s">
        <v>519</v>
      </c>
      <c r="M13" s="8">
        <v>1</v>
      </c>
      <c r="N13" s="22" t="s">
        <v>1027</v>
      </c>
      <c r="O13" s="17">
        <v>1</v>
      </c>
      <c r="P13" s="8" t="s">
        <v>1047</v>
      </c>
      <c r="Q13" s="35">
        <v>4</v>
      </c>
      <c r="R13" s="34" t="s">
        <v>216</v>
      </c>
      <c r="S13" s="8">
        <v>1</v>
      </c>
      <c r="T13" s="8" t="s">
        <v>1504</v>
      </c>
      <c r="U13" s="5">
        <v>4</v>
      </c>
      <c r="V13" s="21" t="s">
        <v>744</v>
      </c>
      <c r="W13" s="7">
        <v>4</v>
      </c>
      <c r="X13" s="7" t="s">
        <v>1505</v>
      </c>
      <c r="Y13" s="7">
        <v>4</v>
      </c>
      <c r="Z13" s="68" t="s">
        <v>200</v>
      </c>
      <c r="AA13" s="7">
        <v>4</v>
      </c>
      <c r="AB13" s="34" t="s">
        <v>1506</v>
      </c>
      <c r="AC13" s="71">
        <v>1</v>
      </c>
      <c r="AD13" s="19" t="s">
        <v>1507</v>
      </c>
      <c r="AE13" s="5">
        <v>1</v>
      </c>
      <c r="AF13" s="22" t="s">
        <v>1508</v>
      </c>
      <c r="AG13" s="22">
        <v>3</v>
      </c>
      <c r="AH13" s="17" t="s">
        <v>1509</v>
      </c>
      <c r="AI13" s="22">
        <v>4</v>
      </c>
      <c r="AJ13" s="68" t="s">
        <v>642</v>
      </c>
      <c r="AK13" s="7">
        <v>1</v>
      </c>
      <c r="AL13" s="22" t="s">
        <v>1510</v>
      </c>
      <c r="AM13" s="7">
        <v>4</v>
      </c>
      <c r="AN13" s="34" t="s">
        <v>1511</v>
      </c>
      <c r="AO13" s="22">
        <v>1</v>
      </c>
      <c r="AP13" s="8" t="s">
        <v>550</v>
      </c>
      <c r="AQ13" s="7">
        <v>1</v>
      </c>
      <c r="AR13" s="22" t="s">
        <v>1512</v>
      </c>
      <c r="AS13" s="69">
        <v>2</v>
      </c>
      <c r="AT13" s="25" t="s">
        <v>1513</v>
      </c>
      <c r="AU13" s="7">
        <v>1</v>
      </c>
      <c r="AV13" s="8" t="s">
        <v>617</v>
      </c>
      <c r="AW13" s="7">
        <v>4</v>
      </c>
      <c r="AX13" s="34" t="s">
        <v>249</v>
      </c>
      <c r="AY13" s="53">
        <v>2</v>
      </c>
      <c r="AZ13" s="14" t="s">
        <v>1515</v>
      </c>
      <c r="BA13" s="7">
        <v>1</v>
      </c>
      <c r="BB13" s="53" t="s">
        <v>109</v>
      </c>
      <c r="BC13" s="7">
        <v>4</v>
      </c>
      <c r="BD13" s="22" t="s">
        <v>152</v>
      </c>
      <c r="BE13" s="22">
        <v>1</v>
      </c>
      <c r="BF13" s="14" t="s">
        <v>613</v>
      </c>
      <c r="BG13" s="8">
        <v>1</v>
      </c>
      <c r="BH13" s="22" t="s">
        <v>1516</v>
      </c>
      <c r="BI13" s="7">
        <v>4</v>
      </c>
      <c r="BJ13" s="22" t="s">
        <v>1517</v>
      </c>
      <c r="BK13" s="43">
        <v>4</v>
      </c>
      <c r="BL13" s="7" t="s">
        <v>601</v>
      </c>
      <c r="BM13" s="7">
        <v>4</v>
      </c>
      <c r="BN13" s="14" t="s">
        <v>1518</v>
      </c>
      <c r="BO13" s="70">
        <v>2</v>
      </c>
      <c r="BP13" s="8" t="s">
        <v>1538</v>
      </c>
      <c r="BQ13" s="35">
        <v>4</v>
      </c>
      <c r="BR13" s="8" t="s">
        <v>1519</v>
      </c>
      <c r="BS13" s="19">
        <v>4</v>
      </c>
      <c r="BT13" s="19" t="s">
        <v>126</v>
      </c>
      <c r="BU13" s="18">
        <v>4</v>
      </c>
      <c r="BV13" s="18" t="s">
        <v>741</v>
      </c>
      <c r="BW13" s="17">
        <v>4</v>
      </c>
      <c r="BX13" s="17" t="s">
        <v>2662</v>
      </c>
      <c r="BY13" s="17">
        <v>4</v>
      </c>
      <c r="BZ13" s="17" t="s">
        <v>201</v>
      </c>
      <c r="CA13" s="8">
        <v>1</v>
      </c>
      <c r="CB13" s="8" t="s">
        <v>2596</v>
      </c>
    </row>
    <row r="14" spans="1:80">
      <c r="A14" s="7">
        <v>2</v>
      </c>
      <c r="B14" s="22" t="s">
        <v>508</v>
      </c>
      <c r="C14" s="17">
        <v>4</v>
      </c>
      <c r="D14" s="22" t="s">
        <v>1539</v>
      </c>
      <c r="E14" s="17">
        <v>4</v>
      </c>
      <c r="F14" s="22" t="s">
        <v>279</v>
      </c>
      <c r="G14" s="63"/>
      <c r="H14" s="64"/>
      <c r="I14" s="7">
        <v>1</v>
      </c>
      <c r="J14" s="22" t="s">
        <v>1208</v>
      </c>
      <c r="K14" s="7">
        <v>4</v>
      </c>
      <c r="L14" s="22" t="s">
        <v>675</v>
      </c>
      <c r="M14" s="7">
        <v>10</v>
      </c>
      <c r="N14" s="22" t="s">
        <v>1029</v>
      </c>
      <c r="O14" s="17">
        <v>4</v>
      </c>
      <c r="P14" s="22" t="s">
        <v>1050</v>
      </c>
      <c r="Q14" s="35">
        <v>4</v>
      </c>
      <c r="R14" s="34" t="s">
        <v>1520</v>
      </c>
      <c r="S14" s="7">
        <v>1</v>
      </c>
      <c r="T14" s="53" t="s">
        <v>1521</v>
      </c>
      <c r="U14" s="5">
        <v>4</v>
      </c>
      <c r="V14" s="21" t="s">
        <v>1522</v>
      </c>
      <c r="W14" s="7">
        <v>4</v>
      </c>
      <c r="X14" s="7" t="s">
        <v>113</v>
      </c>
      <c r="Y14" s="7">
        <v>4</v>
      </c>
      <c r="Z14" s="68" t="s">
        <v>1523</v>
      </c>
      <c r="AA14" s="7">
        <v>4</v>
      </c>
      <c r="AB14" s="34" t="s">
        <v>1524</v>
      </c>
      <c r="AC14" s="21">
        <v>2</v>
      </c>
      <c r="AD14" s="19" t="s">
        <v>1525</v>
      </c>
      <c r="AE14" s="18">
        <v>1</v>
      </c>
      <c r="AF14" s="22" t="s">
        <v>1493</v>
      </c>
      <c r="AG14" s="8">
        <v>3</v>
      </c>
      <c r="AH14" s="7" t="s">
        <v>1526</v>
      </c>
      <c r="AI14" s="60">
        <v>4</v>
      </c>
      <c r="AJ14" s="60" t="s">
        <v>659</v>
      </c>
      <c r="AK14" s="7">
        <v>4</v>
      </c>
      <c r="AL14" s="22" t="s">
        <v>996</v>
      </c>
      <c r="AM14" s="7">
        <v>4</v>
      </c>
      <c r="AN14" s="34" t="s">
        <v>1527</v>
      </c>
      <c r="AO14" s="22">
        <v>1</v>
      </c>
      <c r="AP14" s="8" t="s">
        <v>1528</v>
      </c>
      <c r="AQ14" s="7">
        <v>1</v>
      </c>
      <c r="AR14" s="22" t="s">
        <v>1529</v>
      </c>
      <c r="AS14" s="69">
        <v>1</v>
      </c>
      <c r="AT14" s="25" t="s">
        <v>1530</v>
      </c>
      <c r="AU14" s="7">
        <v>1</v>
      </c>
      <c r="AV14" s="8" t="s">
        <v>1514</v>
      </c>
      <c r="AW14" s="7">
        <v>4</v>
      </c>
      <c r="AX14" s="34" t="s">
        <v>1532</v>
      </c>
      <c r="AY14" s="53">
        <v>2</v>
      </c>
      <c r="AZ14" s="14" t="s">
        <v>1533</v>
      </c>
      <c r="BA14" s="7">
        <v>1</v>
      </c>
      <c r="BB14" s="22" t="s">
        <v>453</v>
      </c>
      <c r="BC14" s="7">
        <v>3</v>
      </c>
      <c r="BD14" s="22" t="s">
        <v>1534</v>
      </c>
      <c r="BE14" s="22">
        <v>4</v>
      </c>
      <c r="BF14" s="14" t="s">
        <v>981</v>
      </c>
      <c r="BG14" s="8">
        <v>4</v>
      </c>
      <c r="BH14" s="22" t="s">
        <v>1535</v>
      </c>
      <c r="BI14" s="7">
        <v>4</v>
      </c>
      <c r="BJ14" s="22" t="s">
        <v>726</v>
      </c>
      <c r="BK14" s="43">
        <v>4</v>
      </c>
      <c r="BL14" s="7" t="s">
        <v>1536</v>
      </c>
      <c r="BM14" s="5">
        <v>4</v>
      </c>
      <c r="BN14" s="14" t="s">
        <v>1537</v>
      </c>
      <c r="BO14" s="8">
        <v>1</v>
      </c>
      <c r="BP14" s="8" t="s">
        <v>2946</v>
      </c>
      <c r="BQ14" s="35">
        <v>4</v>
      </c>
      <c r="BR14" s="8" t="s">
        <v>582</v>
      </c>
      <c r="BS14" s="19">
        <v>4</v>
      </c>
      <c r="BT14" s="19" t="s">
        <v>139</v>
      </c>
      <c r="BU14" s="18">
        <v>4</v>
      </c>
      <c r="BV14" s="18" t="s">
        <v>166</v>
      </c>
      <c r="BW14" s="17">
        <v>4</v>
      </c>
      <c r="BX14" s="17" t="s">
        <v>2839</v>
      </c>
      <c r="BY14" s="17">
        <v>4</v>
      </c>
      <c r="BZ14" s="17" t="s">
        <v>2650</v>
      </c>
      <c r="CA14" s="137">
        <v>1</v>
      </c>
      <c r="CB14" s="138" t="s">
        <v>2016</v>
      </c>
    </row>
    <row r="15" spans="1:80">
      <c r="A15" s="7">
        <v>4</v>
      </c>
      <c r="B15" s="22" t="s">
        <v>239</v>
      </c>
      <c r="C15" s="17">
        <v>1</v>
      </c>
      <c r="D15" s="22" t="s">
        <v>1227</v>
      </c>
      <c r="E15" s="17">
        <v>4</v>
      </c>
      <c r="F15" s="8" t="s">
        <v>180</v>
      </c>
      <c r="G15" s="63"/>
      <c r="I15" s="7">
        <v>1</v>
      </c>
      <c r="J15" s="22" t="s">
        <v>2940</v>
      </c>
      <c r="K15" s="7">
        <v>4</v>
      </c>
      <c r="L15" s="22" t="s">
        <v>975</v>
      </c>
      <c r="M15" s="7">
        <v>2</v>
      </c>
      <c r="N15" s="22" t="s">
        <v>549</v>
      </c>
      <c r="O15" s="17">
        <v>1</v>
      </c>
      <c r="P15" s="22" t="s">
        <v>665</v>
      </c>
      <c r="Q15" s="35">
        <v>4</v>
      </c>
      <c r="R15" s="34" t="s">
        <v>1540</v>
      </c>
      <c r="S15" s="7">
        <v>1</v>
      </c>
      <c r="T15" s="53" t="s">
        <v>1541</v>
      </c>
      <c r="U15" s="5">
        <v>4</v>
      </c>
      <c r="V15" s="21" t="s">
        <v>1542</v>
      </c>
      <c r="W15" s="7">
        <v>4</v>
      </c>
      <c r="X15" s="7" t="s">
        <v>181</v>
      </c>
      <c r="Y15" s="7">
        <v>4</v>
      </c>
      <c r="Z15" s="68" t="s">
        <v>1543</v>
      </c>
      <c r="AA15" s="7">
        <v>1</v>
      </c>
      <c r="AB15" s="34" t="s">
        <v>1544</v>
      </c>
      <c r="AC15" s="21">
        <v>4</v>
      </c>
      <c r="AD15" s="19" t="s">
        <v>1545</v>
      </c>
      <c r="AE15" s="5">
        <v>1</v>
      </c>
      <c r="AF15" s="22" t="s">
        <v>1546</v>
      </c>
      <c r="AG15" s="22">
        <v>4</v>
      </c>
      <c r="AH15" s="17" t="s">
        <v>1547</v>
      </c>
      <c r="AI15" s="60">
        <v>4</v>
      </c>
      <c r="AJ15" s="60" t="s">
        <v>689</v>
      </c>
      <c r="AK15" s="7">
        <v>4</v>
      </c>
      <c r="AL15" s="22" t="s">
        <v>1548</v>
      </c>
      <c r="AM15" s="7">
        <v>4</v>
      </c>
      <c r="AN15" s="34" t="s">
        <v>236</v>
      </c>
      <c r="AO15" s="22">
        <v>3</v>
      </c>
      <c r="AP15" s="8" t="s">
        <v>192</v>
      </c>
      <c r="AQ15" s="7">
        <v>1</v>
      </c>
      <c r="AR15" s="22" t="s">
        <v>1549</v>
      </c>
      <c r="AS15" s="69">
        <v>1</v>
      </c>
      <c r="AT15" s="25" t="s">
        <v>1406</v>
      </c>
      <c r="AU15" s="7">
        <v>4</v>
      </c>
      <c r="AV15" s="8" t="s">
        <v>1531</v>
      </c>
      <c r="AW15" s="7">
        <v>4</v>
      </c>
      <c r="AX15" s="34" t="s">
        <v>1550</v>
      </c>
      <c r="AY15" s="22">
        <v>4</v>
      </c>
      <c r="AZ15" s="14" t="s">
        <v>1551</v>
      </c>
      <c r="BA15" s="7">
        <v>1</v>
      </c>
      <c r="BB15" s="22" t="s">
        <v>1552</v>
      </c>
      <c r="BC15" s="7">
        <v>3</v>
      </c>
      <c r="BD15" s="22" t="s">
        <v>605</v>
      </c>
      <c r="BE15" s="22">
        <v>4</v>
      </c>
      <c r="BF15" s="14" t="s">
        <v>233</v>
      </c>
      <c r="BG15" s="8">
        <v>4</v>
      </c>
      <c r="BH15" s="22" t="s">
        <v>180</v>
      </c>
      <c r="BI15" s="7">
        <v>4</v>
      </c>
      <c r="BJ15" s="22" t="s">
        <v>1553</v>
      </c>
      <c r="BK15" s="43">
        <v>4</v>
      </c>
      <c r="BL15" s="7" t="s">
        <v>641</v>
      </c>
      <c r="BM15" s="7">
        <v>2</v>
      </c>
      <c r="BN15" s="14" t="s">
        <v>1554</v>
      </c>
      <c r="BO15" s="70">
        <v>2</v>
      </c>
      <c r="BP15" s="8" t="s">
        <v>1555</v>
      </c>
      <c r="BQ15" s="35">
        <v>2</v>
      </c>
      <c r="BR15" s="8" t="s">
        <v>561</v>
      </c>
      <c r="BS15" s="19">
        <v>4</v>
      </c>
      <c r="BT15" s="19" t="s">
        <v>168</v>
      </c>
      <c r="BU15" s="18">
        <v>4</v>
      </c>
      <c r="BV15" s="18" t="s">
        <v>722</v>
      </c>
      <c r="BW15" s="17">
        <v>4</v>
      </c>
      <c r="BX15" s="17" t="s">
        <v>2659</v>
      </c>
      <c r="BY15" s="17">
        <v>4</v>
      </c>
      <c r="BZ15" s="17" t="s">
        <v>2649</v>
      </c>
      <c r="CA15" s="18">
        <v>1</v>
      </c>
      <c r="CB15" s="8" t="s">
        <v>2605</v>
      </c>
    </row>
    <row r="16" spans="1:80">
      <c r="A16" s="7">
        <v>4</v>
      </c>
      <c r="B16" s="22" t="s">
        <v>243</v>
      </c>
      <c r="C16" s="17">
        <v>4</v>
      </c>
      <c r="D16" s="22" t="s">
        <v>223</v>
      </c>
      <c r="E16" s="17">
        <v>4</v>
      </c>
      <c r="F16" s="8" t="s">
        <v>175</v>
      </c>
      <c r="G16" s="63"/>
      <c r="I16" s="26">
        <v>1</v>
      </c>
      <c r="J16" s="162" t="s">
        <v>2941</v>
      </c>
      <c r="K16" s="7">
        <v>4</v>
      </c>
      <c r="L16" s="22" t="s">
        <v>1142</v>
      </c>
      <c r="M16" s="7">
        <v>2</v>
      </c>
      <c r="N16" s="22" t="s">
        <v>1052</v>
      </c>
      <c r="O16" s="17">
        <v>1</v>
      </c>
      <c r="P16" s="22" t="s">
        <v>1010</v>
      </c>
      <c r="Q16" s="35">
        <v>4</v>
      </c>
      <c r="R16" s="34" t="s">
        <v>1556</v>
      </c>
      <c r="S16" s="7">
        <v>3</v>
      </c>
      <c r="T16" s="53" t="s">
        <v>1557</v>
      </c>
      <c r="U16" s="5">
        <v>1</v>
      </c>
      <c r="V16" s="21" t="s">
        <v>964</v>
      </c>
      <c r="W16" s="7">
        <v>4</v>
      </c>
      <c r="X16" s="7" t="s">
        <v>1558</v>
      </c>
      <c r="Y16" s="7">
        <v>4</v>
      </c>
      <c r="Z16" s="59" t="s">
        <v>1559</v>
      </c>
      <c r="AA16" s="5">
        <v>4</v>
      </c>
      <c r="AB16" s="34" t="s">
        <v>1560</v>
      </c>
      <c r="AC16" s="21">
        <v>4</v>
      </c>
      <c r="AD16" s="19" t="s">
        <v>1561</v>
      </c>
      <c r="AE16" s="5">
        <v>1</v>
      </c>
      <c r="AF16" s="22" t="s">
        <v>1562</v>
      </c>
      <c r="AG16" s="22">
        <v>4</v>
      </c>
      <c r="AH16" s="17" t="s">
        <v>178</v>
      </c>
      <c r="AI16" s="70">
        <v>4</v>
      </c>
      <c r="AJ16" s="60" t="s">
        <v>1563</v>
      </c>
      <c r="AK16" s="7">
        <v>4</v>
      </c>
      <c r="AL16" s="22" t="s">
        <v>1564</v>
      </c>
      <c r="AM16" s="8">
        <v>4</v>
      </c>
      <c r="AN16" s="34" t="s">
        <v>1565</v>
      </c>
      <c r="AO16" s="22">
        <v>4</v>
      </c>
      <c r="AP16" s="8" t="s">
        <v>735</v>
      </c>
      <c r="AQ16" s="7">
        <v>4</v>
      </c>
      <c r="AR16" s="22" t="s">
        <v>1566</v>
      </c>
      <c r="AS16" s="69">
        <v>4</v>
      </c>
      <c r="AT16" s="69" t="s">
        <v>1567</v>
      </c>
      <c r="AU16" s="7">
        <v>4</v>
      </c>
      <c r="AV16" s="8" t="s">
        <v>249</v>
      </c>
      <c r="AW16" s="7">
        <v>4</v>
      </c>
      <c r="AX16" s="34" t="s">
        <v>1569</v>
      </c>
      <c r="AY16" s="22">
        <v>4</v>
      </c>
      <c r="AZ16" s="14" t="s">
        <v>1570</v>
      </c>
      <c r="BA16" s="7">
        <v>1</v>
      </c>
      <c r="BB16" s="22" t="s">
        <v>1571</v>
      </c>
      <c r="BC16" s="7">
        <v>3</v>
      </c>
      <c r="BD16" s="22" t="s">
        <v>1572</v>
      </c>
      <c r="BE16" s="22">
        <v>4</v>
      </c>
      <c r="BF16" s="14" t="s">
        <v>1573</v>
      </c>
      <c r="BG16" s="8">
        <v>4</v>
      </c>
      <c r="BH16" s="22" t="s">
        <v>131</v>
      </c>
      <c r="BI16" s="7">
        <v>3</v>
      </c>
      <c r="BJ16" s="22" t="s">
        <v>1574</v>
      </c>
      <c r="BK16" s="11">
        <v>4</v>
      </c>
      <c r="BL16" s="5" t="s">
        <v>960</v>
      </c>
      <c r="BO16" s="8">
        <v>1</v>
      </c>
      <c r="BP16" s="8" t="s">
        <v>2821</v>
      </c>
      <c r="BQ16" s="35">
        <v>2</v>
      </c>
      <c r="BR16" s="8" t="s">
        <v>234</v>
      </c>
      <c r="BS16" s="21">
        <v>4</v>
      </c>
      <c r="BT16" s="21" t="s">
        <v>183</v>
      </c>
      <c r="BU16" s="5">
        <v>4</v>
      </c>
      <c r="BV16" s="5" t="s">
        <v>84</v>
      </c>
      <c r="BW16" s="133">
        <v>4</v>
      </c>
      <c r="BX16" s="133" t="s">
        <v>2812</v>
      </c>
      <c r="BY16" s="17">
        <v>3</v>
      </c>
      <c r="BZ16" s="17" t="s">
        <v>2648</v>
      </c>
      <c r="CA16" s="18">
        <v>1</v>
      </c>
      <c r="CB16" s="8" t="s">
        <v>2594</v>
      </c>
    </row>
    <row r="17" spans="1:80">
      <c r="A17" s="7">
        <v>1</v>
      </c>
      <c r="B17" s="22" t="s">
        <v>1221</v>
      </c>
      <c r="C17" s="17">
        <v>3</v>
      </c>
      <c r="D17" s="22" t="s">
        <v>214</v>
      </c>
      <c r="E17" s="17">
        <v>2</v>
      </c>
      <c r="F17" s="8" t="s">
        <v>710</v>
      </c>
      <c r="G17" s="63"/>
      <c r="H17" s="64"/>
      <c r="I17" s="7">
        <v>4</v>
      </c>
      <c r="J17" s="22" t="s">
        <v>1575</v>
      </c>
      <c r="K17" s="7">
        <v>4</v>
      </c>
      <c r="L17" s="22" t="s">
        <v>1576</v>
      </c>
      <c r="M17" s="7">
        <v>4</v>
      </c>
      <c r="N17" s="22" t="s">
        <v>1056</v>
      </c>
      <c r="O17" s="17">
        <v>4</v>
      </c>
      <c r="P17" s="22" t="s">
        <v>1054</v>
      </c>
      <c r="S17" s="7">
        <v>4</v>
      </c>
      <c r="T17" s="53" t="s">
        <v>801</v>
      </c>
      <c r="U17" s="5">
        <v>4</v>
      </c>
      <c r="V17" s="21" t="s">
        <v>1577</v>
      </c>
      <c r="W17" s="7">
        <v>1</v>
      </c>
      <c r="X17" s="7" t="s">
        <v>1578</v>
      </c>
      <c r="Y17" s="7">
        <v>4</v>
      </c>
      <c r="Z17" s="59" t="s">
        <v>1579</v>
      </c>
      <c r="AA17" s="5">
        <v>1</v>
      </c>
      <c r="AB17" s="34" t="s">
        <v>1580</v>
      </c>
      <c r="AC17" s="21">
        <v>4</v>
      </c>
      <c r="AD17" s="19" t="s">
        <v>1581</v>
      </c>
      <c r="AE17" s="5">
        <v>1</v>
      </c>
      <c r="AF17" s="22" t="s">
        <v>1582</v>
      </c>
      <c r="AG17" s="22">
        <v>4</v>
      </c>
      <c r="AH17" s="17" t="s">
        <v>1583</v>
      </c>
      <c r="AI17" s="60">
        <v>1</v>
      </c>
      <c r="AJ17" s="60" t="s">
        <v>1584</v>
      </c>
      <c r="AK17" s="7">
        <v>4</v>
      </c>
      <c r="AL17" s="22" t="s">
        <v>995</v>
      </c>
      <c r="AM17" s="7">
        <v>4</v>
      </c>
      <c r="AN17" s="34" t="s">
        <v>128</v>
      </c>
      <c r="AO17" s="22">
        <v>3</v>
      </c>
      <c r="AP17" s="8" t="s">
        <v>1585</v>
      </c>
      <c r="AQ17" s="7">
        <v>4</v>
      </c>
      <c r="AR17" s="22" t="s">
        <v>131</v>
      </c>
      <c r="AS17" s="69">
        <v>4</v>
      </c>
      <c r="AT17" s="69" t="s">
        <v>1586</v>
      </c>
      <c r="AU17" s="7">
        <v>4</v>
      </c>
      <c r="AV17" s="8" t="s">
        <v>1568</v>
      </c>
      <c r="AW17" s="7">
        <v>4</v>
      </c>
      <c r="AX17" s="34" t="s">
        <v>1588</v>
      </c>
      <c r="AY17" s="22">
        <v>4</v>
      </c>
      <c r="AZ17" s="14" t="s">
        <v>1589</v>
      </c>
      <c r="BA17" s="7">
        <v>1</v>
      </c>
      <c r="BB17" s="53" t="s">
        <v>1590</v>
      </c>
      <c r="BC17" s="7">
        <v>3</v>
      </c>
      <c r="BD17" s="22" t="s">
        <v>1591</v>
      </c>
      <c r="BE17" s="22">
        <v>4</v>
      </c>
      <c r="BF17" s="14" t="s">
        <v>1592</v>
      </c>
      <c r="BG17" s="8">
        <v>4</v>
      </c>
      <c r="BH17" s="22" t="s">
        <v>675</v>
      </c>
      <c r="BI17" s="72">
        <v>4</v>
      </c>
      <c r="BJ17" s="22" t="s">
        <v>744</v>
      </c>
      <c r="BK17" s="43">
        <v>4</v>
      </c>
      <c r="BL17" s="7" t="s">
        <v>184</v>
      </c>
      <c r="BO17" s="70">
        <v>4</v>
      </c>
      <c r="BP17" s="8" t="s">
        <v>954</v>
      </c>
      <c r="BQ17" s="35">
        <v>2</v>
      </c>
      <c r="BR17" s="8" t="s">
        <v>221</v>
      </c>
      <c r="BS17" s="8">
        <v>4</v>
      </c>
      <c r="BT17" s="8" t="s">
        <v>187</v>
      </c>
      <c r="BU17" s="18">
        <v>2</v>
      </c>
      <c r="BV17" s="18" t="s">
        <v>1593</v>
      </c>
      <c r="BW17" s="133">
        <v>4</v>
      </c>
      <c r="BX17" s="133" t="s">
        <v>2686</v>
      </c>
      <c r="BY17" s="133">
        <v>3</v>
      </c>
      <c r="BZ17" s="133" t="s">
        <v>1681</v>
      </c>
      <c r="CA17" s="8">
        <v>1</v>
      </c>
      <c r="CB17" s="8" t="s">
        <v>2604</v>
      </c>
    </row>
    <row r="18" spans="1:80">
      <c r="A18" s="7">
        <v>1</v>
      </c>
      <c r="B18" s="22" t="s">
        <v>1227</v>
      </c>
      <c r="C18" s="17">
        <v>4</v>
      </c>
      <c r="D18" s="22" t="s">
        <v>267</v>
      </c>
      <c r="E18" s="7">
        <v>4</v>
      </c>
      <c r="F18" s="8" t="s">
        <v>206</v>
      </c>
      <c r="I18" s="7">
        <v>3</v>
      </c>
      <c r="J18" s="22" t="s">
        <v>1594</v>
      </c>
      <c r="K18" s="7">
        <v>4</v>
      </c>
      <c r="L18" s="22" t="s">
        <v>1145</v>
      </c>
      <c r="M18" s="7">
        <v>2</v>
      </c>
      <c r="N18" s="22" t="s">
        <v>1054</v>
      </c>
      <c r="O18" s="17">
        <v>4</v>
      </c>
      <c r="P18" s="22" t="s">
        <v>1057</v>
      </c>
      <c r="S18" s="7">
        <v>4</v>
      </c>
      <c r="T18" s="53" t="s">
        <v>1595</v>
      </c>
      <c r="U18" s="19">
        <v>1</v>
      </c>
      <c r="V18" s="21" t="s">
        <v>1596</v>
      </c>
      <c r="W18" s="7">
        <v>4</v>
      </c>
      <c r="X18" s="7" t="s">
        <v>1597</v>
      </c>
      <c r="Y18" s="7">
        <v>2</v>
      </c>
      <c r="Z18" s="68" t="s">
        <v>1598</v>
      </c>
      <c r="AA18" s="5">
        <v>4</v>
      </c>
      <c r="AB18" s="34" t="s">
        <v>1599</v>
      </c>
      <c r="AC18" s="21">
        <v>4</v>
      </c>
      <c r="AD18" s="19" t="s">
        <v>215</v>
      </c>
      <c r="AE18" s="18">
        <v>4</v>
      </c>
      <c r="AF18" s="22" t="s">
        <v>1600</v>
      </c>
      <c r="AG18" s="22">
        <v>1</v>
      </c>
      <c r="AH18" s="17" t="s">
        <v>978</v>
      </c>
      <c r="AI18" s="8">
        <v>1</v>
      </c>
      <c r="AJ18" s="8" t="s">
        <v>723</v>
      </c>
      <c r="AK18" s="7">
        <v>4</v>
      </c>
      <c r="AL18" s="22" t="s">
        <v>1000</v>
      </c>
      <c r="AN18" s="73"/>
      <c r="AO18" s="22">
        <v>1</v>
      </c>
      <c r="AP18" s="8" t="s">
        <v>155</v>
      </c>
      <c r="AQ18" s="7">
        <v>4</v>
      </c>
      <c r="AR18" s="22" t="s">
        <v>1602</v>
      </c>
      <c r="AS18" s="69">
        <v>4</v>
      </c>
      <c r="AT18" s="69" t="s">
        <v>1603</v>
      </c>
      <c r="AU18" s="7">
        <v>3</v>
      </c>
      <c r="AV18" s="8" t="s">
        <v>1587</v>
      </c>
      <c r="AW18" s="7">
        <v>4</v>
      </c>
      <c r="AX18" s="34" t="s">
        <v>254</v>
      </c>
      <c r="AY18" s="22">
        <v>4</v>
      </c>
      <c r="AZ18" s="14" t="s">
        <v>1605</v>
      </c>
      <c r="BA18" s="7">
        <v>1</v>
      </c>
      <c r="BB18" s="22" t="s">
        <v>1606</v>
      </c>
      <c r="BC18" s="7">
        <v>3</v>
      </c>
      <c r="BD18" s="22" t="s">
        <v>1607</v>
      </c>
      <c r="BE18" s="22">
        <v>4</v>
      </c>
      <c r="BF18" s="14" t="s">
        <v>984</v>
      </c>
      <c r="BG18" s="8">
        <v>4</v>
      </c>
      <c r="BH18" s="22" t="s">
        <v>1576</v>
      </c>
      <c r="BI18" s="43">
        <v>4</v>
      </c>
      <c r="BJ18" s="22" t="s">
        <v>1608</v>
      </c>
      <c r="BO18" s="70">
        <v>4</v>
      </c>
      <c r="BP18" s="8" t="s">
        <v>1483</v>
      </c>
      <c r="BQ18" s="35">
        <v>4</v>
      </c>
      <c r="BR18" s="8" t="s">
        <v>1609</v>
      </c>
      <c r="BS18" s="21">
        <v>2</v>
      </c>
      <c r="BT18" s="21" t="s">
        <v>1610</v>
      </c>
      <c r="BW18" s="17">
        <v>3</v>
      </c>
      <c r="BX18" s="17" t="s">
        <v>2840</v>
      </c>
      <c r="BY18" s="17">
        <v>4</v>
      </c>
      <c r="BZ18" s="17" t="s">
        <v>2647</v>
      </c>
      <c r="CA18" s="137">
        <v>1</v>
      </c>
      <c r="CB18" s="138" t="s">
        <v>2013</v>
      </c>
    </row>
    <row r="19" spans="1:80">
      <c r="A19" s="7">
        <v>1</v>
      </c>
      <c r="B19" s="22" t="s">
        <v>241</v>
      </c>
      <c r="C19" s="17">
        <v>2</v>
      </c>
      <c r="D19" s="22" t="s">
        <v>1620</v>
      </c>
      <c r="E19" s="17">
        <v>4</v>
      </c>
      <c r="F19" s="22" t="s">
        <v>1611</v>
      </c>
      <c r="G19" s="63"/>
      <c r="H19" s="64"/>
      <c r="I19" s="7">
        <v>4</v>
      </c>
      <c r="J19" s="22" t="s">
        <v>756</v>
      </c>
      <c r="K19" s="7">
        <v>3</v>
      </c>
      <c r="L19" s="22" t="s">
        <v>1612</v>
      </c>
      <c r="M19" s="7">
        <v>1</v>
      </c>
      <c r="N19" s="22" t="s">
        <v>734</v>
      </c>
      <c r="O19" s="17">
        <v>3</v>
      </c>
      <c r="P19" s="22" t="s">
        <v>734</v>
      </c>
      <c r="S19" s="7">
        <v>4</v>
      </c>
      <c r="T19" s="60" t="s">
        <v>196</v>
      </c>
      <c r="U19" s="19">
        <v>1</v>
      </c>
      <c r="V19" s="21" t="s">
        <v>968</v>
      </c>
      <c r="W19" s="7">
        <v>4</v>
      </c>
      <c r="X19" s="7" t="s">
        <v>209</v>
      </c>
      <c r="AA19" s="5">
        <v>1</v>
      </c>
      <c r="AB19" s="34" t="s">
        <v>1525</v>
      </c>
      <c r="AC19" s="21">
        <v>3</v>
      </c>
      <c r="AD19" s="19" t="s">
        <v>1613</v>
      </c>
      <c r="AE19" s="5">
        <v>3</v>
      </c>
      <c r="AF19" s="22" t="s">
        <v>1547</v>
      </c>
      <c r="AG19" s="22">
        <v>1</v>
      </c>
      <c r="AH19" s="17" t="s">
        <v>1614</v>
      </c>
      <c r="AI19" s="60">
        <v>2</v>
      </c>
      <c r="AJ19" s="60" t="s">
        <v>1601</v>
      </c>
      <c r="AK19" s="7">
        <v>4</v>
      </c>
      <c r="AL19" s="22" t="s">
        <v>998</v>
      </c>
      <c r="AN19" s="74"/>
      <c r="AO19" s="22">
        <v>3</v>
      </c>
      <c r="AP19" s="8" t="s">
        <v>753</v>
      </c>
      <c r="AQ19" s="7">
        <v>4</v>
      </c>
      <c r="AR19" s="22" t="s">
        <v>1615</v>
      </c>
      <c r="AS19" s="69">
        <v>4</v>
      </c>
      <c r="AT19" s="69" t="s">
        <v>131</v>
      </c>
      <c r="AU19" s="7">
        <v>4</v>
      </c>
      <c r="AV19" s="8" t="s">
        <v>1604</v>
      </c>
      <c r="AW19" s="7">
        <v>4</v>
      </c>
      <c r="AX19" s="34" t="s">
        <v>1616</v>
      </c>
      <c r="AY19" s="22">
        <v>4</v>
      </c>
      <c r="AZ19" s="14" t="s">
        <v>1617</v>
      </c>
      <c r="BA19" s="7">
        <v>1</v>
      </c>
      <c r="BB19" s="22" t="s">
        <v>1437</v>
      </c>
      <c r="BC19" s="7">
        <v>2</v>
      </c>
      <c r="BD19" s="22" t="s">
        <v>1618</v>
      </c>
      <c r="BE19" s="22">
        <v>4</v>
      </c>
      <c r="BF19" s="14" t="s">
        <v>180</v>
      </c>
      <c r="BG19" s="8">
        <v>4</v>
      </c>
      <c r="BH19" s="22" t="s">
        <v>975</v>
      </c>
      <c r="BJ19" s="75"/>
      <c r="BO19" s="70">
        <v>4</v>
      </c>
      <c r="BP19" s="8" t="s">
        <v>938</v>
      </c>
      <c r="BW19" s="133">
        <v>3</v>
      </c>
      <c r="BX19" s="133" t="s">
        <v>1976</v>
      </c>
      <c r="BY19" s="17">
        <v>4</v>
      </c>
      <c r="BZ19" s="17" t="s">
        <v>2635</v>
      </c>
      <c r="CA19" s="137">
        <v>3</v>
      </c>
      <c r="CB19" s="138" t="s">
        <v>555</v>
      </c>
    </row>
    <row r="20" spans="1:80">
      <c r="A20" s="7">
        <v>3</v>
      </c>
      <c r="B20" s="22" t="s">
        <v>1619</v>
      </c>
      <c r="E20" s="63"/>
      <c r="G20" s="63"/>
      <c r="H20" s="64"/>
      <c r="I20" s="7">
        <v>4</v>
      </c>
      <c r="J20" s="22" t="s">
        <v>201</v>
      </c>
      <c r="K20" s="17">
        <v>2</v>
      </c>
      <c r="L20" s="22" t="s">
        <v>1621</v>
      </c>
      <c r="M20" s="7">
        <v>1</v>
      </c>
      <c r="N20" s="22" t="s">
        <v>1061</v>
      </c>
      <c r="O20" s="17">
        <v>1</v>
      </c>
      <c r="P20" s="53" t="s">
        <v>1067</v>
      </c>
      <c r="S20" s="8">
        <v>4</v>
      </c>
      <c r="T20" s="53" t="s">
        <v>1622</v>
      </c>
      <c r="U20" s="19">
        <v>1</v>
      </c>
      <c r="V20" s="21" t="s">
        <v>209</v>
      </c>
      <c r="W20" s="7">
        <v>4</v>
      </c>
      <c r="X20" s="7" t="s">
        <v>590</v>
      </c>
      <c r="AA20" s="5">
        <v>4</v>
      </c>
      <c r="AB20" s="34" t="s">
        <v>1623</v>
      </c>
      <c r="AC20" s="21">
        <v>3</v>
      </c>
      <c r="AD20" s="19" t="s">
        <v>1624</v>
      </c>
      <c r="AE20" s="5">
        <v>3</v>
      </c>
      <c r="AF20" s="53" t="s">
        <v>1625</v>
      </c>
      <c r="AG20" s="26">
        <v>1</v>
      </c>
      <c r="AH20" s="20" t="s">
        <v>707</v>
      </c>
      <c r="AI20" s="70">
        <v>4</v>
      </c>
      <c r="AJ20" s="60" t="s">
        <v>674</v>
      </c>
      <c r="AK20" s="7">
        <v>1</v>
      </c>
      <c r="AL20" s="22" t="s">
        <v>1626</v>
      </c>
      <c r="AN20" s="75"/>
      <c r="AO20" s="22">
        <v>4</v>
      </c>
      <c r="AP20" s="8" t="s">
        <v>1627</v>
      </c>
      <c r="AQ20" s="7">
        <v>2</v>
      </c>
      <c r="AR20" s="22" t="s">
        <v>1628</v>
      </c>
      <c r="AS20" s="69">
        <v>4</v>
      </c>
      <c r="AT20" s="69" t="s">
        <v>1629</v>
      </c>
      <c r="AU20" s="7">
        <v>4</v>
      </c>
      <c r="AV20" s="8" t="s">
        <v>1532</v>
      </c>
      <c r="AW20" s="7">
        <v>2</v>
      </c>
      <c r="AX20" s="34" t="s">
        <v>1630</v>
      </c>
      <c r="AY20" s="53">
        <v>1</v>
      </c>
      <c r="AZ20" s="14" t="s">
        <v>1631</v>
      </c>
      <c r="BA20" s="7">
        <v>1</v>
      </c>
      <c r="BB20" s="22" t="s">
        <v>1498</v>
      </c>
      <c r="BC20" s="7">
        <v>2</v>
      </c>
      <c r="BD20" s="22" t="s">
        <v>1632</v>
      </c>
      <c r="BE20" s="22">
        <v>4</v>
      </c>
      <c r="BF20" s="14" t="s">
        <v>131</v>
      </c>
      <c r="BG20" s="8">
        <v>4</v>
      </c>
      <c r="BH20" s="22" t="s">
        <v>1633</v>
      </c>
      <c r="BJ20" s="75"/>
      <c r="BO20" s="8">
        <v>4</v>
      </c>
      <c r="BP20" s="8" t="s">
        <v>2930</v>
      </c>
      <c r="BW20" s="64"/>
      <c r="BX20" s="65"/>
      <c r="CA20" s="137">
        <v>3</v>
      </c>
      <c r="CB20" s="138" t="s">
        <v>614</v>
      </c>
    </row>
    <row r="21" spans="1:80">
      <c r="A21" s="8">
        <v>2</v>
      </c>
      <c r="B21" s="22" t="s">
        <v>180</v>
      </c>
      <c r="C21" s="63"/>
      <c r="E21" s="28"/>
      <c r="G21" s="28"/>
      <c r="H21" s="76"/>
      <c r="I21" s="8">
        <v>4</v>
      </c>
      <c r="J21" s="22" t="s">
        <v>548</v>
      </c>
      <c r="K21" s="7">
        <v>2</v>
      </c>
      <c r="L21" s="22" t="s">
        <v>1134</v>
      </c>
      <c r="M21" s="7">
        <v>3</v>
      </c>
      <c r="N21" s="22" t="s">
        <v>1065</v>
      </c>
      <c r="O21" s="17">
        <v>3</v>
      </c>
      <c r="P21" s="22" t="s">
        <v>1052</v>
      </c>
      <c r="S21" s="8">
        <v>4</v>
      </c>
      <c r="T21" s="53" t="s">
        <v>928</v>
      </c>
      <c r="U21" s="19">
        <v>1</v>
      </c>
      <c r="V21" s="21" t="s">
        <v>219</v>
      </c>
      <c r="AA21" s="8">
        <v>3</v>
      </c>
      <c r="AB21" s="34" t="s">
        <v>1634</v>
      </c>
      <c r="AC21" s="71">
        <v>3</v>
      </c>
      <c r="AD21" s="19" t="s">
        <v>1635</v>
      </c>
      <c r="AE21" s="5">
        <v>4</v>
      </c>
      <c r="AF21" s="22" t="s">
        <v>1583</v>
      </c>
      <c r="AG21" s="53">
        <v>1</v>
      </c>
      <c r="AH21" s="17" t="s">
        <v>1636</v>
      </c>
      <c r="AI21" s="70">
        <v>2</v>
      </c>
      <c r="AJ21" s="60" t="s">
        <v>731</v>
      </c>
      <c r="AK21" s="8">
        <v>1</v>
      </c>
      <c r="AL21" s="22" t="s">
        <v>1638</v>
      </c>
      <c r="AN21" s="75"/>
      <c r="AO21" s="22">
        <v>4</v>
      </c>
      <c r="AP21" s="8" t="s">
        <v>1639</v>
      </c>
      <c r="AQ21" s="8">
        <v>4</v>
      </c>
      <c r="AR21" s="22" t="s">
        <v>1640</v>
      </c>
      <c r="AS21" s="69">
        <v>4</v>
      </c>
      <c r="AT21" s="69" t="s">
        <v>1641</v>
      </c>
      <c r="AU21" s="7">
        <v>4</v>
      </c>
      <c r="AV21" s="8" t="s">
        <v>254</v>
      </c>
      <c r="AX21" s="73"/>
      <c r="AY21" s="53">
        <v>1</v>
      </c>
      <c r="AZ21" s="14" t="s">
        <v>1642</v>
      </c>
      <c r="BA21" s="8">
        <v>1</v>
      </c>
      <c r="BB21" s="22" t="s">
        <v>1643</v>
      </c>
      <c r="BD21" s="73"/>
      <c r="BE21" s="65"/>
      <c r="BG21" s="8">
        <v>4</v>
      </c>
      <c r="BH21" s="22" t="s">
        <v>931</v>
      </c>
      <c r="BJ21" s="73"/>
      <c r="BO21" s="8">
        <v>3</v>
      </c>
      <c r="BP21" s="8" t="s">
        <v>2947</v>
      </c>
      <c r="BW21" s="67"/>
      <c r="BX21" s="67"/>
      <c r="CA21" s="137">
        <v>4</v>
      </c>
      <c r="CB21" s="138" t="s">
        <v>113</v>
      </c>
    </row>
    <row r="22" spans="1:80">
      <c r="A22" s="8">
        <v>2</v>
      </c>
      <c r="B22" s="22" t="s">
        <v>576</v>
      </c>
      <c r="C22" s="63"/>
      <c r="E22" s="28"/>
      <c r="G22" s="28"/>
      <c r="H22" s="76"/>
      <c r="I22" s="8">
        <v>3</v>
      </c>
      <c r="J22" s="22" t="s">
        <v>760</v>
      </c>
      <c r="K22" s="7">
        <v>2</v>
      </c>
      <c r="L22" s="22" t="s">
        <v>1645</v>
      </c>
      <c r="M22" s="8">
        <v>4</v>
      </c>
      <c r="N22" s="22" t="s">
        <v>1057</v>
      </c>
      <c r="O22" s="17">
        <v>3</v>
      </c>
      <c r="P22" s="22" t="s">
        <v>145</v>
      </c>
      <c r="S22" s="8">
        <v>2</v>
      </c>
      <c r="T22" s="53" t="s">
        <v>1520</v>
      </c>
      <c r="U22" s="19">
        <v>3</v>
      </c>
      <c r="V22" s="21" t="s">
        <v>1597</v>
      </c>
      <c r="AB22" s="73"/>
      <c r="AC22" s="65"/>
      <c r="AD22" s="65"/>
      <c r="AE22" s="5">
        <v>2</v>
      </c>
      <c r="AF22" s="22" t="s">
        <v>978</v>
      </c>
      <c r="AG22" s="22">
        <v>1</v>
      </c>
      <c r="AH22" s="17" t="s">
        <v>1646</v>
      </c>
      <c r="AI22" s="70">
        <v>4</v>
      </c>
      <c r="AJ22" s="60" t="s">
        <v>1637</v>
      </c>
      <c r="AK22" s="8">
        <v>1</v>
      </c>
      <c r="AL22" s="22" t="s">
        <v>155</v>
      </c>
      <c r="AN22" s="75"/>
      <c r="AO22" s="22">
        <v>3</v>
      </c>
      <c r="AP22" s="8" t="s">
        <v>1647</v>
      </c>
      <c r="AQ22" s="8">
        <v>4</v>
      </c>
      <c r="AR22" s="22" t="s">
        <v>1648</v>
      </c>
      <c r="AS22" s="69">
        <v>4</v>
      </c>
      <c r="AT22" s="69" t="s">
        <v>1649</v>
      </c>
      <c r="AU22" s="8">
        <v>4</v>
      </c>
      <c r="AV22" s="8" t="s">
        <v>703</v>
      </c>
      <c r="AX22" s="74"/>
      <c r="AY22" s="22">
        <v>3</v>
      </c>
      <c r="AZ22" s="14" t="s">
        <v>1650</v>
      </c>
      <c r="BA22" s="8">
        <v>1</v>
      </c>
      <c r="BB22" s="22" t="s">
        <v>1651</v>
      </c>
      <c r="BE22" s="73"/>
      <c r="BG22" s="53">
        <v>4</v>
      </c>
      <c r="BH22" s="22" t="s">
        <v>1652</v>
      </c>
      <c r="BJ22" s="74"/>
      <c r="BO22" s="70">
        <v>3</v>
      </c>
      <c r="BP22" s="8" t="s">
        <v>668</v>
      </c>
      <c r="BW22" s="67"/>
      <c r="BX22" s="67"/>
      <c r="CA22" s="137">
        <v>4</v>
      </c>
      <c r="CB22" s="138" t="s">
        <v>1608</v>
      </c>
    </row>
    <row r="23" spans="1:80">
      <c r="A23" s="8">
        <v>4</v>
      </c>
      <c r="B23" s="22" t="s">
        <v>1164</v>
      </c>
      <c r="I23" s="26">
        <v>3</v>
      </c>
      <c r="J23" s="162" t="s">
        <v>980</v>
      </c>
      <c r="M23" s="8">
        <v>1</v>
      </c>
      <c r="N23" s="22" t="s">
        <v>1069</v>
      </c>
      <c r="O23" s="17">
        <v>3</v>
      </c>
      <c r="P23" s="8" t="s">
        <v>1653</v>
      </c>
      <c r="S23" s="8">
        <v>4</v>
      </c>
      <c r="T23" s="53" t="s">
        <v>1654</v>
      </c>
      <c r="AC23" s="65"/>
      <c r="AE23" s="18">
        <v>4</v>
      </c>
      <c r="AF23" s="22" t="s">
        <v>178</v>
      </c>
      <c r="AG23" s="22">
        <v>1</v>
      </c>
      <c r="AH23" s="17" t="s">
        <v>1655</v>
      </c>
      <c r="AI23" s="65"/>
      <c r="AK23" s="8">
        <v>4</v>
      </c>
      <c r="AL23" s="22" t="s">
        <v>989</v>
      </c>
      <c r="AN23" s="75"/>
      <c r="AO23" s="22">
        <v>2</v>
      </c>
      <c r="AP23" s="8" t="s">
        <v>1656</v>
      </c>
      <c r="AQ23" s="8">
        <v>4</v>
      </c>
      <c r="AR23" s="22" t="s">
        <v>1657</v>
      </c>
      <c r="AS23" s="77"/>
      <c r="AT23" s="77"/>
      <c r="AX23" s="75"/>
      <c r="AY23" s="65"/>
      <c r="AZ23" s="73"/>
      <c r="BA23" s="8">
        <v>1</v>
      </c>
      <c r="BB23" s="22" t="s">
        <v>1658</v>
      </c>
      <c r="BE23" s="74"/>
      <c r="BF23" s="74"/>
      <c r="BG23" s="65"/>
      <c r="BO23" s="8">
        <v>4</v>
      </c>
      <c r="BP23" s="8" t="s">
        <v>627</v>
      </c>
      <c r="BW23" s="64"/>
      <c r="BX23" s="65"/>
      <c r="CA23" s="137">
        <v>4</v>
      </c>
      <c r="CB23" s="138" t="s">
        <v>573</v>
      </c>
    </row>
    <row r="24" spans="1:80">
      <c r="A24" s="8">
        <v>4</v>
      </c>
      <c r="B24" s="22" t="s">
        <v>981</v>
      </c>
      <c r="C24" s="63"/>
      <c r="I24" s="8">
        <v>4</v>
      </c>
      <c r="J24" s="22" t="s">
        <v>1218</v>
      </c>
      <c r="M24" s="8">
        <v>4</v>
      </c>
      <c r="N24" s="22" t="s">
        <v>145</v>
      </c>
      <c r="O24" s="17">
        <v>3</v>
      </c>
      <c r="P24" s="8" t="s">
        <v>1059</v>
      </c>
      <c r="S24" s="8">
        <v>1</v>
      </c>
      <c r="T24" s="53" t="s">
        <v>1659</v>
      </c>
      <c r="AC24" s="65"/>
      <c r="AE24" s="5">
        <v>2</v>
      </c>
      <c r="AF24" s="22" t="s">
        <v>1002</v>
      </c>
      <c r="AG24" s="22">
        <v>4</v>
      </c>
      <c r="AH24" s="17" t="s">
        <v>1660</v>
      </c>
      <c r="AI24" s="65"/>
      <c r="AO24" s="22">
        <v>2</v>
      </c>
      <c r="AP24" s="8" t="s">
        <v>717</v>
      </c>
      <c r="AR24" s="75"/>
      <c r="AS24" s="78"/>
      <c r="AT24" s="78"/>
      <c r="AX24" s="75"/>
      <c r="AY24" s="65"/>
      <c r="AZ24" s="74"/>
      <c r="BA24" s="8">
        <v>1</v>
      </c>
      <c r="BB24" s="22" t="s">
        <v>1661</v>
      </c>
      <c r="BE24" s="65"/>
      <c r="BF24" s="65"/>
      <c r="BG24" s="73"/>
      <c r="BW24" s="64"/>
      <c r="BX24" s="65"/>
      <c r="CA24" s="137">
        <v>3</v>
      </c>
      <c r="CB24" s="138" t="s">
        <v>774</v>
      </c>
    </row>
    <row r="25" spans="1:80">
      <c r="A25" s="8">
        <v>4</v>
      </c>
      <c r="B25" s="22" t="s">
        <v>223</v>
      </c>
      <c r="C25" s="63"/>
      <c r="I25" s="8">
        <v>4</v>
      </c>
      <c r="J25" s="22" t="s">
        <v>765</v>
      </c>
      <c r="M25" s="8">
        <v>4</v>
      </c>
      <c r="N25" s="22" t="s">
        <v>1058</v>
      </c>
      <c r="O25" s="17">
        <v>3</v>
      </c>
      <c r="P25" s="22" t="s">
        <v>1068</v>
      </c>
      <c r="S25" s="8">
        <v>4</v>
      </c>
      <c r="T25" s="53" t="s">
        <v>946</v>
      </c>
      <c r="AE25" s="5">
        <v>2</v>
      </c>
      <c r="AF25" s="22" t="s">
        <v>713</v>
      </c>
      <c r="AG25" s="22">
        <v>4</v>
      </c>
      <c r="AH25" s="17" t="s">
        <v>1001</v>
      </c>
      <c r="AI25" s="65"/>
      <c r="AO25" s="22">
        <v>2</v>
      </c>
      <c r="AP25" s="8" t="s">
        <v>1662</v>
      </c>
      <c r="AR25" s="73"/>
      <c r="AS25" s="79"/>
      <c r="AT25" s="79"/>
      <c r="AX25" s="73"/>
      <c r="AY25" s="73"/>
      <c r="AZ25" s="75"/>
      <c r="BA25" s="8">
        <v>1</v>
      </c>
      <c r="BB25" s="53" t="s">
        <v>1663</v>
      </c>
      <c r="BE25" s="73"/>
      <c r="BF25" s="73"/>
      <c r="BG25" s="73"/>
      <c r="BJ25" s="75"/>
      <c r="BW25" s="64"/>
      <c r="BX25" s="65"/>
      <c r="CA25" s="137">
        <v>3</v>
      </c>
      <c r="CB25" s="138" t="s">
        <v>775</v>
      </c>
    </row>
    <row r="26" spans="1:80">
      <c r="A26" s="8">
        <v>2</v>
      </c>
      <c r="B26" s="22" t="s">
        <v>1664</v>
      </c>
      <c r="C26" s="63"/>
      <c r="I26" s="8">
        <v>1</v>
      </c>
      <c r="J26" s="22" t="s">
        <v>983</v>
      </c>
      <c r="O26" s="52">
        <v>4</v>
      </c>
      <c r="P26" s="22" t="s">
        <v>770</v>
      </c>
      <c r="S26" s="8">
        <v>4</v>
      </c>
      <c r="T26" s="53" t="s">
        <v>1665</v>
      </c>
      <c r="AC26" s="73"/>
      <c r="AD26" s="73"/>
      <c r="AE26" s="5">
        <v>1</v>
      </c>
      <c r="AF26" s="22" t="s">
        <v>694</v>
      </c>
      <c r="AG26" s="22">
        <v>1</v>
      </c>
      <c r="AH26" s="17" t="s">
        <v>713</v>
      </c>
      <c r="AI26" s="65"/>
      <c r="AN26" s="75"/>
      <c r="AO26" s="53">
        <v>1</v>
      </c>
      <c r="AP26" s="8" t="s">
        <v>1666</v>
      </c>
      <c r="AR26" s="74"/>
      <c r="AS26" s="80"/>
      <c r="AT26" s="80"/>
      <c r="AV26" s="74"/>
      <c r="AY26" s="74"/>
      <c r="BA26" s="8">
        <v>1</v>
      </c>
      <c r="BB26" s="53" t="s">
        <v>1667</v>
      </c>
      <c r="BJ26" s="75"/>
      <c r="BW26" s="64"/>
      <c r="BX26" s="65"/>
      <c r="CA26" s="137">
        <v>1</v>
      </c>
      <c r="CB26" s="138" t="s">
        <v>145</v>
      </c>
    </row>
    <row r="27" spans="1:80">
      <c r="C27" s="63"/>
      <c r="F27" s="81"/>
      <c r="O27" s="17">
        <v>1</v>
      </c>
      <c r="P27" s="22" t="s">
        <v>251</v>
      </c>
      <c r="AE27" s="5">
        <v>4</v>
      </c>
      <c r="AF27" s="22" t="s">
        <v>678</v>
      </c>
      <c r="AG27" s="65"/>
      <c r="AI27" s="73"/>
      <c r="AN27" s="73"/>
      <c r="AO27" s="22">
        <v>1</v>
      </c>
      <c r="AP27" s="8" t="s">
        <v>1668</v>
      </c>
      <c r="AR27" s="74"/>
      <c r="AS27" s="80"/>
      <c r="AT27" s="80"/>
      <c r="AV27" s="65"/>
      <c r="AY27" s="75"/>
      <c r="BA27" s="8">
        <v>1</v>
      </c>
      <c r="BB27" s="22" t="s">
        <v>1669</v>
      </c>
      <c r="BJ27" s="75"/>
      <c r="BW27" s="64"/>
      <c r="BX27" s="65"/>
      <c r="CA27" s="137">
        <v>1</v>
      </c>
      <c r="CB27" s="8" t="s">
        <v>764</v>
      </c>
    </row>
    <row r="28" spans="1:80">
      <c r="C28" s="63"/>
      <c r="AE28" s="5">
        <v>1</v>
      </c>
      <c r="AF28" s="22" t="s">
        <v>707</v>
      </c>
      <c r="AG28" s="65"/>
      <c r="AI28" s="74"/>
      <c r="AN28" s="74"/>
      <c r="AO28" s="75"/>
      <c r="AP28" s="74"/>
      <c r="AR28" s="75"/>
      <c r="AS28" s="78"/>
      <c r="AT28" s="78"/>
      <c r="AV28" s="75"/>
      <c r="AX28" s="74"/>
      <c r="AY28" s="75"/>
      <c r="AZ28" s="75"/>
      <c r="BA28" s="8">
        <v>1</v>
      </c>
      <c r="BB28" s="22" t="s">
        <v>542</v>
      </c>
      <c r="BW28" s="64"/>
      <c r="BX28" s="65"/>
      <c r="CA28" s="137">
        <v>2</v>
      </c>
      <c r="CB28" s="138" t="s">
        <v>2029</v>
      </c>
    </row>
    <row r="29" spans="1:80">
      <c r="C29" s="63"/>
      <c r="D29" s="81"/>
      <c r="E29" s="82"/>
      <c r="G29" s="82"/>
      <c r="H29" s="81"/>
      <c r="AE29" s="5">
        <v>2</v>
      </c>
      <c r="AF29" s="22" t="s">
        <v>1003</v>
      </c>
      <c r="AG29" s="65"/>
      <c r="AI29" s="65"/>
      <c r="AN29" s="74"/>
      <c r="AO29" s="73"/>
      <c r="AP29" s="75"/>
      <c r="AS29" s="83"/>
      <c r="AT29" s="83"/>
      <c r="AV29" s="73"/>
      <c r="AX29" s="74"/>
      <c r="AY29" s="73"/>
      <c r="AZ29" s="73"/>
      <c r="BA29" s="8">
        <v>1</v>
      </c>
      <c r="BB29" s="53" t="s">
        <v>1670</v>
      </c>
      <c r="BW29" s="64"/>
      <c r="BX29" s="65"/>
      <c r="CA29" s="18">
        <v>4</v>
      </c>
      <c r="CB29" s="8" t="s">
        <v>719</v>
      </c>
    </row>
    <row r="30" spans="1:80">
      <c r="AI30" s="65"/>
      <c r="AN30" s="75"/>
      <c r="AO30" s="74"/>
      <c r="AS30" s="83"/>
      <c r="AT30" s="83"/>
      <c r="AV30" s="74"/>
      <c r="AY30" s="74"/>
      <c r="AZ30" s="74"/>
      <c r="BA30" s="8">
        <v>1</v>
      </c>
      <c r="BB30" s="70" t="s">
        <v>1671</v>
      </c>
      <c r="BW30" s="64"/>
      <c r="BX30" s="65"/>
    </row>
    <row r="31" spans="1:80">
      <c r="AI31" s="65"/>
      <c r="AO31" s="74"/>
      <c r="AS31" s="83"/>
      <c r="AT31" s="83"/>
      <c r="AV31" s="74"/>
      <c r="AY31" s="74"/>
      <c r="AZ31" s="74"/>
      <c r="BA31" s="8">
        <v>1</v>
      </c>
      <c r="BB31" s="70" t="s">
        <v>1672</v>
      </c>
      <c r="BW31" s="64"/>
      <c r="BX31" s="65"/>
    </row>
    <row r="32" spans="1:80">
      <c r="AO32" s="75"/>
      <c r="AS32" s="83"/>
      <c r="AT32" s="83"/>
      <c r="AV32" s="75"/>
      <c r="AX32" s="75"/>
      <c r="AY32" s="75"/>
      <c r="AZ32" s="75"/>
      <c r="BA32" s="8">
        <v>1</v>
      </c>
      <c r="BB32" s="60" t="s">
        <v>1673</v>
      </c>
      <c r="BW32" s="64"/>
      <c r="BX32" s="65"/>
    </row>
    <row r="33" spans="45:54">
      <c r="AS33" s="83"/>
      <c r="AT33" s="83"/>
      <c r="BA33" s="8">
        <v>1</v>
      </c>
      <c r="BB33" s="8" t="s">
        <v>2944</v>
      </c>
    </row>
    <row r="34" spans="45:54">
      <c r="AS34" s="83"/>
      <c r="AT34" s="83"/>
      <c r="BA34" s="8">
        <v>1</v>
      </c>
      <c r="BB34" s="8" t="s">
        <v>201</v>
      </c>
    </row>
    <row r="35" spans="45:54">
      <c r="AS35" s="83"/>
      <c r="AT35" s="83"/>
      <c r="BA35" s="8">
        <v>1</v>
      </c>
      <c r="BB35" s="8" t="s">
        <v>1674</v>
      </c>
    </row>
    <row r="36" spans="45:54">
      <c r="AS36" s="83"/>
      <c r="AT36" s="83"/>
      <c r="BA36" s="8">
        <v>1</v>
      </c>
      <c r="BB36" s="8" t="s">
        <v>1675</v>
      </c>
    </row>
    <row r="37" spans="45:54">
      <c r="AS37" s="83"/>
      <c r="AT37" s="83"/>
      <c r="BA37" s="8">
        <v>1</v>
      </c>
      <c r="BB37" s="8" t="s">
        <v>1676</v>
      </c>
    </row>
    <row r="38" spans="45:54">
      <c r="AS38" s="83"/>
      <c r="AT38" s="83"/>
      <c r="BA38" s="8">
        <v>1</v>
      </c>
      <c r="BB38" s="8" t="s">
        <v>1677</v>
      </c>
    </row>
    <row r="39" spans="45:54">
      <c r="AS39" s="83"/>
      <c r="AT39" s="83"/>
      <c r="BA39" s="8">
        <v>1</v>
      </c>
      <c r="BB39" s="8" t="s">
        <v>1678</v>
      </c>
    </row>
    <row r="40" spans="45:54">
      <c r="AS40" s="83"/>
      <c r="AT40" s="83"/>
      <c r="BA40" s="8">
        <v>1</v>
      </c>
      <c r="BB40" s="8" t="s">
        <v>1679</v>
      </c>
    </row>
    <row r="41" spans="45:54">
      <c r="AS41" s="83"/>
      <c r="AT41" s="83"/>
      <c r="BA41" s="8">
        <v>1</v>
      </c>
      <c r="BB41" s="8" t="s">
        <v>1680</v>
      </c>
    </row>
    <row r="42" spans="45:54">
      <c r="AS42" s="83"/>
      <c r="AT42" s="83"/>
      <c r="BA42" s="8">
        <v>1</v>
      </c>
      <c r="BB42" s="8" t="s">
        <v>1681</v>
      </c>
    </row>
    <row r="43" spans="45:54">
      <c r="AS43" s="83"/>
      <c r="AT43" s="83"/>
      <c r="BA43" s="8">
        <v>1</v>
      </c>
      <c r="BB43" s="8" t="s">
        <v>1682</v>
      </c>
    </row>
    <row r="44" spans="45:54">
      <c r="AS44" s="83"/>
      <c r="AT44" s="83"/>
      <c r="BA44" s="8">
        <v>1</v>
      </c>
      <c r="BB44" s="8" t="s">
        <v>1683</v>
      </c>
    </row>
    <row r="45" spans="45:54">
      <c r="AS45" s="83"/>
      <c r="AT45" s="83"/>
      <c r="BA45" s="8">
        <v>1</v>
      </c>
      <c r="BB45" s="8" t="s">
        <v>1684</v>
      </c>
    </row>
    <row r="46" spans="45:54">
      <c r="AS46" s="83"/>
      <c r="AT46" s="83"/>
      <c r="BA46" s="8">
        <v>1</v>
      </c>
      <c r="BB46" s="8" t="s">
        <v>1685</v>
      </c>
    </row>
    <row r="47" spans="45:54">
      <c r="AS47" s="83"/>
      <c r="AT47" s="83"/>
      <c r="BA47" s="8">
        <v>1</v>
      </c>
      <c r="BB47" s="8" t="s">
        <v>1686</v>
      </c>
    </row>
    <row r="48" spans="45:54">
      <c r="AS48" s="83"/>
      <c r="AT48" s="83"/>
      <c r="BA48" s="8">
        <v>1</v>
      </c>
      <c r="BB48" s="8" t="s">
        <v>1687</v>
      </c>
    </row>
    <row r="49" spans="45:54">
      <c r="AS49" s="83"/>
      <c r="AT49" s="83"/>
      <c r="BA49" s="8">
        <v>1</v>
      </c>
      <c r="BB49" s="8" t="s">
        <v>1688</v>
      </c>
    </row>
    <row r="50" spans="45:54">
      <c r="AS50" s="83"/>
      <c r="AT50" s="83"/>
      <c r="BA50" s="8">
        <v>1</v>
      </c>
      <c r="BB50" s="8" t="s">
        <v>1689</v>
      </c>
    </row>
    <row r="51" spans="45:54">
      <c r="AS51" s="83"/>
      <c r="AT51" s="83"/>
      <c r="BA51" s="8">
        <v>1</v>
      </c>
      <c r="BB51" s="8" t="s">
        <v>1690</v>
      </c>
    </row>
    <row r="52" spans="45:54">
      <c r="AS52" s="83"/>
      <c r="AT52" s="83"/>
      <c r="BA52" s="8">
        <v>1</v>
      </c>
      <c r="BB52" s="8" t="s">
        <v>1605</v>
      </c>
    </row>
    <row r="53" spans="45:54">
      <c r="AS53" s="83"/>
      <c r="AT53" s="83"/>
      <c r="BA53" s="8">
        <v>1</v>
      </c>
      <c r="BB53" s="8" t="s">
        <v>1691</v>
      </c>
    </row>
    <row r="54" spans="45:54">
      <c r="AS54" s="83"/>
      <c r="AT54" s="83"/>
      <c r="BA54" s="8">
        <v>1</v>
      </c>
      <c r="BB54" s="8" t="s">
        <v>160</v>
      </c>
    </row>
    <row r="55" spans="45:54">
      <c r="AS55" s="83"/>
      <c r="AT55" s="83"/>
      <c r="BA55" s="8">
        <v>1</v>
      </c>
      <c r="BB55" s="8" t="s">
        <v>1692</v>
      </c>
    </row>
    <row r="56" spans="45:54">
      <c r="AS56" s="83"/>
      <c r="AT56" s="83"/>
      <c r="BA56" s="8">
        <v>1</v>
      </c>
      <c r="BB56" s="8" t="s">
        <v>690</v>
      </c>
    </row>
    <row r="57" spans="45:54">
      <c r="AS57" s="83"/>
      <c r="AT57" s="83"/>
      <c r="BA57" s="8">
        <v>1</v>
      </c>
      <c r="BB57" s="8" t="s">
        <v>1693</v>
      </c>
    </row>
    <row r="58" spans="45:54">
      <c r="AS58" s="83"/>
      <c r="AT58" s="83"/>
      <c r="BA58" s="8">
        <v>1</v>
      </c>
      <c r="BB58" s="8" t="s">
        <v>1694</v>
      </c>
    </row>
    <row r="59" spans="45:54">
      <c r="AS59" s="83"/>
      <c r="AT59" s="83"/>
      <c r="BA59" s="8">
        <v>1</v>
      </c>
      <c r="BB59" s="8" t="s">
        <v>1695</v>
      </c>
    </row>
    <row r="60" spans="45:54">
      <c r="AS60" s="83"/>
      <c r="AT60" s="83"/>
      <c r="BA60" s="8">
        <v>1</v>
      </c>
      <c r="BB60" s="8" t="s">
        <v>1696</v>
      </c>
    </row>
    <row r="61" spans="45:54">
      <c r="AS61" s="83"/>
      <c r="AT61" s="83"/>
      <c r="BA61" s="8">
        <v>1</v>
      </c>
      <c r="BB61" s="8" t="s">
        <v>1697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AD29"/>
  <sheetViews>
    <sheetView topLeftCell="P1" zoomScaleNormal="100" workbookViewId="0">
      <selection activeCell="R19" sqref="R19"/>
    </sheetView>
  </sheetViews>
  <sheetFormatPr baseColWidth="10" defaultColWidth="9.140625" defaultRowHeight="15"/>
  <cols>
    <col min="1" max="1" width="3" customWidth="1"/>
    <col min="2" max="2" width="22.42578125" customWidth="1"/>
    <col min="3" max="3" width="3" customWidth="1"/>
    <col min="4" max="4" width="23.5703125" customWidth="1"/>
    <col min="5" max="5" width="3" customWidth="1"/>
    <col min="6" max="6" width="22.5703125" customWidth="1"/>
    <col min="7" max="7" width="3" customWidth="1"/>
    <col min="8" max="8" width="23.42578125" customWidth="1"/>
    <col min="9" max="9" width="3" style="26" customWidth="1"/>
    <col min="10" max="10" width="19.85546875" style="26" customWidth="1"/>
    <col min="11" max="11" width="3" style="26" customWidth="1"/>
    <col min="12" max="12" width="24.5703125" style="26" customWidth="1"/>
    <col min="13" max="13" width="3" style="26" customWidth="1"/>
    <col min="14" max="14" width="22.42578125" style="26" customWidth="1"/>
    <col min="15" max="15" width="3" style="26" customWidth="1"/>
    <col min="16" max="16" width="31.42578125" style="26" customWidth="1"/>
    <col min="17" max="17" width="3" style="26" customWidth="1"/>
    <col min="18" max="18" width="34.5703125" style="26" customWidth="1"/>
    <col min="19" max="19" width="3" style="26" customWidth="1"/>
    <col min="20" max="20" width="23.42578125" style="26" customWidth="1"/>
    <col min="21" max="21" width="3" style="26" customWidth="1"/>
    <col min="22" max="22" width="23.42578125" style="26" customWidth="1"/>
    <col min="23" max="23" width="3" style="26" customWidth="1"/>
    <col min="24" max="24" width="32.42578125" style="26" customWidth="1"/>
    <col min="25" max="25" width="3" style="26" customWidth="1"/>
    <col min="26" max="26" width="37" style="26" customWidth="1"/>
    <col min="27" max="27" width="3" style="26" customWidth="1"/>
    <col min="28" max="28" width="19.42578125" style="26" customWidth="1"/>
    <col min="29" max="29" width="3" bestFit="1" customWidth="1"/>
    <col min="30" max="30" width="21.28515625" bestFit="1" customWidth="1"/>
    <col min="31" max="1025" width="10.7109375" customWidth="1"/>
  </cols>
  <sheetData>
    <row r="1" spans="1:30" s="188" customFormat="1">
      <c r="A1" s="177">
        <f>SUM(A2:A16)</f>
        <v>60</v>
      </c>
      <c r="B1" s="177" t="s">
        <v>1159</v>
      </c>
      <c r="C1" s="177">
        <f>SUM(C2:C22)</f>
        <v>60</v>
      </c>
      <c r="D1" s="177" t="s">
        <v>1698</v>
      </c>
      <c r="E1" s="177">
        <f>SUM(E2:E28)</f>
        <v>60</v>
      </c>
      <c r="F1" s="177" t="s">
        <v>1161</v>
      </c>
      <c r="G1" s="177">
        <f>SUM(G2:G26)</f>
        <v>60</v>
      </c>
      <c r="H1" s="177" t="s">
        <v>1699</v>
      </c>
      <c r="I1" s="177">
        <f>SUM(I2:I24)</f>
        <v>60</v>
      </c>
      <c r="J1" s="177" t="s">
        <v>1164</v>
      </c>
      <c r="K1" s="177">
        <f>SUM(K2:K17)</f>
        <v>60</v>
      </c>
      <c r="L1" s="186" t="s">
        <v>1700</v>
      </c>
      <c r="M1" s="177">
        <f>SUM(M2:M19)</f>
        <v>60</v>
      </c>
      <c r="N1" s="186" t="s">
        <v>1701</v>
      </c>
      <c r="O1" s="177">
        <f>SUM(O2:O20)</f>
        <v>60</v>
      </c>
      <c r="P1" s="186" t="s">
        <v>1702</v>
      </c>
      <c r="Q1" s="177">
        <f>SUM(Q2:Q24)</f>
        <v>60</v>
      </c>
      <c r="R1" s="177" t="s">
        <v>1703</v>
      </c>
      <c r="S1" s="177">
        <f>SUM(S2:S23)</f>
        <v>60</v>
      </c>
      <c r="T1" s="186" t="s">
        <v>1704</v>
      </c>
      <c r="U1" s="177">
        <f>SUM(U2:U25)</f>
        <v>60</v>
      </c>
      <c r="V1" s="192" t="s">
        <v>147</v>
      </c>
      <c r="W1" s="177">
        <f>SUM(W2:W27)</f>
        <v>60</v>
      </c>
      <c r="X1" s="177" t="s">
        <v>1622</v>
      </c>
      <c r="Y1" s="177">
        <f>SUM(Y2:Y29)</f>
        <v>60</v>
      </c>
      <c r="Z1" s="177" t="s">
        <v>1705</v>
      </c>
      <c r="AA1" s="177">
        <f>SUM(AA2:AA27)</f>
        <v>60</v>
      </c>
      <c r="AB1" s="177" t="s">
        <v>1009</v>
      </c>
      <c r="AC1" s="17">
        <f>SUM(AC2:AC15)</f>
        <v>60</v>
      </c>
      <c r="AD1" s="130" t="s">
        <v>2150</v>
      </c>
    </row>
    <row r="2" spans="1:30">
      <c r="A2" s="5">
        <v>4</v>
      </c>
      <c r="B2" s="5" t="s">
        <v>1706</v>
      </c>
      <c r="C2" s="5">
        <v>3</v>
      </c>
      <c r="D2" s="5" t="s">
        <v>323</v>
      </c>
      <c r="E2" s="7">
        <v>4</v>
      </c>
      <c r="F2" s="7" t="s">
        <v>54</v>
      </c>
      <c r="G2" s="7">
        <v>4</v>
      </c>
      <c r="H2" s="7" t="s">
        <v>54</v>
      </c>
      <c r="I2" s="8">
        <v>4</v>
      </c>
      <c r="J2" s="22" t="s">
        <v>19</v>
      </c>
      <c r="K2" s="8">
        <v>2</v>
      </c>
      <c r="L2" s="34" t="s">
        <v>1270</v>
      </c>
      <c r="M2" s="8">
        <v>4</v>
      </c>
      <c r="N2" s="34" t="s">
        <v>1082</v>
      </c>
      <c r="O2" s="8">
        <v>4</v>
      </c>
      <c r="P2" s="34" t="s">
        <v>20</v>
      </c>
      <c r="Q2" s="8">
        <v>4</v>
      </c>
      <c r="R2" s="22" t="s">
        <v>54</v>
      </c>
      <c r="S2" s="8">
        <v>4</v>
      </c>
      <c r="T2" s="34" t="s">
        <v>54</v>
      </c>
      <c r="U2" s="8">
        <v>4</v>
      </c>
      <c r="V2" s="34" t="s">
        <v>54</v>
      </c>
      <c r="W2" s="8">
        <v>4</v>
      </c>
      <c r="X2" s="22" t="s">
        <v>1271</v>
      </c>
      <c r="Y2" s="8">
        <v>1</v>
      </c>
      <c r="Z2" s="22" t="s">
        <v>314</v>
      </c>
      <c r="AA2" s="17">
        <v>1</v>
      </c>
      <c r="AB2" s="22" t="s">
        <v>1012</v>
      </c>
      <c r="AC2" s="18">
        <v>4</v>
      </c>
      <c r="AD2" s="8" t="s">
        <v>1794</v>
      </c>
    </row>
    <row r="3" spans="1:30">
      <c r="A3" s="5">
        <v>1</v>
      </c>
      <c r="B3" s="5" t="s">
        <v>1097</v>
      </c>
      <c r="C3" s="7">
        <v>1</v>
      </c>
      <c r="D3" s="7" t="s">
        <v>1169</v>
      </c>
      <c r="E3" s="7">
        <v>4</v>
      </c>
      <c r="F3" s="7" t="s">
        <v>1082</v>
      </c>
      <c r="G3" s="7">
        <v>4</v>
      </c>
      <c r="H3" s="7" t="s">
        <v>1082</v>
      </c>
      <c r="I3" s="8">
        <v>4</v>
      </c>
      <c r="J3" s="22" t="s">
        <v>73</v>
      </c>
      <c r="K3" s="8">
        <v>4</v>
      </c>
      <c r="L3" s="34" t="s">
        <v>1290</v>
      </c>
      <c r="M3" s="8">
        <v>2</v>
      </c>
      <c r="N3" s="34" t="s">
        <v>912</v>
      </c>
      <c r="O3" s="8">
        <v>4</v>
      </c>
      <c r="P3" s="34" t="s">
        <v>1359</v>
      </c>
      <c r="Q3" s="8">
        <v>4</v>
      </c>
      <c r="R3" s="22" t="s">
        <v>1291</v>
      </c>
      <c r="S3" s="8">
        <v>1</v>
      </c>
      <c r="T3" s="34" t="s">
        <v>1175</v>
      </c>
      <c r="U3" s="8">
        <v>1</v>
      </c>
      <c r="V3" s="34" t="s">
        <v>1170</v>
      </c>
      <c r="W3" s="8">
        <v>4</v>
      </c>
      <c r="X3" s="22" t="s">
        <v>1291</v>
      </c>
      <c r="Y3" s="8">
        <v>4</v>
      </c>
      <c r="Z3" s="22" t="s">
        <v>1291</v>
      </c>
      <c r="AA3" s="8">
        <v>1</v>
      </c>
      <c r="AB3" s="8" t="s">
        <v>1023</v>
      </c>
      <c r="AC3" s="18">
        <v>14</v>
      </c>
      <c r="AD3" s="8" t="s">
        <v>1790</v>
      </c>
    </row>
    <row r="4" spans="1:30">
      <c r="A4" s="5">
        <v>8</v>
      </c>
      <c r="B4" s="5" t="s">
        <v>1173</v>
      </c>
      <c r="C4" s="5">
        <v>2</v>
      </c>
      <c r="D4" s="5" t="s">
        <v>1707</v>
      </c>
      <c r="E4" s="7">
        <v>4</v>
      </c>
      <c r="F4" s="7" t="s">
        <v>1085</v>
      </c>
      <c r="G4" s="7">
        <v>4</v>
      </c>
      <c r="H4" s="7" t="s">
        <v>1085</v>
      </c>
      <c r="I4" s="8">
        <v>1</v>
      </c>
      <c r="J4" s="22" t="s">
        <v>1200</v>
      </c>
      <c r="K4" s="8">
        <v>4</v>
      </c>
      <c r="L4" s="34" t="s">
        <v>1311</v>
      </c>
      <c r="M4" s="8">
        <v>2</v>
      </c>
      <c r="N4" s="34" t="s">
        <v>836</v>
      </c>
      <c r="O4" s="8">
        <v>4</v>
      </c>
      <c r="P4" s="34" t="s">
        <v>1708</v>
      </c>
      <c r="Q4" s="8">
        <v>4</v>
      </c>
      <c r="R4" s="22" t="s">
        <v>1016</v>
      </c>
      <c r="S4" s="8">
        <v>1</v>
      </c>
      <c r="T4" s="34" t="s">
        <v>1170</v>
      </c>
      <c r="U4" s="8">
        <v>1</v>
      </c>
      <c r="V4" s="34" t="s">
        <v>1195</v>
      </c>
      <c r="W4" s="8">
        <v>1</v>
      </c>
      <c r="X4" s="22" t="s">
        <v>1312</v>
      </c>
      <c r="Y4" s="8">
        <v>4</v>
      </c>
      <c r="Z4" s="22" t="s">
        <v>1016</v>
      </c>
      <c r="AA4" s="17">
        <v>1</v>
      </c>
      <c r="AB4" s="22" t="s">
        <v>1018</v>
      </c>
      <c r="AC4" s="18">
        <v>1</v>
      </c>
      <c r="AD4" s="8" t="s">
        <v>1048</v>
      </c>
    </row>
    <row r="5" spans="1:30">
      <c r="A5" s="5">
        <v>8</v>
      </c>
      <c r="B5" s="5" t="s">
        <v>1178</v>
      </c>
      <c r="C5" s="5">
        <v>2</v>
      </c>
      <c r="D5" s="5" t="s">
        <v>1709</v>
      </c>
      <c r="E5" s="7">
        <v>1</v>
      </c>
      <c r="F5" s="7" t="s">
        <v>19</v>
      </c>
      <c r="G5" s="7">
        <v>2</v>
      </c>
      <c r="H5" s="7" t="s">
        <v>30</v>
      </c>
      <c r="I5" s="8">
        <v>2</v>
      </c>
      <c r="J5" s="22" t="s">
        <v>1197</v>
      </c>
      <c r="K5" s="8">
        <v>4</v>
      </c>
      <c r="L5" s="34" t="s">
        <v>1335</v>
      </c>
      <c r="M5" s="8">
        <v>4</v>
      </c>
      <c r="N5" s="34" t="s">
        <v>805</v>
      </c>
      <c r="O5" s="8">
        <v>4</v>
      </c>
      <c r="P5" s="34" t="s">
        <v>1710</v>
      </c>
      <c r="Q5" s="8">
        <v>4</v>
      </c>
      <c r="R5" s="22" t="s">
        <v>30</v>
      </c>
      <c r="S5" s="8">
        <v>2</v>
      </c>
      <c r="T5" s="34" t="s">
        <v>907</v>
      </c>
      <c r="U5" s="8">
        <v>4</v>
      </c>
      <c r="V5" s="34" t="s">
        <v>1082</v>
      </c>
      <c r="W5" s="8">
        <v>4</v>
      </c>
      <c r="X5" s="8" t="s">
        <v>1016</v>
      </c>
      <c r="Y5" s="8">
        <v>1</v>
      </c>
      <c r="Z5" s="22" t="s">
        <v>1012</v>
      </c>
      <c r="AA5" s="17">
        <v>1</v>
      </c>
      <c r="AB5" s="22" t="s">
        <v>1027</v>
      </c>
      <c r="AC5" s="18">
        <v>1</v>
      </c>
      <c r="AD5" s="8" t="s">
        <v>1019</v>
      </c>
    </row>
    <row r="6" spans="1:30">
      <c r="A6" s="5">
        <v>4</v>
      </c>
      <c r="B6" s="5" t="s">
        <v>1182</v>
      </c>
      <c r="C6" s="5">
        <v>4</v>
      </c>
      <c r="D6" s="5" t="s">
        <v>1183</v>
      </c>
      <c r="E6" s="7">
        <v>1</v>
      </c>
      <c r="F6" s="7" t="s">
        <v>311</v>
      </c>
      <c r="G6" s="7">
        <v>1</v>
      </c>
      <c r="H6" s="7" t="s">
        <v>311</v>
      </c>
      <c r="I6" s="8">
        <v>1</v>
      </c>
      <c r="J6" s="22" t="s">
        <v>1199</v>
      </c>
      <c r="K6" s="8">
        <v>4</v>
      </c>
      <c r="L6" s="34" t="s">
        <v>1358</v>
      </c>
      <c r="M6" s="8">
        <v>4</v>
      </c>
      <c r="N6" s="34" t="s">
        <v>825</v>
      </c>
      <c r="O6" s="8">
        <v>1</v>
      </c>
      <c r="P6" s="34" t="s">
        <v>1711</v>
      </c>
      <c r="Q6" s="8">
        <v>4</v>
      </c>
      <c r="R6" s="22" t="s">
        <v>805</v>
      </c>
      <c r="S6" s="8">
        <v>11</v>
      </c>
      <c r="T6" s="34" t="s">
        <v>40</v>
      </c>
      <c r="U6" s="8">
        <v>3</v>
      </c>
      <c r="V6" s="34" t="s">
        <v>30</v>
      </c>
      <c r="W6" s="8">
        <v>1</v>
      </c>
      <c r="X6" s="22" t="s">
        <v>1336</v>
      </c>
      <c r="Y6" s="8">
        <v>1</v>
      </c>
      <c r="Z6" s="22" t="s">
        <v>1024</v>
      </c>
      <c r="AA6" s="17">
        <v>4</v>
      </c>
      <c r="AB6" s="22" t="s">
        <v>381</v>
      </c>
      <c r="AC6" s="18">
        <v>4</v>
      </c>
      <c r="AD6" s="8" t="s">
        <v>1798</v>
      </c>
    </row>
    <row r="7" spans="1:30">
      <c r="A7" s="5">
        <v>4</v>
      </c>
      <c r="B7" s="5" t="s">
        <v>1186</v>
      </c>
      <c r="C7" s="5">
        <v>1</v>
      </c>
      <c r="D7" s="5" t="s">
        <v>1187</v>
      </c>
      <c r="E7" s="7">
        <v>2</v>
      </c>
      <c r="F7" s="7" t="s">
        <v>1184</v>
      </c>
      <c r="G7" s="7">
        <v>2</v>
      </c>
      <c r="H7" s="7" t="s">
        <v>1188</v>
      </c>
      <c r="I7" s="8">
        <v>2</v>
      </c>
      <c r="J7" s="22" t="s">
        <v>1712</v>
      </c>
      <c r="K7" s="8">
        <v>4</v>
      </c>
      <c r="L7" s="34" t="s">
        <v>1380</v>
      </c>
      <c r="M7" s="8">
        <v>3</v>
      </c>
      <c r="N7" s="34" t="s">
        <v>893</v>
      </c>
      <c r="O7" s="8">
        <v>4</v>
      </c>
      <c r="P7" s="34" t="s">
        <v>1713</v>
      </c>
      <c r="Q7" s="8">
        <v>1</v>
      </c>
      <c r="R7" s="22" t="s">
        <v>1714</v>
      </c>
      <c r="S7" s="8">
        <v>4</v>
      </c>
      <c r="T7" s="34" t="s">
        <v>30</v>
      </c>
      <c r="U7" s="8">
        <v>1</v>
      </c>
      <c r="V7" s="34" t="s">
        <v>1088</v>
      </c>
      <c r="W7" s="8">
        <v>1</v>
      </c>
      <c r="X7" s="22" t="s">
        <v>1359</v>
      </c>
      <c r="Y7" s="8">
        <v>1</v>
      </c>
      <c r="Z7" s="22" t="s">
        <v>1028</v>
      </c>
      <c r="AA7" s="17">
        <v>2</v>
      </c>
      <c r="AB7" s="22" t="s">
        <v>405</v>
      </c>
      <c r="AC7" s="18">
        <v>4</v>
      </c>
      <c r="AD7" s="8" t="s">
        <v>2240</v>
      </c>
    </row>
    <row r="8" spans="1:30">
      <c r="A8" s="5">
        <v>3</v>
      </c>
      <c r="B8" s="5" t="s">
        <v>566</v>
      </c>
      <c r="C8" s="5">
        <v>4</v>
      </c>
      <c r="D8" s="5" t="s">
        <v>535</v>
      </c>
      <c r="E8" s="7">
        <v>1</v>
      </c>
      <c r="F8" s="7" t="s">
        <v>1088</v>
      </c>
      <c r="G8" s="7">
        <v>1</v>
      </c>
      <c r="H8" s="7" t="s">
        <v>1088</v>
      </c>
      <c r="I8" s="8">
        <v>3</v>
      </c>
      <c r="J8" s="22" t="s">
        <v>1715</v>
      </c>
      <c r="K8" s="8">
        <v>4</v>
      </c>
      <c r="L8" s="34" t="s">
        <v>1398</v>
      </c>
      <c r="M8" s="8">
        <v>1</v>
      </c>
      <c r="N8" s="34" t="s">
        <v>901</v>
      </c>
      <c r="O8" s="8">
        <v>4</v>
      </c>
      <c r="P8" s="34" t="s">
        <v>1716</v>
      </c>
      <c r="Q8" s="8">
        <v>1</v>
      </c>
      <c r="R8" s="22" t="s">
        <v>1088</v>
      </c>
      <c r="S8" s="8">
        <v>1</v>
      </c>
      <c r="T8" s="34" t="s">
        <v>1088</v>
      </c>
      <c r="U8" s="8">
        <v>1</v>
      </c>
      <c r="V8" s="14" t="s">
        <v>1717</v>
      </c>
      <c r="W8" s="8">
        <v>1</v>
      </c>
      <c r="X8" s="22" t="s">
        <v>381</v>
      </c>
      <c r="Y8" s="8">
        <v>1</v>
      </c>
      <c r="Z8" s="22" t="s">
        <v>1038</v>
      </c>
      <c r="AA8" s="17">
        <v>4</v>
      </c>
      <c r="AB8" s="22" t="s">
        <v>1016</v>
      </c>
      <c r="AC8" s="8">
        <v>4</v>
      </c>
      <c r="AD8" s="8" t="s">
        <v>1723</v>
      </c>
    </row>
    <row r="9" spans="1:30">
      <c r="A9" s="5">
        <v>1</v>
      </c>
      <c r="B9" s="5" t="s">
        <v>1718</v>
      </c>
      <c r="C9" s="5">
        <v>4</v>
      </c>
      <c r="D9" s="5" t="s">
        <v>1194</v>
      </c>
      <c r="E9" s="7">
        <v>1</v>
      </c>
      <c r="F9" s="7" t="s">
        <v>94</v>
      </c>
      <c r="G9" s="7">
        <v>1</v>
      </c>
      <c r="H9" s="7" t="s">
        <v>94</v>
      </c>
      <c r="I9" s="8">
        <v>2</v>
      </c>
      <c r="J9" s="22" t="s">
        <v>1181</v>
      </c>
      <c r="K9" s="8">
        <v>4</v>
      </c>
      <c r="L9" s="34" t="s">
        <v>1419</v>
      </c>
      <c r="M9" s="8">
        <v>4</v>
      </c>
      <c r="N9" s="34" t="s">
        <v>846</v>
      </c>
      <c r="O9" s="8">
        <v>4</v>
      </c>
      <c r="P9" s="34" t="s">
        <v>1719</v>
      </c>
      <c r="Q9" s="8">
        <v>4</v>
      </c>
      <c r="R9" s="22" t="s">
        <v>1720</v>
      </c>
      <c r="S9" s="8">
        <v>4</v>
      </c>
      <c r="T9" s="34" t="s">
        <v>1188</v>
      </c>
      <c r="U9" s="8">
        <v>4</v>
      </c>
      <c r="V9" s="34" t="s">
        <v>1085</v>
      </c>
      <c r="W9" s="8">
        <v>1</v>
      </c>
      <c r="X9" s="22" t="s">
        <v>1721</v>
      </c>
      <c r="Y9" s="8">
        <v>4</v>
      </c>
      <c r="Z9" s="22" t="s">
        <v>381</v>
      </c>
      <c r="AA9" s="17">
        <v>3</v>
      </c>
      <c r="AB9" s="22" t="s">
        <v>1020</v>
      </c>
      <c r="AC9" s="8">
        <v>4</v>
      </c>
      <c r="AD9" s="8" t="s">
        <v>1805</v>
      </c>
    </row>
    <row r="10" spans="1:30">
      <c r="A10" s="5">
        <v>4</v>
      </c>
      <c r="B10" s="5" t="s">
        <v>122</v>
      </c>
      <c r="C10" s="5">
        <v>2</v>
      </c>
      <c r="D10" s="5" t="s">
        <v>1198</v>
      </c>
      <c r="E10" s="7">
        <v>1</v>
      </c>
      <c r="F10" s="7" t="s">
        <v>1195</v>
      </c>
      <c r="G10" s="7">
        <v>1</v>
      </c>
      <c r="H10" s="7" t="s">
        <v>1195</v>
      </c>
      <c r="I10" s="8">
        <v>4</v>
      </c>
      <c r="J10" s="22" t="s">
        <v>1172</v>
      </c>
      <c r="K10" s="8">
        <v>4</v>
      </c>
      <c r="L10" s="34" t="s">
        <v>1443</v>
      </c>
      <c r="M10" s="8">
        <v>2</v>
      </c>
      <c r="N10" s="34" t="s">
        <v>795</v>
      </c>
      <c r="O10" s="8">
        <v>1</v>
      </c>
      <c r="P10" s="34" t="s">
        <v>1722</v>
      </c>
      <c r="Q10" s="8">
        <v>1</v>
      </c>
      <c r="R10" s="22" t="s">
        <v>1490</v>
      </c>
      <c r="S10" s="8">
        <v>1</v>
      </c>
      <c r="T10" s="34" t="s">
        <v>613</v>
      </c>
      <c r="U10" s="8">
        <v>3</v>
      </c>
      <c r="V10" s="34" t="s">
        <v>1188</v>
      </c>
      <c r="W10" s="8">
        <v>1</v>
      </c>
      <c r="X10" s="22" t="s">
        <v>1710</v>
      </c>
      <c r="Y10" s="8">
        <v>1</v>
      </c>
      <c r="Z10" s="22" t="s">
        <v>1721</v>
      </c>
      <c r="AA10" s="17">
        <v>2</v>
      </c>
      <c r="AB10" s="22" t="s">
        <v>501</v>
      </c>
      <c r="AC10" s="18">
        <v>4</v>
      </c>
      <c r="AD10" s="8" t="s">
        <v>2285</v>
      </c>
    </row>
    <row r="11" spans="1:30">
      <c r="A11" s="5">
        <v>4</v>
      </c>
      <c r="B11" s="5" t="s">
        <v>180</v>
      </c>
      <c r="C11" s="5">
        <v>3</v>
      </c>
      <c r="D11" s="5" t="s">
        <v>619</v>
      </c>
      <c r="E11" s="7">
        <v>4</v>
      </c>
      <c r="F11" s="7" t="s">
        <v>73</v>
      </c>
      <c r="G11" s="7">
        <v>4</v>
      </c>
      <c r="H11" s="7" t="s">
        <v>1717</v>
      </c>
      <c r="I11" s="8">
        <v>1</v>
      </c>
      <c r="J11" s="22" t="s">
        <v>613</v>
      </c>
      <c r="K11" s="8">
        <v>4</v>
      </c>
      <c r="L11" s="34" t="s">
        <v>1465</v>
      </c>
      <c r="M11" s="8">
        <v>4</v>
      </c>
      <c r="N11" s="34" t="s">
        <v>870</v>
      </c>
      <c r="O11" s="8">
        <v>4</v>
      </c>
      <c r="P11" s="34" t="s">
        <v>1723</v>
      </c>
      <c r="Q11" s="8">
        <v>2</v>
      </c>
      <c r="R11" s="22" t="s">
        <v>1378</v>
      </c>
      <c r="S11" s="8">
        <v>1</v>
      </c>
      <c r="T11" s="34" t="s">
        <v>1724</v>
      </c>
      <c r="U11" s="8">
        <v>1</v>
      </c>
      <c r="V11" s="34" t="s">
        <v>94</v>
      </c>
      <c r="W11" s="8">
        <v>1</v>
      </c>
      <c r="X11" s="22" t="s">
        <v>1420</v>
      </c>
      <c r="Y11" s="8">
        <v>2</v>
      </c>
      <c r="Z11" s="22" t="s">
        <v>405</v>
      </c>
      <c r="AA11" s="26">
        <v>1</v>
      </c>
      <c r="AB11" s="26" t="s">
        <v>1047</v>
      </c>
      <c r="AC11" s="18">
        <v>4</v>
      </c>
      <c r="AD11" s="8" t="s">
        <v>1052</v>
      </c>
    </row>
    <row r="12" spans="1:30">
      <c r="A12" s="5">
        <v>4</v>
      </c>
      <c r="B12" s="5" t="s">
        <v>1725</v>
      </c>
      <c r="C12" s="5">
        <v>1</v>
      </c>
      <c r="D12" s="5" t="s">
        <v>1204</v>
      </c>
      <c r="E12" s="7">
        <v>1</v>
      </c>
      <c r="F12" s="7" t="s">
        <v>476</v>
      </c>
      <c r="G12" s="7">
        <v>1</v>
      </c>
      <c r="H12" s="7" t="s">
        <v>535</v>
      </c>
      <c r="I12" s="8">
        <v>1</v>
      </c>
      <c r="J12" s="22" t="s">
        <v>1206</v>
      </c>
      <c r="K12" s="8">
        <v>4</v>
      </c>
      <c r="L12" s="34" t="s">
        <v>1489</v>
      </c>
      <c r="M12" s="8">
        <v>4</v>
      </c>
      <c r="N12" s="34" t="s">
        <v>311</v>
      </c>
      <c r="O12" s="8">
        <v>4</v>
      </c>
      <c r="P12" s="34" t="s">
        <v>206</v>
      </c>
      <c r="Q12" s="8">
        <v>1</v>
      </c>
      <c r="R12" s="22" t="s">
        <v>1726</v>
      </c>
      <c r="S12" s="8">
        <v>1</v>
      </c>
      <c r="T12" s="34" t="s">
        <v>1171</v>
      </c>
      <c r="U12" s="26">
        <v>1</v>
      </c>
      <c r="V12" s="26" t="s">
        <v>1727</v>
      </c>
      <c r="W12" s="8">
        <v>1</v>
      </c>
      <c r="X12" s="22" t="s">
        <v>1444</v>
      </c>
      <c r="Y12" s="8">
        <v>2</v>
      </c>
      <c r="Z12" s="22" t="s">
        <v>1490</v>
      </c>
      <c r="AA12" s="17">
        <v>1</v>
      </c>
      <c r="AB12" s="22" t="s">
        <v>549</v>
      </c>
      <c r="AC12" s="18">
        <v>4</v>
      </c>
      <c r="AD12" s="8" t="s">
        <v>169</v>
      </c>
    </row>
    <row r="13" spans="1:30">
      <c r="A13" s="5">
        <v>3</v>
      </c>
      <c r="B13" s="5" t="s">
        <v>241</v>
      </c>
      <c r="C13" s="5">
        <v>1</v>
      </c>
      <c r="D13" s="5" t="s">
        <v>1208</v>
      </c>
      <c r="E13" s="7">
        <v>2</v>
      </c>
      <c r="F13" s="7" t="s">
        <v>228</v>
      </c>
      <c r="G13" s="7">
        <v>1</v>
      </c>
      <c r="H13" s="7" t="s">
        <v>619</v>
      </c>
      <c r="I13" s="8">
        <v>2</v>
      </c>
      <c r="J13" s="22" t="s">
        <v>1189</v>
      </c>
      <c r="K13" s="8">
        <v>4</v>
      </c>
      <c r="L13" s="34" t="s">
        <v>216</v>
      </c>
      <c r="M13" s="8">
        <v>2</v>
      </c>
      <c r="N13" s="34" t="s">
        <v>241</v>
      </c>
      <c r="O13" s="8">
        <v>4</v>
      </c>
      <c r="P13" s="34" t="s">
        <v>186</v>
      </c>
      <c r="Q13" s="8">
        <v>1</v>
      </c>
      <c r="R13" s="53" t="s">
        <v>1721</v>
      </c>
      <c r="S13" s="8">
        <v>4</v>
      </c>
      <c r="T13" s="34" t="s">
        <v>211</v>
      </c>
      <c r="U13" s="8">
        <v>4</v>
      </c>
      <c r="V13" s="34" t="s">
        <v>211</v>
      </c>
      <c r="W13" s="8">
        <v>1</v>
      </c>
      <c r="X13" s="22" t="s">
        <v>1490</v>
      </c>
      <c r="Y13" s="8">
        <v>1</v>
      </c>
      <c r="Z13" s="22" t="s">
        <v>323</v>
      </c>
      <c r="AA13" s="17">
        <v>4</v>
      </c>
      <c r="AB13" s="22" t="s">
        <v>1050</v>
      </c>
      <c r="AC13" s="18">
        <v>4</v>
      </c>
      <c r="AD13" s="8" t="s">
        <v>206</v>
      </c>
    </row>
    <row r="14" spans="1:30">
      <c r="A14" s="5">
        <v>4</v>
      </c>
      <c r="B14" s="5" t="s">
        <v>576</v>
      </c>
      <c r="C14" s="5">
        <v>4</v>
      </c>
      <c r="D14" s="5" t="s">
        <v>1210</v>
      </c>
      <c r="E14" s="7">
        <v>1</v>
      </c>
      <c r="F14" s="7" t="s">
        <v>519</v>
      </c>
      <c r="G14" s="7">
        <v>1</v>
      </c>
      <c r="H14" s="7" t="s">
        <v>228</v>
      </c>
      <c r="I14" s="8">
        <v>1</v>
      </c>
      <c r="J14" s="22" t="s">
        <v>1202</v>
      </c>
      <c r="K14" s="8">
        <v>4</v>
      </c>
      <c r="L14" s="34" t="s">
        <v>1540</v>
      </c>
      <c r="M14" s="8">
        <v>4</v>
      </c>
      <c r="N14" s="34" t="s">
        <v>1134</v>
      </c>
      <c r="O14" s="8">
        <v>4</v>
      </c>
      <c r="P14" s="34" t="s">
        <v>1728</v>
      </c>
      <c r="Q14" s="8">
        <v>4</v>
      </c>
      <c r="R14" s="22" t="s">
        <v>211</v>
      </c>
      <c r="S14" s="8">
        <v>4</v>
      </c>
      <c r="T14" s="34" t="s">
        <v>201</v>
      </c>
      <c r="U14" s="8">
        <v>4</v>
      </c>
      <c r="V14" s="34" t="s">
        <v>201</v>
      </c>
      <c r="W14" s="8">
        <v>1</v>
      </c>
      <c r="X14" s="22" t="s">
        <v>1521</v>
      </c>
      <c r="Y14" s="8">
        <v>1</v>
      </c>
      <c r="Z14" s="22" t="s">
        <v>1541</v>
      </c>
      <c r="AA14" s="17">
        <v>1</v>
      </c>
      <c r="AB14" s="22" t="s">
        <v>665</v>
      </c>
      <c r="AC14" s="18">
        <v>4</v>
      </c>
      <c r="AD14" s="8" t="s">
        <v>186</v>
      </c>
    </row>
    <row r="15" spans="1:30">
      <c r="A15" s="23">
        <v>4</v>
      </c>
      <c r="B15" s="23" t="s">
        <v>237</v>
      </c>
      <c r="C15" s="5">
        <v>2</v>
      </c>
      <c r="D15" s="5" t="s">
        <v>1729</v>
      </c>
      <c r="E15" s="7">
        <v>1</v>
      </c>
      <c r="F15" s="7" t="s">
        <v>1211</v>
      </c>
      <c r="G15" s="7">
        <v>4</v>
      </c>
      <c r="H15" s="7" t="s">
        <v>1134</v>
      </c>
      <c r="I15" s="8">
        <v>4</v>
      </c>
      <c r="J15" s="22" t="s">
        <v>1164</v>
      </c>
      <c r="K15" s="8">
        <v>4</v>
      </c>
      <c r="L15" s="34" t="s">
        <v>180</v>
      </c>
      <c r="M15" s="8">
        <v>4</v>
      </c>
      <c r="N15" s="34" t="s">
        <v>1730</v>
      </c>
      <c r="O15" s="8">
        <v>4</v>
      </c>
      <c r="P15" s="34" t="s">
        <v>1731</v>
      </c>
      <c r="Q15" s="8">
        <v>1</v>
      </c>
      <c r="R15" s="22" t="s">
        <v>201</v>
      </c>
      <c r="S15" s="8">
        <v>4</v>
      </c>
      <c r="T15" s="34" t="s">
        <v>761</v>
      </c>
      <c r="U15" s="8">
        <v>4</v>
      </c>
      <c r="V15" s="14" t="s">
        <v>1732</v>
      </c>
      <c r="W15" s="8">
        <v>1</v>
      </c>
      <c r="X15" s="22" t="s">
        <v>1733</v>
      </c>
      <c r="Y15" s="8">
        <v>1</v>
      </c>
      <c r="Z15" s="22" t="s">
        <v>549</v>
      </c>
      <c r="AA15" s="17">
        <v>1</v>
      </c>
      <c r="AB15" s="22" t="s">
        <v>1010</v>
      </c>
      <c r="AC15" s="18">
        <v>4</v>
      </c>
      <c r="AD15" s="8" t="s">
        <v>2356</v>
      </c>
    </row>
    <row r="16" spans="1:30">
      <c r="A16" s="5">
        <v>4</v>
      </c>
      <c r="B16" s="5" t="s">
        <v>1214</v>
      </c>
      <c r="C16" s="5">
        <v>4</v>
      </c>
      <c r="D16" s="5" t="s">
        <v>765</v>
      </c>
      <c r="E16" s="7">
        <v>1</v>
      </c>
      <c r="F16" s="7" t="s">
        <v>613</v>
      </c>
      <c r="G16" s="7">
        <v>3</v>
      </c>
      <c r="H16" s="7" t="s">
        <v>1207</v>
      </c>
      <c r="I16" s="8">
        <v>1</v>
      </c>
      <c r="J16" s="22" t="s">
        <v>1221</v>
      </c>
      <c r="K16" s="8">
        <v>3</v>
      </c>
      <c r="L16" s="34" t="s">
        <v>1734</v>
      </c>
      <c r="M16" s="8">
        <v>4</v>
      </c>
      <c r="N16" s="34" t="s">
        <v>122</v>
      </c>
      <c r="O16" s="8">
        <v>2</v>
      </c>
      <c r="P16" s="34" t="s">
        <v>1735</v>
      </c>
      <c r="Q16" s="8">
        <v>2</v>
      </c>
      <c r="R16" s="22" t="s">
        <v>548</v>
      </c>
      <c r="S16" s="8">
        <v>2</v>
      </c>
      <c r="T16" s="34" t="s">
        <v>237</v>
      </c>
      <c r="U16" s="8">
        <v>4</v>
      </c>
      <c r="V16" s="34" t="s">
        <v>761</v>
      </c>
      <c r="W16" s="8">
        <v>1</v>
      </c>
      <c r="X16" s="8" t="s">
        <v>1736</v>
      </c>
      <c r="Y16" s="8">
        <v>1</v>
      </c>
      <c r="Z16" s="22" t="s">
        <v>1053</v>
      </c>
      <c r="AA16" s="17">
        <v>3</v>
      </c>
      <c r="AB16" s="22" t="s">
        <v>1054</v>
      </c>
    </row>
    <row r="17" spans="3:28">
      <c r="C17" s="5">
        <v>3</v>
      </c>
      <c r="D17" s="5" t="s">
        <v>1218</v>
      </c>
      <c r="E17" s="7">
        <v>4</v>
      </c>
      <c r="F17" s="7" t="s">
        <v>1134</v>
      </c>
      <c r="G17" s="7">
        <v>4</v>
      </c>
      <c r="H17" s="7" t="s">
        <v>675</v>
      </c>
      <c r="I17" s="8">
        <v>1</v>
      </c>
      <c r="J17" s="22" t="s">
        <v>241</v>
      </c>
      <c r="K17" s="8">
        <v>3</v>
      </c>
      <c r="L17" s="34" t="s">
        <v>1556</v>
      </c>
      <c r="M17" s="8">
        <v>4</v>
      </c>
      <c r="N17" s="34" t="s">
        <v>675</v>
      </c>
      <c r="O17" s="8">
        <v>1</v>
      </c>
      <c r="P17" s="34" t="s">
        <v>1737</v>
      </c>
      <c r="Q17" s="8">
        <v>4</v>
      </c>
      <c r="R17" s="22" t="s">
        <v>1207</v>
      </c>
      <c r="S17" s="8">
        <v>3</v>
      </c>
      <c r="T17" s="34" t="s">
        <v>548</v>
      </c>
      <c r="U17" s="8">
        <v>4</v>
      </c>
      <c r="V17" s="34" t="s">
        <v>548</v>
      </c>
      <c r="W17" s="8">
        <v>1</v>
      </c>
      <c r="X17" s="22" t="s">
        <v>1541</v>
      </c>
      <c r="Y17" s="8">
        <v>2</v>
      </c>
      <c r="Z17" s="22" t="s">
        <v>801</v>
      </c>
      <c r="AA17" s="17">
        <v>4</v>
      </c>
      <c r="AB17" s="22" t="s">
        <v>1057</v>
      </c>
    </row>
    <row r="18" spans="3:28">
      <c r="C18" s="5">
        <v>3</v>
      </c>
      <c r="D18" s="5" t="s">
        <v>1219</v>
      </c>
      <c r="E18" s="7">
        <v>3</v>
      </c>
      <c r="F18" s="7" t="s">
        <v>1207</v>
      </c>
      <c r="G18" s="7">
        <v>4</v>
      </c>
      <c r="H18" s="7" t="s">
        <v>201</v>
      </c>
      <c r="I18" s="8">
        <v>4</v>
      </c>
      <c r="J18" s="22" t="s">
        <v>984</v>
      </c>
      <c r="L18" s="73"/>
      <c r="M18" s="8">
        <v>4</v>
      </c>
      <c r="N18" s="34" t="s">
        <v>267</v>
      </c>
      <c r="O18" s="8">
        <v>2</v>
      </c>
      <c r="P18" s="34" t="s">
        <v>1738</v>
      </c>
      <c r="Q18" s="8">
        <v>4</v>
      </c>
      <c r="R18" s="22" t="s">
        <v>1030</v>
      </c>
      <c r="S18" s="8">
        <v>1</v>
      </c>
      <c r="T18" s="34" t="s">
        <v>1207</v>
      </c>
      <c r="U18" s="8">
        <v>2</v>
      </c>
      <c r="V18" s="34" t="s">
        <v>1207</v>
      </c>
      <c r="W18" s="8">
        <v>2</v>
      </c>
      <c r="X18" s="22" t="s">
        <v>1557</v>
      </c>
      <c r="Y18" s="8">
        <v>1</v>
      </c>
      <c r="Z18" s="53" t="s">
        <v>1027</v>
      </c>
      <c r="AA18" s="52">
        <v>4</v>
      </c>
      <c r="AB18" s="8" t="s">
        <v>1059</v>
      </c>
    </row>
    <row r="19" spans="3:28">
      <c r="C19" s="5">
        <v>4</v>
      </c>
      <c r="D19" s="5" t="s">
        <v>760</v>
      </c>
      <c r="E19" s="7">
        <v>4</v>
      </c>
      <c r="F19" s="7" t="s">
        <v>675</v>
      </c>
      <c r="G19" s="7">
        <v>3</v>
      </c>
      <c r="H19" s="7" t="s">
        <v>1057</v>
      </c>
      <c r="I19" s="8">
        <v>3</v>
      </c>
      <c r="J19" s="22" t="s">
        <v>243</v>
      </c>
      <c r="M19" s="8">
        <v>4</v>
      </c>
      <c r="N19" s="34" t="s">
        <v>263</v>
      </c>
      <c r="O19" s="37">
        <v>1</v>
      </c>
      <c r="P19" s="38" t="s">
        <v>610</v>
      </c>
      <c r="Q19" s="8">
        <v>1</v>
      </c>
      <c r="R19" s="22" t="s">
        <v>981</v>
      </c>
      <c r="S19" s="8">
        <v>3</v>
      </c>
      <c r="T19" s="34" t="s">
        <v>1030</v>
      </c>
      <c r="U19" s="8">
        <v>4</v>
      </c>
      <c r="V19" s="34" t="s">
        <v>1134</v>
      </c>
      <c r="W19" s="8">
        <v>4</v>
      </c>
      <c r="X19" s="22" t="s">
        <v>801</v>
      </c>
      <c r="Y19" s="8">
        <v>4</v>
      </c>
      <c r="Z19" s="22" t="s">
        <v>237</v>
      </c>
      <c r="AA19" s="17">
        <v>3</v>
      </c>
      <c r="AB19" s="22" t="s">
        <v>734</v>
      </c>
    </row>
    <row r="20" spans="3:28">
      <c r="C20" s="5">
        <v>4</v>
      </c>
      <c r="D20" s="5" t="s">
        <v>180</v>
      </c>
      <c r="E20" s="7">
        <v>4</v>
      </c>
      <c r="F20" s="7" t="s">
        <v>201</v>
      </c>
      <c r="G20" s="7">
        <v>4</v>
      </c>
      <c r="H20" s="7" t="s">
        <v>211</v>
      </c>
      <c r="I20" s="8">
        <v>4</v>
      </c>
      <c r="J20" s="22" t="s">
        <v>239</v>
      </c>
      <c r="N20" s="73"/>
      <c r="O20" s="8">
        <v>4</v>
      </c>
      <c r="P20" s="34" t="s">
        <v>1739</v>
      </c>
      <c r="Q20" s="8">
        <v>4</v>
      </c>
      <c r="R20" s="22" t="s">
        <v>1057</v>
      </c>
      <c r="S20" s="8">
        <v>4</v>
      </c>
      <c r="T20" s="34" t="s">
        <v>1224</v>
      </c>
      <c r="U20" s="8">
        <v>1</v>
      </c>
      <c r="V20" s="34" t="s">
        <v>149</v>
      </c>
      <c r="W20" s="8">
        <v>4</v>
      </c>
      <c r="X20" s="8" t="s">
        <v>1057</v>
      </c>
      <c r="Y20" s="8">
        <v>1</v>
      </c>
      <c r="Z20" s="22" t="s">
        <v>1052</v>
      </c>
      <c r="AA20" s="17">
        <v>4</v>
      </c>
      <c r="AB20" s="22" t="s">
        <v>237</v>
      </c>
    </row>
    <row r="21" spans="3:28">
      <c r="C21" s="5">
        <v>4</v>
      </c>
      <c r="D21" s="5" t="s">
        <v>1222</v>
      </c>
      <c r="E21" s="7">
        <v>4</v>
      </c>
      <c r="F21" s="7" t="s">
        <v>239</v>
      </c>
      <c r="G21" s="7">
        <v>4</v>
      </c>
      <c r="H21" s="7" t="s">
        <v>190</v>
      </c>
      <c r="I21" s="8">
        <v>4</v>
      </c>
      <c r="J21" s="22" t="s">
        <v>180</v>
      </c>
      <c r="Q21" s="8">
        <v>1</v>
      </c>
      <c r="R21" s="22" t="s">
        <v>267</v>
      </c>
      <c r="S21" s="8">
        <v>1</v>
      </c>
      <c r="T21" s="34" t="s">
        <v>247</v>
      </c>
      <c r="U21" s="8">
        <v>1</v>
      </c>
      <c r="V21" s="34" t="s">
        <v>147</v>
      </c>
      <c r="W21" s="8">
        <v>4</v>
      </c>
      <c r="X21" s="22" t="s">
        <v>1622</v>
      </c>
      <c r="Y21" s="8">
        <v>3</v>
      </c>
      <c r="Z21" s="22" t="s">
        <v>1740</v>
      </c>
      <c r="AA21" s="17">
        <v>1</v>
      </c>
      <c r="AB21" s="53" t="s">
        <v>1067</v>
      </c>
    </row>
    <row r="22" spans="3:28">
      <c r="C22" s="5">
        <v>4</v>
      </c>
      <c r="D22" s="5" t="s">
        <v>1224</v>
      </c>
      <c r="E22" s="7">
        <v>4</v>
      </c>
      <c r="F22" s="7" t="s">
        <v>243</v>
      </c>
      <c r="G22" s="7">
        <v>2</v>
      </c>
      <c r="H22" s="7" t="s">
        <v>548</v>
      </c>
      <c r="I22" s="8">
        <v>4</v>
      </c>
      <c r="J22" s="22" t="s">
        <v>981</v>
      </c>
      <c r="Q22" s="8">
        <v>3</v>
      </c>
      <c r="R22" s="22" t="s">
        <v>145</v>
      </c>
      <c r="S22" s="8">
        <v>1</v>
      </c>
      <c r="T22" s="34" t="s">
        <v>251</v>
      </c>
      <c r="U22" s="8">
        <v>4</v>
      </c>
      <c r="V22" s="34" t="s">
        <v>675</v>
      </c>
      <c r="W22" s="8">
        <v>4</v>
      </c>
      <c r="X22" s="22" t="s">
        <v>206</v>
      </c>
      <c r="Y22" s="8">
        <v>1</v>
      </c>
      <c r="Z22" s="22" t="s">
        <v>734</v>
      </c>
      <c r="AA22" s="17">
        <v>2</v>
      </c>
      <c r="AB22" s="22" t="s">
        <v>1052</v>
      </c>
    </row>
    <row r="23" spans="3:28">
      <c r="E23" s="20">
        <v>1</v>
      </c>
      <c r="F23" s="20" t="s">
        <v>1224</v>
      </c>
      <c r="G23" s="7">
        <v>1</v>
      </c>
      <c r="H23" s="7" t="s">
        <v>238</v>
      </c>
      <c r="I23" s="8">
        <v>3</v>
      </c>
      <c r="J23" s="22" t="s">
        <v>1734</v>
      </c>
      <c r="Q23" s="8">
        <v>2</v>
      </c>
      <c r="R23" s="22" t="s">
        <v>251</v>
      </c>
      <c r="S23" s="8">
        <v>2</v>
      </c>
      <c r="T23" s="34" t="s">
        <v>983</v>
      </c>
      <c r="U23" s="26">
        <v>1</v>
      </c>
      <c r="V23" s="26" t="s">
        <v>1741</v>
      </c>
      <c r="W23" s="8">
        <v>4</v>
      </c>
      <c r="X23" s="22" t="s">
        <v>928</v>
      </c>
      <c r="Y23" s="8">
        <v>4</v>
      </c>
      <c r="Z23" s="22" t="s">
        <v>1030</v>
      </c>
      <c r="AA23" s="17">
        <v>3</v>
      </c>
      <c r="AB23" s="22" t="s">
        <v>145</v>
      </c>
    </row>
    <row r="24" spans="3:28">
      <c r="E24" s="17">
        <v>1</v>
      </c>
      <c r="F24" s="17" t="s">
        <v>238</v>
      </c>
      <c r="G24" s="7">
        <v>1</v>
      </c>
      <c r="H24" s="7" t="s">
        <v>1224</v>
      </c>
      <c r="I24" s="8">
        <v>4</v>
      </c>
      <c r="J24" s="22" t="s">
        <v>223</v>
      </c>
      <c r="P24" s="73"/>
      <c r="Q24" s="8">
        <v>3</v>
      </c>
      <c r="R24" s="8" t="s">
        <v>1742</v>
      </c>
      <c r="T24" s="73"/>
      <c r="U24" s="8">
        <v>1</v>
      </c>
      <c r="V24" s="34" t="s">
        <v>251</v>
      </c>
      <c r="W24" s="8">
        <v>4</v>
      </c>
      <c r="X24" s="22" t="s">
        <v>186</v>
      </c>
      <c r="Y24" s="8">
        <v>1</v>
      </c>
      <c r="Z24" s="22" t="s">
        <v>1743</v>
      </c>
      <c r="AA24" s="17">
        <v>2</v>
      </c>
      <c r="AB24" s="22" t="s">
        <v>1068</v>
      </c>
    </row>
    <row r="25" spans="3:28">
      <c r="E25" s="7">
        <v>1</v>
      </c>
      <c r="F25" s="7" t="s">
        <v>1227</v>
      </c>
      <c r="G25" s="7">
        <v>2</v>
      </c>
      <c r="H25" s="7" t="s">
        <v>983</v>
      </c>
      <c r="T25" s="73"/>
      <c r="U25" s="8">
        <v>2</v>
      </c>
      <c r="V25" s="34" t="s">
        <v>983</v>
      </c>
      <c r="W25" s="8">
        <v>4</v>
      </c>
      <c r="X25" s="22" t="s">
        <v>180</v>
      </c>
      <c r="Y25" s="8">
        <v>3</v>
      </c>
      <c r="Z25" s="22" t="s">
        <v>596</v>
      </c>
      <c r="AA25" s="26">
        <v>2</v>
      </c>
      <c r="AB25" s="26" t="s">
        <v>1744</v>
      </c>
    </row>
    <row r="26" spans="3:28">
      <c r="E26" s="7">
        <v>3</v>
      </c>
      <c r="F26" s="7" t="s">
        <v>548</v>
      </c>
      <c r="G26" s="8">
        <v>1</v>
      </c>
      <c r="H26" s="17" t="s">
        <v>251</v>
      </c>
      <c r="R26" s="73"/>
      <c r="W26" s="8">
        <v>4</v>
      </c>
      <c r="X26" s="22" t="s">
        <v>946</v>
      </c>
      <c r="Y26" s="8">
        <v>4</v>
      </c>
      <c r="Z26" s="22" t="s">
        <v>1057</v>
      </c>
      <c r="AA26" s="52">
        <v>4</v>
      </c>
      <c r="AB26" s="22" t="s">
        <v>770</v>
      </c>
    </row>
    <row r="27" spans="3:28">
      <c r="E27" s="7">
        <v>1</v>
      </c>
      <c r="F27" s="7" t="s">
        <v>766</v>
      </c>
      <c r="J27" s="73"/>
      <c r="R27" s="73"/>
      <c r="W27" s="8">
        <v>1</v>
      </c>
      <c r="X27" s="8" t="s">
        <v>251</v>
      </c>
      <c r="Y27" s="8">
        <v>4</v>
      </c>
      <c r="Z27" s="22" t="s">
        <v>145</v>
      </c>
      <c r="AA27" s="17">
        <v>1</v>
      </c>
      <c r="AB27" s="22" t="s">
        <v>251</v>
      </c>
    </row>
    <row r="28" spans="3:28">
      <c r="D28" s="84"/>
      <c r="E28" s="7">
        <v>1</v>
      </c>
      <c r="F28" s="7" t="s">
        <v>1230</v>
      </c>
      <c r="Y28" s="8">
        <v>4</v>
      </c>
      <c r="Z28" s="22" t="s">
        <v>1070</v>
      </c>
    </row>
    <row r="29" spans="3:28">
      <c r="J29" s="73"/>
      <c r="Y29" s="8">
        <v>2</v>
      </c>
      <c r="Z29" s="22" t="s">
        <v>1071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3399"/>
  </sheetPr>
  <dimension ref="A1:L32"/>
  <sheetViews>
    <sheetView zoomScaleNormal="100" workbookViewId="0">
      <selection activeCell="D32" sqref="D32"/>
    </sheetView>
  </sheetViews>
  <sheetFormatPr baseColWidth="10" defaultColWidth="9.140625" defaultRowHeight="15"/>
  <cols>
    <col min="1" max="1" width="2.85546875" style="2" customWidth="1"/>
    <col min="2" max="2" width="31.42578125" style="2" customWidth="1"/>
    <col min="3" max="3" width="2.85546875" style="2" customWidth="1"/>
    <col min="4" max="4" width="27.5703125" style="2" customWidth="1"/>
    <col min="5" max="5" width="2.85546875" style="2" customWidth="1"/>
    <col min="6" max="6" width="43.5703125" style="2" customWidth="1"/>
    <col min="7" max="7" width="3" style="2" customWidth="1"/>
    <col min="8" max="8" width="41.140625" style="2" customWidth="1"/>
    <col min="9" max="9" width="3" style="26" customWidth="1"/>
    <col min="10" max="10" width="26.5703125" style="26" customWidth="1"/>
    <col min="11" max="11" width="3" style="2" customWidth="1"/>
    <col min="12" max="12" width="23.42578125" style="26" customWidth="1"/>
    <col min="13" max="1025" width="10.7109375" customWidth="1"/>
  </cols>
  <sheetData>
    <row r="1" spans="1:12" s="149" customFormat="1">
      <c r="A1" s="177">
        <f>SUM(A2:A31)</f>
        <v>60</v>
      </c>
      <c r="B1" s="177" t="s">
        <v>1702</v>
      </c>
      <c r="C1" s="177">
        <f>SUM(C2:C31)</f>
        <v>60</v>
      </c>
      <c r="D1" s="177" t="s">
        <v>1745</v>
      </c>
      <c r="E1" s="177">
        <f>SUM(E2:E32)</f>
        <v>60</v>
      </c>
      <c r="F1" s="177" t="s">
        <v>1746</v>
      </c>
      <c r="G1" s="178">
        <f>SUM(G2:G22)</f>
        <v>60</v>
      </c>
      <c r="H1" s="178" t="s">
        <v>1747</v>
      </c>
      <c r="I1" s="177">
        <f>SUM(I2:I31)</f>
        <v>60</v>
      </c>
      <c r="J1" s="186" t="s">
        <v>1748</v>
      </c>
      <c r="K1" s="177">
        <f>SUM(K2:K23)</f>
        <v>60</v>
      </c>
      <c r="L1" s="182" t="s">
        <v>1749</v>
      </c>
    </row>
    <row r="2" spans="1:12">
      <c r="A2" s="7">
        <v>2</v>
      </c>
      <c r="B2" s="3" t="s">
        <v>1719</v>
      </c>
      <c r="C2" s="3">
        <v>4</v>
      </c>
      <c r="D2" s="3" t="s">
        <v>1750</v>
      </c>
      <c r="E2" s="3">
        <v>1</v>
      </c>
      <c r="F2" s="3" t="s">
        <v>20</v>
      </c>
      <c r="G2" s="7">
        <v>4</v>
      </c>
      <c r="H2" s="34" t="s">
        <v>1275</v>
      </c>
      <c r="I2" s="70">
        <v>4</v>
      </c>
      <c r="J2" s="68" t="s">
        <v>25</v>
      </c>
      <c r="K2" s="7">
        <v>4</v>
      </c>
      <c r="L2" s="53" t="s">
        <v>1274</v>
      </c>
    </row>
    <row r="3" spans="1:12">
      <c r="A3" s="3">
        <v>3</v>
      </c>
      <c r="B3" s="3" t="s">
        <v>20</v>
      </c>
      <c r="C3" s="3">
        <v>4</v>
      </c>
      <c r="D3" s="3" t="s">
        <v>1751</v>
      </c>
      <c r="E3" s="3">
        <v>4</v>
      </c>
      <c r="F3" s="3" t="s">
        <v>1750</v>
      </c>
      <c r="G3" s="7">
        <v>4</v>
      </c>
      <c r="H3" s="34" t="s">
        <v>1293</v>
      </c>
      <c r="I3" s="3">
        <v>4</v>
      </c>
      <c r="J3" s="68" t="s">
        <v>1290</v>
      </c>
      <c r="K3" s="7">
        <v>4</v>
      </c>
      <c r="L3" s="53" t="s">
        <v>133</v>
      </c>
    </row>
    <row r="4" spans="1:12">
      <c r="A4" s="3">
        <v>3</v>
      </c>
      <c r="B4" s="3" t="s">
        <v>1294</v>
      </c>
      <c r="C4" s="3">
        <v>4</v>
      </c>
      <c r="D4" s="3" t="s">
        <v>1752</v>
      </c>
      <c r="E4" s="3">
        <v>1</v>
      </c>
      <c r="F4" s="3" t="s">
        <v>1271</v>
      </c>
      <c r="G4" s="7">
        <v>3</v>
      </c>
      <c r="H4" s="34" t="s">
        <v>1316</v>
      </c>
      <c r="I4" s="3">
        <v>4</v>
      </c>
      <c r="J4" s="68" t="s">
        <v>1753</v>
      </c>
      <c r="K4" s="7">
        <v>4</v>
      </c>
      <c r="L4" s="53" t="s">
        <v>1315</v>
      </c>
    </row>
    <row r="5" spans="1:12">
      <c r="A5" s="7">
        <v>1</v>
      </c>
      <c r="B5" s="3" t="s">
        <v>1754</v>
      </c>
      <c r="C5" s="3">
        <v>3</v>
      </c>
      <c r="D5" s="3" t="s">
        <v>1755</v>
      </c>
      <c r="E5" s="3">
        <v>4</v>
      </c>
      <c r="F5" s="3" t="s">
        <v>1291</v>
      </c>
      <c r="G5" s="7">
        <v>4</v>
      </c>
      <c r="H5" s="34" t="s">
        <v>1338</v>
      </c>
      <c r="I5" s="70">
        <v>4</v>
      </c>
      <c r="J5" s="68" t="s">
        <v>1756</v>
      </c>
      <c r="K5" s="7">
        <v>4</v>
      </c>
      <c r="L5" s="53" t="s">
        <v>1337</v>
      </c>
    </row>
    <row r="6" spans="1:12">
      <c r="A6" s="7">
        <v>4</v>
      </c>
      <c r="B6" s="3" t="s">
        <v>1716</v>
      </c>
      <c r="C6" s="3">
        <v>4</v>
      </c>
      <c r="D6" s="3" t="s">
        <v>1757</v>
      </c>
      <c r="E6" s="3">
        <v>3</v>
      </c>
      <c r="F6" s="3" t="s">
        <v>1758</v>
      </c>
      <c r="G6" s="7">
        <v>4</v>
      </c>
      <c r="H6" s="34" t="s">
        <v>1362</v>
      </c>
      <c r="I6" s="70">
        <v>4</v>
      </c>
      <c r="J6" s="68" t="s">
        <v>1358</v>
      </c>
      <c r="K6" s="7">
        <v>4</v>
      </c>
      <c r="L6" s="53" t="s">
        <v>39</v>
      </c>
    </row>
    <row r="7" spans="1:12">
      <c r="A7" s="7">
        <v>1</v>
      </c>
      <c r="B7" s="3" t="s">
        <v>1358</v>
      </c>
      <c r="C7" s="3">
        <v>2</v>
      </c>
      <c r="D7" s="3" t="s">
        <v>1759</v>
      </c>
      <c r="E7" s="3">
        <v>2</v>
      </c>
      <c r="F7" s="3" t="s">
        <v>1336</v>
      </c>
      <c r="G7" s="7">
        <v>3</v>
      </c>
      <c r="H7" s="34" t="s">
        <v>1383</v>
      </c>
      <c r="I7" s="70">
        <v>2</v>
      </c>
      <c r="J7" s="68" t="s">
        <v>1380</v>
      </c>
      <c r="K7" s="7">
        <v>4</v>
      </c>
      <c r="L7" s="53" t="s">
        <v>25</v>
      </c>
    </row>
    <row r="8" spans="1:12">
      <c r="A8" s="7">
        <v>4</v>
      </c>
      <c r="B8" s="3" t="s">
        <v>1359</v>
      </c>
      <c r="C8" s="3">
        <v>4</v>
      </c>
      <c r="D8" s="3" t="s">
        <v>1760</v>
      </c>
      <c r="E8" s="3">
        <v>1</v>
      </c>
      <c r="F8" s="3" t="s">
        <v>1761</v>
      </c>
      <c r="G8" s="7">
        <v>4</v>
      </c>
      <c r="H8" s="34" t="s">
        <v>1401</v>
      </c>
      <c r="I8" s="70">
        <v>4</v>
      </c>
      <c r="J8" s="68" t="s">
        <v>1337</v>
      </c>
      <c r="K8" s="7">
        <v>1</v>
      </c>
      <c r="L8" s="53" t="s">
        <v>144</v>
      </c>
    </row>
    <row r="9" spans="1:12">
      <c r="A9" s="7">
        <v>4</v>
      </c>
      <c r="B9" s="3" t="s">
        <v>1713</v>
      </c>
      <c r="C9" s="3">
        <v>1</v>
      </c>
      <c r="D9" s="3" t="s">
        <v>1762</v>
      </c>
      <c r="E9" s="3">
        <v>1</v>
      </c>
      <c r="F9" s="3" t="s">
        <v>1359</v>
      </c>
      <c r="G9" s="7">
        <v>1</v>
      </c>
      <c r="H9" s="34" t="s">
        <v>1423</v>
      </c>
      <c r="I9" s="70">
        <v>4</v>
      </c>
      <c r="J9" s="68" t="s">
        <v>1398</v>
      </c>
      <c r="K9" s="7">
        <v>1</v>
      </c>
      <c r="L9" s="53" t="s">
        <v>159</v>
      </c>
    </row>
    <row r="10" spans="1:12">
      <c r="A10" s="7">
        <v>4</v>
      </c>
      <c r="B10" s="3" t="s">
        <v>1710</v>
      </c>
      <c r="C10" s="3">
        <v>4</v>
      </c>
      <c r="D10" s="3" t="s">
        <v>1293</v>
      </c>
      <c r="E10" s="3">
        <v>1</v>
      </c>
      <c r="F10" s="3" t="s">
        <v>1102</v>
      </c>
      <c r="G10" s="7">
        <v>1</v>
      </c>
      <c r="H10" s="34" t="s">
        <v>1447</v>
      </c>
      <c r="I10" s="70">
        <v>4</v>
      </c>
      <c r="J10" s="68" t="s">
        <v>1443</v>
      </c>
      <c r="K10" s="7">
        <v>4</v>
      </c>
      <c r="L10" s="53" t="s">
        <v>120</v>
      </c>
    </row>
    <row r="11" spans="1:12">
      <c r="A11" s="7">
        <v>4</v>
      </c>
      <c r="B11" s="3" t="s">
        <v>1708</v>
      </c>
      <c r="C11" s="3">
        <v>2</v>
      </c>
      <c r="D11" s="3" t="s">
        <v>1316</v>
      </c>
      <c r="E11" s="3">
        <v>1</v>
      </c>
      <c r="F11" s="3" t="s">
        <v>1721</v>
      </c>
      <c r="G11" s="7">
        <v>2</v>
      </c>
      <c r="H11" s="68" t="s">
        <v>1469</v>
      </c>
      <c r="I11" s="70">
        <v>4</v>
      </c>
      <c r="J11" s="68" t="s">
        <v>1465</v>
      </c>
      <c r="K11" s="7">
        <v>4</v>
      </c>
      <c r="L11" s="53" t="s">
        <v>899</v>
      </c>
    </row>
    <row r="12" spans="1:12">
      <c r="A12" s="7">
        <v>1</v>
      </c>
      <c r="B12" s="3" t="s">
        <v>1557</v>
      </c>
      <c r="C12" s="3">
        <v>4</v>
      </c>
      <c r="D12" s="3" t="s">
        <v>1763</v>
      </c>
      <c r="E12" s="3">
        <v>2</v>
      </c>
      <c r="F12" s="3" t="s">
        <v>1710</v>
      </c>
      <c r="G12" s="7">
        <v>4</v>
      </c>
      <c r="H12" s="34" t="s">
        <v>1491</v>
      </c>
      <c r="I12" s="70">
        <v>4</v>
      </c>
      <c r="J12" s="68" t="s">
        <v>1489</v>
      </c>
      <c r="K12" s="7">
        <v>4</v>
      </c>
      <c r="L12" s="53" t="s">
        <v>229</v>
      </c>
    </row>
    <row r="13" spans="1:12">
      <c r="A13" s="7">
        <v>4</v>
      </c>
      <c r="B13" s="3" t="s">
        <v>1728</v>
      </c>
      <c r="C13" s="3">
        <v>3</v>
      </c>
      <c r="D13" s="3" t="s">
        <v>1764</v>
      </c>
      <c r="E13" s="3">
        <v>1</v>
      </c>
      <c r="F13" s="3" t="s">
        <v>1420</v>
      </c>
      <c r="G13" s="7">
        <v>4</v>
      </c>
      <c r="H13" s="34" t="s">
        <v>1506</v>
      </c>
      <c r="I13" s="70">
        <v>4</v>
      </c>
      <c r="J13" s="68" t="s">
        <v>216</v>
      </c>
      <c r="K13" s="7">
        <v>4</v>
      </c>
      <c r="L13" s="53" t="s">
        <v>216</v>
      </c>
    </row>
    <row r="14" spans="1:12">
      <c r="A14" s="7">
        <v>2</v>
      </c>
      <c r="B14" s="3" t="s">
        <v>142</v>
      </c>
      <c r="C14" s="3">
        <v>4</v>
      </c>
      <c r="D14" s="3" t="s">
        <v>1599</v>
      </c>
      <c r="E14" s="3">
        <v>1</v>
      </c>
      <c r="F14" s="3" t="s">
        <v>1444</v>
      </c>
      <c r="G14" s="7">
        <v>4</v>
      </c>
      <c r="H14" s="22" t="s">
        <v>1524</v>
      </c>
      <c r="I14" s="85">
        <v>4</v>
      </c>
      <c r="J14" s="68" t="s">
        <v>206</v>
      </c>
      <c r="K14" s="7">
        <v>4</v>
      </c>
      <c r="L14" s="53" t="s">
        <v>200</v>
      </c>
    </row>
    <row r="15" spans="1:12">
      <c r="A15" s="7">
        <v>4</v>
      </c>
      <c r="B15" s="3" t="s">
        <v>206</v>
      </c>
      <c r="C15" s="3">
        <v>3</v>
      </c>
      <c r="D15" s="3" t="s">
        <v>1765</v>
      </c>
      <c r="E15" s="3">
        <v>1</v>
      </c>
      <c r="F15" s="3" t="s">
        <v>1466</v>
      </c>
      <c r="G15" s="7">
        <v>1</v>
      </c>
      <c r="H15" s="22" t="s">
        <v>1544</v>
      </c>
      <c r="I15" s="85">
        <v>4</v>
      </c>
      <c r="J15" s="68" t="s">
        <v>1540</v>
      </c>
      <c r="K15" s="7">
        <v>4</v>
      </c>
      <c r="L15" s="53" t="s">
        <v>1766</v>
      </c>
    </row>
    <row r="16" spans="1:12">
      <c r="A16" s="7">
        <v>3</v>
      </c>
      <c r="B16" s="3" t="s">
        <v>1523</v>
      </c>
      <c r="C16" s="3">
        <v>2</v>
      </c>
      <c r="D16" s="3" t="s">
        <v>1734</v>
      </c>
      <c r="E16" s="3">
        <v>1</v>
      </c>
      <c r="F16" s="3" t="s">
        <v>1767</v>
      </c>
      <c r="G16" s="5">
        <v>3</v>
      </c>
      <c r="H16" s="22" t="s">
        <v>1560</v>
      </c>
      <c r="I16" s="85">
        <v>4</v>
      </c>
      <c r="J16" s="68" t="s">
        <v>1768</v>
      </c>
      <c r="K16" s="7">
        <v>4</v>
      </c>
      <c r="L16" s="53" t="s">
        <v>1769</v>
      </c>
    </row>
    <row r="17" spans="1:12">
      <c r="A17" s="7">
        <v>2</v>
      </c>
      <c r="B17" s="3" t="s">
        <v>1770</v>
      </c>
      <c r="C17" s="3">
        <v>4</v>
      </c>
      <c r="D17" s="3" t="s">
        <v>1771</v>
      </c>
      <c r="E17" s="3">
        <v>1</v>
      </c>
      <c r="F17" s="3" t="s">
        <v>1772</v>
      </c>
      <c r="G17" s="5">
        <v>1</v>
      </c>
      <c r="H17" s="22" t="s">
        <v>1580</v>
      </c>
      <c r="I17" s="85">
        <v>2</v>
      </c>
      <c r="J17" s="68" t="s">
        <v>1556</v>
      </c>
      <c r="K17" s="7">
        <v>4</v>
      </c>
      <c r="L17" s="53" t="s">
        <v>1543</v>
      </c>
    </row>
    <row r="18" spans="1:12">
      <c r="A18" s="7">
        <v>4</v>
      </c>
      <c r="B18" s="3" t="s">
        <v>1731</v>
      </c>
      <c r="C18" s="3">
        <v>4</v>
      </c>
      <c r="D18" s="3" t="s">
        <v>1773</v>
      </c>
      <c r="E18" s="3">
        <v>1</v>
      </c>
      <c r="F18" s="3" t="s">
        <v>1541</v>
      </c>
      <c r="G18" s="5">
        <v>4</v>
      </c>
      <c r="H18" s="22" t="s">
        <v>1774</v>
      </c>
      <c r="J18" s="86"/>
      <c r="K18" s="7">
        <v>2</v>
      </c>
      <c r="L18" s="53" t="s">
        <v>1598</v>
      </c>
    </row>
    <row r="19" spans="1:12">
      <c r="A19" s="7">
        <v>2</v>
      </c>
      <c r="B19" s="3" t="s">
        <v>1775</v>
      </c>
      <c r="C19" s="3">
        <v>4</v>
      </c>
      <c r="D19" s="3" t="s">
        <v>1776</v>
      </c>
      <c r="E19" s="3">
        <v>1</v>
      </c>
      <c r="F19" s="3" t="s">
        <v>1557</v>
      </c>
      <c r="G19" s="5">
        <v>1</v>
      </c>
      <c r="H19" s="22" t="s">
        <v>149</v>
      </c>
    </row>
    <row r="20" spans="1:12">
      <c r="A20" s="7">
        <v>2</v>
      </c>
      <c r="B20" s="3" t="s">
        <v>1777</v>
      </c>
      <c r="C20" s="87"/>
      <c r="D20" s="87"/>
      <c r="E20" s="3">
        <v>1</v>
      </c>
      <c r="F20" s="3" t="s">
        <v>1778</v>
      </c>
      <c r="G20" s="7">
        <v>2</v>
      </c>
      <c r="H20" s="7" t="s">
        <v>1734</v>
      </c>
    </row>
    <row r="21" spans="1:12">
      <c r="A21" s="7">
        <v>4</v>
      </c>
      <c r="B21" s="3" t="s">
        <v>1779</v>
      </c>
      <c r="C21" s="87"/>
      <c r="D21" s="87"/>
      <c r="E21" s="3">
        <v>4</v>
      </c>
      <c r="F21" s="3" t="s">
        <v>801</v>
      </c>
      <c r="G21" s="5">
        <v>3</v>
      </c>
      <c r="H21" s="22" t="s">
        <v>1623</v>
      </c>
    </row>
    <row r="22" spans="1:12">
      <c r="A22" s="7">
        <v>2</v>
      </c>
      <c r="B22" s="3" t="s">
        <v>1739</v>
      </c>
      <c r="C22" s="87"/>
      <c r="E22" s="3">
        <v>1</v>
      </c>
      <c r="F22" s="3" t="s">
        <v>1521</v>
      </c>
      <c r="G22" s="8">
        <v>3</v>
      </c>
      <c r="H22" s="22" t="s">
        <v>1634</v>
      </c>
    </row>
    <row r="23" spans="1:12">
      <c r="B23" s="87"/>
      <c r="C23" s="87"/>
      <c r="D23" s="87"/>
      <c r="E23" s="3">
        <v>1</v>
      </c>
      <c r="F23" s="3" t="s">
        <v>1780</v>
      </c>
    </row>
    <row r="24" spans="1:12">
      <c r="B24" s="87"/>
      <c r="C24" s="87"/>
      <c r="D24" s="87"/>
      <c r="E24" s="3">
        <v>4</v>
      </c>
      <c r="F24" s="3" t="s">
        <v>1622</v>
      </c>
    </row>
    <row r="25" spans="1:12">
      <c r="B25" s="87"/>
      <c r="C25" s="87"/>
      <c r="E25" s="3">
        <v>4</v>
      </c>
      <c r="F25" s="3" t="s">
        <v>928</v>
      </c>
    </row>
    <row r="26" spans="1:12">
      <c r="C26" s="87"/>
      <c r="D26" s="87"/>
      <c r="E26" s="3">
        <v>4</v>
      </c>
      <c r="F26" s="3" t="s">
        <v>1523</v>
      </c>
    </row>
    <row r="27" spans="1:12">
      <c r="C27" s="87"/>
      <c r="D27" s="87"/>
      <c r="E27" s="3">
        <v>3</v>
      </c>
      <c r="F27" s="3" t="s">
        <v>1781</v>
      </c>
    </row>
    <row r="28" spans="1:12">
      <c r="C28" s="87"/>
      <c r="D28" s="87"/>
      <c r="E28" s="3">
        <v>3</v>
      </c>
      <c r="F28" s="3" t="s">
        <v>149</v>
      </c>
    </row>
    <row r="29" spans="1:12">
      <c r="C29" s="87"/>
      <c r="D29" s="87"/>
      <c r="E29" s="3">
        <v>1</v>
      </c>
      <c r="F29" s="3" t="s">
        <v>1659</v>
      </c>
    </row>
    <row r="30" spans="1:12">
      <c r="C30" s="87"/>
      <c r="D30" s="87"/>
      <c r="E30" s="3">
        <v>1</v>
      </c>
      <c r="F30" s="3" t="s">
        <v>1782</v>
      </c>
    </row>
    <row r="31" spans="1:12">
      <c r="B31" s="87"/>
      <c r="C31" s="87"/>
      <c r="D31" s="87"/>
      <c r="E31" s="3">
        <v>4</v>
      </c>
      <c r="F31" s="3" t="s">
        <v>1783</v>
      </c>
    </row>
    <row r="32" spans="1:12">
      <c r="B32" s="87"/>
      <c r="C32" s="87"/>
      <c r="D32" s="87"/>
      <c r="E32" s="7">
        <v>1</v>
      </c>
      <c r="F32" s="3" t="s">
        <v>1784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Golden 20</vt:lpstr>
      <vt:lpstr>King Saga 36</vt:lpstr>
      <vt:lpstr>BYOTT 20</vt:lpstr>
      <vt:lpstr>PCIN05 DSM+DGL 6</vt:lpstr>
      <vt:lpstr>PCAM05 MSM+MMK 6</vt:lpstr>
      <vt:lpstr>PCNY05-MOR-MMK 7</vt:lpstr>
      <vt:lpstr>BYOS 40</vt:lpstr>
      <vt:lpstr>PCLA05 MOR-MAV 15</vt:lpstr>
      <vt:lpstr>PCAT06 MAV-MXM 6</vt:lpstr>
      <vt:lpstr>MOR-MXM 8</vt:lpstr>
      <vt:lpstr>pcsf06 msm-dcr 7</vt:lpstr>
      <vt:lpstr>PCIN06DJL-DCR 5</vt:lpstr>
      <vt:lpstr>PCLA06 MOR-MHG 12</vt:lpstr>
      <vt:lpstr>PCSF 07 MMK-DLS 10</vt:lpstr>
      <vt:lpstr>PCIN07 MHG-DWF 10</vt:lpstr>
      <vt:lpstr>WORLD CHAMP DWF-MUN 10</vt:lpstr>
      <vt:lpstr>MW08 MXM-DCL 8</vt:lpstr>
      <vt:lpstr>MvsD 8</vt:lpstr>
      <vt:lpstr>DV-IDENTITY-0</vt:lpstr>
      <vt:lpstr>RandomPunks 25</vt:lpstr>
      <vt:lpstr>Fanset</vt:lpstr>
      <vt:lpstr>CUBE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fsc</dc:creator>
  <dc:description/>
  <cp:lastModifiedBy>utilisateur</cp:lastModifiedBy>
  <cp:revision>4</cp:revision>
  <cp:lastPrinted>2017-04-23T20:39:29Z</cp:lastPrinted>
  <dcterms:created xsi:type="dcterms:W3CDTF">2010-02-07T16:02:45Z</dcterms:created>
  <dcterms:modified xsi:type="dcterms:W3CDTF">2020-04-01T11:38:16Z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Google.Documents.DocumentId">
    <vt:lpwstr>1ga9gxNH6fbrPN2ZgbINNIaExcmn7rD7WvptgmvGzAkY</vt:lpwstr>
  </property>
  <property fmtid="{D5CDD505-2E9C-101B-9397-08002B2CF9AE}" pid="5" name="Google.Documents.MergeIncapabilityFlags">
    <vt:i4>0</vt:i4>
  </property>
  <property fmtid="{D5CDD505-2E9C-101B-9397-08002B2CF9AE}" pid="6" name="Google.Documents.PluginVersion">
    <vt:lpwstr>2.0.2662.553</vt:lpwstr>
  </property>
  <property fmtid="{D5CDD505-2E9C-101B-9397-08002B2CF9AE}" pid="7" name="Google.Documents.PreviousRevisionId">
    <vt:lpwstr>09662147912802930308</vt:lpwstr>
  </property>
  <property fmtid="{D5CDD505-2E9C-101B-9397-08002B2CF9AE}" pid="8" name="Google.Documents.RevisionId">
    <vt:lpwstr>05718971399602587465</vt:lpwstr>
  </property>
  <property fmtid="{D5CDD505-2E9C-101B-9397-08002B2CF9AE}" pid="9" name="Google.Documents.Tracking">
    <vt:lpwstr>true</vt:lpwstr>
  </property>
  <property fmtid="{D5CDD505-2E9C-101B-9397-08002B2CF9AE}" pid="10" name="HyperlinksChanged">
    <vt:bool>false</vt:bool>
  </property>
  <property fmtid="{D5CDD505-2E9C-101B-9397-08002B2CF9AE}" pid="11" name="LinksUpToDate">
    <vt:bool>false</vt:bool>
  </property>
  <property fmtid="{D5CDD505-2E9C-101B-9397-08002B2CF9AE}" pid="12" name="ScaleCrop">
    <vt:bool>false</vt:bool>
  </property>
  <property fmtid="{D5CDD505-2E9C-101B-9397-08002B2CF9AE}" pid="13" name="ShareDoc">
    <vt:bool>false</vt:bool>
  </property>
</Properties>
</file>