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2.xml" ContentType="application/vnd.openxmlformats-officedocument.drawing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drawings/drawing3.xml" ContentType="application/vnd.openxmlformats-officedocument.drawing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lekhanov.aa\Desktop\"/>
    </mc:Choice>
  </mc:AlternateContent>
  <bookViews>
    <workbookView xWindow="0" yWindow="0" windowWidth="16200" windowHeight="12300" firstSheet="1" activeTab="1"/>
  </bookViews>
  <sheets>
    <sheet name="Карточка персонажа" sheetId="1" state="hidden" r:id="rId1"/>
    <sheet name="Лист персонажа 1" sheetId="8" r:id="rId2"/>
    <sheet name="Лист персонажа 2" sheetId="9" r:id="rId3"/>
    <sheet name="Инвентарь" sheetId="20" r:id="rId4"/>
    <sheet name="Черты" sheetId="6" r:id="rId5"/>
    <sheet name="Воин" sheetId="2" r:id="rId6"/>
    <sheet name="Бард" sheetId="10" r:id="rId7"/>
    <sheet name="Варвар" sheetId="11" r:id="rId8"/>
    <sheet name="Вор" sheetId="12" r:id="rId9"/>
    <sheet name="Друид" sheetId="13" r:id="rId10"/>
    <sheet name="Жрец" sheetId="14" r:id="rId11"/>
    <sheet name="Маг" sheetId="15" r:id="rId12"/>
    <sheet name="Монах" sheetId="16" r:id="rId13"/>
    <sheet name="Паладин" sheetId="17" r:id="rId14"/>
    <sheet name="Рейнджер" sheetId="18" r:id="rId15"/>
    <sheet name="Чародей" sheetId="19" r:id="rId16"/>
    <sheet name="Расы" sheetId="3" r:id="rId17"/>
  </sheets>
  <definedNames>
    <definedName name="Воин">Воин!$G$5:$H$25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8" l="1"/>
  <c r="G18" i="8"/>
  <c r="G16" i="8"/>
  <c r="G15" i="8"/>
  <c r="G14" i="8"/>
  <c r="W8" i="8" l="1"/>
  <c r="W9" i="8"/>
  <c r="W10" i="8"/>
  <c r="W11" i="8"/>
  <c r="U45" i="9"/>
  <c r="O45" i="9"/>
  <c r="M45" i="9"/>
  <c r="I45" i="9"/>
  <c r="U44" i="9"/>
  <c r="O44" i="9"/>
  <c r="M44" i="9"/>
  <c r="I44" i="9"/>
  <c r="U43" i="9"/>
  <c r="O43" i="9"/>
  <c r="M43" i="9"/>
  <c r="I43" i="9"/>
  <c r="U42" i="9"/>
  <c r="O42" i="9"/>
  <c r="M42" i="9"/>
  <c r="K42" i="9"/>
  <c r="I42" i="9"/>
  <c r="U41" i="9"/>
  <c r="O41" i="9"/>
  <c r="M41" i="9"/>
  <c r="K41" i="9"/>
  <c r="I41" i="9"/>
  <c r="F53" i="9"/>
  <c r="E53" i="9"/>
  <c r="D53" i="9"/>
  <c r="U40" i="9"/>
  <c r="S40" i="9"/>
  <c r="Q40" i="9"/>
  <c r="O40" i="9"/>
  <c r="M40" i="9"/>
  <c r="K40" i="9"/>
  <c r="I40" i="9"/>
  <c r="F52" i="9"/>
  <c r="E52" i="9"/>
  <c r="D52" i="9"/>
  <c r="U39" i="9"/>
  <c r="S39" i="9"/>
  <c r="Q39" i="9"/>
  <c r="O39" i="9"/>
  <c r="M39" i="9"/>
  <c r="K39" i="9"/>
  <c r="I39" i="9"/>
  <c r="F51" i="9"/>
  <c r="E51" i="9"/>
  <c r="D51" i="9"/>
  <c r="U38" i="9"/>
  <c r="S38" i="9"/>
  <c r="Q38" i="9"/>
  <c r="O38" i="9"/>
  <c r="M38" i="9"/>
  <c r="K38" i="9"/>
  <c r="I38" i="9"/>
  <c r="F50" i="9"/>
  <c r="E50" i="9"/>
  <c r="D50" i="9"/>
  <c r="U37" i="9"/>
  <c r="S37" i="9"/>
  <c r="Q37" i="9"/>
  <c r="O37" i="9"/>
  <c r="M37" i="9"/>
  <c r="K37" i="9"/>
  <c r="I37" i="9"/>
  <c r="F49" i="9"/>
  <c r="E49" i="9"/>
  <c r="D49" i="9"/>
  <c r="U36" i="9"/>
  <c r="O36" i="9"/>
  <c r="M36" i="9"/>
  <c r="K36" i="9"/>
  <c r="I36" i="9"/>
  <c r="V8" i="8"/>
  <c r="V9" i="8"/>
  <c r="V10" i="8"/>
  <c r="O9" i="8" l="1"/>
  <c r="O11" i="8"/>
  <c r="O10" i="8"/>
  <c r="O8" i="8"/>
  <c r="Q6" i="8"/>
  <c r="R52" i="8"/>
  <c r="R50" i="8"/>
  <c r="R48" i="8"/>
  <c r="R45" i="8"/>
  <c r="R43" i="8"/>
  <c r="R37" i="8"/>
  <c r="R61" i="8"/>
  <c r="R55" i="8"/>
  <c r="R54" i="8"/>
  <c r="T16" i="8"/>
  <c r="J16" i="8"/>
  <c r="J14" i="8"/>
  <c r="J15" i="8"/>
  <c r="G10" i="8"/>
  <c r="S8" i="9" s="1"/>
  <c r="R25" i="8"/>
  <c r="R53" i="8"/>
  <c r="J19" i="8"/>
  <c r="P55" i="8"/>
  <c r="P61" i="8"/>
  <c r="P34" i="8"/>
  <c r="P35" i="8"/>
  <c r="P63" i="8"/>
  <c r="P42" i="8"/>
  <c r="P54" i="8"/>
  <c r="P50" i="8"/>
  <c r="P29" i="8"/>
  <c r="P53" i="8"/>
  <c r="P48" i="8"/>
  <c r="P46" i="8"/>
  <c r="P43" i="8"/>
  <c r="P38" i="8"/>
  <c r="P32" i="8"/>
  <c r="P27" i="8"/>
  <c r="P65" i="8"/>
  <c r="P64" i="8"/>
  <c r="P26" i="8"/>
  <c r="P37" i="8"/>
  <c r="P25" i="8"/>
  <c r="P49" i="8"/>
  <c r="P28" i="8"/>
  <c r="P36" i="8"/>
  <c r="P31" i="8"/>
  <c r="P24" i="8"/>
  <c r="P58" i="8"/>
  <c r="P51" i="8"/>
  <c r="P67" i="8"/>
  <c r="P66" i="8"/>
  <c r="P56" i="8"/>
  <c r="P39" i="8"/>
  <c r="P41" i="8"/>
  <c r="P52" i="8"/>
  <c r="P47" i="8"/>
  <c r="P45" i="8"/>
  <c r="P40" i="8"/>
  <c r="P33" i="8"/>
  <c r="P30" i="8"/>
  <c r="P44" i="8"/>
  <c r="H11" i="10" l="1"/>
  <c r="H10" i="10"/>
  <c r="M14" i="8"/>
  <c r="F14" i="8"/>
  <c r="R8" i="9" s="1"/>
  <c r="F16" i="8"/>
  <c r="N32" i="8" s="1"/>
  <c r="F15" i="8"/>
  <c r="N44" i="8" s="1"/>
  <c r="F19" i="8"/>
  <c r="J17" i="8"/>
  <c r="F17" i="8" s="1"/>
  <c r="G17" i="8" s="1"/>
  <c r="A25" i="9"/>
  <c r="R28" i="8"/>
  <c r="F18" i="8"/>
  <c r="P51" i="1"/>
  <c r="P50" i="1"/>
  <c r="P43" i="1"/>
  <c r="C8" i="1"/>
  <c r="I17" i="1"/>
  <c r="E17" i="1" s="1"/>
  <c r="I14" i="1"/>
  <c r="E14" i="1" s="1"/>
  <c r="P52" i="1"/>
  <c r="L12" i="1"/>
  <c r="M4" i="1"/>
  <c r="R4" i="1" s="1"/>
  <c r="P26" i="1"/>
  <c r="N44" i="1"/>
  <c r="N35" i="1"/>
  <c r="N28" i="1"/>
  <c r="N27" i="1"/>
  <c r="N24" i="1"/>
  <c r="I12" i="1"/>
  <c r="E12" i="1" s="1"/>
  <c r="E13" i="1"/>
  <c r="E15" i="1"/>
  <c r="E16" i="1"/>
  <c r="F16" i="1"/>
  <c r="G73" i="1" s="1"/>
  <c r="E73" i="1" s="1"/>
  <c r="F17" i="1"/>
  <c r="L40" i="1" s="1"/>
  <c r="F12" i="1"/>
  <c r="T70" i="1" s="1"/>
  <c r="F13" i="1"/>
  <c r="N17" i="1" s="1"/>
  <c r="L17" i="1" s="1"/>
  <c r="F15" i="1"/>
  <c r="L63" i="1" s="1"/>
  <c r="P46" i="1"/>
  <c r="P41" i="1"/>
  <c r="W6" i="8" l="1"/>
  <c r="W7" i="8"/>
  <c r="N43" i="9"/>
  <c r="T37" i="9"/>
  <c r="T38" i="9"/>
  <c r="J40" i="9"/>
  <c r="J36" i="9"/>
  <c r="N45" i="9"/>
  <c r="J37" i="9"/>
  <c r="J43" i="9"/>
  <c r="J41" i="9"/>
  <c r="R37" i="9"/>
  <c r="R38" i="9"/>
  <c r="J45" i="9"/>
  <c r="T39" i="9"/>
  <c r="N37" i="9"/>
  <c r="N42" i="9"/>
  <c r="R39" i="9"/>
  <c r="N38" i="9"/>
  <c r="T40" i="9"/>
  <c r="R40" i="9"/>
  <c r="N44" i="9"/>
  <c r="J42" i="9"/>
  <c r="N39" i="9"/>
  <c r="J38" i="9"/>
  <c r="J44" i="9"/>
  <c r="N36" i="9"/>
  <c r="N40" i="9"/>
  <c r="J39" i="9"/>
  <c r="N41" i="9"/>
  <c r="P37" i="9"/>
  <c r="P39" i="9"/>
  <c r="P45" i="9"/>
  <c r="P42" i="9"/>
  <c r="P38" i="9"/>
  <c r="P44" i="9"/>
  <c r="P40" i="9"/>
  <c r="P36" i="9"/>
  <c r="P41" i="9"/>
  <c r="P43" i="9"/>
  <c r="N40" i="8"/>
  <c r="V45" i="9"/>
  <c r="L41" i="9"/>
  <c r="V42" i="9"/>
  <c r="V39" i="9"/>
  <c r="L39" i="9"/>
  <c r="V38" i="9"/>
  <c r="L36" i="9"/>
  <c r="L38" i="9"/>
  <c r="V40" i="9"/>
  <c r="V44" i="9"/>
  <c r="L37" i="9"/>
  <c r="L42" i="9"/>
  <c r="V36" i="9"/>
  <c r="V37" i="9"/>
  <c r="V41" i="9"/>
  <c r="V43" i="9"/>
  <c r="L40" i="9"/>
  <c r="Q68" i="1"/>
  <c r="S70" i="1" s="1"/>
  <c r="V6" i="8"/>
  <c r="V7" i="8"/>
  <c r="N57" i="8"/>
  <c r="N55" i="8"/>
  <c r="L46" i="1"/>
  <c r="O7" i="8"/>
  <c r="P4" i="9" s="1"/>
  <c r="Q4" i="9" s="1"/>
  <c r="N62" i="8"/>
  <c r="F8" i="9"/>
  <c r="F6" i="9"/>
  <c r="F10" i="9"/>
  <c r="N26" i="8"/>
  <c r="G10" i="9"/>
  <c r="G8" i="9"/>
  <c r="G6" i="9"/>
  <c r="N58" i="8"/>
  <c r="N50" i="8"/>
  <c r="N45" i="8"/>
  <c r="N41" i="8"/>
  <c r="N42" i="8"/>
  <c r="N29" i="8"/>
  <c r="N46" i="8"/>
  <c r="N39" i="8"/>
  <c r="N36" i="8"/>
  <c r="N52" i="8"/>
  <c r="O19" i="8"/>
  <c r="M19" i="8" s="1"/>
  <c r="N25" i="8"/>
  <c r="N54" i="8"/>
  <c r="N53" i="8"/>
  <c r="N59" i="8"/>
  <c r="N60" i="8"/>
  <c r="N30" i="8"/>
  <c r="N61" i="8"/>
  <c r="N31" i="8"/>
  <c r="N47" i="8"/>
  <c r="N48" i="8"/>
  <c r="N64" i="8"/>
  <c r="T6" i="8"/>
  <c r="N33" i="8"/>
  <c r="N65" i="8"/>
  <c r="S16" i="8"/>
  <c r="N63" i="8"/>
  <c r="N34" i="8"/>
  <c r="N49" i="8"/>
  <c r="N66" i="8"/>
  <c r="N35" i="8"/>
  <c r="N51" i="8"/>
  <c r="N37" i="8"/>
  <c r="N67" i="8"/>
  <c r="N24" i="8"/>
  <c r="N38" i="8"/>
  <c r="N27" i="8"/>
  <c r="N43" i="8"/>
  <c r="N56" i="8"/>
  <c r="N28" i="8"/>
  <c r="R16" i="8"/>
  <c r="Q20" i="1"/>
  <c r="O20" i="1" s="1"/>
  <c r="K5" i="1"/>
  <c r="U70" i="1"/>
  <c r="Q70" i="1" s="1"/>
  <c r="R14" i="1"/>
  <c r="L50" i="1"/>
  <c r="L25" i="1"/>
  <c r="L31" i="1"/>
  <c r="L34" i="1"/>
  <c r="L36" i="1"/>
  <c r="L27" i="1"/>
  <c r="L28" i="1"/>
  <c r="L44" i="1"/>
  <c r="L26" i="1"/>
  <c r="L22" i="1"/>
  <c r="L51" i="1"/>
  <c r="L29" i="1"/>
  <c r="L24" i="1"/>
  <c r="L47" i="1"/>
  <c r="L56" i="1"/>
  <c r="L35" i="1"/>
  <c r="L41" i="1"/>
  <c r="L43" i="1"/>
  <c r="L32" i="1"/>
  <c r="L45" i="1"/>
  <c r="L54" i="1"/>
  <c r="L48" i="1"/>
  <c r="L53" i="1"/>
  <c r="L57" i="1"/>
  <c r="L58" i="1"/>
  <c r="L64" i="1"/>
  <c r="L23" i="1"/>
  <c r="L65" i="1"/>
  <c r="L49" i="1"/>
  <c r="L52" i="1"/>
  <c r="L37" i="1"/>
  <c r="L38" i="1"/>
  <c r="L59" i="1"/>
  <c r="L39" i="1"/>
  <c r="L60" i="1"/>
  <c r="L55" i="1"/>
  <c r="L61" i="1"/>
  <c r="L62" i="1"/>
  <c r="L42" i="1"/>
  <c r="Q14" i="1"/>
  <c r="G71" i="1"/>
  <c r="E71" i="1" s="1"/>
  <c r="F14" i="1"/>
  <c r="L33" i="1" s="1"/>
  <c r="S22" i="8" l="1"/>
  <c r="Q22" i="8" s="1"/>
  <c r="N7" i="8"/>
  <c r="E6" i="9"/>
  <c r="E8" i="9"/>
  <c r="E10" i="9"/>
  <c r="M16" i="8"/>
  <c r="L14" i="1"/>
  <c r="G69" i="1"/>
  <c r="E69" i="1" s="1"/>
  <c r="L30" i="1" s="1"/>
  <c r="A25" i="1"/>
  <c r="R4" i="9" l="1"/>
  <c r="S4" i="9" s="1"/>
  <c r="T4" i="9" s="1"/>
  <c r="Q8" i="9"/>
  <c r="O8" i="9" s="1"/>
</calcChain>
</file>

<file path=xl/sharedStrings.xml><?xml version="1.0" encoding="utf-8"?>
<sst xmlns="http://schemas.openxmlformats.org/spreadsheetml/2006/main" count="2388" uniqueCount="969">
  <si>
    <t>Имя Персонажа</t>
  </si>
  <si>
    <t>Класс</t>
  </si>
  <si>
    <t>Уровень</t>
  </si>
  <si>
    <t>Текущие ранги</t>
  </si>
  <si>
    <t>Игрок</t>
  </si>
  <si>
    <t>Воин</t>
  </si>
  <si>
    <t>Класс/уровень</t>
  </si>
  <si>
    <t>Текщий опыт</t>
  </si>
  <si>
    <t xml:space="preserve">Опыта до следующего уровня </t>
  </si>
  <si>
    <t>Полуэльф</t>
  </si>
  <si>
    <t>Невыбрано</t>
  </si>
  <si>
    <t>Раса</t>
  </si>
  <si>
    <t>Мировозрение</t>
  </si>
  <si>
    <t>Бог</t>
  </si>
  <si>
    <t>Размер</t>
  </si>
  <si>
    <t>Возраст</t>
  </si>
  <si>
    <t>Параметр</t>
  </si>
  <si>
    <t>Итоговый параметр</t>
  </si>
  <si>
    <t>Модификатор</t>
  </si>
  <si>
    <t>Временные парметры</t>
  </si>
  <si>
    <t>Верменный модификатор</t>
  </si>
  <si>
    <t>Расовые штрафы</t>
  </si>
  <si>
    <t>Текущие ХП</t>
  </si>
  <si>
    <t>Временные повреждения</t>
  </si>
  <si>
    <t>Скорость</t>
  </si>
  <si>
    <t>Сила</t>
  </si>
  <si>
    <t>Кость хитов</t>
  </si>
  <si>
    <t>Ловкость</t>
  </si>
  <si>
    <t>Телосложение</t>
  </si>
  <si>
    <r>
      <rPr>
        <b/>
        <sz val="14"/>
        <color theme="0"/>
        <rFont val="Arial"/>
        <family val="2"/>
        <charset val="204"/>
      </rPr>
      <t xml:space="preserve">КД 
</t>
    </r>
    <r>
      <rPr>
        <b/>
        <sz val="10"/>
        <color theme="0"/>
        <rFont val="Arial"/>
        <family val="2"/>
        <charset val="204"/>
      </rPr>
      <t>Класс Доспеха</t>
    </r>
  </si>
  <si>
    <t>=</t>
  </si>
  <si>
    <t>Интелект</t>
  </si>
  <si>
    <t>Бонус Доспеха</t>
  </si>
  <si>
    <t>Бонус щита</t>
  </si>
  <si>
    <t>Модификатор ловкости</t>
  </si>
  <si>
    <t>Модификатор размера</t>
  </si>
  <si>
    <t>Природный доспех</t>
  </si>
  <si>
    <t xml:space="preserve">Модификатор отклонения </t>
  </si>
  <si>
    <t>Доп. Модификатор</t>
  </si>
  <si>
    <t>Мудрость</t>
  </si>
  <si>
    <t>Харизма</t>
  </si>
  <si>
    <t>Инициатива</t>
  </si>
  <si>
    <t>+</t>
  </si>
  <si>
    <t>Расовые/классовые черты</t>
  </si>
  <si>
    <t>Навыки</t>
  </si>
  <si>
    <t>Макс рангов</t>
  </si>
  <si>
    <t>/</t>
  </si>
  <si>
    <t>Наименовние навыка</t>
  </si>
  <si>
    <t>Бонус навыка</t>
  </si>
  <si>
    <t>Ключевой параметр</t>
  </si>
  <si>
    <t>Ранги</t>
  </si>
  <si>
    <t>Расовые</t>
  </si>
  <si>
    <t>Прочее</t>
  </si>
  <si>
    <t>Баланс</t>
  </si>
  <si>
    <t>Бесшумное передвижение</t>
  </si>
  <si>
    <t>Верховая езда</t>
  </si>
  <si>
    <t>Выживание</t>
  </si>
  <si>
    <t>Дипломатия</t>
  </si>
  <si>
    <t>Дрессировка</t>
  </si>
  <si>
    <t>Запугивание</t>
  </si>
  <si>
    <t>Изворотлипость</t>
  </si>
  <si>
    <t>Исп. Веревки</t>
  </si>
  <si>
    <t>Использование магический устройст</t>
  </si>
  <si>
    <t>Колдовство</t>
  </si>
  <si>
    <t>Концентрация</t>
  </si>
  <si>
    <t>Выносливость</t>
  </si>
  <si>
    <t>Кувырок</t>
  </si>
  <si>
    <t>Лазание</t>
  </si>
  <si>
    <t>Лечение</t>
  </si>
  <si>
    <t>Ловкость рук</t>
  </si>
  <si>
    <t>Маскировка</t>
  </si>
  <si>
    <t>Маханика</t>
  </si>
  <si>
    <t>Обман</t>
  </si>
  <si>
    <t>Определить</t>
  </si>
  <si>
    <t>Открыть замок</t>
  </si>
  <si>
    <t>Оценка</t>
  </si>
  <si>
    <t>Плавание</t>
  </si>
  <si>
    <t>Подделывание</t>
  </si>
  <si>
    <t>Поиск</t>
  </si>
  <si>
    <t>Проницательность</t>
  </si>
  <si>
    <t>Прыжок</t>
  </si>
  <si>
    <t>Расшифровать</t>
  </si>
  <si>
    <t>Сбор информации</t>
  </si>
  <si>
    <t>Слух</t>
  </si>
  <si>
    <t>Спрятаться</t>
  </si>
  <si>
    <t>Ремесло (?)</t>
  </si>
  <si>
    <t>Актерство (?)</t>
  </si>
  <si>
    <t>Обаяние</t>
  </si>
  <si>
    <t>Профессия (?)</t>
  </si>
  <si>
    <t>Знания (?)</t>
  </si>
  <si>
    <t>Спас-броски</t>
  </si>
  <si>
    <t>Общий</t>
  </si>
  <si>
    <t>Базовое сохранение</t>
  </si>
  <si>
    <t>Мод способностей</t>
  </si>
  <si>
    <t>Магический мод</t>
  </si>
  <si>
    <t>Разные моды</t>
  </si>
  <si>
    <t>Температурный мод</t>
  </si>
  <si>
    <t>Условные модификаторы</t>
  </si>
  <si>
    <t>Базовый бонус атаки</t>
  </si>
  <si>
    <t>Устойчивость к магии</t>
  </si>
  <si>
    <t xml:space="preserve">Стойкость </t>
  </si>
  <si>
    <t>Захват</t>
  </si>
  <si>
    <t>Рефлекс (Ловкость)</t>
  </si>
  <si>
    <t xml:space="preserve">Базовый бонус атаки </t>
  </si>
  <si>
    <t>Модификатор силы</t>
  </si>
  <si>
    <t>Воля (Мудрость)</t>
  </si>
  <si>
    <t>Атака</t>
  </si>
  <si>
    <t>Бонус атаки</t>
  </si>
  <si>
    <t xml:space="preserve">Повреждение </t>
  </si>
  <si>
    <t>Крит</t>
  </si>
  <si>
    <t>Диапазон</t>
  </si>
  <si>
    <t>Тип</t>
  </si>
  <si>
    <t>Заметки</t>
  </si>
  <si>
    <t>Опыт</t>
  </si>
  <si>
    <t>Gear</t>
  </si>
  <si>
    <t>Experiance</t>
  </si>
  <si>
    <t>Снаряжение</t>
  </si>
  <si>
    <t>Расположение</t>
  </si>
  <si>
    <t>Масса</t>
  </si>
  <si>
    <t>Боеприпасы</t>
  </si>
  <si>
    <t>Заклинания</t>
  </si>
  <si>
    <t>Изученые</t>
  </si>
  <si>
    <t>В день</t>
  </si>
  <si>
    <t>Бонус</t>
  </si>
  <si>
    <t>Saves</t>
  </si>
  <si>
    <t>Failure</t>
  </si>
  <si>
    <t>Снаряжение не при себе</t>
  </si>
  <si>
    <t>Clerics</t>
  </si>
  <si>
    <t>Домен</t>
  </si>
  <si>
    <t>Великая Сила</t>
  </si>
  <si>
    <t>Магические предметы</t>
  </si>
  <si>
    <t>Изгнать/запретить нежити</t>
  </si>
  <si>
    <t>Голова (повязка, шляпа, шлем или филактерий)</t>
  </si>
  <si>
    <t>Руки (перчатки или рукавицы)</t>
  </si>
  <si>
    <t>Раз в день</t>
  </si>
  <si>
    <t>Токарная проверка</t>
  </si>
  <si>
    <t>Урон при повороте</t>
  </si>
  <si>
    <t>Глаза (линзы или очки)</t>
  </si>
  <si>
    <t>Руки/запястья (наручи или браслеты)</t>
  </si>
  <si>
    <t>Ярость</t>
  </si>
  <si>
    <t>Шея (Амулет, Брошь, Медальон, Периапт или Скарабей)</t>
  </si>
  <si>
    <t>Тело (мантия или доспехи)</t>
  </si>
  <si>
    <t>Продолжительность</t>
  </si>
  <si>
    <t>Бонус силы/концентрации</t>
  </si>
  <si>
    <t>Плечи (плащ, накидка или мантия)</t>
  </si>
  <si>
    <t>Торс (жилет, облачение или рубашка)</t>
  </si>
  <si>
    <t>Will Bonus</t>
  </si>
  <si>
    <t>КБ штраф</t>
  </si>
  <si>
    <t>Использовано</t>
  </si>
  <si>
    <t>Кольцо 1</t>
  </si>
  <si>
    <t>Талия (пояс или пояс)</t>
  </si>
  <si>
    <t>Прошедшие раунды</t>
  </si>
  <si>
    <t>Языки</t>
  </si>
  <si>
    <t>Кольцо 2</t>
  </si>
  <si>
    <t>Ноги (сапоги, туфли или тапочки)</t>
  </si>
  <si>
    <t>Золото:</t>
  </si>
  <si>
    <t>Драгоценные камни:</t>
  </si>
  <si>
    <t>Фото</t>
  </si>
  <si>
    <t>Итог.параметр</t>
  </si>
  <si>
    <t>Мод.</t>
  </si>
  <si>
    <t>Врем. парм.</t>
  </si>
  <si>
    <t>Верм. мод.</t>
  </si>
  <si>
    <t>Врем. Поврежд.</t>
  </si>
  <si>
    <t>Мод. Ловк.</t>
  </si>
  <si>
    <t>Мод. размера</t>
  </si>
  <si>
    <t>Мод. Откл.</t>
  </si>
  <si>
    <t>Доп. Мод.</t>
  </si>
  <si>
    <t>1. Нашение доспехов и владение оружием  
2. Повышенная воля +2 к спасброску Воля
3. Любимое оружее (Длинный меч) +1 к Броскам атаки 
    3.1 +1 на попадание от мастерского длинного меча 
4. Мощная атака + базовый бонус атаки к урону 
5.Выносливость +4 к спасброскам
6. Рассекающий удар (удар по упавшему)
7. Крепкий орешек - движение при -1 до -9 ХП (На шестом)</t>
  </si>
  <si>
    <t>Ловк</t>
  </si>
  <si>
    <t>Бесш. передвижение</t>
  </si>
  <si>
    <t>Мудр</t>
  </si>
  <si>
    <t>Хар</t>
  </si>
  <si>
    <t>Испол. магический устройст</t>
  </si>
  <si>
    <t>Инт</t>
  </si>
  <si>
    <t>Вын</t>
  </si>
  <si>
    <t>Круг</t>
  </si>
  <si>
    <t>Жрец</t>
  </si>
  <si>
    <t>Бард</t>
  </si>
  <si>
    <t>Друид</t>
  </si>
  <si>
    <t>Маг</t>
  </si>
  <si>
    <t>Паладин</t>
  </si>
  <si>
    <t>Рейнджер</t>
  </si>
  <si>
    <t>Чародей</t>
  </si>
  <si>
    <t>Спб Стойк</t>
  </si>
  <si>
    <t>Спб Рефл</t>
  </si>
  <si>
    <t>Спб Воли</t>
  </si>
  <si>
    <t>Заклинаний в день</t>
  </si>
  <si>
    <t>Спасбросок</t>
  </si>
  <si>
    <t>—</t>
  </si>
  <si>
    <t>Первая</t>
  </si>
  <si>
    <t>Вторая</t>
  </si>
  <si>
    <t>Третья</t>
  </si>
  <si>
    <t>Четвертая</t>
  </si>
  <si>
    <t>Пятая</t>
  </si>
  <si>
    <t xml:space="preserve">Базовое </t>
  </si>
  <si>
    <t>Маг-кий мод</t>
  </si>
  <si>
    <t>Темп. мод</t>
  </si>
  <si>
    <t xml:space="preserve">Бонус атаки </t>
  </si>
  <si>
    <t>Мод. силы</t>
  </si>
  <si>
    <t>Гремящяя шпала Двуручный артефакт</t>
  </si>
  <si>
    <t>1d10+3</t>
  </si>
  <si>
    <t>x2 19/20</t>
  </si>
  <si>
    <t xml:space="preserve">Длинный меч мастерский </t>
  </si>
  <si>
    <t>1d8+3</t>
  </si>
  <si>
    <t>Длинный лук</t>
  </si>
  <si>
    <t>1d6+1</t>
  </si>
  <si>
    <t>x3 20</t>
  </si>
  <si>
    <t>Инвентарь</t>
  </si>
  <si>
    <t>Деньги:</t>
  </si>
  <si>
    <t>1 медь | 1 серебро | 1 золото | 1 платина</t>
  </si>
  <si>
    <t xml:space="preserve">Общие Черты </t>
  </si>
  <si>
    <t xml:space="preserve">Необходимые Условия </t>
  </si>
  <si>
    <t>Преимущества</t>
  </si>
  <si>
    <t>Акробатический</t>
  </si>
  <si>
    <t xml:space="preserve"> — </t>
  </si>
  <si>
    <t>+2 бонус к проверкам Прыжков и Падение/Кульбиты</t>
  </si>
  <si>
    <t>Активация в Бою</t>
  </si>
  <si>
    <t>+4 бонус к проверкам Концентрации при активации в защите</t>
  </si>
  <si>
    <t>Аннулирование Материалов</t>
  </si>
  <si>
    <t xml:space="preserve"> —</t>
  </si>
  <si>
    <t xml:space="preserve"> Активация заклинаний без материальных компонентов</t>
  </si>
  <si>
    <t>Атлетичный</t>
  </si>
  <si>
    <t>+2 бонус к проверкам Взбирания и Плавания</t>
  </si>
  <si>
    <t>Бег</t>
  </si>
  <si>
    <t>Бежите с 5 кратной скоростью, +4 бонус к проверкам Прыжков с разбегом</t>
  </si>
  <si>
    <t xml:space="preserve">Близость к Животным </t>
  </si>
  <si>
    <t xml:space="preserve">— </t>
  </si>
  <si>
    <t>+2 бонус к проверкам Езды Верхом и Приручения Животных</t>
  </si>
  <si>
    <t>Боевые Рефлексы¹</t>
  </si>
  <si>
    <t>Дополнительные благоприятные атаки1</t>
  </si>
  <si>
    <t>Боевая Экспертность¹</t>
  </si>
  <si>
    <t xml:space="preserve"> Интл 13 </t>
  </si>
  <si>
    <t>Перенос бонуса атаки к КД (макс. 5 пунктов)</t>
  </si>
  <si>
    <t>Улучшенное Обезоруживание¹</t>
  </si>
  <si>
    <t xml:space="preserve"> Боевая Экспертность </t>
  </si>
  <si>
    <t>+4 бонус к проверкам обезоруживания; нет благоприятнойатаки</t>
  </si>
  <si>
    <r>
      <t>Улучшенный Финт</t>
    </r>
    <r>
      <rPr>
        <sz val="18"/>
        <color theme="1"/>
        <rFont val="Times New Roman"/>
        <family val="1"/>
        <charset val="204"/>
      </rPr>
      <t>¹</t>
    </r>
  </si>
  <si>
    <t xml:space="preserve"> Боевая Экспертность</t>
  </si>
  <si>
    <t xml:space="preserve"> Финт в сражении как действие передвижения</t>
  </si>
  <si>
    <r>
      <t>Улучшенное Опрокидывание</t>
    </r>
    <r>
      <rPr>
        <sz val="20"/>
        <color theme="1"/>
        <rFont val="Times New Roman"/>
        <family val="1"/>
        <charset val="204"/>
      </rPr>
      <t>¹</t>
    </r>
  </si>
  <si>
    <t>+4 бонус к проверкам опрокидывания; нет благоприятной атаки</t>
  </si>
  <si>
    <t>Ураганная Атака¹</t>
  </si>
  <si>
    <t xml:space="preserve"> Ловк 13, Боевая Экспертность, Уворачивание, Подвижность, Энергичная Атака, базовый бонус атаки +4</t>
  </si>
  <si>
    <t>Одна рукопашная атака против каждого оппонента в пределах зоны поражения</t>
  </si>
  <si>
    <t>Ускоренная Перезарядка¹</t>
  </si>
  <si>
    <t xml:space="preserve"> Оружейная Квалификация с арбалетом</t>
  </si>
  <si>
    <t>Более ускоренная перезарядка арбалета</t>
  </si>
  <si>
    <t>+4 бонус к проверкам и спасброскам при противостояниивременным повреждениям</t>
  </si>
  <si>
    <t>Крепкий Орешек</t>
  </si>
  <si>
    <t xml:space="preserve">Выносливость </t>
  </si>
  <si>
    <t>Оставаться в сознании от –1 до –9 хп.</t>
  </si>
  <si>
    <t>Выстрел Вблизи¹</t>
  </si>
  <si>
    <t>+1 бонус к стрелковым атакам и повреждениям в пределах 9 метров</t>
  </si>
  <si>
    <t>Выстрел на Удаленное Расстояние¹</t>
  </si>
  <si>
    <t xml:space="preserve">Выстрел Вблизи </t>
  </si>
  <si>
    <t>Повышение диапазона поражения на 50% или 100%</t>
  </si>
  <si>
    <t>Прицельный Выстрел¹</t>
  </si>
  <si>
    <t>Нет штрафа –4 при стрельбе в рукопашном бою</t>
  </si>
  <si>
    <t>Быстрый Выстрел¹</t>
  </si>
  <si>
    <t xml:space="preserve">Ловк 13, Выстрел Вблизи </t>
  </si>
  <si>
    <t>Одна дополнительная стрелковая атака каждый раунд</t>
  </si>
  <si>
    <t xml:space="preserve">Множественный Выстрел¹ </t>
  </si>
  <si>
    <t>Ловк 17, Выстрел Вблизи, Быстрый Выстрел, базовый бонус атаки +6</t>
  </si>
  <si>
    <t>Выстрел двух или более стрел одновременно</t>
  </si>
  <si>
    <t>Стрельба на Бегу¹</t>
  </si>
  <si>
    <t>Ловк 13, Выстрел Вблизи, Подвижность,Уворачивание, базовый бонус атаки +4</t>
  </si>
  <si>
    <t>Передвижение до и после стрелковой атаки</t>
  </si>
  <si>
    <t>Улучшенный Прицельный Выстрел¹</t>
  </si>
  <si>
    <t>Ловк 19, Выстрел Вблизи, Прицельный Выстрел, базовый бонус атаки +11</t>
  </si>
  <si>
    <t>Игнорирование при стрелковых атаках все укрытия кроме полного укрытия/прикрытия</t>
  </si>
  <si>
    <t xml:space="preserve">Железная Воля </t>
  </si>
  <si>
    <t>+2 бонус к спасброскам Воли</t>
  </si>
  <si>
    <t xml:space="preserve">Измененный Призыв </t>
  </si>
  <si>
    <t xml:space="preserve">Фокусировка в Заклинаниях (колдовство) </t>
  </si>
  <si>
    <t>Призванные существа получают +4 Сила и +4 Тело</t>
  </si>
  <si>
    <t>Искусное Обращение с Оружием¹˒²</t>
  </si>
  <si>
    <t>Квалификация с оружием, базовый бонус атаки +1</t>
  </si>
  <si>
    <t>Используете модификатор Ловк вместо Силы при бросках атаки с облегченным рукопашным оружием</t>
  </si>
  <si>
    <t>Квалификация в Военном Оружии²</t>
  </si>
  <si>
    <t>Нет штрафов с выбранным военным оружием</t>
  </si>
  <si>
    <t xml:space="preserve">Квалификация в Доспехах (легких) </t>
  </si>
  <si>
    <t>Нет штрафов из-за доспехов к броскам атаки</t>
  </si>
  <si>
    <t xml:space="preserve">Квалификация в Доспехах (средних) </t>
  </si>
  <si>
    <t>Квалификация в Доспехах (тяжелых)</t>
  </si>
  <si>
    <t xml:space="preserve">Квалификация в Простом Оружии </t>
  </si>
  <si>
    <t>Нет штрафов с выбранным простым оружием</t>
  </si>
  <si>
    <t xml:space="preserve">Квалификация в Щитах </t>
  </si>
  <si>
    <t xml:space="preserve">Улучшенный Удар Щитом¹ </t>
  </si>
  <si>
    <t>Сохранение бонуса щита к КД при ударе щитом</t>
  </si>
  <si>
    <t xml:space="preserve">Квалификация в Ростовых Щитах </t>
  </si>
  <si>
    <t>Квалификация в Экзотическом Оружии¹˒²</t>
  </si>
  <si>
    <t xml:space="preserve">Базовый бонус атаки +1 </t>
  </si>
  <si>
    <t>Нет штрафов с выбранным экзотическим оружием</t>
  </si>
  <si>
    <t xml:space="preserve">Лидерство </t>
  </si>
  <si>
    <t xml:space="preserve">Персонаж 6-го уровня </t>
  </si>
  <si>
    <t>Привлечение последователей и приверженцев</t>
  </si>
  <si>
    <t xml:space="preserve">Ловкий </t>
  </si>
  <si>
    <t>+2 бонус к проверкам Баланса и Искусства Побега</t>
  </si>
  <si>
    <t>Мастерство в Заклинаниях²</t>
  </si>
  <si>
    <t xml:space="preserve"> Маг 1-го уровня </t>
  </si>
  <si>
    <t>Способность подготавливать некоторые заклинания без книги заклинаний</t>
  </si>
  <si>
    <t xml:space="preserve">Молниеносные Рефлексы </t>
  </si>
  <si>
    <t>+2 бонус к спасброскам Рефлекса</t>
  </si>
  <si>
    <t>Мощная Атака¹</t>
  </si>
  <si>
    <t xml:space="preserve">Сила 13 </t>
  </si>
  <si>
    <t>Переносить бонус атаки в повреждение (не выше базового бонуса атаки)</t>
  </si>
  <si>
    <t>Рассекающий Удар¹</t>
  </si>
  <si>
    <t xml:space="preserve">Мощная Атака </t>
  </si>
  <si>
    <t>Дополнительная рукопашная атака после падения противника</t>
  </si>
  <si>
    <t xml:space="preserve">Мощный Рассекающий Удар¹ </t>
  </si>
  <si>
    <t>Мощная Атака, Рассекающий Удар, базовый бонус атаки +4</t>
  </si>
  <si>
    <t>Неограниченное количество рассекающих ударов в раунд</t>
  </si>
  <si>
    <t>Улучшенный Натиск¹</t>
  </si>
  <si>
    <t>+4 бонус к проверкам натиска; нет благоприятной атаки</t>
  </si>
  <si>
    <t>Улучшенное Набегание¹</t>
  </si>
  <si>
    <t>+4 бонус к проверкам набегания; нет благоприятной атаки</t>
  </si>
  <si>
    <t xml:space="preserve">Улучшенное Раскалывание¹ </t>
  </si>
  <si>
    <t>+4 бонус к проверкам раскалывания; нет благоприятной атаки</t>
  </si>
  <si>
    <t xml:space="preserve">Настороженность </t>
  </si>
  <si>
    <t>+2 бонус к проверкам Прислушивания и Отслеживания</t>
  </si>
  <si>
    <t xml:space="preserve">Неискренний </t>
  </si>
  <si>
    <t>+2 бонус к проверкам Маскировки и Подделки</t>
  </si>
  <si>
    <t xml:space="preserve">Переговорщик </t>
  </si>
  <si>
    <t>+2 бонус к проверкам Дипломатии и Чувства Мотива</t>
  </si>
  <si>
    <t xml:space="preserve">Повышенная Стойкость </t>
  </si>
  <si>
    <t>+2 бонус к спасброскам Стойкости</t>
  </si>
  <si>
    <t xml:space="preserve">Природное Заклинание </t>
  </si>
  <si>
    <t>Мудр 13, Способность применять облик животного</t>
  </si>
  <si>
    <t>Активация заклинаний в облике животного</t>
  </si>
  <si>
    <t xml:space="preserve">Проворные Руки </t>
  </si>
  <si>
    <t>+2 бонус к проверкам Использования Веревки и Ловкости Рук</t>
  </si>
  <si>
    <t xml:space="preserve">Проникновенность Заклинаний </t>
  </si>
  <si>
    <t>+2 бонус к проверкам уровня заклинателя при преодолении устойчивости к магии</t>
  </si>
  <si>
    <t>Повышенная Проникновенность Заклинаний</t>
  </si>
  <si>
    <t>+4 бонус к проверкам уровня заклинателя при преодолении устойчивости к магии</t>
  </si>
  <si>
    <t>Прочность³</t>
  </si>
  <si>
    <t>+3 хит-поинта</t>
  </si>
  <si>
    <t xml:space="preserve">Расследователь </t>
  </si>
  <si>
    <t>+2 бонус к проверкам Поиска и Сбора Информации</t>
  </si>
  <si>
    <t xml:space="preserve">Самодостаточный </t>
  </si>
  <si>
    <t>+2 бонус к проверкам Искусства Выживания и Лечения</t>
  </si>
  <si>
    <t xml:space="preserve">Сверх-изгнание³ </t>
  </si>
  <si>
    <t>Способность изгонять или подчинять существ</t>
  </si>
  <si>
    <t>4 дополнительных применения изгнания или подчинения в день</t>
  </si>
  <si>
    <t xml:space="preserve">Скрытный </t>
  </si>
  <si>
    <t>+2 бонус к проверкам Бесшумного Передвижения и Скрытности</t>
  </si>
  <si>
    <t xml:space="preserve">Способность к Магии </t>
  </si>
  <si>
    <t>+2 бонус к проверкам Использования Магических Устройств и Искусства Магии__</t>
  </si>
  <si>
    <t>Сражение Верхом¹</t>
  </si>
  <si>
    <t xml:space="preserve">1 ранг в Езде Верхом </t>
  </si>
  <si>
    <t>Нейтрализовать попадания по скакуну проверкой Езды Верхом</t>
  </si>
  <si>
    <t>Стрельба Верхом¹</t>
  </si>
  <si>
    <t xml:space="preserve">Сражение Верхом </t>
  </si>
  <si>
    <t>Половина штрафов к стрелковым атакам находясь верхомна скакуне</t>
  </si>
  <si>
    <t xml:space="preserve">Атака на Скаку¹ </t>
  </si>
  <si>
    <t>Передвижение до и после стремительного наступления верхом</t>
  </si>
  <si>
    <t>Энергичное Нападение¹</t>
  </si>
  <si>
    <t xml:space="preserve">Сражение Верхом, Атака на Скаку </t>
  </si>
  <si>
    <t>Двойное повреждение при стремительном наступлении верхом</t>
  </si>
  <si>
    <t xml:space="preserve">Растаптывание¹ </t>
  </si>
  <si>
    <t>Цель не может избежать набегания</t>
  </si>
  <si>
    <t>Сражение в Слепую¹</t>
  </si>
  <si>
    <t>Перебрасывание шанса промаха из-за укрытия</t>
  </si>
  <si>
    <t>Сражение с Оружием в Каждой Руке¹</t>
  </si>
  <si>
    <t xml:space="preserve">Ловк 15 </t>
  </si>
  <si>
    <t>Снижает штрафы при сражении с оружием в каждой рукена 2</t>
  </si>
  <si>
    <t>Защита с Оружием в Каждой Руке¹</t>
  </si>
  <si>
    <t xml:space="preserve">Сражение с Оружием в Каждой Руке </t>
  </si>
  <si>
    <t>Оружие в не основной руке дает +1 бонус щита к КД</t>
  </si>
  <si>
    <t>Улучшенное Сражение с Оружием в Каждой Руке¹</t>
  </si>
  <si>
    <t>Ловк 17, Сражение с Оружием в Каждой Руке, базовый бонус атаки +6</t>
  </si>
  <si>
    <t>Получаете вторую атаку с оружием в не основной руке</t>
  </si>
  <si>
    <t>Повышенное Сражение с Оружием в Каждой Руке¹</t>
  </si>
  <si>
    <t>Ловк 19, Сражение с Оружием в Каждой Руке, Улучшенное Сражение с Оружием в Каждой Руке, базовый бонус атаки +11</t>
  </si>
  <si>
    <t>Получаете третью атаку с оружием в не основной руке</t>
  </si>
  <si>
    <t xml:space="preserve">Убедительность </t>
  </si>
  <si>
    <t>+2 бонус к проверкам Блефа и Запугивания</t>
  </si>
  <si>
    <t xml:space="preserve">Уворачивание¹ </t>
  </si>
  <si>
    <t xml:space="preserve">Ловк 13 </t>
  </si>
  <si>
    <t>+1 бонус уворачивания к КД против указанной цели</t>
  </si>
  <si>
    <t>Подвижность¹</t>
  </si>
  <si>
    <t xml:space="preserve">Уворачивание </t>
  </si>
  <si>
    <t>+4 бонус уворачивания против некоторых благоприятных атак</t>
  </si>
  <si>
    <t>Энергичная Атака¹</t>
  </si>
  <si>
    <t xml:space="preserve">Подвижность, базовый бонус атаки +4 </t>
  </si>
  <si>
    <t>Передвижение до и после рукопашной атаки</t>
  </si>
  <si>
    <t xml:space="preserve">Улучшенное Изгнание </t>
  </si>
  <si>
    <t>+1 уровень к проверкам изгнания</t>
  </si>
  <si>
    <t>Улучшенная Инициатива¹</t>
  </si>
  <si>
    <t>+4 бонус к проверкам инициативы</t>
  </si>
  <si>
    <t xml:space="preserve">Улучшенное Контрзаклинание </t>
  </si>
  <si>
    <t>Использовать контрзаклинание против заклинаний той же школы</t>
  </si>
  <si>
    <t>Улучшенное Критическое Попадание¹˒²</t>
  </si>
  <si>
    <t>Квалификация в оружии, базовый бонус атаки +8</t>
  </si>
  <si>
    <t>Удвоенный диапазон угрозы у оружия</t>
  </si>
  <si>
    <t>Улучшенный Невооруженный Удар¹</t>
  </si>
  <si>
    <t>Принимается вооруженным, даже когда в руках нет оружия</t>
  </si>
  <si>
    <t xml:space="preserve">Улучшенный Захват¹ </t>
  </si>
  <si>
    <t xml:space="preserve">Ловк 13, Улучшенный Невооруженный Удар </t>
  </si>
  <si>
    <t>+4 бонус к проверкам захвата; нет благоприятной атаки</t>
  </si>
  <si>
    <t xml:space="preserve">Отклонение Стрел¹ </t>
  </si>
  <si>
    <t>Отклонение одной стрелковой атаки в раунд</t>
  </si>
  <si>
    <t>Ловить Стрелы¹</t>
  </si>
  <si>
    <t>Ловк 15, Отклонение Стрел, Улучшенный Невооруженный Удар</t>
  </si>
  <si>
    <t>Ловля отклоненной стрелковой атаки</t>
  </si>
  <si>
    <t>Ошеломляющий Удар¹</t>
  </si>
  <si>
    <t>Ловк 13, Мудр 13, Улучшенный Невооруженный Удар, базовый бонус атаки +8</t>
  </si>
  <si>
    <t>Ошеломление оппонента невооруженным ударом</t>
  </si>
  <si>
    <t xml:space="preserve">Усердный </t>
  </si>
  <si>
    <t>+2 бонус к проверкам Оценки и Расшифровки</t>
  </si>
  <si>
    <t>Ускоренная Готовность¹</t>
  </si>
  <si>
    <t>+1 Вынуть оружие из ножен свободное действие</t>
  </si>
  <si>
    <t>Фокусировка в Заклинаниях²</t>
  </si>
  <si>
    <t>+1 к КС спасбросков в выбранной школе магии</t>
  </si>
  <si>
    <t>Повышенная Фокусировка в Заклинания²</t>
  </si>
  <si>
    <t xml:space="preserve">Фокусировка в Навыке² </t>
  </si>
  <si>
    <t>+3 бонус к проверкам выбранного навыка</t>
  </si>
  <si>
    <t>Фокусировка на Оружии¹˒²</t>
  </si>
  <si>
    <t>+1 бонус к броскам атаки с выбранным оружием</t>
  </si>
  <si>
    <t xml:space="preserve">Специализация в Оружии¹˒² </t>
  </si>
  <si>
    <t>Квалификация с оружием, Фокусировка в Оружие, воин 4-го уровня</t>
  </si>
  <si>
    <t>+2 бонус к броскам повреждения с выбранным оружием</t>
  </si>
  <si>
    <t>Повышенная Фокусировка на Оружии¹˒²</t>
  </si>
  <si>
    <t>Квалификация с оружием, Фокусировка в Оружие, воин 8-го уровня</t>
  </si>
  <si>
    <t>+2 бонус к броскам атаки с выбранным оружием</t>
  </si>
  <si>
    <t>Повышенная Специализация в Оружии¹˒²</t>
  </si>
  <si>
    <t>Квалификация с оружием, Повышенная Фокусировка в Оружие, Специализация в Оружие, Фокусировка в Оружие, воин 12-го уровня</t>
  </si>
  <si>
    <t>+4 бонус к броскам повреждения с выбранным оружием</t>
  </si>
  <si>
    <t xml:space="preserve">Чтение Следов </t>
  </si>
  <si>
    <t>Использование навыка Искусство Выживания для чтения следов</t>
  </si>
  <si>
    <t xml:space="preserve">Шустрые Пальцы </t>
  </si>
  <si>
    <t>+2 бонус к проверкам Блокировки Устройств и Взлома Замков</t>
  </si>
  <si>
    <t xml:space="preserve">Черты по Созданию Предметов </t>
  </si>
  <si>
    <t xml:space="preserve">Изготовить кольцо </t>
  </si>
  <si>
    <t xml:space="preserve">Заклинатель 12 уровня </t>
  </si>
  <si>
    <t>Создание магических колец</t>
  </si>
  <si>
    <t xml:space="preserve">Написать свиток </t>
  </si>
  <si>
    <t xml:space="preserve">Заклинатель 1 уровня </t>
  </si>
  <si>
    <t>Создание магических свитков</t>
  </si>
  <si>
    <t>Создать волшебное оружие или доспех</t>
  </si>
  <si>
    <t xml:space="preserve">Заклинатель 5 уровня </t>
  </si>
  <si>
    <t>Создание магического оружия или доспехов</t>
  </si>
  <si>
    <t xml:space="preserve">Создать волшебную палочку </t>
  </si>
  <si>
    <t>Создание магических, волшебных палочек</t>
  </si>
  <si>
    <t xml:space="preserve">Создать жезл </t>
  </si>
  <si>
    <t xml:space="preserve">Заклинатель 9 уровня </t>
  </si>
  <si>
    <t>Создание магических жезлов</t>
  </si>
  <si>
    <t xml:space="preserve">Создать необычный предмет </t>
  </si>
  <si>
    <t xml:space="preserve">Заклинатель 3 уровня </t>
  </si>
  <si>
    <t>Создание магических, необычных предметов</t>
  </si>
  <si>
    <t xml:space="preserve">Создать посох </t>
  </si>
  <si>
    <t>Создание магических посохов</t>
  </si>
  <si>
    <t xml:space="preserve">Сварить снадобье/зелье </t>
  </si>
  <si>
    <t>Создание магических снадобий</t>
  </si>
  <si>
    <t xml:space="preserve">Метамагические Черты </t>
  </si>
  <si>
    <t xml:space="preserve">Заклинание про Себя </t>
  </si>
  <si>
    <t>Активация заклинаний без вербальных компонентов</t>
  </si>
  <si>
    <t xml:space="preserve">Максимизировать Заклинание </t>
  </si>
  <si>
    <t>Увеличить изменяемые числовые эффекты заклинания</t>
  </si>
  <si>
    <t xml:space="preserve">Неподвижное Заклинание </t>
  </si>
  <si>
    <t>Активация заклинаний без соматических компонентов</t>
  </si>
  <si>
    <t xml:space="preserve">Повысить заклинание </t>
  </si>
  <si>
    <t>Активация заклинания как более высокого уровня</t>
  </si>
  <si>
    <t xml:space="preserve">Продлить заклинание </t>
  </si>
  <si>
    <t>Удвоить длительность заклинания</t>
  </si>
  <si>
    <t xml:space="preserve">Расширить заклинание </t>
  </si>
  <si>
    <t>Удвоить зону поражения заклинания</t>
  </si>
  <si>
    <t xml:space="preserve">Увеличить заклинание </t>
  </si>
  <si>
    <t>Удвоить диапазон заклинания</t>
  </si>
  <si>
    <t xml:space="preserve">Усилить заклинание </t>
  </si>
  <si>
    <t>Увеличить изменяемые числовые эффекты заклинания на 50%</t>
  </si>
  <si>
    <t xml:space="preserve">Ускоренное заклинание </t>
  </si>
  <si>
    <t>Активация заклинания свободным действием</t>
  </si>
  <si>
    <t>1 Воин способен выбирать эту отличительную черту как одну из своих бонусных воинских черт.</t>
  </si>
  <si>
    <t>2 Вы можете брать эту черту несколько раз. Её эффекты не слаживаются. Каждый раз, когда вы берете эту черту, она применяется к новому оружию, навыку, школе магии или набору заклинаний.</t>
  </si>
  <si>
    <t>3 Вы можете брать эту черту несколько раз. Её эффекты слаживаются.</t>
  </si>
  <si>
    <t>d10</t>
  </si>
  <si>
    <t>Ур</t>
  </si>
  <si>
    <t>бонус</t>
  </si>
  <si>
    <t>Особое</t>
  </si>
  <si>
    <t>Взбирание</t>
  </si>
  <si>
    <t>Бонусная черта</t>
  </si>
  <si>
    <t>Езда Верхом</t>
  </si>
  <si>
    <t xml:space="preserve">Приручение животных </t>
  </si>
  <si>
    <t>Прыжки</t>
  </si>
  <si>
    <t xml:space="preserve">Плавание </t>
  </si>
  <si>
    <t>Ремесло</t>
  </si>
  <si>
    <t>d6</t>
  </si>
  <si>
    <t>Бонус Атаки</t>
  </si>
  <si>
    <t xml:space="preserve">Спб Стойк. </t>
  </si>
  <si>
    <t xml:space="preserve">Спб Рефл. </t>
  </si>
  <si>
    <t>Спб Воли.</t>
  </si>
  <si>
    <t xml:space="preserve">Особое </t>
  </si>
  <si>
    <r>
      <t xml:space="preserve">Владение бардовскими музыкой изнаниями, противопесня, повыситьотвагу +1, </t>
    </r>
    <r>
      <rPr>
        <i/>
        <sz val="12"/>
        <color theme="1"/>
        <rFont val="Times New Roman"/>
        <family val="1"/>
        <charset val="204"/>
      </rPr>
      <t>гипнотизирование</t>
    </r>
  </si>
  <si>
    <t xml:space="preserve"> </t>
  </si>
  <si>
    <t xml:space="preserve">Повысить способности </t>
  </si>
  <si>
    <t>Внушение</t>
  </si>
  <si>
    <t>Повысить отвагу +2</t>
  </si>
  <si>
    <t>Повысить боевой дух</t>
  </si>
  <si>
    <t>Песнь свободы</t>
  </si>
  <si>
    <t>Повысить отвагу + 3</t>
  </si>
  <si>
    <t>Повысить героизм</t>
  </si>
  <si>
    <t>Массовое Внушение</t>
  </si>
  <si>
    <t>Повысить отвагу + 4</t>
  </si>
  <si>
    <t>Навык</t>
  </si>
  <si>
    <t>Знаемые заклинания</t>
  </si>
  <si>
    <t xml:space="preserve">Актёрство </t>
  </si>
  <si>
    <t>Обн</t>
  </si>
  <si>
    <t xml:space="preserve">Дипломатия </t>
  </si>
  <si>
    <t xml:space="preserve">Обн </t>
  </si>
  <si>
    <t xml:space="preserve">Искусство Магии </t>
  </si>
  <si>
    <t xml:space="preserve">Интл </t>
  </si>
  <si>
    <t>2¹</t>
  </si>
  <si>
    <t>Использование МагическихУстройств</t>
  </si>
  <si>
    <t xml:space="preserve">Знание  </t>
  </si>
  <si>
    <t>Интл</t>
  </si>
  <si>
    <t xml:space="preserve">Маскировка </t>
  </si>
  <si>
    <t xml:space="preserve">Прислушивание </t>
  </si>
  <si>
    <t xml:space="preserve">Расшифровка </t>
  </si>
  <si>
    <t>Сбори нформации</t>
  </si>
  <si>
    <t>Ловкие Руки</t>
  </si>
  <si>
    <t>¹ Считается что у Барда достаточно Обаяния чтобы иметь
бонусные заклинания этого уровня.</t>
  </si>
  <si>
    <t>Варвар</t>
  </si>
  <si>
    <t>d12</t>
  </si>
  <si>
    <t>Спб
Стойк.</t>
  </si>
  <si>
    <t>Спб
Рефл.</t>
  </si>
  <si>
    <t>Спб
Воли</t>
  </si>
  <si>
    <t>Ярость 1/день; безграмотность, повышенное передвижение</t>
  </si>
  <si>
    <t>Сверхъестественное уворачивание</t>
  </si>
  <si>
    <t>Езда верхом</t>
  </si>
  <si>
    <t>Ощущение ловушек +1</t>
  </si>
  <si>
    <t>Ярость 2/день</t>
  </si>
  <si>
    <t>Искуство выживания</t>
  </si>
  <si>
    <t>Улучшенное сверхъестественное уворачивание</t>
  </si>
  <si>
    <t>Ощущение ловушек +2</t>
  </si>
  <si>
    <t>Снижение повреждений 1/—</t>
  </si>
  <si>
    <t>Ярость 3/день</t>
  </si>
  <si>
    <t>Ощущение ловушек +3</t>
  </si>
  <si>
    <t>Снижение повреждений 2/—</t>
  </si>
  <si>
    <t>Приручение животных</t>
  </si>
  <si>
    <t>Повышенная ярость</t>
  </si>
  <si>
    <t>Ярость 4/день, Ощущение ловушек +4</t>
  </si>
  <si>
    <t>Прислушивание</t>
  </si>
  <si>
    <t>Снижение повреждений 3/—</t>
  </si>
  <si>
    <t>Непробиваемая воля</t>
  </si>
  <si>
    <t>Ощущение ловушек +5</t>
  </si>
  <si>
    <t>Снижение повреждений 4/—, ярость 5/день,</t>
  </si>
  <si>
    <t>Неутомимая ярость</t>
  </si>
  <si>
    <t>Ощущение ловушек +6</t>
  </si>
  <si>
    <t>Снижение повреждений 5/—</t>
  </si>
  <si>
    <t>Могучая ярость, ярость 6/день</t>
  </si>
  <si>
    <t>Вор</t>
  </si>
  <si>
    <t>Спб.
Стойк.</t>
  </si>
  <si>
    <t>Спб.
Рефл.</t>
  </si>
  <si>
    <t>Спб.
Воли</t>
  </si>
  <si>
    <t>Коварная атака +1d6, обнаружение ловушек</t>
  </si>
  <si>
    <t xml:space="preserve">Баланс </t>
  </si>
  <si>
    <t>Уклонение</t>
  </si>
  <si>
    <t>Бесшумное Передвижение</t>
  </si>
  <si>
    <t xml:space="preserve">Ловк </t>
  </si>
  <si>
    <t>Коварная атака +2d6, ощущение ловушек +1</t>
  </si>
  <si>
    <t xml:space="preserve">Блеф </t>
  </si>
  <si>
    <t xml:space="preserve">Взбирание </t>
  </si>
  <si>
    <t>Коварная атака +3d6</t>
  </si>
  <si>
    <t xml:space="preserve">Взлом Замка </t>
  </si>
  <si>
    <t>Коварная атака +4d6</t>
  </si>
  <si>
    <t xml:space="preserve">Запугивание </t>
  </si>
  <si>
    <t xml:space="preserve">Использование Верёвки </t>
  </si>
  <si>
    <t>Коварная атака +5d6</t>
  </si>
  <si>
    <t xml:space="preserve">Использование Магических Устройств </t>
  </si>
  <si>
    <t>Особая способность</t>
  </si>
  <si>
    <t xml:space="preserve">Искусство Побега </t>
  </si>
  <si>
    <t>Коварная атака +6d6</t>
  </si>
  <si>
    <t>Ощущение ловушек +4</t>
  </si>
  <si>
    <t>Отслеживание</t>
  </si>
  <si>
    <t xml:space="preserve">Мудр </t>
  </si>
  <si>
    <t>Коварная атака +7d6, особая способность</t>
  </si>
  <si>
    <t xml:space="preserve">Оценка </t>
  </si>
  <si>
    <t xml:space="preserve">Падение/Акробатика </t>
  </si>
  <si>
    <t>Коварная атака +8d6, ощущение ловушек +5</t>
  </si>
  <si>
    <t xml:space="preserve">Подделка </t>
  </si>
  <si>
    <t>Коварная атака +9d6</t>
  </si>
  <si>
    <t xml:space="preserve">Поиск </t>
  </si>
  <si>
    <t>Коварная атака +10d6, особая способность</t>
  </si>
  <si>
    <t xml:space="preserve">Профессия </t>
  </si>
  <si>
    <t xml:space="preserve">Прыжки </t>
  </si>
  <si>
    <t xml:space="preserve">Раскодирование Шрифтов </t>
  </si>
  <si>
    <t xml:space="preserve">Ремесло </t>
  </si>
  <si>
    <t xml:space="preserve">Сбор Информации </t>
  </si>
  <si>
    <t xml:space="preserve">Блокировка Устройств </t>
  </si>
  <si>
    <t xml:space="preserve">Скрытность </t>
  </si>
  <si>
    <t xml:space="preserve">Ловкие Руки </t>
  </si>
  <si>
    <t xml:space="preserve">Чувство Мотива </t>
  </si>
  <si>
    <t>d8</t>
  </si>
  <si>
    <t>Спб Стойк.</t>
  </si>
  <si>
    <t>Спб Рефл.</t>
  </si>
  <si>
    <t>Заклинаний в День</t>
  </si>
  <si>
    <t>Чувство природы, животное спутник, дикая эмпатия</t>
  </si>
  <si>
    <t>Тело</t>
  </si>
  <si>
    <t>Передвижение по лесу</t>
  </si>
  <si>
    <t>Передвижение без следов</t>
  </si>
  <si>
    <t>Устойчивость к соблазнам природы</t>
  </si>
  <si>
    <t>Искусство Выживания</t>
  </si>
  <si>
    <t>Обращение в животное (1/день)</t>
  </si>
  <si>
    <t>Искусство Магии</t>
  </si>
  <si>
    <t>Обращение в животное (2/день)</t>
  </si>
  <si>
    <t>Обращение в животное (3/день)</t>
  </si>
  <si>
    <t>Знание (природа)</t>
  </si>
  <si>
    <t>Обращение в животное (Большое)</t>
  </si>
  <si>
    <t>Иммунитет к ядам</t>
  </si>
  <si>
    <t>Профессия</t>
  </si>
  <si>
    <t>Обращение в животное (4/день)</t>
  </si>
  <si>
    <t>Обращ. в животное (Крошечное)</t>
  </si>
  <si>
    <t>Приручение Животных</t>
  </si>
  <si>
    <t>Обращение в животное (Растение)</t>
  </si>
  <si>
    <t>Тысячи лиц</t>
  </si>
  <si>
    <t>Обращение в животное (5/день)</t>
  </si>
  <si>
    <t>Обращение в животное (Оргомное), Вечное тело</t>
  </si>
  <si>
    <t>Обращение в элементаль (1/день)</t>
  </si>
  <si>
    <t>Обращение в животное (6/день) элементаль (2/день)</t>
  </si>
  <si>
    <t>Обращение в элементаль (3/день, Огромная элементаль)</t>
  </si>
  <si>
    <t>ЖИВОТНОЕ-СПУТНИК ДРУИДА</t>
  </si>
  <si>
    <t>Уровень Класса</t>
  </si>
  <si>
    <t>Бонусные КХП</t>
  </si>
  <si>
    <t>Природная Корр. Доспеха</t>
  </si>
  <si>
    <t>Корр. Сила/ Ловк</t>
  </si>
  <si>
    <t>Доп. Трюки</t>
  </si>
  <si>
    <t>1-й–2-й</t>
  </si>
  <si>
    <t>Связь, совместные заклинания</t>
  </si>
  <si>
    <t>3-й–5-й</t>
  </si>
  <si>
    <t>6-й–8-й</t>
  </si>
  <si>
    <t>Преданность</t>
  </si>
  <si>
    <t>9-й–11-й</t>
  </si>
  <si>
    <t>Мультиатака</t>
  </si>
  <si>
    <t>12-й–14-й</t>
  </si>
  <si>
    <t>15-й–17-й</t>
  </si>
  <si>
    <t>Улучшенное уклонение</t>
  </si>
  <si>
    <t>18-й–20-й</t>
  </si>
  <si>
    <t>БОГИ</t>
  </si>
  <si>
    <t>Боги</t>
  </si>
  <si>
    <t>Мировоззрение</t>
  </si>
  <si>
    <t>Основные Сферы</t>
  </si>
  <si>
    <t>Типичные Последователи</t>
  </si>
  <si>
    <t>Хайрониус, бог доблести</t>
  </si>
  <si>
    <t>ЗД</t>
  </si>
  <si>
    <t>Война, Добро, Закон</t>
  </si>
  <si>
    <t>Паладины, воины, монахи</t>
  </si>
  <si>
    <t>Морадин, бог дварфов</t>
  </si>
  <si>
    <t>Добро, Земля, Закон, Защита</t>
  </si>
  <si>
    <t>Дварфы</t>
  </si>
  <si>
    <t>Изгнание Нежити</t>
  </si>
  <si>
    <t>1+1</t>
  </si>
  <si>
    <t>Йондалла, богиня халфлингов</t>
  </si>
  <si>
    <t>Добро, Закон, Защита</t>
  </si>
  <si>
    <t>Халфлинги</t>
  </si>
  <si>
    <t>2+1</t>
  </si>
  <si>
    <t>Эхлонна, богиня лесной местности</t>
  </si>
  <si>
    <t>НД</t>
  </si>
  <si>
    <t>Добро, Животные, Растения, Солнце</t>
  </si>
  <si>
    <t>Эльфы, гномы, полуэльфы, халфлинги, рейнджеры, друиды.</t>
  </si>
  <si>
    <t>Гарл Глиттергольд, бог гномов</t>
  </si>
  <si>
    <t>Добро, Защита, Мошенничество</t>
  </si>
  <si>
    <t>Гномы</t>
  </si>
  <si>
    <t>3+1</t>
  </si>
  <si>
    <t>Пелор, бог солнца</t>
  </si>
  <si>
    <t>Добро, Лечение, Сила, Солнце</t>
  </si>
  <si>
    <t>Рейнджеры, барды</t>
  </si>
  <si>
    <t>Знание (магия)</t>
  </si>
  <si>
    <t>Кореллон Ларесйан, бог эльфов</t>
  </si>
  <si>
    <t>ХД</t>
  </si>
  <si>
    <t>Война, Добро, Защита, Хаос</t>
  </si>
  <si>
    <t>Эльфы, полуэльфы, барды</t>
  </si>
  <si>
    <t>Знание (религия)</t>
  </si>
  <si>
    <t>Корд, бог силы</t>
  </si>
  <si>
    <t>Добро, Сила, Удача, Хаос</t>
  </si>
  <si>
    <t>Воины, варвары, воры, атлеты/спортсмены</t>
  </si>
  <si>
    <t>Знание (планы)</t>
  </si>
  <si>
    <t>4+1</t>
  </si>
  <si>
    <t>Вии Джас, богиня смерти, магии</t>
  </si>
  <si>
    <t>ЗН</t>
  </si>
  <si>
    <t>Закон, Магия, Смерть</t>
  </si>
  <si>
    <t>Маги, некромансеры, чародеи</t>
  </si>
  <si>
    <t>Св. Кутберт, бог возмездия</t>
  </si>
  <si>
    <t>Закон, Защита, Разрушения, Сила</t>
  </si>
  <si>
    <t>Воины, монахи, солдаты</t>
  </si>
  <si>
    <t>Боккоб, бог магии</t>
  </si>
  <si>
    <t>Н</t>
  </si>
  <si>
    <t>Знание, Магия, Мошенничество</t>
  </si>
  <si>
    <t>Маги, чародеи, ученые</t>
  </si>
  <si>
    <t>Фарлахнгун, бог дорог</t>
  </si>
  <si>
    <t>Защита, Путешествие, Удача</t>
  </si>
  <si>
    <t>Барды, купцы, искатели приключений</t>
  </si>
  <si>
    <t>5+1</t>
  </si>
  <si>
    <t>Обад-Хай, бог природы</t>
  </si>
  <si>
    <t>Вода, Воздух, Животные, Земля, Растения, Огонь</t>
  </si>
  <si>
    <t>Друиды, варвары, рейнджеры</t>
  </si>
  <si>
    <t>Олидаммара, бог воров</t>
  </si>
  <si>
    <t>ХН</t>
  </si>
  <si>
    <t>Мошенничество, Удача, Хаос</t>
  </si>
  <si>
    <t>Воры, барды, всяческие мошенники</t>
  </si>
  <si>
    <t>Хекстор, бог тирании</t>
  </si>
  <si>
    <t>ЗЗ</t>
  </si>
  <si>
    <t>Война, Закон, Зло, Разрушения</t>
  </si>
  <si>
    <t>Злые воины и монахи</t>
  </si>
  <si>
    <t>Нерулл, бог смерти</t>
  </si>
  <si>
    <t>НЗ</t>
  </si>
  <si>
    <t>Зло, Мошенничество, Смерть</t>
  </si>
  <si>
    <t>Злые некромансеры и воры</t>
  </si>
  <si>
    <t>Векна, бог тайн и секретов</t>
  </si>
  <si>
    <t>Знание, Зло, Магия</t>
  </si>
  <si>
    <t>Злые маги и чародеи, воры и шпионы</t>
  </si>
  <si>
    <t>Эриснул, бог кровопролития</t>
  </si>
  <si>
    <t>ХЗ</t>
  </si>
  <si>
    <t>Война, Зло, Мошенничество, Хаос</t>
  </si>
  <si>
    <t>Злые воины, варвары, воры</t>
  </si>
  <si>
    <t>Груумш, бог орков</t>
  </si>
  <si>
    <t>Война, Зло, Сила, Хаос</t>
  </si>
  <si>
    <t>Полуорки, орки</t>
  </si>
  <si>
    <t>d4</t>
  </si>
  <si>
    <t>Талисман</t>
  </si>
  <si>
    <t>Знание</t>
  </si>
  <si>
    <t>(все навыки, каждый берётся индивидуально)</t>
  </si>
  <si>
    <t>Призыв Талисмана, Написать свиток</t>
  </si>
  <si>
    <t>Ворона</t>
  </si>
  <si>
    <t>У хозяина +3 бонус к Оценке</t>
  </si>
  <si>
    <t>Жаба</t>
  </si>
  <si>
    <t>У хозяина +3 хит-поинта</t>
  </si>
  <si>
    <t>Змея2</t>
  </si>
  <si>
    <t>У хозяина +3 бонус к Блефу</t>
  </si>
  <si>
    <t>Кошка</t>
  </si>
  <si>
    <t>У хозяина +3 бонус к Бесшумному Передвижению</t>
  </si>
  <si>
    <t>Расшифровка</t>
  </si>
  <si>
    <t xml:space="preserve"> Бонусная черта</t>
  </si>
  <si>
    <t>Крыса</t>
  </si>
  <si>
    <t>У хозяина +2 бонус к проверкам Стойкости</t>
  </si>
  <si>
    <t>Ласка</t>
  </si>
  <si>
    <t>У хозяина +2 бонус к проверкам Рефлекса</t>
  </si>
  <si>
    <t>Летуч. Мышь</t>
  </si>
  <si>
    <t>У хозяина +3 бонус к Прислушиванию</t>
  </si>
  <si>
    <t>Сова</t>
  </si>
  <si>
    <t>У хозяина +3 бонус к Отслежив. в сумерках и ночью</t>
  </si>
  <si>
    <t>Ястреб</t>
  </si>
  <si>
    <t>У хозяина +3 бонус к Отслежив. при дневн. свете</t>
  </si>
  <si>
    <t>Ящерица</t>
  </si>
  <si>
    <t>У хозяина +3 бонус к Взбиранию</t>
  </si>
  <si>
    <t>Магическое Слежение за Талисманом (Пдз): Если хозяин 13-го 
и выше уровня, он способен магически следить за своим талисма ном (так, будто он применяет заклинание магическое слежение) 
один раз в день</t>
  </si>
  <si>
    <t>Уровень Класса Хозяина</t>
  </si>
  <si>
    <t>Корр. Природного Доспеха</t>
  </si>
  <si>
    <t>1–2</t>
  </si>
  <si>
    <t>Настороженность, улучшенное уклонение, совместные заклинания, эмпатическая связь</t>
  </si>
  <si>
    <t>3–4</t>
  </si>
  <si>
    <t>Перенос касательных заклинаний</t>
  </si>
  <si>
    <t>5–6</t>
  </si>
  <si>
    <t>Общение с хозяином</t>
  </si>
  <si>
    <t>7–8</t>
  </si>
  <si>
    <t>Общение с животными своего типа</t>
  </si>
  <si>
    <t>9–10</t>
  </si>
  <si>
    <t>11–12</t>
  </si>
  <si>
    <t>Устойчивость к Магии</t>
  </si>
  <si>
    <t>13–14</t>
  </si>
  <si>
    <t>Магическое слежение за талисманом</t>
  </si>
  <si>
    <t>15–16</t>
  </si>
  <si>
    <t>17–18</t>
  </si>
  <si>
    <t>19–20</t>
  </si>
  <si>
    <t>Монах</t>
  </si>
  <si>
    <t>Бонус атаки Шквала ударов</t>
  </si>
  <si>
    <t>Невооруж Поврежд1</t>
  </si>
  <si>
    <t>Бонус КД</t>
  </si>
  <si>
    <t>Скорость без Доспехов</t>
  </si>
  <si>
    <t>Актёрство</t>
  </si>
  <si>
    <t>Бонусная черта, шквал ударов, невооруженный удар</t>
  </si>
  <si>
    <t>­2/–2</t>
  </si>
  <si>
    <t>1d6</t>
  </si>
  <si>
    <t>+0 м.</t>
  </si>
  <si>
    <t>Бонусная черта, уклонение</t>
  </si>
  <si>
    <t>­1/–1</t>
  </si>
  <si>
    <t>Неподвижный Разум</t>
  </si>
  <si>
    <t>0/+0</t>
  </si>
  <si>
    <t>+3 м.</t>
  </si>
  <si>
    <t>Замедленное Падение (6 м.), Удар Ци</t>
  </si>
  <si>
    <t>1/+1</t>
  </si>
  <si>
    <t>1d8</t>
  </si>
  <si>
    <t>Чистота тела</t>
  </si>
  <si>
    <t>2/+2</t>
  </si>
  <si>
    <t>Бонусная черта, замедленное Падение (9 м.)</t>
  </si>
  <si>
    <t>3/+3</t>
  </si>
  <si>
    <t>+6 м.</t>
  </si>
  <si>
    <t>Целостность Тела</t>
  </si>
  <si>
    <t>4/+4</t>
  </si>
  <si>
    <t>Искусство Побега</t>
  </si>
  <si>
    <t>Замедленное Падение (12м.)</t>
  </si>
  <si>
    <t>5/+5/+0</t>
  </si>
  <si>
    <t>1d10</t>
  </si>
  <si>
    <t>Улучшенное Уклонение</t>
  </si>
  <si>
    <t>6/+6/+1</t>
  </si>
  <si>
    <t>+9 м.</t>
  </si>
  <si>
    <t>Замедленное Падение (15 м.), удар Ци (законный)</t>
  </si>
  <si>
    <t>7/+7/+2</t>
  </si>
  <si>
    <t>Алмазное Тело, повышенный шквал</t>
  </si>
  <si>
    <t>8/+8/+8/+3</t>
  </si>
  <si>
    <t>Замедленное Падение(18 м.), Поражающий Шаг</t>
  </si>
  <si>
    <t>9/+9/+9/+4</t>
  </si>
  <si>
    <t>2d6</t>
  </si>
  <si>
    <t>+12 м.</t>
  </si>
  <si>
    <t>Алмазная душа</t>
  </si>
  <si>
    <t>Замедленное Падение (21 м.)</t>
  </si>
  <si>
    <t>10/+10/+10/+5</t>
  </si>
  <si>
    <t>Содрагающая Длань</t>
  </si>
  <si>
    <t>11/+11/+11/+6/+1</t>
  </si>
  <si>
    <t>+15 м.</t>
  </si>
  <si>
    <t>Падение/Кульбиты</t>
  </si>
  <si>
    <t>Замедленное Падение (24 м.), Удар Ци (адамнтиновый)</t>
  </si>
  <si>
    <t>12/+12/+12/+7/+2</t>
  </si>
  <si>
    <t>2d8</t>
  </si>
  <si>
    <t>Скрытность</t>
  </si>
  <si>
    <t>Нестареющее Тело Язык солнца и луны</t>
  </si>
  <si>
    <t>Замедленное Падение (27 м.)</t>
  </si>
  <si>
    <t>13/+13/+13/+8/+3</t>
  </si>
  <si>
    <t>+18 м.</t>
  </si>
  <si>
    <t>Пустота Тела</t>
  </si>
  <si>
    <t>14/+14/+14/+9/+4</t>
  </si>
  <si>
    <t>Замедленное Падение (любое расстояние) Собственное Улучшение</t>
  </si>
  <si>
    <t>15/+15/+15/+10/+5</t>
  </si>
  <si>
    <t>2d10</t>
  </si>
  <si>
    <t>Повр. (Маленький Монах)</t>
  </si>
  <si>
    <t>Повр. (Большой Монах)</t>
  </si>
  <si>
    <t>1–3</t>
  </si>
  <si>
    <t>1d4</t>
  </si>
  <si>
    <t>4–7</t>
  </si>
  <si>
    <t>8–11</t>
  </si>
  <si>
    <t>12–15</t>
  </si>
  <si>
    <t>3d6</t>
  </si>
  <si>
    <t>16-19</t>
  </si>
  <si>
    <t>3d8</t>
  </si>
  <si>
    <t>4d8</t>
  </si>
  <si>
    <t>Спб. Стойк.</t>
  </si>
  <si>
    <t>Спб. Рефл.</t>
  </si>
  <si>
    <t>Спб. Воли</t>
  </si>
  <si>
    <t>Аура добра, обнаружение зла, поразить зло 1/день</t>
  </si>
  <si>
    <t>Излечивающее прикосновение, божественная изящность</t>
  </si>
  <si>
    <t>Знание (дворянство и королевский двор)</t>
  </si>
  <si>
    <t>Аура храбрости, божественное здоровье</t>
  </si>
  <si>
    <t>Изгнание нежити</t>
  </si>
  <si>
    <t>Необычный скакун, поразить зло 2/день</t>
  </si>
  <si>
    <t>Излечение болезни 1/неделю</t>
  </si>
  <si>
    <t>Обн, Интл</t>
  </si>
  <si>
    <t>Излечение болезни 2/неделю</t>
  </si>
  <si>
    <t>Чувство Мотива</t>
  </si>
  <si>
    <t>Поразить зло 3/день</t>
  </si>
  <si>
    <t>Излечение болезни 3/неделю</t>
  </si>
  <si>
    <t>Излечение болезни 4/неделю, поразить зло 4/день</t>
  </si>
  <si>
    <t>Излечение болезни 5/неделю</t>
  </si>
  <si>
    <t>Поразить зло 5/день</t>
  </si>
  <si>
    <t>СКАКУН ПАЛАДИНА</t>
  </si>
  <si>
    <t>Уровень Паладина</t>
  </si>
  <si>
    <t>Бонус КХП</t>
  </si>
  <si>
    <t>Корр. Природн. Доспех</t>
  </si>
  <si>
    <t>Корр. Силы</t>
  </si>
  <si>
    <t>5–7</t>
  </si>
  <si>
    <t>Улучшенное уклонение, совместные заклинания, эмпатическая связь, совместные спасброски</t>
  </si>
  <si>
    <t>8–10</t>
  </si>
  <si>
    <t>Повышенная скорость</t>
  </si>
  <si>
    <t>11–14</t>
  </si>
  <si>
    <t>Командование существами своего вида</t>
  </si>
  <si>
    <t>15–20</t>
  </si>
  <si>
    <t xml:space="preserve"> ИЗБРАННЫЕ ВРАГИ РЕЙНДЖЕРА</t>
  </si>
  <si>
    <t>Тип (Подтип)</t>
  </si>
  <si>
    <t>Примеры</t>
  </si>
  <si>
    <t>Великан</t>
  </si>
  <si>
    <t>Огр</t>
  </si>
  <si>
    <t>Внешний (воздушный)</t>
  </si>
  <si>
    <t>Стрелоястреб</t>
  </si>
  <si>
    <t>Чтение следов, 1-й избранный враг</t>
  </si>
  <si>
    <t>Внешний (водный)</t>
  </si>
  <si>
    <t>Тойанида</t>
  </si>
  <si>
    <t>Стиль боя</t>
  </si>
  <si>
    <t>Внешний (добрый)</t>
  </si>
  <si>
    <t>Ангел</t>
  </si>
  <si>
    <t>Внешний (законный)</t>
  </si>
  <si>
    <t>Формиан</t>
  </si>
  <si>
    <t>Знание (география)</t>
  </si>
  <si>
    <t>Животное-спутник</t>
  </si>
  <si>
    <t>Внешний (земной)</t>
  </si>
  <si>
    <t>Ксорн</t>
  </si>
  <si>
    <t>2-й избранный враг</t>
  </si>
  <si>
    <t>Внешний (злой)</t>
  </si>
  <si>
    <t>Дьявол</t>
  </si>
  <si>
    <t>Знание (устройство подземелий)</t>
  </si>
  <si>
    <t>Улучшенный стиль боя</t>
  </si>
  <si>
    <t>Внешний (местный)</t>
  </si>
  <si>
    <t>Тифлинг</t>
  </si>
  <si>
    <t>Лесное продвижение</t>
  </si>
  <si>
    <t>Внешний (огненный)</t>
  </si>
  <si>
    <t>Саламандра</t>
  </si>
  <si>
    <t>Использование Верёвки</t>
  </si>
  <si>
    <t>Быстрый следопыт</t>
  </si>
  <si>
    <t>Внешний (хаотичный)</t>
  </si>
  <si>
    <t>Демон</t>
  </si>
  <si>
    <t>Уворачивание</t>
  </si>
  <si>
    <t>Гуманоид (водный)</t>
  </si>
  <si>
    <t>Русал</t>
  </si>
  <si>
    <t>3-й избранный враг</t>
  </si>
  <si>
    <t>Гуманоид (гоблиноид)</t>
  </si>
  <si>
    <t>Хобгоблин</t>
  </si>
  <si>
    <t>Мастерство боя</t>
  </si>
  <si>
    <t>Гуманоид (гнолл)</t>
  </si>
  <si>
    <t>Гнолл</t>
  </si>
  <si>
    <t>Гуманоид (гном)</t>
  </si>
  <si>
    <t>Гном</t>
  </si>
  <si>
    <t>Камуфляж</t>
  </si>
  <si>
    <t>Гуманоид (дварф)</t>
  </si>
  <si>
    <t>Дварф</t>
  </si>
  <si>
    <t>Гуманоид (орк)</t>
  </si>
  <si>
    <t>Орк</t>
  </si>
  <si>
    <t>4-й избранный враг</t>
  </si>
  <si>
    <t>Гуманоид (рептилиевидный)</t>
  </si>
  <si>
    <t>Кобольд</t>
  </si>
  <si>
    <t>Гуманоид (человек)</t>
  </si>
  <si>
    <t>Человек</t>
  </si>
  <si>
    <t>Скрытность в поле зрения</t>
  </si>
  <si>
    <t>Гуманоид (халфлинг)</t>
  </si>
  <si>
    <t>Халфлинг</t>
  </si>
  <si>
    <t>Гуманоид (эльф)</t>
  </si>
  <si>
    <t>Эльф</t>
  </si>
  <si>
    <t>Дракон</t>
  </si>
  <si>
    <t>Чёрный дракон</t>
  </si>
  <si>
    <t>5-й избранный враг</t>
  </si>
  <si>
    <t>Животное</t>
  </si>
  <si>
    <t>Медведь</t>
  </si>
  <si>
    <t>Магический зверь</t>
  </si>
  <si>
    <t>Сместитель</t>
  </si>
  <si>
    <t>Механизм</t>
  </si>
  <si>
    <t>Голем</t>
  </si>
  <si>
    <t>Насекомое</t>
  </si>
  <si>
    <t>Ужасный паук</t>
  </si>
  <si>
    <t>Необычный</t>
  </si>
  <si>
    <t>Бихолдер</t>
  </si>
  <si>
    <t>Нежить</t>
  </si>
  <si>
    <t>Зомби</t>
  </si>
  <si>
    <t>Растение</t>
  </si>
  <si>
    <t>Шаркающая куча</t>
  </si>
  <si>
    <t>Слизь</t>
  </si>
  <si>
    <t>Желатиновый куб</t>
  </si>
  <si>
    <t>Фея</t>
  </si>
  <si>
    <t>Дриада</t>
  </si>
  <si>
    <t>Элементаль</t>
  </si>
  <si>
    <t>Невидимый преследователь</t>
  </si>
  <si>
    <t>Заклинаний в день:</t>
  </si>
  <si>
    <t>Блеф</t>
  </si>
  <si>
    <t>Призыв талисмана</t>
  </si>
  <si>
    <t>Количество Знаемых Заклинаний</t>
  </si>
  <si>
    <t>Расовые особенности</t>
  </si>
  <si>
    <t>У гномов +2 расовый бонус к спасброскам против иллюзий, так как гномы хорошо знакомы со всеми типами иллюзий.</t>
  </si>
  <si>
    <t>Обработка камня: Из-за своей расы дварфы прибавляют +2
бонус к проверки, что бы заметить необычную обработку
камня, такую как: закрывающиеся стены, каменные ловушки, новые конструкции (даже те, что на вид старые), неустойчивые поверхности, непрочные потолки, и тому подобное. Что-то, что, похоже, подражает камню, но не каменное
считается необычной обработкой камня.</t>
  </si>
  <si>
    <t>У гномов +1 расовый бонус против кобольдов и гоблинообразных (гоблины, хобгоблины, медвежатники): Часто сражаясь с этими расами, гномы накопили опыт битв применяемый в боях против них</t>
  </si>
  <si>
    <t>Дварф находящийся в 3 метрах от необычной обработки камня, делает проверку, будто активно ищет, дварф может использовать навык Поиск, обнаружить каменные ловушки как и вор.</t>
  </si>
  <si>
    <t>У гномов +1 к Классу Сложности для всех спасбросков с акти-вированных гномами. Их врожденная осведомленность с этими эффектами, делает иллюзии более сложными для рассмотрения. Эта корректировка суммируется с иными похожими эффектами, такими от черты Фокусировка в Заклинаниях</t>
  </si>
  <si>
    <t>Дварф интуитивно чувствует глубину, наклон туннеля, точно, так как человек на поверхности ощущает на склоне где подъем, где спуск. Так как у дварфов развито шестое чувство, отношение к камню, у них достаточно возможности в развитии
этого чувства в их подземных домах</t>
  </si>
  <si>
    <t xml:space="preserve">У гномов +4 бонус к уворачиванию против существ из типа великаны: Заметьте, что если персонаж может потерять бонус к Классу Доспехов, например из-за того, что, он оторопевший, он также теряет и свой бонус уворачивания тоже. </t>
  </si>
  <si>
    <t>Получает +4 бонус к проверкам от повышенного напора или опрокидывания (но, не когда взбирается, лети, едет верхом, или ещё как-то передвигается, не касаясь почвы)</t>
  </si>
  <si>
    <t>У гномов +2 расовый бонус к проверке Ремесло (Алхимия): Очень чувствительный нос гномов позволяет им отслеживать алхимические процессы по запаху.</t>
  </si>
  <si>
    <t>У дварфов +2 расовый бонус к спасброскам против ядов: Дварфы очень устойчивы к токсическим веществам</t>
  </si>
  <si>
    <t>У дварфов +2 расовый бонус к спасброскам против заклинаний и эффектов подобным заклинаниям</t>
  </si>
  <si>
    <t>У дварфов +1 к броскам атаки против орков (включая и полуорков) и гоблиноидов (гоблины, хобгоблины имедвежатники): Дварфы разработали особые боевые умения, способные более профессионально сражаться с их постоянными врагами.</t>
  </si>
  <si>
    <t>У дварфов +4 бонус к уворачиванию против атак существ из типа
вели-кан (таких как огры, тролли и холмовые
великаны)</t>
  </si>
  <si>
    <t>У дварфов +2 расовый бонус к проверке «Ремесло» относящемуся к камню или металлу: Дварфы особенно искусны с обработкой камня и металлов</t>
  </si>
  <si>
    <t>Эльфийский</t>
  </si>
  <si>
    <t>Кошачий</t>
  </si>
  <si>
    <t>Мод. способ.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</si>
</sst>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2"/>
      <color theme="1"/>
      <name val="Segoe Print"/>
      <charset val="204"/>
    </font>
    <font>
      <sz val="14"/>
      <color theme="0"/>
      <name val="Arial"/>
      <family val="2"/>
      <charset val="204"/>
    </font>
    <font>
      <b/>
      <sz val="16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rgb="FFFFFFFF"/>
      <name val="Arial"/>
      <family val="2"/>
      <charset val="204"/>
    </font>
    <font>
      <sz val="20"/>
      <color theme="1"/>
      <name val="Calibri"/>
      <family val="2"/>
      <scheme val="minor"/>
    </font>
    <font>
      <sz val="16"/>
      <color theme="0"/>
      <name val="Arial"/>
      <family val="2"/>
      <charset val="204"/>
    </font>
    <font>
      <b/>
      <sz val="22"/>
      <color rgb="FFFFFFFF"/>
      <name val="Arial"/>
      <family val="2"/>
      <charset val="204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Georgia"/>
      <family val="1"/>
      <charset val="204"/>
    </font>
    <font>
      <sz val="14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name val="Georgia"/>
      <family val="1"/>
      <charset val="204"/>
    </font>
    <font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18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8"/>
      <color rgb="FFFFFFFF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NewRomanPS-BoldMT"/>
    </font>
    <font>
      <sz val="12"/>
      <color theme="1"/>
      <name val="TimesNewRomanPSMT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empus Sans ITC"/>
      <family val="5"/>
    </font>
    <font>
      <b/>
      <sz val="26"/>
      <color theme="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b/>
      <sz val="36"/>
      <color theme="1"/>
      <name val="Calibri"/>
      <family val="2"/>
      <charset val="204"/>
      <scheme val="minor"/>
    </font>
    <font>
      <sz val="12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2"/>
      <color rgb="FFFFFFFF"/>
      <name val="Times New Roman"/>
      <family val="1"/>
      <charset val="204"/>
    </font>
    <font>
      <b/>
      <sz val="18"/>
      <color rgb="FFFFFFFF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Segoe Print"/>
      <charset val="204"/>
    </font>
    <font>
      <b/>
      <sz val="36"/>
      <color theme="1"/>
      <name val="Times New Roman"/>
      <family val="1"/>
      <charset val="20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E7878"/>
        <bgColor indexed="64"/>
      </patternFill>
    </fill>
    <fill>
      <patternFill patternType="solid">
        <fgColor rgb="FFE2A58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0C0C0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2" tint="-9.9978637043366805E-2"/>
        <bgColor rgb="FF969696"/>
      </patternFill>
    </fill>
  </fills>
  <borders count="24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000000"/>
      </right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theme="0"/>
      </left>
      <right/>
      <top/>
      <bottom style="thick">
        <color auto="1"/>
      </bottom>
      <diagonal/>
    </border>
    <border>
      <left style="thick">
        <color theme="0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/>
      </right>
      <top/>
      <bottom style="thick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/>
      </right>
      <top/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theme="2"/>
      </right>
      <top/>
      <bottom style="thick">
        <color theme="2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theme="2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auto="1"/>
      </left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auto="1"/>
      </bottom>
      <diagonal/>
    </border>
    <border>
      <left style="medium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 style="thick">
        <color theme="1" tint="0.14993743705557422"/>
      </top>
      <bottom style="thick">
        <color theme="1" tint="0.14993743705557422"/>
      </bottom>
      <diagonal/>
    </border>
    <border>
      <left/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3743705557422"/>
      </right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/>
      <top/>
      <bottom/>
      <diagonal/>
    </border>
    <border>
      <left style="thick">
        <color theme="1" tint="0.14996795556505021"/>
      </left>
      <right/>
      <top style="thick">
        <color auto="1"/>
      </top>
      <bottom style="thick">
        <color auto="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theme="1" tint="0.14993743705557422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1499374370555742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theme="1" tint="0.1499679555650502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theme="1" tint="0.14996795556505021"/>
      </bottom>
      <diagonal/>
    </border>
    <border>
      <left/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auto="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theme="1" tint="0.1499679555650502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06918546098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theme="1" tint="0.149906918546098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/>
      <diagonal/>
    </border>
    <border>
      <left style="medium">
        <color theme="1" tint="0.14993743705557422"/>
      </left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/>
      <top style="medium">
        <color theme="1" tint="0.1498764000366222"/>
      </top>
      <bottom style="medium">
        <color theme="1" tint="0.1498764000366222"/>
      </bottom>
      <diagonal/>
    </border>
    <border>
      <left/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theme="1" tint="0.14996795556505021"/>
      </left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/>
      <diagonal/>
    </border>
    <border>
      <left/>
      <right/>
      <top style="medium">
        <color theme="1" tint="0.14993743705557422"/>
      </top>
      <bottom/>
      <diagonal/>
    </border>
    <border>
      <left/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6795556505021"/>
      </left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/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 style="thick">
        <color theme="1" tint="0.14993743705557422"/>
      </top>
      <bottom/>
      <diagonal/>
    </border>
    <border>
      <left style="thick">
        <color theme="1" tint="0.14993743705557422"/>
      </left>
      <right/>
      <top/>
      <bottom/>
      <diagonal/>
    </border>
    <border>
      <left/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/>
      <top/>
      <bottom style="thick">
        <color theme="1" tint="0.14993743705557422"/>
      </bottom>
      <diagonal/>
    </border>
    <border>
      <left/>
      <right style="thick">
        <color theme="1" tint="0.14993743705557422"/>
      </right>
      <top/>
      <bottom style="thick">
        <color theme="1" tint="0.14993743705557422"/>
      </bottom>
      <diagonal/>
    </border>
    <border>
      <left/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rgb="FF000000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rgb="FF000000"/>
      </bottom>
      <diagonal/>
    </border>
    <border>
      <left style="medium">
        <color theme="1" tint="0.14996795556505021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1" tint="0.14996795556505021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 style="thick">
        <color theme="1" tint="0.14993743705557422"/>
      </right>
      <top/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/>
      <bottom style="thick">
        <color auto="1"/>
      </bottom>
      <diagonal/>
    </border>
    <border>
      <left style="medium">
        <color theme="1" tint="0.14993743705557422"/>
      </left>
      <right/>
      <top/>
      <bottom style="medium">
        <color theme="1" tint="0.14993743705557422"/>
      </bottom>
      <diagonal/>
    </border>
    <border>
      <left/>
      <right/>
      <top/>
      <bottom style="medium">
        <color theme="1" tint="0.14993743705557422"/>
      </bottom>
      <diagonal/>
    </border>
    <border>
      <left/>
      <right style="medium">
        <color theme="1" tint="0.14993743705557422"/>
      </right>
      <top/>
      <bottom style="medium">
        <color theme="1" tint="0.1499374370555742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thick">
        <color theme="0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/>
      <top style="thick">
        <color theme="1" tint="0.1498764000366222"/>
      </top>
      <bottom style="medium">
        <color theme="1" tint="0.14996795556505021"/>
      </bottom>
      <diagonal/>
    </border>
    <border>
      <left/>
      <right/>
      <top style="thick">
        <color theme="1" tint="0.1498764000366222"/>
      </top>
      <bottom style="medium">
        <color theme="1" tint="0.14996795556505021"/>
      </bottom>
      <diagonal/>
    </border>
    <border>
      <left style="medium">
        <color theme="1" tint="0.14990691854609822"/>
      </left>
      <right/>
      <top/>
      <bottom/>
      <diagonal/>
    </border>
    <border>
      <left/>
      <right style="medium">
        <color theme="1" tint="0.14990691854609822"/>
      </right>
      <top/>
      <bottom/>
      <diagonal/>
    </border>
    <border>
      <left/>
      <right style="medium">
        <color theme="1" tint="0.14993743705557422"/>
      </right>
      <top/>
      <bottom style="thick">
        <color theme="1" tint="0.14996795556505021"/>
      </bottom>
      <diagonal/>
    </border>
    <border>
      <left style="medium">
        <color theme="1" tint="0.14993743705557422"/>
      </left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medium">
        <color theme="1" tint="0.14993743705557422"/>
      </right>
      <top style="thick">
        <color theme="1" tint="0.14996795556505021"/>
      </top>
      <bottom style="medium">
        <color theme="1" tint="0.14993743705557422"/>
      </bottom>
      <diagonal/>
    </border>
    <border>
      <left style="medium">
        <color theme="1" tint="0.14996795556505021"/>
      </left>
      <right/>
      <top/>
      <bottom style="medium">
        <color theme="1" tint="0.14993743705557422"/>
      </bottom>
      <diagonal/>
    </border>
    <border>
      <left/>
      <right style="medium">
        <color theme="1" tint="0.14996795556505021"/>
      </right>
      <top/>
      <bottom style="medium">
        <color theme="1" tint="0.14993743705557422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/>
      <diagonal/>
    </border>
    <border>
      <left/>
      <right style="thick">
        <color theme="1" tint="0.14996795556505021"/>
      </right>
      <top style="thick">
        <color auto="1"/>
      </top>
      <bottom style="thick">
        <color auto="1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 style="thick">
        <color auto="1"/>
      </bottom>
      <diagonal/>
    </border>
    <border>
      <left/>
      <right style="thick">
        <color theme="1" tint="0.14996795556505021"/>
      </right>
      <top style="thick">
        <color auto="1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/>
      <bottom style="medium">
        <color theme="1" tint="0.14996795556505021"/>
      </bottom>
      <diagonal/>
    </border>
  </borders>
  <cellStyleXfs count="2">
    <xf numFmtId="0" fontId="0" fillId="0" borderId="0"/>
    <xf numFmtId="0" fontId="56" fillId="21" borderId="34">
      <alignment horizontal="center" vertical="center"/>
    </xf>
  </cellStyleXfs>
  <cellXfs count="907">
    <xf numFmtId="0" fontId="0" fillId="0" borderId="0" xfId="0"/>
    <xf numFmtId="0" fontId="4" fillId="4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10" fillId="11" borderId="27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wrapText="1"/>
    </xf>
    <xf numFmtId="0" fontId="4" fillId="5" borderId="33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wrapText="1" readingOrder="1"/>
    </xf>
    <xf numFmtId="0" fontId="15" fillId="0" borderId="3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25" fillId="6" borderId="20" xfId="0" applyFont="1" applyFill="1" applyBorder="1" applyAlignment="1">
      <alignment wrapText="1"/>
    </xf>
    <xf numFmtId="0" fontId="7" fillId="10" borderId="13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 readingOrder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10" borderId="0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0" fillId="0" borderId="57" xfId="0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/>
    <xf numFmtId="0" fontId="8" fillId="7" borderId="45" xfId="0" applyFont="1" applyFill="1" applyBorder="1" applyAlignment="1">
      <alignment horizontal="center" vertical="center"/>
    </xf>
    <xf numFmtId="0" fontId="7" fillId="7" borderId="45" xfId="0" applyFont="1" applyFill="1" applyBorder="1"/>
    <xf numFmtId="0" fontId="15" fillId="0" borderId="65" xfId="0" applyFont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wrapText="1"/>
    </xf>
    <xf numFmtId="0" fontId="0" fillId="11" borderId="23" xfId="0" applyFill="1" applyBorder="1" applyAlignment="1">
      <alignment wrapText="1"/>
    </xf>
    <xf numFmtId="0" fontId="0" fillId="11" borderId="24" xfId="0" applyFill="1" applyBorder="1" applyAlignment="1">
      <alignment wrapText="1"/>
    </xf>
    <xf numFmtId="0" fontId="0" fillId="11" borderId="0" xfId="0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11" borderId="46" xfId="0" applyFill="1" applyBorder="1" applyAlignment="1">
      <alignment wrapText="1"/>
    </xf>
    <xf numFmtId="0" fontId="0" fillId="11" borderId="64" xfId="0" applyFill="1" applyBorder="1" applyAlignment="1">
      <alignment wrapText="1"/>
    </xf>
    <xf numFmtId="0" fontId="27" fillId="11" borderId="0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2" fillId="10" borderId="14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 wrapText="1"/>
    </xf>
    <xf numFmtId="0" fontId="32" fillId="10" borderId="12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8" borderId="21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31" fillId="8" borderId="21" xfId="0" applyFont="1" applyFill="1" applyBorder="1" applyAlignment="1">
      <alignment vertical="center" wrapText="1"/>
    </xf>
    <xf numFmtId="0" fontId="17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14" fillId="15" borderId="3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vertical="top" wrapText="1" readingOrder="1"/>
    </xf>
    <xf numFmtId="0" fontId="21" fillId="3" borderId="0" xfId="0" applyFont="1" applyFill="1" applyBorder="1" applyAlignment="1">
      <alignment vertical="top" wrapText="1" readingOrder="1"/>
    </xf>
    <xf numFmtId="0" fontId="36" fillId="3" borderId="0" xfId="0" applyFont="1" applyFill="1" applyBorder="1" applyAlignment="1">
      <alignment horizontal="center" vertical="center" wrapText="1" readingOrder="1"/>
    </xf>
    <xf numFmtId="0" fontId="37" fillId="3" borderId="0" xfId="0" applyFont="1" applyFill="1" applyBorder="1" applyAlignment="1">
      <alignment horizontal="center" vertical="center" wrapText="1" readingOrder="1"/>
    </xf>
    <xf numFmtId="0" fontId="14" fillId="15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1" fontId="11" fillId="8" borderId="21" xfId="0" applyNumberFormat="1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/>
    </xf>
    <xf numFmtId="1" fontId="11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10" borderId="21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17" fillId="0" borderId="72" xfId="0" applyFont="1" applyBorder="1" applyAlignment="1">
      <alignment horizontal="center" wrapText="1"/>
    </xf>
    <xf numFmtId="0" fontId="17" fillId="14" borderId="73" xfId="0" applyFont="1" applyFill="1" applyBorder="1" applyAlignment="1">
      <alignment horizontal="center" vertical="center" wrapText="1"/>
    </xf>
    <xf numFmtId="0" fontId="17" fillId="14" borderId="74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horizontal="center" wrapText="1"/>
    </xf>
    <xf numFmtId="0" fontId="17" fillId="14" borderId="7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1" fillId="10" borderId="55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left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7" fillId="6" borderId="49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54" xfId="0" applyFont="1" applyFill="1" applyBorder="1" applyAlignment="1">
      <alignment horizont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6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left" wrapText="1" readingOrder="1"/>
    </xf>
    <xf numFmtId="0" fontId="7" fillId="10" borderId="45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1" fillId="6" borderId="43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6" borderId="45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 readingOrder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left" vertical="center" wrapText="1"/>
    </xf>
    <xf numFmtId="0" fontId="16" fillId="8" borderId="31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0" fillId="16" borderId="0" xfId="0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Alignment="1"/>
    <xf numFmtId="0" fontId="0" fillId="0" borderId="0" xfId="0" applyFill="1"/>
    <xf numFmtId="0" fontId="40" fillId="0" borderId="0" xfId="0" applyFont="1" applyAlignment="1">
      <alignment vertical="top" wrapText="1"/>
    </xf>
    <xf numFmtId="0" fontId="40" fillId="0" borderId="84" xfId="0" applyFont="1" applyBorder="1" applyAlignment="1">
      <alignment vertical="top" wrapText="1"/>
    </xf>
    <xf numFmtId="0" fontId="52" fillId="0" borderId="0" xfId="0" applyFont="1" applyAlignment="1">
      <alignment horizontal="center" vertical="center"/>
    </xf>
    <xf numFmtId="0" fontId="56" fillId="14" borderId="34" xfId="0" applyFont="1" applyFill="1" applyBorder="1" applyAlignment="1">
      <alignment horizontal="center" vertical="center" wrapText="1"/>
    </xf>
    <xf numFmtId="0" fontId="52" fillId="14" borderId="34" xfId="0" applyFont="1" applyFill="1" applyBorder="1" applyAlignment="1">
      <alignment horizontal="center" vertical="center" wrapText="1"/>
    </xf>
    <xf numFmtId="0" fontId="0" fillId="0" borderId="103" xfId="0" applyBorder="1" applyAlignment="1"/>
    <xf numFmtId="0" fontId="52" fillId="24" borderId="34" xfId="0" applyFont="1" applyFill="1" applyBorder="1" applyAlignment="1">
      <alignment horizontal="left" vertical="center" wrapText="1"/>
    </xf>
    <xf numFmtId="0" fontId="52" fillId="0" borderId="0" xfId="0" applyFont="1" applyFill="1" applyAlignment="1">
      <alignment horizontal="center" vertical="center"/>
    </xf>
    <xf numFmtId="0" fontId="52" fillId="27" borderId="34" xfId="0" applyFont="1" applyFill="1" applyBorder="1" applyAlignment="1">
      <alignment horizontal="center" vertical="center" wrapText="1"/>
    </xf>
    <xf numFmtId="0" fontId="52" fillId="27" borderId="34" xfId="0" applyFont="1" applyFill="1" applyBorder="1" applyAlignment="1">
      <alignment horizontal="center" vertical="center"/>
    </xf>
    <xf numFmtId="0" fontId="62" fillId="27" borderId="82" xfId="0" applyFont="1" applyFill="1" applyBorder="1" applyAlignment="1">
      <alignment horizontal="center" vertical="center" wrapText="1"/>
    </xf>
    <xf numFmtId="0" fontId="59" fillId="19" borderId="34" xfId="0" applyFont="1" applyFill="1" applyBorder="1" applyAlignment="1">
      <alignment horizontal="center" vertical="center" wrapText="1"/>
    </xf>
    <xf numFmtId="0" fontId="59" fillId="17" borderId="85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 wrapText="1"/>
    </xf>
    <xf numFmtId="0" fontId="59" fillId="20" borderId="85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3" fillId="27" borderId="79" xfId="0" applyFont="1" applyFill="1" applyBorder="1" applyAlignment="1">
      <alignment horizontal="center" vertical="center" wrapText="1"/>
    </xf>
    <xf numFmtId="0" fontId="52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 wrapText="1"/>
    </xf>
    <xf numFmtId="0" fontId="56" fillId="27" borderId="34" xfId="0" applyFont="1" applyFill="1" applyBorder="1" applyAlignment="1">
      <alignment horizontal="center" vertical="center" wrapText="1"/>
    </xf>
    <xf numFmtId="0" fontId="45" fillId="28" borderId="79" xfId="0" applyFont="1" applyFill="1" applyBorder="1" applyAlignment="1">
      <alignment vertical="center" wrapText="1"/>
    </xf>
    <xf numFmtId="0" fontId="45" fillId="28" borderId="80" xfId="0" applyFont="1" applyFill="1" applyBorder="1" applyAlignment="1">
      <alignment vertical="center" wrapText="1"/>
    </xf>
    <xf numFmtId="0" fontId="46" fillId="15" borderId="81" xfId="0" applyFont="1" applyFill="1" applyBorder="1" applyAlignment="1">
      <alignment vertical="center" wrapText="1"/>
    </xf>
    <xf numFmtId="0" fontId="46" fillId="15" borderId="82" xfId="0" applyFont="1" applyFill="1" applyBorder="1" applyAlignment="1">
      <alignment vertical="center" wrapText="1"/>
    </xf>
    <xf numFmtId="0" fontId="46" fillId="31" borderId="81" xfId="0" applyFont="1" applyFill="1" applyBorder="1" applyAlignment="1">
      <alignment vertical="center" wrapText="1"/>
    </xf>
    <xf numFmtId="0" fontId="46" fillId="31" borderId="82" xfId="0" applyFont="1" applyFill="1" applyBorder="1" applyAlignment="1">
      <alignment vertical="center" wrapText="1"/>
    </xf>
    <xf numFmtId="0" fontId="46" fillId="32" borderId="81" xfId="0" applyFont="1" applyFill="1" applyBorder="1" applyAlignment="1">
      <alignment vertical="center" wrapText="1"/>
    </xf>
    <xf numFmtId="0" fontId="46" fillId="32" borderId="82" xfId="0" applyFont="1" applyFill="1" applyBorder="1" applyAlignment="1">
      <alignment vertical="center" wrapText="1"/>
    </xf>
    <xf numFmtId="0" fontId="46" fillId="33" borderId="82" xfId="0" applyFont="1" applyFill="1" applyBorder="1" applyAlignment="1">
      <alignment vertical="center" wrapText="1"/>
    </xf>
    <xf numFmtId="0" fontId="46" fillId="33" borderId="81" xfId="0" applyFont="1" applyFill="1" applyBorder="1" applyAlignment="1">
      <alignment vertical="center" wrapText="1"/>
    </xf>
    <xf numFmtId="0" fontId="45" fillId="23" borderId="81" xfId="0" applyFont="1" applyFill="1" applyBorder="1" applyAlignment="1">
      <alignment vertical="center" wrapText="1"/>
    </xf>
    <xf numFmtId="0" fontId="45" fillId="23" borderId="82" xfId="0" applyFont="1" applyFill="1" applyBorder="1" applyAlignment="1">
      <alignment vertical="center" wrapText="1"/>
    </xf>
    <xf numFmtId="0" fontId="46" fillId="20" borderId="81" xfId="0" applyFont="1" applyFill="1" applyBorder="1" applyAlignment="1">
      <alignment vertical="center" wrapText="1"/>
    </xf>
    <xf numFmtId="0" fontId="46" fillId="20" borderId="82" xfId="0" applyFont="1" applyFill="1" applyBorder="1" applyAlignment="1">
      <alignment vertical="center" wrapText="1"/>
    </xf>
    <xf numFmtId="0" fontId="45" fillId="34" borderId="81" xfId="0" applyFont="1" applyFill="1" applyBorder="1" applyAlignment="1">
      <alignment vertical="center" wrapText="1"/>
    </xf>
    <xf numFmtId="0" fontId="45" fillId="34" borderId="82" xfId="0" applyFont="1" applyFill="1" applyBorder="1" applyAlignment="1">
      <alignment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52" fillId="31" borderId="36" xfId="0" applyFont="1" applyFill="1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/>
    </xf>
    <xf numFmtId="0" fontId="49" fillId="31" borderId="34" xfId="0" applyFont="1" applyFill="1" applyBorder="1" applyAlignment="1">
      <alignment horizontal="center" vertical="center" wrapText="1"/>
    </xf>
    <xf numFmtId="0" fontId="50" fillId="31" borderId="34" xfId="0" applyFont="1" applyFill="1" applyBorder="1" applyAlignment="1">
      <alignment horizontal="center" vertical="center" wrapText="1"/>
    </xf>
    <xf numFmtId="0" fontId="52" fillId="32" borderId="36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/>
    </xf>
    <xf numFmtId="0" fontId="50" fillId="32" borderId="34" xfId="0" applyFont="1" applyFill="1" applyBorder="1" applyAlignment="1">
      <alignment horizontal="center" vertical="center" wrapText="1"/>
    </xf>
    <xf numFmtId="0" fontId="51" fillId="32" borderId="34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/>
    </xf>
    <xf numFmtId="0" fontId="55" fillId="20" borderId="79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 wrapText="1"/>
    </xf>
    <xf numFmtId="0" fontId="53" fillId="20" borderId="79" xfId="0" applyFont="1" applyFill="1" applyBorder="1" applyAlignment="1">
      <alignment horizontal="center" vertical="center" wrapText="1"/>
    </xf>
    <xf numFmtId="0" fontId="52" fillId="20" borderId="79" xfId="0" applyFont="1" applyFill="1" applyBorder="1" applyAlignment="1">
      <alignment horizontal="center" vertical="center"/>
    </xf>
    <xf numFmtId="0" fontId="56" fillId="31" borderId="79" xfId="0" applyFont="1" applyFill="1" applyBorder="1" applyAlignment="1">
      <alignment horizontal="center" vertical="center" wrapText="1"/>
    </xf>
    <xf numFmtId="0" fontId="56" fillId="31" borderId="79" xfId="0" applyFont="1" applyFill="1" applyBorder="1" applyAlignment="1">
      <alignment horizontal="center" vertical="center"/>
    </xf>
    <xf numFmtId="0" fontId="0" fillId="31" borderId="0" xfId="0" applyFill="1"/>
    <xf numFmtId="0" fontId="56" fillId="31" borderId="34" xfId="0" applyFont="1" applyFill="1" applyBorder="1" applyAlignment="1">
      <alignment vertical="center" wrapText="1"/>
    </xf>
    <xf numFmtId="0" fontId="56" fillId="31" borderId="34" xfId="0" applyFont="1" applyFill="1" applyBorder="1" applyAlignment="1">
      <alignment vertical="center"/>
    </xf>
    <xf numFmtId="0" fontId="56" fillId="31" borderId="34" xfId="0" applyFont="1" applyFill="1" applyBorder="1" applyAlignment="1">
      <alignment horizontal="center" vertical="center"/>
    </xf>
    <xf numFmtId="0" fontId="62" fillId="31" borderId="82" xfId="0" applyFont="1" applyFill="1" applyBorder="1" applyAlignment="1">
      <alignment horizontal="center" vertical="center" wrapText="1"/>
    </xf>
    <xf numFmtId="0" fontId="62" fillId="31" borderId="81" xfId="0" applyFont="1" applyFill="1" applyBorder="1" applyAlignment="1">
      <alignment horizontal="center" vertical="center" wrapText="1"/>
    </xf>
    <xf numFmtId="0" fontId="43" fillId="31" borderId="106" xfId="0" applyFont="1" applyFill="1" applyBorder="1" applyAlignment="1">
      <alignment horizontal="center" vertical="center" wrapText="1"/>
    </xf>
    <xf numFmtId="0" fontId="43" fillId="31" borderId="85" xfId="0" applyFont="1" applyFill="1" applyBorder="1" applyAlignment="1">
      <alignment horizontal="center" vertical="center" wrapText="1"/>
    </xf>
    <xf numFmtId="0" fontId="6" fillId="31" borderId="80" xfId="0" applyFont="1" applyFill="1" applyBorder="1" applyAlignment="1">
      <alignment horizontal="center" vertical="center" wrapText="1"/>
    </xf>
    <xf numFmtId="0" fontId="52" fillId="31" borderId="82" xfId="0" applyNumberFormat="1" applyFont="1" applyFill="1" applyBorder="1" applyAlignment="1">
      <alignment horizontal="center" vertical="center" wrapText="1"/>
    </xf>
    <xf numFmtId="0" fontId="52" fillId="31" borderId="81" xfId="0" applyFont="1" applyFill="1" applyBorder="1" applyAlignment="1">
      <alignment horizontal="center" vertical="center" wrapText="1"/>
    </xf>
    <xf numFmtId="0" fontId="52" fillId="31" borderId="82" xfId="0" applyFont="1" applyFill="1" applyBorder="1" applyAlignment="1">
      <alignment horizontal="center" vertical="center" wrapText="1"/>
    </xf>
    <xf numFmtId="0" fontId="52" fillId="31" borderId="81" xfId="0" applyNumberFormat="1" applyFont="1" applyFill="1" applyBorder="1" applyAlignment="1">
      <alignment horizontal="center" vertical="center" wrapText="1"/>
    </xf>
    <xf numFmtId="0" fontId="56" fillId="31" borderId="80" xfId="0" applyFont="1" applyFill="1" applyBorder="1" applyAlignment="1">
      <alignment horizontal="center" vertical="center" wrapText="1"/>
    </xf>
    <xf numFmtId="16" fontId="52" fillId="31" borderId="81" xfId="0" applyNumberFormat="1" applyFont="1" applyFill="1" applyBorder="1" applyAlignment="1">
      <alignment horizontal="center" vertical="center" wrapText="1"/>
    </xf>
    <xf numFmtId="0" fontId="53" fillId="39" borderId="34" xfId="0" applyFont="1" applyFill="1" applyBorder="1" applyAlignment="1">
      <alignment horizontal="center" vertical="center" wrapText="1"/>
    </xf>
    <xf numFmtId="0" fontId="52" fillId="39" borderId="34" xfId="0" applyFont="1" applyFill="1" applyBorder="1" applyAlignment="1">
      <alignment horizontal="center" vertical="center" wrapText="1"/>
    </xf>
    <xf numFmtId="0" fontId="62" fillId="39" borderId="80" xfId="0" applyFont="1" applyFill="1" applyBorder="1" applyAlignment="1">
      <alignment horizontal="center" vertical="center" wrapText="1"/>
    </xf>
    <xf numFmtId="0" fontId="62" fillId="39" borderId="82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top" wrapText="1"/>
    </xf>
    <xf numFmtId="0" fontId="52" fillId="39" borderId="34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/>
    </xf>
    <xf numFmtId="0" fontId="52" fillId="41" borderId="34" xfId="0" applyFont="1" applyFill="1" applyBorder="1" applyAlignment="1">
      <alignment horizontal="center" vertical="center" wrapText="1"/>
    </xf>
    <xf numFmtId="0" fontId="52" fillId="41" borderId="34" xfId="0" applyFont="1" applyFill="1" applyBorder="1" applyAlignment="1">
      <alignment horizontal="center" vertical="center"/>
    </xf>
    <xf numFmtId="0" fontId="52" fillId="41" borderId="99" xfId="0" applyFont="1" applyFill="1" applyBorder="1" applyAlignment="1">
      <alignment horizontal="center" vertical="center" wrapText="1"/>
    </xf>
    <xf numFmtId="0" fontId="62" fillId="41" borderId="82" xfId="0" applyFont="1" applyFill="1" applyBorder="1" applyAlignment="1">
      <alignment horizontal="center" vertical="center" wrapText="1"/>
    </xf>
    <xf numFmtId="0" fontId="62" fillId="41" borderId="79" xfId="0" applyFont="1" applyFill="1" applyBorder="1" applyAlignment="1">
      <alignment horizontal="center" vertical="center" wrapText="1"/>
    </xf>
    <xf numFmtId="0" fontId="62" fillId="41" borderId="81" xfId="0" applyFont="1" applyFill="1" applyBorder="1" applyAlignment="1">
      <alignment horizontal="center" vertical="center" wrapText="1"/>
    </xf>
    <xf numFmtId="0" fontId="52" fillId="41" borderId="82" xfId="0" applyFont="1" applyFill="1" applyBorder="1" applyAlignment="1">
      <alignment horizontal="center" vertical="center" wrapText="1"/>
    </xf>
    <xf numFmtId="0" fontId="52" fillId="41" borderId="79" xfId="0" applyFont="1" applyFill="1" applyBorder="1" applyAlignment="1">
      <alignment horizontal="center" vertical="center" wrapText="1"/>
    </xf>
    <xf numFmtId="0" fontId="52" fillId="41" borderId="82" xfId="0" applyNumberFormat="1" applyFont="1" applyFill="1" applyBorder="1" applyAlignment="1">
      <alignment horizontal="center" vertical="center" wrapText="1"/>
    </xf>
    <xf numFmtId="0" fontId="52" fillId="41" borderId="81" xfId="0" applyFont="1" applyFill="1" applyBorder="1" applyAlignment="1">
      <alignment horizontal="center" vertical="center" wrapText="1"/>
    </xf>
    <xf numFmtId="0" fontId="52" fillId="41" borderId="81" xfId="0" applyNumberFormat="1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/>
    </xf>
    <xf numFmtId="0" fontId="59" fillId="35" borderId="34" xfId="0" applyFont="1" applyFill="1" applyBorder="1" applyAlignment="1">
      <alignment horizontal="center" vertical="center"/>
    </xf>
    <xf numFmtId="0" fontId="52" fillId="35" borderId="34" xfId="0" applyFont="1" applyFill="1" applyBorder="1"/>
    <xf numFmtId="0" fontId="56" fillId="35" borderId="34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vertical="center" wrapText="1"/>
    </xf>
    <xf numFmtId="0" fontId="1" fillId="18" borderId="85" xfId="0" applyFont="1" applyFill="1" applyBorder="1" applyAlignment="1">
      <alignment horizontal="center" vertical="center" wrapText="1"/>
    </xf>
    <xf numFmtId="0" fontId="1" fillId="40" borderId="85" xfId="0" applyFont="1" applyFill="1" applyBorder="1" applyAlignment="1">
      <alignment horizontal="center" vertical="center" wrapText="1"/>
    </xf>
    <xf numFmtId="0" fontId="0" fillId="49" borderId="46" xfId="0" applyFill="1" applyBorder="1" applyAlignment="1">
      <alignment wrapText="1"/>
    </xf>
    <xf numFmtId="0" fontId="0" fillId="49" borderId="129" xfId="0" applyFill="1" applyBorder="1" applyAlignment="1">
      <alignment wrapText="1"/>
    </xf>
    <xf numFmtId="0" fontId="0" fillId="49" borderId="13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 applyAlignment="1">
      <alignment wrapText="1"/>
    </xf>
    <xf numFmtId="0" fontId="23" fillId="14" borderId="151" xfId="0" applyFont="1" applyFill="1" applyBorder="1" applyAlignment="1" applyProtection="1">
      <alignment horizontal="center" vertical="center" wrapText="1"/>
      <protection hidden="1"/>
    </xf>
    <xf numFmtId="0" fontId="14" fillId="14" borderId="163" xfId="0" applyFont="1" applyFill="1" applyBorder="1" applyAlignment="1">
      <alignment horizontal="center" vertical="center" wrapText="1"/>
    </xf>
    <xf numFmtId="0" fontId="13" fillId="49" borderId="165" xfId="0" applyFont="1" applyFill="1" applyBorder="1" applyAlignment="1">
      <alignment horizontal="center" vertical="center" wrapText="1"/>
    </xf>
    <xf numFmtId="0" fontId="15" fillId="14" borderId="166" xfId="0" applyFont="1" applyFill="1" applyBorder="1" applyAlignment="1">
      <alignment horizontal="center" vertical="center" wrapText="1"/>
    </xf>
    <xf numFmtId="0" fontId="13" fillId="49" borderId="167" xfId="0" applyFont="1" applyFill="1" applyBorder="1" applyAlignment="1">
      <alignment horizontal="center" vertical="center" wrapText="1"/>
    </xf>
    <xf numFmtId="0" fontId="15" fillId="14" borderId="168" xfId="0" applyFont="1" applyFill="1" applyBorder="1" applyAlignment="1">
      <alignment horizontal="center" vertical="center" wrapText="1"/>
    </xf>
    <xf numFmtId="0" fontId="14" fillId="14" borderId="168" xfId="0" applyFont="1" applyFill="1" applyBorder="1" applyAlignment="1">
      <alignment horizontal="center" vertical="center" wrapText="1"/>
    </xf>
    <xf numFmtId="0" fontId="13" fillId="49" borderId="169" xfId="0" applyFont="1" applyFill="1" applyBorder="1" applyAlignment="1">
      <alignment horizontal="center" vertical="center" wrapText="1"/>
    </xf>
    <xf numFmtId="0" fontId="15" fillId="14" borderId="170" xfId="0" applyFont="1" applyFill="1" applyBorder="1" applyAlignment="1">
      <alignment horizontal="center" vertical="center" wrapText="1"/>
    </xf>
    <xf numFmtId="0" fontId="15" fillId="14" borderId="173" xfId="0" applyFont="1" applyFill="1" applyBorder="1" applyAlignment="1">
      <alignment horizontal="center" vertical="center" wrapText="1"/>
    </xf>
    <xf numFmtId="0" fontId="15" fillId="14" borderId="174" xfId="0" applyFont="1" applyFill="1" applyBorder="1" applyAlignment="1">
      <alignment horizontal="center" vertical="center" wrapText="1"/>
    </xf>
    <xf numFmtId="0" fontId="15" fillId="14" borderId="178" xfId="0" applyFont="1" applyFill="1" applyBorder="1" applyAlignment="1">
      <alignment horizontal="center" vertical="center" wrapText="1"/>
    </xf>
    <xf numFmtId="0" fontId="15" fillId="14" borderId="179" xfId="0" applyFont="1" applyFill="1" applyBorder="1" applyAlignment="1">
      <alignment horizontal="center" vertical="center" wrapText="1"/>
    </xf>
    <xf numFmtId="0" fontId="77" fillId="14" borderId="119" xfId="0" applyFont="1" applyFill="1" applyBorder="1" applyAlignment="1">
      <alignment horizontal="center" vertical="center" wrapText="1"/>
    </xf>
    <xf numFmtId="0" fontId="77" fillId="14" borderId="128" xfId="0" applyFont="1" applyFill="1" applyBorder="1" applyAlignment="1">
      <alignment horizontal="center" vertical="center" wrapText="1"/>
    </xf>
    <xf numFmtId="0" fontId="77" fillId="14" borderId="125" xfId="0" applyFont="1" applyFill="1" applyBorder="1" applyAlignment="1">
      <alignment horizontal="center" vertical="center" wrapText="1"/>
    </xf>
    <xf numFmtId="0" fontId="77" fillId="14" borderId="126" xfId="0" applyFont="1" applyFill="1" applyBorder="1" applyAlignment="1">
      <alignment horizontal="center" vertical="center" wrapText="1"/>
    </xf>
    <xf numFmtId="0" fontId="58" fillId="49" borderId="193" xfId="0" applyFont="1" applyFill="1" applyBorder="1" applyAlignment="1">
      <alignment horizontal="center" vertical="center" wrapText="1"/>
    </xf>
    <xf numFmtId="0" fontId="64" fillId="14" borderId="21" xfId="0" applyFont="1" applyFill="1" applyBorder="1" applyAlignment="1">
      <alignment horizontal="center" vertical="center" wrapText="1"/>
    </xf>
    <xf numFmtId="0" fontId="77" fillId="45" borderId="21" xfId="0" applyFont="1" applyFill="1" applyBorder="1" applyAlignment="1">
      <alignment horizontal="center" vertical="center" wrapText="1"/>
    </xf>
    <xf numFmtId="1" fontId="77" fillId="45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77" fillId="47" borderId="21" xfId="0" applyFont="1" applyFill="1" applyBorder="1" applyAlignment="1">
      <alignment horizontal="center" vertical="center" wrapText="1"/>
    </xf>
    <xf numFmtId="0" fontId="77" fillId="46" borderId="21" xfId="0" applyFont="1" applyFill="1" applyBorder="1" applyAlignment="1" applyProtection="1">
      <alignment horizontal="center" vertical="center" wrapText="1"/>
      <protection locked="0"/>
    </xf>
    <xf numFmtId="1" fontId="77" fillId="45" borderId="21" xfId="0" applyNumberFormat="1" applyFont="1" applyFill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0" fontId="69" fillId="49" borderId="119" xfId="0" applyFont="1" applyFill="1" applyBorder="1" applyAlignment="1">
      <alignment horizontal="center" vertical="center" wrapText="1"/>
    </xf>
    <xf numFmtId="0" fontId="69" fillId="49" borderId="128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wrapText="1"/>
    </xf>
    <xf numFmtId="0" fontId="84" fillId="45" borderId="210" xfId="0" applyFont="1" applyFill="1" applyBorder="1" applyAlignment="1">
      <alignment horizontal="center" vertical="center"/>
    </xf>
    <xf numFmtId="0" fontId="85" fillId="14" borderId="191" xfId="0" applyFont="1" applyFill="1" applyBorder="1" applyAlignment="1">
      <alignment horizontal="center" vertical="center" wrapText="1"/>
    </xf>
    <xf numFmtId="0" fontId="84" fillId="14" borderId="195" xfId="0" applyFont="1" applyFill="1" applyBorder="1" applyAlignment="1">
      <alignment horizontal="center" vertical="center" wrapText="1"/>
    </xf>
    <xf numFmtId="0" fontId="84" fillId="51" borderId="211" xfId="0" applyFont="1" applyFill="1" applyBorder="1" applyAlignment="1">
      <alignment horizontal="center" vertical="center"/>
    </xf>
    <xf numFmtId="0" fontId="84" fillId="51" borderId="119" xfId="0" applyFont="1" applyFill="1" applyBorder="1" applyAlignment="1">
      <alignment horizontal="center" vertical="center"/>
    </xf>
    <xf numFmtId="0" fontId="84" fillId="51" borderId="134" xfId="0" applyFont="1" applyFill="1" applyBorder="1" applyAlignment="1">
      <alignment horizontal="center" vertical="center"/>
    </xf>
    <xf numFmtId="0" fontId="84" fillId="45" borderId="211" xfId="0" applyFont="1" applyFill="1" applyBorder="1" applyAlignment="1">
      <alignment horizontal="center" vertical="center" wrapText="1"/>
    </xf>
    <xf numFmtId="0" fontId="85" fillId="14" borderId="119" xfId="0" applyFont="1" applyFill="1" applyBorder="1" applyAlignment="1">
      <alignment horizontal="center" vertical="center" wrapText="1"/>
    </xf>
    <xf numFmtId="0" fontId="84" fillId="14" borderId="134" xfId="0" applyFont="1" applyFill="1" applyBorder="1" applyAlignment="1">
      <alignment horizontal="center" vertical="center" wrapText="1"/>
    </xf>
    <xf numFmtId="0" fontId="84" fillId="51" borderId="212" xfId="0" applyFont="1" applyFill="1" applyBorder="1" applyAlignment="1">
      <alignment horizontal="center" vertical="center"/>
    </xf>
    <xf numFmtId="0" fontId="84" fillId="51" borderId="125" xfId="0" applyFont="1" applyFill="1" applyBorder="1" applyAlignment="1">
      <alignment horizontal="center" vertical="center"/>
    </xf>
    <xf numFmtId="0" fontId="84" fillId="51" borderId="196" xfId="0" applyFont="1" applyFill="1" applyBorder="1" applyAlignment="1">
      <alignment horizontal="center" vertical="center"/>
    </xf>
    <xf numFmtId="0" fontId="87" fillId="30" borderId="118" xfId="0" applyFont="1" applyFill="1" applyBorder="1" applyAlignment="1">
      <alignment horizontal="center" vertical="center" wrapText="1" readingOrder="1"/>
    </xf>
    <xf numFmtId="0" fontId="87" fillId="14" borderId="194" xfId="0" applyFont="1" applyFill="1" applyBorder="1" applyAlignment="1">
      <alignment horizontal="center" vertical="center" wrapText="1" readingOrder="1"/>
    </xf>
    <xf numFmtId="0" fontId="77" fillId="51" borderId="147" xfId="0" applyFont="1" applyFill="1" applyBorder="1" applyAlignment="1">
      <alignment horizontal="center" vertical="center"/>
    </xf>
    <xf numFmtId="0" fontId="77" fillId="51" borderId="0" xfId="0" applyFont="1" applyFill="1" applyBorder="1" applyAlignment="1">
      <alignment horizontal="center" vertical="center"/>
    </xf>
    <xf numFmtId="0" fontId="89" fillId="51" borderId="164" xfId="0" applyFont="1" applyFill="1" applyBorder="1" applyAlignment="1">
      <alignment vertical="center"/>
    </xf>
    <xf numFmtId="0" fontId="89" fillId="51" borderId="209" xfId="0" applyFont="1" applyFill="1" applyBorder="1" applyAlignment="1">
      <alignment vertical="center"/>
    </xf>
    <xf numFmtId="0" fontId="64" fillId="14" borderId="131" xfId="0" applyFont="1" applyFill="1" applyBorder="1" applyAlignment="1">
      <alignment horizontal="center" vertical="center" wrapText="1"/>
    </xf>
    <xf numFmtId="0" fontId="64" fillId="14" borderId="143" xfId="0" applyFont="1" applyFill="1" applyBorder="1" applyAlignment="1">
      <alignment horizontal="center" vertical="center" wrapText="1"/>
    </xf>
    <xf numFmtId="0" fontId="91" fillId="14" borderId="143" xfId="0" applyFont="1" applyFill="1" applyBorder="1" applyAlignment="1">
      <alignment horizontal="center" vertical="center" wrapText="1"/>
    </xf>
    <xf numFmtId="0" fontId="71" fillId="50" borderId="19" xfId="0" applyFont="1" applyFill="1" applyBorder="1" applyAlignment="1">
      <alignment horizontal="center" vertical="center" wrapText="1"/>
    </xf>
    <xf numFmtId="0" fontId="71" fillId="50" borderId="13" xfId="0" applyFont="1" applyFill="1" applyBorder="1" applyAlignment="1">
      <alignment horizontal="center" vertical="center" wrapText="1"/>
    </xf>
    <xf numFmtId="0" fontId="7" fillId="45" borderId="21" xfId="0" applyFont="1" applyFill="1" applyBorder="1" applyAlignment="1">
      <alignment vertical="center" wrapText="1"/>
    </xf>
    <xf numFmtId="0" fontId="7" fillId="45" borderId="21" xfId="0" applyFont="1" applyFill="1" applyBorder="1" applyAlignment="1">
      <alignment wrapText="1"/>
    </xf>
    <xf numFmtId="0" fontId="31" fillId="45" borderId="21" xfId="0" applyFont="1" applyFill="1" applyBorder="1" applyAlignment="1">
      <alignment vertical="center" wrapText="1"/>
    </xf>
    <xf numFmtId="0" fontId="0" fillId="44" borderId="56" xfId="0" applyFill="1" applyBorder="1" applyAlignment="1">
      <alignment wrapText="1"/>
    </xf>
    <xf numFmtId="0" fontId="59" fillId="44" borderId="0" xfId="0" applyFont="1" applyFill="1" applyBorder="1" applyAlignment="1">
      <alignment wrapText="1"/>
    </xf>
    <xf numFmtId="0" fontId="53" fillId="44" borderId="0" xfId="0" applyFont="1" applyFill="1" applyBorder="1" applyAlignment="1">
      <alignment vertical="center" wrapText="1"/>
    </xf>
    <xf numFmtId="0" fontId="59" fillId="44" borderId="0" xfId="0" applyFont="1" applyFill="1" applyAlignment="1">
      <alignment wrapText="1"/>
    </xf>
    <xf numFmtId="0" fontId="9" fillId="44" borderId="0" xfId="0" applyFont="1" applyFill="1" applyBorder="1" applyAlignment="1">
      <alignment vertical="center" wrapText="1"/>
    </xf>
    <xf numFmtId="0" fontId="92" fillId="44" borderId="0" xfId="0" applyFont="1" applyFill="1" applyBorder="1" applyAlignment="1">
      <alignment wrapText="1"/>
    </xf>
    <xf numFmtId="0" fontId="93" fillId="44" borderId="0" xfId="0" applyFont="1" applyFill="1" applyBorder="1" applyAlignment="1">
      <alignment vertical="center" wrapText="1"/>
    </xf>
    <xf numFmtId="0" fontId="74" fillId="44" borderId="0" xfId="0" applyFont="1" applyFill="1" applyBorder="1" applyAlignment="1" applyProtection="1">
      <alignment wrapText="1"/>
      <protection hidden="1"/>
    </xf>
    <xf numFmtId="0" fontId="75" fillId="44" borderId="0" xfId="0" applyFont="1" applyFill="1" applyBorder="1" applyAlignment="1" applyProtection="1">
      <alignment wrapText="1"/>
      <protection hidden="1"/>
    </xf>
    <xf numFmtId="0" fontId="57" fillId="44" borderId="0" xfId="0" applyFont="1" applyFill="1" applyAlignment="1">
      <alignment wrapText="1"/>
    </xf>
    <xf numFmtId="0" fontId="0" fillId="49" borderId="144" xfId="0" applyFill="1" applyBorder="1" applyAlignment="1">
      <alignment wrapText="1"/>
    </xf>
    <xf numFmtId="0" fontId="0" fillId="44" borderId="146" xfId="0" applyFill="1" applyBorder="1" applyAlignment="1">
      <alignment wrapText="1"/>
    </xf>
    <xf numFmtId="0" fontId="0" fillId="44" borderId="144" xfId="0" applyFill="1" applyBorder="1" applyAlignment="1">
      <alignment wrapText="1"/>
    </xf>
    <xf numFmtId="0" fontId="0" fillId="44" borderId="0" xfId="0" applyFill="1"/>
    <xf numFmtId="0" fontId="77" fillId="48" borderId="22" xfId="0" applyFont="1" applyFill="1" applyBorder="1" applyAlignment="1">
      <alignment horizontal="center" vertical="center" wrapText="1"/>
    </xf>
    <xf numFmtId="0" fontId="71" fillId="49" borderId="227" xfId="0" applyFont="1" applyFill="1" applyBorder="1" applyAlignment="1">
      <alignment horizontal="center" vertical="center" wrapText="1" readingOrder="1"/>
    </xf>
    <xf numFmtId="0" fontId="79" fillId="49" borderId="227" xfId="0" applyFont="1" applyFill="1" applyBorder="1" applyAlignment="1">
      <alignment horizontal="center" vertical="center" wrapText="1" readingOrder="1"/>
    </xf>
    <xf numFmtId="0" fontId="79" fillId="49" borderId="166" xfId="0" applyFont="1" applyFill="1" applyBorder="1" applyAlignment="1">
      <alignment horizontal="center" vertical="center" wrapText="1" readingOrder="1"/>
    </xf>
    <xf numFmtId="0" fontId="45" fillId="30" borderId="180" xfId="0" applyFont="1" applyFill="1" applyBorder="1" applyAlignment="1">
      <alignment horizontal="center" vertical="center" wrapText="1"/>
    </xf>
    <xf numFmtId="0" fontId="45" fillId="30" borderId="181" xfId="0" applyFont="1" applyFill="1" applyBorder="1" applyAlignment="1">
      <alignment horizontal="center" vertical="center" wrapText="1"/>
    </xf>
    <xf numFmtId="0" fontId="56" fillId="30" borderId="175" xfId="0" applyFont="1" applyFill="1" applyBorder="1" applyAlignment="1">
      <alignment horizontal="center" vertical="center" wrapText="1"/>
    </xf>
    <xf numFmtId="0" fontId="56" fillId="30" borderId="176" xfId="0" applyFont="1" applyFill="1" applyBorder="1" applyAlignment="1">
      <alignment horizontal="center" vertical="center" wrapText="1"/>
    </xf>
    <xf numFmtId="0" fontId="56" fillId="30" borderId="177" xfId="0" applyFont="1" applyFill="1" applyBorder="1" applyAlignment="1">
      <alignment horizontal="center" vertical="center" wrapText="1"/>
    </xf>
    <xf numFmtId="0" fontId="85" fillId="14" borderId="136" xfId="0" applyFont="1" applyFill="1" applyBorder="1" applyAlignment="1">
      <alignment wrapText="1"/>
    </xf>
    <xf numFmtId="0" fontId="85" fillId="14" borderId="133" xfId="0" applyFont="1" applyFill="1" applyBorder="1" applyAlignment="1">
      <alignment horizontal="center" vertical="center" wrapText="1"/>
    </xf>
    <xf numFmtId="0" fontId="85" fillId="14" borderId="154" xfId="0" applyFont="1" applyFill="1" applyBorder="1" applyAlignment="1">
      <alignment horizontal="center" vertical="center" wrapText="1"/>
    </xf>
    <xf numFmtId="0" fontId="85" fillId="14" borderId="134" xfId="0" applyFont="1" applyFill="1" applyBorder="1" applyAlignment="1">
      <alignment horizontal="center" vertical="center" wrapText="1"/>
    </xf>
    <xf numFmtId="0" fontId="85" fillId="14" borderId="155" xfId="0" applyFont="1" applyFill="1" applyBorder="1" applyAlignment="1">
      <alignment horizontal="center" vertical="center" wrapText="1"/>
    </xf>
    <xf numFmtId="0" fontId="45" fillId="12" borderId="182" xfId="0" applyFont="1" applyFill="1" applyBorder="1" applyAlignment="1">
      <alignment horizontal="center" vertical="center" wrapText="1"/>
    </xf>
    <xf numFmtId="0" fontId="85" fillId="14" borderId="135" xfId="0" applyFont="1" applyFill="1" applyBorder="1" applyAlignment="1">
      <alignment horizontal="center" vertical="center" wrapText="1"/>
    </xf>
    <xf numFmtId="0" fontId="85" fillId="14" borderId="156" xfId="0" applyFont="1" applyFill="1" applyBorder="1" applyAlignment="1">
      <alignment horizontal="center" vertical="center" wrapText="1"/>
    </xf>
    <xf numFmtId="0" fontId="81" fillId="49" borderId="224" xfId="0" applyFont="1" applyFill="1" applyBorder="1" applyAlignment="1">
      <alignment horizontal="center" vertical="center" wrapText="1"/>
    </xf>
    <xf numFmtId="0" fontId="84" fillId="45" borderId="121" xfId="0" applyFont="1" applyFill="1" applyBorder="1" applyAlignment="1">
      <alignment horizontal="center" vertical="center" wrapText="1"/>
    </xf>
    <xf numFmtId="0" fontId="84" fillId="45" borderId="122" xfId="0" applyFont="1" applyFill="1" applyBorder="1" applyAlignment="1">
      <alignment horizontal="center" vertical="center" wrapText="1"/>
    </xf>
    <xf numFmtId="0" fontId="85" fillId="14" borderId="122" xfId="0" applyFont="1" applyFill="1" applyBorder="1" applyAlignment="1">
      <alignment horizontal="center" vertical="center" wrapText="1"/>
    </xf>
    <xf numFmtId="0" fontId="85" fillId="14" borderId="127" xfId="0" applyFont="1" applyFill="1" applyBorder="1" applyAlignment="1">
      <alignment horizontal="center" vertical="center" wrapText="1"/>
    </xf>
    <xf numFmtId="0" fontId="81" fillId="49" borderId="225" xfId="0" applyFont="1" applyFill="1" applyBorder="1" applyAlignment="1">
      <alignment horizontal="center" vertical="center" wrapText="1"/>
    </xf>
    <xf numFmtId="0" fontId="84" fillId="45" borderId="120" xfId="0" applyFont="1" applyFill="1" applyBorder="1" applyAlignment="1">
      <alignment horizontal="center" vertical="center" wrapText="1"/>
    </xf>
    <xf numFmtId="0" fontId="84" fillId="45" borderId="119" xfId="0" applyFont="1" applyFill="1" applyBorder="1" applyAlignment="1">
      <alignment horizontal="center" vertical="center" wrapText="1"/>
    </xf>
    <xf numFmtId="0" fontId="85" fillId="14" borderId="128" xfId="0" applyFont="1" applyFill="1" applyBorder="1" applyAlignment="1">
      <alignment horizontal="center" vertical="center" wrapText="1"/>
    </xf>
    <xf numFmtId="0" fontId="81" fillId="49" borderId="226" xfId="0" applyFont="1" applyFill="1" applyBorder="1" applyAlignment="1">
      <alignment horizontal="center" vertical="center"/>
    </xf>
    <xf numFmtId="0" fontId="84" fillId="45" borderId="124" xfId="0" applyFont="1" applyFill="1" applyBorder="1" applyAlignment="1">
      <alignment horizontal="center" vertical="center" wrapText="1"/>
    </xf>
    <xf numFmtId="0" fontId="84" fillId="45" borderId="125" xfId="0" applyFont="1" applyFill="1" applyBorder="1" applyAlignment="1">
      <alignment horizontal="center" vertical="center" wrapText="1"/>
    </xf>
    <xf numFmtId="0" fontId="84" fillId="14" borderId="125" xfId="0" applyFont="1" applyFill="1" applyBorder="1" applyAlignment="1">
      <alignment horizontal="center" vertical="center" wrapText="1"/>
    </xf>
    <xf numFmtId="0" fontId="84" fillId="14" borderId="126" xfId="0" applyFont="1" applyFill="1" applyBorder="1" applyAlignment="1">
      <alignment horizontal="center" vertical="center" wrapText="1"/>
    </xf>
    <xf numFmtId="0" fontId="86" fillId="30" borderId="142" xfId="0" applyFont="1" applyFill="1" applyBorder="1" applyAlignment="1">
      <alignment horizontal="center" vertical="center" wrapText="1"/>
    </xf>
    <xf numFmtId="0" fontId="87" fillId="30" borderId="123" xfId="0" applyFont="1" applyFill="1" applyBorder="1" applyAlignment="1">
      <alignment horizontal="center" vertical="center" wrapText="1" readingOrder="1"/>
    </xf>
    <xf numFmtId="0" fontId="76" fillId="30" borderId="233" xfId="0" applyFont="1" applyFill="1" applyBorder="1" applyAlignment="1">
      <alignment horizontal="center" vertical="center" wrapText="1" readingOrder="1"/>
    </xf>
    <xf numFmtId="0" fontId="85" fillId="30" borderId="132" xfId="0" applyFont="1" applyFill="1" applyBorder="1" applyAlignment="1">
      <alignment horizontal="center" vertical="center" wrapText="1"/>
    </xf>
    <xf numFmtId="0" fontId="85" fillId="30" borderId="153" xfId="0" applyFont="1" applyFill="1" applyBorder="1" applyAlignment="1">
      <alignment horizontal="center" vertical="center" wrapText="1"/>
    </xf>
    <xf numFmtId="0" fontId="70" fillId="49" borderId="162" xfId="0" applyFont="1" applyFill="1" applyBorder="1" applyAlignment="1">
      <alignment horizontal="center" vertical="center" wrapText="1"/>
    </xf>
    <xf numFmtId="0" fontId="82" fillId="49" borderId="143" xfId="0" applyFont="1" applyFill="1" applyBorder="1" applyAlignment="1">
      <alignment horizontal="center" vertical="center" wrapText="1"/>
    </xf>
    <xf numFmtId="0" fontId="45" fillId="30" borderId="217" xfId="0" applyFont="1" applyFill="1" applyBorder="1" applyAlignment="1">
      <alignment horizontal="center" vertical="center" wrapText="1"/>
    </xf>
    <xf numFmtId="0" fontId="45" fillId="30" borderId="218" xfId="0" applyFont="1" applyFill="1" applyBorder="1" applyAlignment="1">
      <alignment horizontal="center" vertical="center" wrapText="1"/>
    </xf>
    <xf numFmtId="0" fontId="45" fillId="30" borderId="219" xfId="0" applyFont="1" applyFill="1" applyBorder="1" applyAlignment="1">
      <alignment horizontal="center" vertical="center" wrapText="1"/>
    </xf>
    <xf numFmtId="0" fontId="70" fillId="49" borderId="25" xfId="0" applyFont="1" applyFill="1" applyBorder="1" applyAlignment="1">
      <alignment horizontal="center" vertical="center"/>
    </xf>
    <xf numFmtId="0" fontId="41" fillId="44" borderId="0" xfId="0" applyFont="1" applyFill="1" applyAlignment="1">
      <alignment wrapText="1"/>
    </xf>
    <xf numFmtId="0" fontId="45" fillId="14" borderId="186" xfId="0" applyFont="1" applyFill="1" applyBorder="1" applyAlignment="1">
      <alignment horizontal="center" vertical="center" wrapText="1"/>
    </xf>
    <xf numFmtId="0" fontId="85" fillId="14" borderId="186" xfId="0" applyFont="1" applyFill="1" applyBorder="1" applyAlignment="1">
      <alignment horizontal="center" vertical="center" wrapText="1"/>
    </xf>
    <xf numFmtId="0" fontId="85" fillId="30" borderId="137" xfId="0" applyFont="1" applyFill="1" applyBorder="1" applyAlignment="1">
      <alignment horizontal="center" vertical="center" wrapText="1"/>
    </xf>
    <xf numFmtId="0" fontId="85" fillId="30" borderId="138" xfId="0" applyFont="1" applyFill="1" applyBorder="1" applyAlignment="1">
      <alignment horizontal="center" vertical="center" wrapText="1"/>
    </xf>
    <xf numFmtId="0" fontId="85" fillId="30" borderId="139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46" fillId="41" borderId="34" xfId="0" applyFont="1" applyFill="1" applyBorder="1" applyAlignment="1">
      <alignment horizontal="center" vertical="center" wrapText="1"/>
    </xf>
    <xf numFmtId="0" fontId="46" fillId="41" borderId="34" xfId="0" applyFont="1" applyFill="1" applyBorder="1" applyAlignment="1">
      <alignment horizontal="center" vertical="center"/>
    </xf>
    <xf numFmtId="0" fontId="46" fillId="31" borderId="34" xfId="0" applyFont="1" applyFill="1" applyBorder="1" applyAlignment="1">
      <alignment horizontal="center" vertical="center" wrapText="1"/>
    </xf>
    <xf numFmtId="0" fontId="46" fillId="31" borderId="34" xfId="0" applyFont="1" applyFill="1" applyBorder="1" applyAlignment="1">
      <alignment horizontal="center" vertical="center"/>
    </xf>
    <xf numFmtId="0" fontId="82" fillId="49" borderId="141" xfId="0" applyFont="1" applyFill="1" applyBorder="1" applyAlignment="1">
      <alignment horizontal="center" vertical="center" wrapText="1"/>
    </xf>
    <xf numFmtId="0" fontId="58" fillId="49" borderId="143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1" fillId="1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78" fillId="49" borderId="227" xfId="0" applyFont="1" applyFill="1" applyBorder="1" applyAlignment="1">
      <alignment horizontal="center" vertical="center" wrapText="1" readingOrder="1"/>
    </xf>
    <xf numFmtId="0" fontId="9" fillId="44" borderId="0" xfId="0" applyFont="1" applyFill="1" applyBorder="1" applyAlignment="1">
      <alignment horizontal="center" vertical="center" wrapText="1"/>
    </xf>
    <xf numFmtId="0" fontId="47" fillId="14" borderId="213" xfId="0" applyFont="1" applyFill="1" applyBorder="1" applyAlignment="1">
      <alignment horizont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0" fillId="49" borderId="204" xfId="0" applyFont="1" applyFill="1" applyBorder="1" applyAlignment="1">
      <alignment horizontal="center" vertical="center" wrapText="1"/>
    </xf>
    <xf numFmtId="0" fontId="70" fillId="49" borderId="205" xfId="0" applyFont="1" applyFill="1" applyBorder="1" applyAlignment="1">
      <alignment horizontal="center" vertical="center" wrapText="1"/>
    </xf>
    <xf numFmtId="0" fontId="83" fillId="49" borderId="241" xfId="0" applyFont="1" applyFill="1" applyBorder="1" applyAlignment="1">
      <alignment horizontal="center" vertical="center" wrapText="1"/>
    </xf>
    <xf numFmtId="0" fontId="14" fillId="14" borderId="242" xfId="0" applyFont="1" applyFill="1" applyBorder="1" applyAlignment="1">
      <alignment horizontal="center" vertical="center" wrapText="1"/>
    </xf>
    <xf numFmtId="0" fontId="19" fillId="15" borderId="56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9" fillId="15" borderId="57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19" fillId="15" borderId="41" xfId="0" applyFont="1" applyFill="1" applyBorder="1" applyAlignment="1">
      <alignment wrapText="1"/>
    </xf>
    <xf numFmtId="0" fontId="19" fillId="15" borderId="39" xfId="0" applyFont="1" applyFill="1" applyBorder="1" applyAlignment="1">
      <alignment wrapText="1"/>
    </xf>
    <xf numFmtId="0" fontId="0" fillId="0" borderId="46" xfId="0" applyBorder="1" applyAlignment="1">
      <alignment horizontal="center"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wrapText="1"/>
    </xf>
    <xf numFmtId="0" fontId="10" fillId="11" borderId="56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wrapText="1"/>
    </xf>
    <xf numFmtId="0" fontId="33" fillId="2" borderId="5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33" fillId="2" borderId="51" xfId="0" applyFont="1" applyFill="1" applyBorder="1" applyAlignment="1">
      <alignment horizontal="center" vertical="center" wrapText="1" readingOrder="1"/>
    </xf>
    <xf numFmtId="0" fontId="33" fillId="2" borderId="52" xfId="0" applyFont="1" applyFill="1" applyBorder="1" applyAlignment="1">
      <alignment horizontal="center" vertical="center" wrapText="1" readingOrder="1"/>
    </xf>
    <xf numFmtId="0" fontId="33" fillId="2" borderId="53" xfId="0" applyFont="1" applyFill="1" applyBorder="1" applyAlignment="1">
      <alignment horizontal="center" vertical="center" wrapText="1" readingOrder="1"/>
    </xf>
    <xf numFmtId="0" fontId="31" fillId="14" borderId="13" xfId="0" applyFont="1" applyFill="1" applyBorder="1" applyAlignment="1">
      <alignment horizontal="center" vertical="center" wrapText="1"/>
    </xf>
    <xf numFmtId="0" fontId="31" fillId="14" borderId="1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31" fillId="6" borderId="16" xfId="0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6" borderId="4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31" fillId="6" borderId="50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0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1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7" fillId="0" borderId="43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 readingOrder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13" borderId="16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3" fillId="3" borderId="68" xfId="0" applyFont="1" applyFill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1" fillId="6" borderId="6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 wrapText="1"/>
    </xf>
    <xf numFmtId="0" fontId="31" fillId="6" borderId="14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left" wrapText="1" readingOrder="1"/>
    </xf>
    <xf numFmtId="0" fontId="4" fillId="4" borderId="62" xfId="0" applyFont="1" applyFill="1" applyBorder="1" applyAlignment="1">
      <alignment horizontal="left" wrapText="1" readingOrder="1"/>
    </xf>
    <xf numFmtId="0" fontId="4" fillId="4" borderId="63" xfId="0" applyFont="1" applyFill="1" applyBorder="1" applyAlignment="1">
      <alignment horizontal="left" wrapText="1" readingOrder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59" xfId="0" applyFont="1" applyFill="1" applyBorder="1" applyAlignment="1">
      <alignment horizontal="center" wrapText="1"/>
    </xf>
    <xf numFmtId="0" fontId="3" fillId="9" borderId="45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29" xfId="0" applyFont="1" applyFill="1" applyBorder="1" applyAlignment="1">
      <alignment horizontal="center" wrapText="1"/>
    </xf>
    <xf numFmtId="0" fontId="35" fillId="0" borderId="23" xfId="0" applyFont="1" applyBorder="1" applyAlignment="1">
      <alignment horizont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5" fillId="0" borderId="39" xfId="0" applyFont="1" applyBorder="1" applyAlignment="1">
      <alignment horizontal="center" wrapText="1"/>
    </xf>
    <xf numFmtId="0" fontId="6" fillId="12" borderId="70" xfId="0" applyFont="1" applyFill="1" applyBorder="1" applyAlignment="1">
      <alignment horizontal="left" vertical="top" wrapText="1"/>
    </xf>
    <xf numFmtId="0" fontId="24" fillId="4" borderId="46" xfId="0" applyFont="1" applyFill="1" applyBorder="1" applyAlignment="1">
      <alignment horizontal="center" vertical="center" wrapText="1" readingOrder="1"/>
    </xf>
    <xf numFmtId="0" fontId="17" fillId="15" borderId="2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Border="1" applyAlignment="1">
      <alignment horizontal="center" vertical="center" wrapText="1" readingOrder="1"/>
    </xf>
    <xf numFmtId="0" fontId="23" fillId="15" borderId="23" xfId="0" applyFont="1" applyFill="1" applyBorder="1" applyAlignment="1" applyProtection="1">
      <alignment horizontal="center" vertical="center" wrapText="1"/>
      <protection hidden="1"/>
    </xf>
    <xf numFmtId="0" fontId="35" fillId="15" borderId="23" xfId="0" applyFont="1" applyFill="1" applyBorder="1" applyAlignment="1">
      <alignment horizontal="center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wrapText="1"/>
    </xf>
    <xf numFmtId="0" fontId="34" fillId="6" borderId="49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54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7" fillId="6" borderId="52" xfId="0" applyFont="1" applyFill="1" applyBorder="1" applyAlignment="1">
      <alignment wrapText="1"/>
    </xf>
    <xf numFmtId="0" fontId="7" fillId="6" borderId="53" xfId="0" applyFont="1" applyFill="1" applyBorder="1" applyAlignment="1">
      <alignment wrapText="1"/>
    </xf>
    <xf numFmtId="0" fontId="4" fillId="2" borderId="61" xfId="0" applyFont="1" applyFill="1" applyBorder="1" applyAlignment="1">
      <alignment horizontal="left" wrapText="1" readingOrder="1"/>
    </xf>
    <xf numFmtId="0" fontId="4" fillId="2" borderId="62" xfId="0" applyFont="1" applyFill="1" applyBorder="1" applyAlignment="1">
      <alignment horizontal="left" wrapText="1" readingOrder="1"/>
    </xf>
    <xf numFmtId="0" fontId="4" fillId="2" borderId="63" xfId="0" applyFont="1" applyFill="1" applyBorder="1" applyAlignment="1">
      <alignment horizontal="left" wrapText="1" readingOrder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44" fillId="6" borderId="70" xfId="0" applyFont="1" applyFill="1" applyBorder="1" applyAlignment="1">
      <alignment horizontal="center" vertical="center" wrapText="1"/>
    </xf>
    <xf numFmtId="0" fontId="44" fillId="6" borderId="46" xfId="0" applyFont="1" applyFill="1" applyBorder="1" applyAlignment="1">
      <alignment horizontal="center" vertical="center" wrapText="1"/>
    </xf>
    <xf numFmtId="0" fontId="44" fillId="6" borderId="64" xfId="0" applyFont="1" applyFill="1" applyBorder="1" applyAlignment="1">
      <alignment horizontal="center" vertical="center" wrapText="1"/>
    </xf>
    <xf numFmtId="0" fontId="44" fillId="6" borderId="56" xfId="0" applyFont="1" applyFill="1" applyBorder="1" applyAlignment="1">
      <alignment horizontal="center" vertical="center" wrapText="1"/>
    </xf>
    <xf numFmtId="0" fontId="44" fillId="6" borderId="0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 wrapText="1"/>
    </xf>
    <xf numFmtId="0" fontId="44" fillId="6" borderId="25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90" fillId="13" borderId="46" xfId="0" applyFont="1" applyFill="1" applyBorder="1" applyAlignment="1">
      <alignment horizontal="left" vertical="top" wrapText="1"/>
    </xf>
    <xf numFmtId="0" fontId="90" fillId="13" borderId="171" xfId="0" applyFont="1" applyFill="1" applyBorder="1" applyAlignment="1">
      <alignment horizontal="left" vertical="top" wrapText="1"/>
    </xf>
    <xf numFmtId="0" fontId="90" fillId="13" borderId="0" xfId="0" applyFont="1" applyFill="1" applyBorder="1" applyAlignment="1">
      <alignment horizontal="left" vertical="top" wrapText="1"/>
    </xf>
    <xf numFmtId="0" fontId="90" fillId="13" borderId="172" xfId="0" applyFont="1" applyFill="1" applyBorder="1" applyAlignment="1">
      <alignment horizontal="left" vertical="top" wrapText="1"/>
    </xf>
    <xf numFmtId="0" fontId="90" fillId="13" borderId="84" xfId="0" applyFont="1" applyFill="1" applyBorder="1" applyAlignment="1">
      <alignment horizontal="left" vertical="top" wrapText="1"/>
    </xf>
    <xf numFmtId="0" fontId="90" fillId="13" borderId="82" xfId="0" applyFont="1" applyFill="1" applyBorder="1" applyAlignment="1">
      <alignment horizontal="left" vertical="top" wrapText="1"/>
    </xf>
    <xf numFmtId="0" fontId="85" fillId="12" borderId="187" xfId="0" applyFont="1" applyFill="1" applyBorder="1" applyAlignment="1">
      <alignment horizontal="center" vertical="center" wrapText="1"/>
    </xf>
    <xf numFmtId="0" fontId="85" fillId="12" borderId="188" xfId="0" applyFont="1" applyFill="1" applyBorder="1" applyAlignment="1">
      <alignment horizontal="center" vertical="center" wrapText="1"/>
    </xf>
    <xf numFmtId="0" fontId="85" fillId="12" borderId="189" xfId="0" applyFont="1" applyFill="1" applyBorder="1" applyAlignment="1">
      <alignment horizontal="center" vertical="center" wrapText="1"/>
    </xf>
    <xf numFmtId="4" fontId="68" fillId="14" borderId="70" xfId="0" applyNumberFormat="1" applyFont="1" applyFill="1" applyBorder="1" applyAlignment="1">
      <alignment horizontal="center" vertical="center" wrapText="1"/>
    </xf>
    <xf numFmtId="4" fontId="68" fillId="14" borderId="46" xfId="0" applyNumberFormat="1" applyFont="1" applyFill="1" applyBorder="1" applyAlignment="1">
      <alignment horizontal="center" vertical="center" wrapText="1"/>
    </xf>
    <xf numFmtId="4" fontId="68" fillId="14" borderId="64" xfId="0" applyNumberFormat="1" applyFont="1" applyFill="1" applyBorder="1" applyAlignment="1">
      <alignment horizontal="center" vertical="center" wrapText="1"/>
    </xf>
    <xf numFmtId="4" fontId="68" fillId="14" borderId="56" xfId="0" applyNumberFormat="1" applyFont="1" applyFill="1" applyBorder="1" applyAlignment="1">
      <alignment horizontal="center" vertical="center" wrapText="1"/>
    </xf>
    <xf numFmtId="4" fontId="68" fillId="14" borderId="0" xfId="0" applyNumberFormat="1" applyFont="1" applyFill="1" applyBorder="1" applyAlignment="1">
      <alignment horizontal="center" vertical="center" wrapText="1"/>
    </xf>
    <xf numFmtId="4" fontId="68" fillId="14" borderId="57" xfId="0" applyNumberFormat="1" applyFont="1" applyFill="1" applyBorder="1" applyAlignment="1">
      <alignment horizontal="center" vertical="center" wrapText="1"/>
    </xf>
    <xf numFmtId="4" fontId="68" fillId="14" borderId="25" xfId="0" applyNumberFormat="1" applyFont="1" applyFill="1" applyBorder="1" applyAlignment="1">
      <alignment horizontal="center" vertical="center" wrapText="1"/>
    </xf>
    <xf numFmtId="4" fontId="68" fillId="14" borderId="23" xfId="0" applyNumberFormat="1" applyFont="1" applyFill="1" applyBorder="1" applyAlignment="1">
      <alignment horizontal="center" vertical="center" wrapText="1"/>
    </xf>
    <xf numFmtId="4" fontId="68" fillId="14" borderId="24" xfId="0" applyNumberFormat="1" applyFont="1" applyFill="1" applyBorder="1" applyAlignment="1">
      <alignment horizontal="center" vertical="center" wrapText="1"/>
    </xf>
    <xf numFmtId="0" fontId="85" fillId="14" borderId="149" xfId="0" applyFont="1" applyFill="1" applyBorder="1" applyAlignment="1">
      <alignment horizontal="center" vertical="center" wrapText="1"/>
    </xf>
    <xf numFmtId="0" fontId="85" fillId="14" borderId="0" xfId="0" applyFont="1" applyFill="1" applyBorder="1" applyAlignment="1">
      <alignment horizontal="center" vertical="center" wrapText="1"/>
    </xf>
    <xf numFmtId="0" fontId="85" fillId="14" borderId="148" xfId="0" applyFont="1" applyFill="1" applyBorder="1" applyAlignment="1">
      <alignment horizontal="center" vertical="center" wrapText="1"/>
    </xf>
    <xf numFmtId="0" fontId="6" fillId="44" borderId="0" xfId="0" applyFont="1" applyFill="1" applyBorder="1" applyAlignment="1">
      <alignment horizontal="center" vertical="center" wrapText="1"/>
    </xf>
    <xf numFmtId="0" fontId="0" fillId="44" borderId="0" xfId="0" applyFill="1" applyBorder="1" applyAlignment="1">
      <alignment horizontal="center" wrapText="1"/>
    </xf>
    <xf numFmtId="0" fontId="78" fillId="49" borderId="165" xfId="0" applyFont="1" applyFill="1" applyBorder="1" applyAlignment="1">
      <alignment horizontal="center" vertical="center" wrapText="1" readingOrder="1"/>
    </xf>
    <xf numFmtId="0" fontId="78" fillId="49" borderId="227" xfId="0" applyFont="1" applyFill="1" applyBorder="1" applyAlignment="1">
      <alignment horizontal="center" vertical="center" wrapText="1" readingOrder="1"/>
    </xf>
    <xf numFmtId="0" fontId="85" fillId="12" borderId="141" xfId="0" applyFont="1" applyFill="1" applyBorder="1" applyAlignment="1">
      <alignment horizontal="center" vertical="center" wrapText="1"/>
    </xf>
    <xf numFmtId="0" fontId="85" fillId="12" borderId="157" xfId="0" applyFont="1" applyFill="1" applyBorder="1" applyAlignment="1">
      <alignment horizontal="center" vertical="center" wrapText="1"/>
    </xf>
    <xf numFmtId="0" fontId="85" fillId="14" borderId="183" xfId="0" applyFont="1" applyFill="1" applyBorder="1" applyAlignment="1">
      <alignment horizontal="center" vertical="center" wrapText="1"/>
    </xf>
    <xf numFmtId="0" fontId="85" fillId="14" borderId="184" xfId="0" applyFont="1" applyFill="1" applyBorder="1" applyAlignment="1">
      <alignment horizontal="center" vertical="center" wrapText="1"/>
    </xf>
    <xf numFmtId="0" fontId="85" fillId="14" borderId="185" xfId="0" applyFont="1" applyFill="1" applyBorder="1" applyAlignment="1">
      <alignment horizontal="center" vertical="center" wrapText="1"/>
    </xf>
    <xf numFmtId="0" fontId="9" fillId="44" borderId="0" xfId="0" applyFont="1" applyFill="1" applyBorder="1" applyAlignment="1">
      <alignment horizontal="center" vertical="center" wrapText="1"/>
    </xf>
    <xf numFmtId="0" fontId="18" fillId="49" borderId="83" xfId="0" applyFont="1" applyFill="1" applyBorder="1" applyAlignment="1">
      <alignment horizontal="center" vertical="center" wrapText="1" readingOrder="1"/>
    </xf>
    <xf numFmtId="0" fontId="18" fillId="49" borderId="161" xfId="0" applyFont="1" applyFill="1" applyBorder="1" applyAlignment="1">
      <alignment horizontal="center" vertical="center" wrapText="1" readingOrder="1"/>
    </xf>
    <xf numFmtId="0" fontId="77" fillId="46" borderId="16" xfId="0" applyFont="1" applyFill="1" applyBorder="1" applyAlignment="1">
      <alignment horizontal="center" vertical="center" wrapText="1"/>
    </xf>
    <xf numFmtId="0" fontId="77" fillId="46" borderId="20" xfId="0" applyFont="1" applyFill="1" applyBorder="1" applyAlignment="1">
      <alignment horizontal="center" vertical="center" wrapText="1"/>
    </xf>
    <xf numFmtId="0" fontId="77" fillId="48" borderId="10" xfId="0" applyFont="1" applyFill="1" applyBorder="1" applyAlignment="1">
      <alignment horizontal="center" vertical="center" wrapText="1"/>
    </xf>
    <xf numFmtId="0" fontId="77" fillId="48" borderId="12" xfId="0" applyFont="1" applyFill="1" applyBorder="1" applyAlignment="1">
      <alignment horizontal="center" vertical="center" wrapText="1"/>
    </xf>
    <xf numFmtId="0" fontId="70" fillId="49" borderId="147" xfId="0" applyFont="1" applyFill="1" applyBorder="1" applyAlignment="1">
      <alignment horizontal="center" vertical="center" wrapText="1"/>
    </xf>
    <xf numFmtId="0" fontId="70" fillId="49" borderId="146" xfId="0" applyFont="1" applyFill="1" applyBorder="1" applyAlignment="1">
      <alignment horizontal="center" vertical="center" wrapText="1"/>
    </xf>
    <xf numFmtId="0" fontId="14" fillId="14" borderId="235" xfId="0" applyFont="1" applyFill="1" applyBorder="1" applyAlignment="1">
      <alignment horizontal="center" vertical="center" wrapText="1"/>
    </xf>
    <xf numFmtId="0" fontId="14" fillId="14" borderId="236" xfId="0" applyFont="1" applyFill="1" applyBorder="1" applyAlignment="1">
      <alignment horizontal="center" vertical="center" wrapText="1"/>
    </xf>
    <xf numFmtId="0" fontId="85" fillId="14" borderId="129" xfId="0" applyFont="1" applyFill="1" applyBorder="1" applyAlignment="1">
      <alignment horizontal="center" vertical="center" wrapText="1"/>
    </xf>
    <xf numFmtId="0" fontId="85" fillId="14" borderId="130" xfId="0" applyFont="1" applyFill="1" applyBorder="1" applyAlignment="1">
      <alignment horizontal="center" vertical="center" wrapText="1"/>
    </xf>
    <xf numFmtId="0" fontId="85" fillId="14" borderId="131" xfId="0" applyFont="1" applyFill="1" applyBorder="1" applyAlignment="1">
      <alignment horizontal="center" vertical="center" wrapText="1"/>
    </xf>
    <xf numFmtId="0" fontId="17" fillId="14" borderId="158" xfId="0" applyFont="1" applyFill="1" applyBorder="1" applyAlignment="1">
      <alignment horizontal="center" vertical="center" wrapText="1"/>
    </xf>
    <xf numFmtId="0" fontId="17" fillId="14" borderId="159" xfId="0" applyFont="1" applyFill="1" applyBorder="1" applyAlignment="1">
      <alignment horizontal="center" vertical="center" wrapText="1"/>
    </xf>
    <xf numFmtId="0" fontId="76" fillId="30" borderId="223" xfId="0" applyFont="1" applyFill="1" applyBorder="1" applyAlignment="1">
      <alignment horizontal="center" vertical="center" wrapText="1" readingOrder="1"/>
    </xf>
    <xf numFmtId="0" fontId="35" fillId="14" borderId="140" xfId="0" applyFont="1" applyFill="1" applyBorder="1" applyAlignment="1">
      <alignment horizontal="center" wrapText="1"/>
    </xf>
    <xf numFmtId="0" fontId="35" fillId="14" borderId="232" xfId="0" applyFont="1" applyFill="1" applyBorder="1" applyAlignment="1">
      <alignment horizontal="center" wrapText="1"/>
    </xf>
    <xf numFmtId="0" fontId="45" fillId="12" borderId="188" xfId="0" applyFont="1" applyFill="1" applyBorder="1" applyAlignment="1">
      <alignment horizontal="center" vertical="center" wrapText="1"/>
    </xf>
    <xf numFmtId="0" fontId="45" fillId="12" borderId="189" xfId="0" applyFont="1" applyFill="1" applyBorder="1" applyAlignment="1">
      <alignment horizontal="center" vertical="center" wrapText="1"/>
    </xf>
    <xf numFmtId="0" fontId="35" fillId="14" borderId="230" xfId="0" applyFont="1" applyFill="1" applyBorder="1" applyAlignment="1">
      <alignment horizontal="center" wrapText="1"/>
    </xf>
    <xf numFmtId="0" fontId="35" fillId="14" borderId="231" xfId="0" applyFont="1" applyFill="1" applyBorder="1" applyAlignment="1">
      <alignment horizontal="center" wrapText="1"/>
    </xf>
    <xf numFmtId="0" fontId="45" fillId="12" borderId="228" xfId="0" applyFont="1" applyFill="1" applyBorder="1" applyAlignment="1">
      <alignment horizontal="center" vertical="center" wrapText="1"/>
    </xf>
    <xf numFmtId="0" fontId="45" fillId="12" borderId="229" xfId="0" applyFont="1" applyFill="1" applyBorder="1" applyAlignment="1">
      <alignment horizontal="center" vertical="center" wrapText="1"/>
    </xf>
    <xf numFmtId="0" fontId="76" fillId="30" borderId="234" xfId="0" applyFont="1" applyFill="1" applyBorder="1" applyAlignment="1">
      <alignment horizontal="center" vertical="center" wrapText="1" readingOrder="1"/>
    </xf>
    <xf numFmtId="0" fontId="17" fillId="14" borderId="160" xfId="0" applyFont="1" applyFill="1" applyBorder="1" applyAlignment="1">
      <alignment horizontal="center" vertical="center" wrapText="1"/>
    </xf>
    <xf numFmtId="0" fontId="17" fillId="14" borderId="152" xfId="0" applyFont="1" applyFill="1" applyBorder="1" applyAlignment="1">
      <alignment horizontal="center" vertical="center" wrapText="1"/>
    </xf>
    <xf numFmtId="0" fontId="72" fillId="46" borderId="3" xfId="0" applyFont="1" applyFill="1" applyBorder="1" applyAlignment="1">
      <alignment horizontal="center" vertical="center" wrapText="1"/>
    </xf>
    <xf numFmtId="0" fontId="72" fillId="46" borderId="54" xfId="0" applyFont="1" applyFill="1" applyBorder="1" applyAlignment="1">
      <alignment horizontal="center" vertical="center" wrapText="1"/>
    </xf>
    <xf numFmtId="0" fontId="72" fillId="46" borderId="49" xfId="0" applyFont="1" applyFill="1" applyBorder="1" applyAlignment="1">
      <alignment horizontal="center" vertical="center" wrapText="1"/>
    </xf>
    <xf numFmtId="0" fontId="76" fillId="30" borderId="5" xfId="0" applyFont="1" applyFill="1" applyBorder="1" applyAlignment="1">
      <alignment horizontal="center" vertical="center" wrapText="1"/>
    </xf>
    <xf numFmtId="0" fontId="76" fillId="30" borderId="3" xfId="0" applyFont="1" applyFill="1" applyBorder="1" applyAlignment="1">
      <alignment horizontal="center" vertical="center" wrapText="1"/>
    </xf>
    <xf numFmtId="0" fontId="76" fillId="30" borderId="4" xfId="0" applyFont="1" applyFill="1" applyBorder="1" applyAlignment="1">
      <alignment horizontal="center" vertical="center" wrapText="1"/>
    </xf>
    <xf numFmtId="0" fontId="76" fillId="30" borderId="49" xfId="0" applyFont="1" applyFill="1" applyBorder="1" applyAlignment="1">
      <alignment horizontal="center" vertical="center" wrapText="1"/>
    </xf>
    <xf numFmtId="0" fontId="76" fillId="30" borderId="50" xfId="0" applyFont="1" applyFill="1" applyBorder="1" applyAlignment="1">
      <alignment horizontal="center" vertical="center" wrapText="1"/>
    </xf>
    <xf numFmtId="0" fontId="76" fillId="30" borderId="1" xfId="0" applyFont="1" applyFill="1" applyBorder="1" applyAlignment="1">
      <alignment horizontal="center" vertical="center" wrapText="1"/>
    </xf>
    <xf numFmtId="0" fontId="47" fillId="14" borderId="35" xfId="0" applyFont="1" applyFill="1" applyBorder="1" applyAlignment="1">
      <alignment horizontal="center" vertical="center" wrapText="1"/>
    </xf>
    <xf numFmtId="0" fontId="47" fillId="14" borderId="36" xfId="0" applyFont="1" applyFill="1" applyBorder="1" applyAlignment="1">
      <alignment horizontal="center" vertical="center" wrapText="1"/>
    </xf>
    <xf numFmtId="0" fontId="47" fillId="14" borderId="39" xfId="0" applyFont="1" applyFill="1" applyBorder="1" applyAlignment="1">
      <alignment horizontal="center" vertical="center" wrapText="1"/>
    </xf>
    <xf numFmtId="0" fontId="47" fillId="14" borderId="238" xfId="0" applyFont="1" applyFill="1" applyBorder="1" applyAlignment="1">
      <alignment horizontal="center" vertical="center" wrapText="1"/>
    </xf>
    <xf numFmtId="0" fontId="85" fillId="14" borderId="35" xfId="0" applyFont="1" applyFill="1" applyBorder="1" applyAlignment="1">
      <alignment horizontal="center" vertical="center" wrapText="1"/>
    </xf>
    <xf numFmtId="0" fontId="85" fillId="14" borderId="238" xfId="0" applyFont="1" applyFill="1" applyBorder="1" applyAlignment="1">
      <alignment horizontal="center" vertical="center" wrapText="1"/>
    </xf>
    <xf numFmtId="0" fontId="70" fillId="49" borderId="216" xfId="0" applyFont="1" applyFill="1" applyBorder="1" applyAlignment="1">
      <alignment horizontal="center" vertical="center" wrapText="1"/>
    </xf>
    <xf numFmtId="0" fontId="70" fillId="49" borderId="215" xfId="0" applyFont="1" applyFill="1" applyBorder="1" applyAlignment="1">
      <alignment horizontal="center" vertical="center" wrapText="1"/>
    </xf>
    <xf numFmtId="0" fontId="70" fillId="49" borderId="145" xfId="0" applyFont="1" applyFill="1" applyBorder="1" applyAlignment="1">
      <alignment horizontal="center" vertical="center" wrapText="1"/>
    </xf>
    <xf numFmtId="0" fontId="70" fillId="49" borderId="214" xfId="0" applyFont="1" applyFill="1" applyBorder="1" applyAlignment="1">
      <alignment horizontal="center" vertical="center" wrapText="1"/>
    </xf>
    <xf numFmtId="0" fontId="70" fillId="49" borderId="237" xfId="0" applyFont="1" applyFill="1" applyBorder="1" applyAlignment="1">
      <alignment horizontal="center" vertical="center" wrapText="1"/>
    </xf>
    <xf numFmtId="0" fontId="47" fillId="14" borderId="56" xfId="0" applyFont="1" applyFill="1" applyBorder="1" applyAlignment="1">
      <alignment horizontal="center" vertical="center" wrapText="1"/>
    </xf>
    <xf numFmtId="0" fontId="47" fillId="14" borderId="0" xfId="0" applyFont="1" applyFill="1" applyBorder="1" applyAlignment="1">
      <alignment horizontal="center" vertical="center" wrapText="1"/>
    </xf>
    <xf numFmtId="0" fontId="47" fillId="14" borderId="57" xfId="0" applyFont="1" applyFill="1" applyBorder="1" applyAlignment="1">
      <alignment horizontal="center" vertical="center" wrapText="1"/>
    </xf>
    <xf numFmtId="0" fontId="85" fillId="14" borderId="56" xfId="0" applyFont="1" applyFill="1" applyBorder="1" applyAlignment="1">
      <alignment horizontal="center" vertical="center" wrapText="1"/>
    </xf>
    <xf numFmtId="0" fontId="85" fillId="14" borderId="57" xfId="0" applyFont="1" applyFill="1" applyBorder="1" applyAlignment="1">
      <alignment horizontal="center" vertical="center" wrapText="1"/>
    </xf>
    <xf numFmtId="0" fontId="70" fillId="49" borderId="239" xfId="0" applyFont="1" applyFill="1" applyBorder="1" applyAlignment="1">
      <alignment horizontal="center" vertical="center" wrapText="1"/>
    </xf>
    <xf numFmtId="0" fontId="47" fillId="14" borderId="41" xfId="0" applyFont="1" applyFill="1" applyBorder="1" applyAlignment="1">
      <alignment wrapText="1"/>
    </xf>
    <xf numFmtId="0" fontId="47" fillId="14" borderId="39" xfId="0" applyFont="1" applyFill="1" applyBorder="1" applyAlignment="1">
      <alignment wrapText="1"/>
    </xf>
    <xf numFmtId="0" fontId="72" fillId="48" borderId="0" xfId="0" applyFont="1" applyFill="1" applyBorder="1" applyAlignment="1">
      <alignment horizontal="center" vertical="center" wrapText="1"/>
    </xf>
    <xf numFmtId="0" fontId="72" fillId="48" borderId="9" xfId="0" applyFont="1" applyFill="1" applyBorder="1" applyAlignment="1">
      <alignment horizontal="center" vertical="center" wrapText="1"/>
    </xf>
    <xf numFmtId="0" fontId="77" fillId="46" borderId="227" xfId="0" applyFont="1" applyFill="1" applyBorder="1" applyAlignment="1">
      <alignment horizontal="center" vertical="center" wrapText="1"/>
    </xf>
    <xf numFmtId="0" fontId="77" fillId="46" borderId="166" xfId="0" applyFont="1" applyFill="1" applyBorder="1" applyAlignment="1">
      <alignment horizontal="center" vertical="center" wrapText="1"/>
    </xf>
    <xf numFmtId="0" fontId="67" fillId="46" borderId="5" xfId="0" applyFont="1" applyFill="1" applyBorder="1" applyAlignment="1">
      <alignment horizontal="center" vertical="center" wrapText="1"/>
    </xf>
    <xf numFmtId="0" fontId="67" fillId="46" borderId="4" xfId="0" applyFont="1" applyFill="1" applyBorder="1" applyAlignment="1">
      <alignment horizontal="center" vertical="center" wrapText="1"/>
    </xf>
    <xf numFmtId="0" fontId="88" fillId="49" borderId="49" xfId="0" applyFont="1" applyFill="1" applyBorder="1" applyAlignment="1">
      <alignment horizontal="center" vertical="center" wrapText="1"/>
    </xf>
    <xf numFmtId="0" fontId="88" fillId="49" borderId="3" xfId="0" applyFont="1" applyFill="1" applyBorder="1" applyAlignment="1">
      <alignment horizontal="center" vertical="center" wrapText="1"/>
    </xf>
    <xf numFmtId="0" fontId="88" fillId="49" borderId="4" xfId="0" applyFont="1" applyFill="1" applyBorder="1" applyAlignment="1">
      <alignment horizontal="center" vertic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76" fillId="14" borderId="5" xfId="0" applyFont="1" applyFill="1" applyBorder="1" applyAlignment="1">
      <alignment horizontal="center" vertical="center" wrapText="1"/>
    </xf>
    <xf numFmtId="0" fontId="76" fillId="14" borderId="4" xfId="0" applyFont="1" applyFill="1" applyBorder="1" applyAlignment="1">
      <alignment horizontal="center" vertical="center" wrapText="1"/>
    </xf>
    <xf numFmtId="0" fontId="76" fillId="14" borderId="49" xfId="0" applyFont="1" applyFill="1" applyBorder="1" applyAlignment="1">
      <alignment horizontal="center" vertical="center" wrapText="1"/>
    </xf>
    <xf numFmtId="0" fontId="87" fillId="14" borderId="5" xfId="0" applyFont="1" applyFill="1" applyBorder="1" applyAlignment="1">
      <alignment horizontal="center" vertical="center" wrapText="1"/>
    </xf>
    <xf numFmtId="0" fontId="87" fillId="14" borderId="4" xfId="0" applyFont="1" applyFill="1" applyBorder="1" applyAlignment="1">
      <alignment horizontal="center" vertical="center" wrapText="1"/>
    </xf>
    <xf numFmtId="0" fontId="72" fillId="48" borderId="7" xfId="0" applyFont="1" applyFill="1" applyBorder="1" applyAlignment="1">
      <alignment horizontal="center" vertical="center" wrapText="1"/>
    </xf>
    <xf numFmtId="0" fontId="72" fillId="48" borderId="43" xfId="0" applyFont="1" applyFill="1" applyBorder="1" applyAlignment="1">
      <alignment horizontal="center" vertical="center" wrapText="1"/>
    </xf>
    <xf numFmtId="0" fontId="87" fillId="14" borderId="49" xfId="0" applyFont="1" applyFill="1" applyBorder="1" applyAlignment="1">
      <alignment horizontal="center" vertical="center" wrapText="1"/>
    </xf>
    <xf numFmtId="0" fontId="77" fillId="46" borderId="165" xfId="0" applyFont="1" applyFill="1" applyBorder="1" applyAlignment="1">
      <alignment horizontal="center" vertical="center" wrapText="1"/>
    </xf>
    <xf numFmtId="0" fontId="72" fillId="48" borderId="45" xfId="0" applyFont="1" applyFill="1" applyBorder="1" applyAlignment="1">
      <alignment horizontal="center" vertical="center" wrapText="1"/>
    </xf>
    <xf numFmtId="0" fontId="53" fillId="44" borderId="2" xfId="0" applyFont="1" applyFill="1" applyBorder="1" applyAlignment="1">
      <alignment horizontal="center" vertical="center" wrapText="1"/>
    </xf>
    <xf numFmtId="0" fontId="47" fillId="14" borderId="141" xfId="0" applyFont="1" applyFill="1" applyBorder="1" applyAlignment="1">
      <alignment horizontal="center" wrapText="1"/>
    </xf>
    <xf numFmtId="0" fontId="47" fillId="14" borderId="213" xfId="0" applyFont="1" applyFill="1" applyBorder="1" applyAlignment="1">
      <alignment horizontal="center" wrapText="1"/>
    </xf>
    <xf numFmtId="0" fontId="82" fillId="49" borderId="123" xfId="0" applyFont="1" applyFill="1" applyBorder="1" applyAlignment="1">
      <alignment horizontal="center" vertical="center" wrapText="1"/>
    </xf>
    <xf numFmtId="0" fontId="79" fillId="50" borderId="0" xfId="0" applyFont="1" applyFill="1" applyBorder="1" applyAlignment="1">
      <alignment horizontal="center" vertical="center" wrapText="1"/>
    </xf>
    <xf numFmtId="0" fontId="79" fillId="50" borderId="2" xfId="0" applyFont="1" applyFill="1" applyBorder="1" applyAlignment="1">
      <alignment horizontal="center" vertical="center" wrapText="1"/>
    </xf>
    <xf numFmtId="0" fontId="47" fillId="14" borderId="145" xfId="0" applyFont="1" applyFill="1" applyBorder="1" applyAlignment="1">
      <alignment horizontal="center" vertical="center" wrapText="1"/>
    </xf>
    <xf numFmtId="0" fontId="47" fillId="14" borderId="214" xfId="0" applyFont="1" applyFill="1" applyBorder="1" applyAlignment="1">
      <alignment horizontal="center" vertical="center" wrapText="1"/>
    </xf>
    <xf numFmtId="0" fontId="85" fillId="14" borderId="214" xfId="0" applyFont="1" applyFill="1" applyBorder="1" applyAlignment="1">
      <alignment horizontal="center" vertical="center" wrapText="1"/>
    </xf>
    <xf numFmtId="0" fontId="85" fillId="14" borderId="237" xfId="0" applyFont="1" applyFill="1" applyBorder="1" applyAlignment="1">
      <alignment horizontal="center" vertical="center" wrapText="1"/>
    </xf>
    <xf numFmtId="0" fontId="80" fillId="14" borderId="206" xfId="0" applyFont="1" applyFill="1" applyBorder="1" applyAlignment="1">
      <alignment horizontal="center" vertical="center"/>
    </xf>
    <xf numFmtId="0" fontId="80" fillId="14" borderId="207" xfId="0" applyFont="1" applyFill="1" applyBorder="1" applyAlignment="1">
      <alignment horizontal="center" vertical="center"/>
    </xf>
    <xf numFmtId="0" fontId="87" fillId="14" borderId="117" xfId="0" applyFont="1" applyFill="1" applyBorder="1" applyAlignment="1">
      <alignment horizontal="center" vertical="center" wrapText="1" readingOrder="1"/>
    </xf>
    <xf numFmtId="0" fontId="87" fillId="14" borderId="118" xfId="0" applyFont="1" applyFill="1" applyBorder="1" applyAlignment="1">
      <alignment horizontal="center" vertical="center" wrapText="1" readingOrder="1"/>
    </xf>
    <xf numFmtId="0" fontId="76" fillId="14" borderId="208" xfId="0" applyFont="1" applyFill="1" applyBorder="1" applyAlignment="1">
      <alignment horizontal="center" vertical="center" wrapText="1" readingOrder="1"/>
    </xf>
    <xf numFmtId="0" fontId="76" fillId="14" borderId="3" xfId="0" applyFont="1" applyFill="1" applyBorder="1" applyAlignment="1">
      <alignment horizontal="center" vertical="center" wrapText="1" readingOrder="1"/>
    </xf>
    <xf numFmtId="0" fontId="90" fillId="14" borderId="197" xfId="0" applyFont="1" applyFill="1" applyBorder="1" applyAlignment="1">
      <alignment horizontal="center" vertical="center" wrapText="1"/>
    </xf>
    <xf numFmtId="0" fontId="90" fillId="14" borderId="198" xfId="0" applyFont="1" applyFill="1" applyBorder="1" applyAlignment="1">
      <alignment horizontal="center" vertical="center" wrapText="1"/>
    </xf>
    <xf numFmtId="0" fontId="90" fillId="14" borderId="199" xfId="0" applyFont="1" applyFill="1" applyBorder="1" applyAlignment="1">
      <alignment horizontal="center" vertical="center" wrapText="1"/>
    </xf>
    <xf numFmtId="0" fontId="90" fillId="14" borderId="200" xfId="0" applyFont="1" applyFill="1" applyBorder="1" applyAlignment="1">
      <alignment horizontal="center" vertical="center" wrapText="1"/>
    </xf>
    <xf numFmtId="0" fontId="90" fillId="14" borderId="201" xfId="0" applyFont="1" applyFill="1" applyBorder="1" applyAlignment="1">
      <alignment horizontal="center" vertical="center" wrapText="1"/>
    </xf>
    <xf numFmtId="0" fontId="90" fillId="14" borderId="202" xfId="0" applyFont="1" applyFill="1" applyBorder="1" applyAlignment="1">
      <alignment horizontal="center" vertical="center" wrapText="1"/>
    </xf>
    <xf numFmtId="0" fontId="76" fillId="14" borderId="208" xfId="0" applyFont="1" applyFill="1" applyBorder="1" applyAlignment="1">
      <alignment horizontal="center" vertical="center" readingOrder="1"/>
    </xf>
    <xf numFmtId="0" fontId="76" fillId="14" borderId="3" xfId="0" applyFont="1" applyFill="1" applyBorder="1" applyAlignment="1">
      <alignment horizontal="center" vertical="center" readingOrder="1"/>
    </xf>
    <xf numFmtId="0" fontId="47" fillId="14" borderId="150" xfId="0" applyFont="1" applyFill="1" applyBorder="1" applyAlignment="1">
      <alignment horizontal="center" vertical="center" wrapText="1"/>
    </xf>
    <xf numFmtId="0" fontId="47" fillId="14" borderId="64" xfId="0" applyFont="1" applyFill="1" applyBorder="1" applyAlignment="1">
      <alignment horizontal="center" vertical="center" wrapText="1"/>
    </xf>
    <xf numFmtId="0" fontId="47" fillId="14" borderId="70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vertical="center" wrapText="1"/>
    </xf>
    <xf numFmtId="0" fontId="47" fillId="14" borderId="240" xfId="0" applyFont="1" applyFill="1" applyBorder="1" applyAlignment="1">
      <alignment horizontal="center" vertical="center" wrapText="1"/>
    </xf>
    <xf numFmtId="0" fontId="70" fillId="49" borderId="220" xfId="0" applyFont="1" applyFill="1" applyBorder="1" applyAlignment="1">
      <alignment horizontal="center" vertical="center" wrapText="1"/>
    </xf>
    <xf numFmtId="0" fontId="70" fillId="49" borderId="221" xfId="0" applyFont="1" applyFill="1" applyBorder="1" applyAlignment="1">
      <alignment horizontal="center" vertical="center" wrapText="1"/>
    </xf>
    <xf numFmtId="0" fontId="58" fillId="49" borderId="191" xfId="0" applyFont="1" applyFill="1" applyBorder="1" applyAlignment="1">
      <alignment horizontal="center" vertical="center" wrapText="1"/>
    </xf>
    <xf numFmtId="0" fontId="58" fillId="49" borderId="119" xfId="0" applyFont="1" applyFill="1" applyBorder="1" applyAlignment="1">
      <alignment horizontal="center" vertical="center" wrapText="1"/>
    </xf>
    <xf numFmtId="0" fontId="58" fillId="49" borderId="190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58" fillId="49" borderId="127" xfId="0" applyFont="1" applyFill="1" applyBorder="1" applyAlignment="1">
      <alignment horizontal="center" vertical="center" wrapText="1"/>
    </xf>
    <xf numFmtId="0" fontId="58" fillId="49" borderId="128" xfId="0" applyFont="1" applyFill="1" applyBorder="1" applyAlignment="1">
      <alignment horizontal="center" vertical="center" wrapText="1"/>
    </xf>
    <xf numFmtId="0" fontId="70" fillId="49" borderId="191" xfId="0" applyFont="1" applyFill="1" applyBorder="1" applyAlignment="1">
      <alignment horizontal="center" vertical="center" wrapText="1"/>
    </xf>
    <xf numFmtId="0" fontId="70" fillId="49" borderId="127" xfId="0" applyFont="1" applyFill="1" applyBorder="1" applyAlignment="1">
      <alignment horizontal="center" vertical="center" wrapText="1"/>
    </xf>
    <xf numFmtId="0" fontId="70" fillId="49" borderId="203" xfId="0" applyFont="1" applyFill="1" applyBorder="1" applyAlignment="1">
      <alignment horizontal="center" vertical="center" wrapText="1"/>
    </xf>
    <xf numFmtId="0" fontId="70" fillId="49" borderId="204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9" fillId="49" borderId="68" xfId="0" applyFont="1" applyFill="1" applyBorder="1" applyAlignment="1">
      <alignment horizontal="center" vertical="center" wrapText="1"/>
    </xf>
    <xf numFmtId="0" fontId="79" fillId="49" borderId="11" xfId="0" applyFont="1" applyFill="1" applyBorder="1" applyAlignment="1">
      <alignment horizontal="center" vertical="center" wrapText="1"/>
    </xf>
    <xf numFmtId="0" fontId="72" fillId="48" borderId="60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 wrapText="1"/>
    </xf>
    <xf numFmtId="0" fontId="72" fillId="48" borderId="14" xfId="0" applyFont="1" applyFill="1" applyBorder="1" applyAlignment="1">
      <alignment horizontal="center" vertical="center" wrapText="1"/>
    </xf>
    <xf numFmtId="0" fontId="72" fillId="10" borderId="50" xfId="0" applyFont="1" applyFill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 wrapText="1"/>
    </xf>
    <xf numFmtId="0" fontId="72" fillId="10" borderId="47" xfId="0" applyFont="1" applyFill="1" applyBorder="1" applyAlignment="1">
      <alignment horizontal="center" vertical="center" wrapText="1"/>
    </xf>
    <xf numFmtId="0" fontId="72" fillId="10" borderId="8" xfId="0" applyFont="1" applyFill="1" applyBorder="1" applyAlignment="1">
      <alignment horizontal="center" vertical="center" wrapText="1"/>
    </xf>
    <xf numFmtId="0" fontId="72" fillId="10" borderId="0" xfId="0" applyFont="1" applyFill="1" applyBorder="1" applyAlignment="1">
      <alignment horizontal="center" vertical="center" wrapText="1"/>
    </xf>
    <xf numFmtId="0" fontId="72" fillId="10" borderId="9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wrapText="1"/>
    </xf>
    <xf numFmtId="0" fontId="72" fillId="13" borderId="0" xfId="0" applyFont="1" applyFill="1" applyBorder="1" applyAlignment="1">
      <alignment horizontal="center" vertical="center" wrapText="1"/>
    </xf>
    <xf numFmtId="0" fontId="72" fillId="13" borderId="9" xfId="0" applyFont="1" applyFill="1" applyBorder="1" applyAlignment="1">
      <alignment horizontal="center"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31" fillId="13" borderId="21" xfId="0" applyFont="1" applyFill="1" applyBorder="1" applyAlignment="1">
      <alignment horizontal="center" vertical="center"/>
    </xf>
    <xf numFmtId="0" fontId="33" fillId="15" borderId="21" xfId="0" applyFont="1" applyFill="1" applyBorder="1" applyAlignment="1">
      <alignment horizontal="center" vertical="center" wrapText="1" readingOrder="1"/>
    </xf>
    <xf numFmtId="0" fontId="31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31" fillId="14" borderId="21" xfId="0" applyFont="1" applyFill="1" applyBorder="1" applyAlignment="1">
      <alignment vertical="center" wrapText="1"/>
    </xf>
    <xf numFmtId="0" fontId="31" fillId="0" borderId="21" xfId="0" applyFont="1" applyFill="1" applyBorder="1" applyAlignment="1">
      <alignment vertical="center" wrapText="1"/>
    </xf>
    <xf numFmtId="0" fontId="19" fillId="14" borderId="21" xfId="0" applyFont="1" applyFill="1" applyBorder="1" applyAlignment="1">
      <alignment vertical="center" wrapText="1"/>
    </xf>
    <xf numFmtId="0" fontId="31" fillId="13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9" fillId="50" borderId="0" xfId="0" applyFont="1" applyFill="1" applyBorder="1" applyAlignment="1">
      <alignment horizontal="center" vertical="center" wrapText="1" readingOrder="1"/>
    </xf>
    <xf numFmtId="0" fontId="79" fillId="50" borderId="29" xfId="0" applyFont="1" applyFill="1" applyBorder="1" applyAlignment="1">
      <alignment horizontal="center" vertical="center" wrapText="1" readingOrder="1"/>
    </xf>
    <xf numFmtId="0" fontId="8" fillId="48" borderId="19" xfId="0" applyFont="1" applyFill="1" applyBorder="1" applyAlignment="1">
      <alignment horizontal="center" vertical="center" wrapText="1"/>
    </xf>
    <xf numFmtId="0" fontId="8" fillId="48" borderId="13" xfId="0" applyFont="1" applyFill="1" applyBorder="1" applyAlignment="1">
      <alignment horizontal="center" vertical="center" wrapText="1"/>
    </xf>
    <xf numFmtId="0" fontId="8" fillId="48" borderId="116" xfId="0" applyFont="1" applyFill="1" applyBorder="1" applyAlignment="1">
      <alignment horizontal="center" vertical="center" wrapText="1"/>
    </xf>
    <xf numFmtId="0" fontId="4" fillId="30" borderId="117" xfId="0" applyFont="1" applyFill="1" applyBorder="1" applyAlignment="1">
      <alignment horizontal="center" vertical="center" wrapText="1" readingOrder="1"/>
    </xf>
    <xf numFmtId="0" fontId="4" fillId="30" borderId="7" xfId="0" applyFont="1" applyFill="1" applyBorder="1" applyAlignment="1">
      <alignment horizontal="center" vertical="center" wrapText="1" readingOrder="1"/>
    </xf>
    <xf numFmtId="0" fontId="4" fillId="30" borderId="118" xfId="0" applyFont="1" applyFill="1" applyBorder="1" applyAlignment="1">
      <alignment horizontal="center" vertical="center" wrapText="1" readingOrder="1"/>
    </xf>
    <xf numFmtId="0" fontId="33" fillId="2" borderId="21" xfId="0" applyFont="1" applyFill="1" applyBorder="1" applyAlignment="1">
      <alignment horizontal="center" vertical="center" wrapText="1" readingOrder="1"/>
    </xf>
    <xf numFmtId="0" fontId="7" fillId="14" borderId="21" xfId="0" applyFont="1" applyFill="1" applyBorder="1" applyAlignment="1">
      <alignment horizontal="center" vertical="center" wrapText="1"/>
    </xf>
    <xf numFmtId="0" fontId="8" fillId="30" borderId="19" xfId="0" applyFont="1" applyFill="1" applyBorder="1" applyAlignment="1">
      <alignment horizontal="center" wrapText="1"/>
    </xf>
    <xf numFmtId="0" fontId="8" fillId="30" borderId="13" xfId="0" applyFont="1" applyFill="1" applyBorder="1" applyAlignment="1">
      <alignment horizontal="center" wrapText="1"/>
    </xf>
    <xf numFmtId="0" fontId="8" fillId="30" borderId="14" xfId="0" applyFont="1" applyFill="1" applyBorder="1" applyAlignment="1">
      <alignment horizontal="center" wrapText="1"/>
    </xf>
    <xf numFmtId="0" fontId="26" fillId="0" borderId="21" xfId="0" applyFont="1" applyBorder="1" applyAlignment="1">
      <alignment horizontal="center" vertical="center" wrapText="1"/>
    </xf>
    <xf numFmtId="0" fontId="31" fillId="14" borderId="21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42" fillId="14" borderId="87" xfId="0" applyFont="1" applyFill="1" applyBorder="1" applyAlignment="1">
      <alignment horizontal="center" vertical="center"/>
    </xf>
    <xf numFmtId="0" fontId="42" fillId="14" borderId="88" xfId="0" applyFont="1" applyFill="1" applyBorder="1" applyAlignment="1">
      <alignment horizontal="center" vertical="center"/>
    </xf>
    <xf numFmtId="0" fontId="42" fillId="14" borderId="80" xfId="0" applyFont="1" applyFill="1" applyBorder="1" applyAlignment="1">
      <alignment horizontal="center" vertical="center"/>
    </xf>
    <xf numFmtId="0" fontId="42" fillId="14" borderId="87" xfId="0" applyFont="1" applyFill="1" applyBorder="1" applyAlignment="1">
      <alignment horizontal="center" vertical="center" wrapText="1"/>
    </xf>
    <xf numFmtId="0" fontId="41" fillId="35" borderId="34" xfId="0" applyFont="1" applyFill="1" applyBorder="1" applyAlignment="1">
      <alignment horizontal="center" vertical="center" wrapText="1"/>
    </xf>
    <xf numFmtId="0" fontId="0" fillId="36" borderId="101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42" fillId="36" borderId="101" xfId="0" applyFont="1" applyFill="1" applyBorder="1" applyAlignment="1">
      <alignment horizontal="center" vertical="center" wrapText="1"/>
    </xf>
    <xf numFmtId="0" fontId="42" fillId="36" borderId="107" xfId="0" applyFont="1" applyFill="1" applyBorder="1" applyAlignment="1">
      <alignment horizontal="center" vertical="center" wrapText="1"/>
    </xf>
    <xf numFmtId="0" fontId="73" fillId="31" borderId="34" xfId="0" applyFont="1" applyFill="1" applyBorder="1" applyAlignment="1">
      <alignment horizontal="center" vertical="center" wrapText="1"/>
    </xf>
    <xf numFmtId="0" fontId="40" fillId="31" borderId="34" xfId="0" applyFont="1" applyFill="1" applyBorder="1" applyAlignment="1">
      <alignment horizontal="center" vertical="center" wrapText="1"/>
    </xf>
    <xf numFmtId="0" fontId="14" fillId="35" borderId="34" xfId="0" applyFont="1" applyFill="1" applyBorder="1" applyAlignment="1">
      <alignment horizontal="center" wrapText="1"/>
    </xf>
    <xf numFmtId="0" fontId="43" fillId="31" borderId="0" xfId="0" applyFont="1" applyFill="1" applyBorder="1" applyAlignment="1">
      <alignment horizontal="center" vertical="center" wrapText="1"/>
    </xf>
    <xf numFmtId="0" fontId="65" fillId="27" borderId="83" xfId="0" applyFont="1" applyFill="1" applyBorder="1" applyAlignment="1">
      <alignment horizontal="center" wrapText="1"/>
    </xf>
    <xf numFmtId="0" fontId="65" fillId="27" borderId="83" xfId="0" applyFont="1" applyFill="1" applyBorder="1" applyAlignment="1">
      <alignment horizontal="center"/>
    </xf>
    <xf numFmtId="0" fontId="65" fillId="27" borderId="0" xfId="0" applyFont="1" applyFill="1" applyAlignment="1">
      <alignment horizont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80" xfId="0" applyFont="1" applyFill="1" applyBorder="1" applyAlignment="1">
      <alignment horizontal="center" vertical="center" wrapText="1"/>
    </xf>
    <xf numFmtId="0" fontId="55" fillId="31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/>
    </xf>
    <xf numFmtId="0" fontId="52" fillId="23" borderId="88" xfId="0" applyFont="1" applyFill="1" applyBorder="1" applyAlignment="1">
      <alignment horizontal="center" vertical="center"/>
    </xf>
    <xf numFmtId="0" fontId="52" fillId="23" borderId="80" xfId="0" applyFont="1" applyFill="1" applyBorder="1" applyAlignment="1">
      <alignment horizontal="center" vertical="center"/>
    </xf>
    <xf numFmtId="0" fontId="67" fillId="20" borderId="79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0" borderId="87" xfId="0" applyFont="1" applyFill="1" applyBorder="1" applyAlignment="1">
      <alignment horizontal="center" vertical="center"/>
    </xf>
    <xf numFmtId="0" fontId="52" fillId="20" borderId="88" xfId="0" applyFont="1" applyFill="1" applyBorder="1" applyAlignment="1">
      <alignment horizontal="center" vertical="center"/>
    </xf>
    <xf numFmtId="0" fontId="52" fillId="20" borderId="80" xfId="0" applyFont="1" applyFill="1" applyBorder="1" applyAlignment="1">
      <alignment horizontal="center" vertical="center"/>
    </xf>
    <xf numFmtId="0" fontId="55" fillId="31" borderId="98" xfId="0" applyFont="1" applyFill="1" applyBorder="1" applyAlignment="1">
      <alignment horizontal="center" vertical="center" wrapText="1"/>
    </xf>
    <xf numFmtId="0" fontId="55" fillId="31" borderId="81" xfId="0" applyFont="1" applyFill="1" applyBorder="1" applyAlignment="1">
      <alignment horizontal="center" vertical="center" wrapText="1"/>
    </xf>
    <xf numFmtId="0" fontId="56" fillId="36" borderId="85" xfId="0" applyFont="1" applyFill="1" applyBorder="1" applyAlignment="1">
      <alignment horizontal="center" vertical="center" wrapText="1"/>
    </xf>
    <xf numFmtId="0" fontId="73" fillId="37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40" fillId="37" borderId="86" xfId="0" applyFont="1" applyFill="1" applyBorder="1" applyAlignment="1">
      <alignment horizontal="center" vertical="center" wrapText="1"/>
    </xf>
    <xf numFmtId="0" fontId="56" fillId="35" borderId="79" xfId="0" applyFont="1" applyFill="1" applyBorder="1" applyAlignment="1">
      <alignment horizontal="center" vertical="center"/>
    </xf>
    <xf numFmtId="0" fontId="94" fillId="38" borderId="79" xfId="0" applyFont="1" applyFill="1" applyBorder="1" applyAlignment="1">
      <alignment horizontal="center" vertical="center" wrapText="1"/>
    </xf>
    <xf numFmtId="0" fontId="63" fillId="38" borderId="79" xfId="0" applyFont="1" applyFill="1" applyBorder="1" applyAlignment="1">
      <alignment horizontal="center" vertical="center" wrapText="1"/>
    </xf>
    <xf numFmtId="0" fontId="56" fillId="43" borderId="79" xfId="0" applyFont="1" applyFill="1" applyBorder="1" applyAlignment="1">
      <alignment horizontal="center" vertical="center" wrapText="1"/>
    </xf>
    <xf numFmtId="0" fontId="85" fillId="43" borderId="79" xfId="0" applyFont="1" applyFill="1" applyBorder="1" applyAlignment="1">
      <alignment horizontal="center" vertical="center" wrapText="1"/>
    </xf>
    <xf numFmtId="0" fontId="64" fillId="35" borderId="79" xfId="0" applyFont="1" applyFill="1" applyBorder="1" applyAlignment="1">
      <alignment horizontal="center" vertical="center" wrapText="1"/>
    </xf>
    <xf numFmtId="0" fontId="64" fillId="35" borderId="87" xfId="0" applyFont="1" applyFill="1" applyBorder="1" applyAlignment="1">
      <alignment horizontal="center" vertical="center" wrapText="1"/>
    </xf>
    <xf numFmtId="0" fontId="56" fillId="31" borderId="69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6" fillId="31" borderId="114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6" fillId="35" borderId="87" xfId="0" applyFont="1" applyFill="1" applyBorder="1" applyAlignment="1">
      <alignment horizontal="center" vertical="center"/>
    </xf>
    <xf numFmtId="0" fontId="52" fillId="35" borderId="79" xfId="0" applyFont="1" applyFill="1" applyBorder="1" applyAlignment="1">
      <alignment horizontal="center" vertical="center" wrapText="1"/>
    </xf>
    <xf numFmtId="0" fontId="52" fillId="35" borderId="87" xfId="0" applyFont="1" applyFill="1" applyBorder="1" applyAlignment="1">
      <alignment horizontal="center" vertical="center" wrapText="1"/>
    </xf>
    <xf numFmtId="0" fontId="61" fillId="22" borderId="90" xfId="0" applyFont="1" applyFill="1" applyBorder="1" applyAlignment="1">
      <alignment horizontal="center" vertical="center" wrapText="1"/>
    </xf>
    <xf numFmtId="0" fontId="61" fillId="22" borderId="91" xfId="0" applyFont="1" applyFill="1" applyBorder="1" applyAlignment="1">
      <alignment horizontal="center" vertical="center" wrapText="1"/>
    </xf>
    <xf numFmtId="0" fontId="61" fillId="22" borderId="92" xfId="0" applyFont="1" applyFill="1" applyBorder="1" applyAlignment="1">
      <alignment horizontal="center" vertical="center" wrapText="1"/>
    </xf>
    <xf numFmtId="0" fontId="61" fillId="22" borderId="93" xfId="0" applyFont="1" applyFill="1" applyBorder="1" applyAlignment="1">
      <alignment horizontal="center" vertical="center" wrapText="1"/>
    </xf>
    <xf numFmtId="0" fontId="61" fillId="22" borderId="79" xfId="0" applyFont="1" applyFill="1" applyBorder="1" applyAlignment="1">
      <alignment horizontal="center" vertical="center" wrapText="1"/>
    </xf>
    <xf numFmtId="0" fontId="61" fillId="22" borderId="94" xfId="0" applyFont="1" applyFill="1" applyBorder="1" applyAlignment="1">
      <alignment horizontal="center" vertical="center" wrapText="1"/>
    </xf>
    <xf numFmtId="0" fontId="61" fillId="22" borderId="95" xfId="0" applyFont="1" applyFill="1" applyBorder="1" applyAlignment="1">
      <alignment horizontal="center" vertical="center" wrapText="1"/>
    </xf>
    <xf numFmtId="0" fontId="61" fillId="22" borderId="96" xfId="0" applyFont="1" applyFill="1" applyBorder="1" applyAlignment="1">
      <alignment horizontal="center" vertical="center" wrapText="1"/>
    </xf>
    <xf numFmtId="0" fontId="61" fillId="22" borderId="97" xfId="0" applyFont="1" applyFill="1" applyBorder="1" applyAlignment="1">
      <alignment horizontal="center" vertical="center" wrapText="1"/>
    </xf>
    <xf numFmtId="0" fontId="0" fillId="43" borderId="34" xfId="0" applyFill="1" applyBorder="1" applyAlignment="1">
      <alignment horizontal="center" vertical="center" wrapText="1"/>
    </xf>
    <xf numFmtId="0" fontId="0" fillId="43" borderId="100" xfId="0" applyFill="1" applyBorder="1" applyAlignment="1">
      <alignment horizontal="center" vertical="center" wrapText="1"/>
    </xf>
    <xf numFmtId="0" fontId="42" fillId="43" borderId="34" xfId="0" applyFont="1" applyFill="1" applyBorder="1" applyAlignment="1">
      <alignment horizontal="center" vertical="center" wrapText="1"/>
    </xf>
    <xf numFmtId="0" fontId="42" fillId="43" borderId="100" xfId="0" applyFont="1" applyFill="1" applyBorder="1" applyAlignment="1">
      <alignment horizontal="center" vertical="center" wrapText="1"/>
    </xf>
    <xf numFmtId="0" fontId="14" fillId="35" borderId="81" xfId="0" applyFont="1" applyFill="1" applyBorder="1" applyAlignment="1">
      <alignment horizontal="center" wrapText="1"/>
    </xf>
    <xf numFmtId="0" fontId="14" fillId="35" borderId="89" xfId="0" applyFont="1" applyFill="1" applyBorder="1" applyAlignment="1">
      <alignment horizontal="center" wrapText="1"/>
    </xf>
    <xf numFmtId="0" fontId="14" fillId="35" borderId="79" xfId="0" applyFont="1" applyFill="1" applyBorder="1" applyAlignment="1">
      <alignment horizontal="center" wrapText="1"/>
    </xf>
    <xf numFmtId="0" fontId="14" fillId="35" borderId="87" xfId="0" applyFont="1" applyFill="1" applyBorder="1" applyAlignment="1">
      <alignment horizontal="center" wrapText="1"/>
    </xf>
    <xf numFmtId="0" fontId="43" fillId="31" borderId="3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21" borderId="34" xfId="0" applyFont="1" applyFill="1" applyBorder="1" applyAlignment="1">
      <alignment horizontal="center" vertical="center" wrapText="1"/>
    </xf>
    <xf numFmtId="0" fontId="65" fillId="39" borderId="34" xfId="0" applyFont="1" applyFill="1" applyBorder="1" applyAlignment="1">
      <alignment horizontal="center" vertical="center"/>
    </xf>
    <xf numFmtId="0" fontId="65" fillId="21" borderId="34" xfId="0" applyFont="1" applyFill="1" applyBorder="1" applyAlignment="1">
      <alignment horizontal="center" vertical="center"/>
    </xf>
    <xf numFmtId="0" fontId="52" fillId="35" borderId="34" xfId="0" applyFont="1" applyFill="1" applyBorder="1" applyAlignment="1">
      <alignment horizontal="center" vertical="center" wrapText="1"/>
    </xf>
    <xf numFmtId="0" fontId="52" fillId="35" borderId="35" xfId="0" applyFont="1" applyFill="1" applyBorder="1" applyAlignment="1">
      <alignment horizontal="center" vertical="center" wrapText="1"/>
    </xf>
    <xf numFmtId="0" fontId="40" fillId="29" borderId="34" xfId="0" applyFont="1" applyFill="1" applyBorder="1" applyAlignment="1">
      <alignment horizontal="center" vertical="center" wrapText="1"/>
    </xf>
    <xf numFmtId="0" fontId="43" fillId="31" borderId="100" xfId="0" applyFont="1" applyFill="1" applyBorder="1" applyAlignment="1">
      <alignment horizontal="center" vertical="center" wrapText="1"/>
    </xf>
    <xf numFmtId="0" fontId="14" fillId="35" borderId="100" xfId="0" applyFont="1" applyFill="1" applyBorder="1" applyAlignment="1">
      <alignment horizontal="center" wrapText="1"/>
    </xf>
    <xf numFmtId="0" fontId="14" fillId="35" borderId="70" xfId="0" applyFont="1" applyFill="1" applyBorder="1" applyAlignment="1">
      <alignment horizontal="center" wrapText="1"/>
    </xf>
    <xf numFmtId="0" fontId="62" fillId="17" borderId="85" xfId="0" applyFont="1" applyFill="1" applyBorder="1" applyAlignment="1">
      <alignment horizontal="center" vertical="center"/>
    </xf>
    <xf numFmtId="0" fontId="52" fillId="31" borderId="36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/>
    </xf>
    <xf numFmtId="0" fontId="56" fillId="21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 wrapText="1"/>
    </xf>
    <xf numFmtId="0" fontId="52" fillId="43" borderId="34" xfId="0" applyFont="1" applyFill="1" applyBorder="1" applyAlignment="1">
      <alignment horizontal="center" vertical="center" wrapText="1"/>
    </xf>
    <xf numFmtId="0" fontId="46" fillId="43" borderId="34" xfId="0" applyFont="1" applyFill="1" applyBorder="1" applyAlignment="1">
      <alignment horizontal="center" vertical="center" wrapText="1"/>
    </xf>
    <xf numFmtId="0" fontId="59" fillId="35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wrapText="1"/>
    </xf>
    <xf numFmtId="0" fontId="59" fillId="42" borderId="34" xfId="0" applyFont="1" applyFill="1" applyBorder="1" applyAlignment="1">
      <alignment horizontal="center"/>
    </xf>
    <xf numFmtId="0" fontId="62" fillId="31" borderId="102" xfId="0" applyFont="1" applyFill="1" applyBorder="1" applyAlignment="1">
      <alignment horizontal="center" vertical="center" wrapText="1"/>
    </xf>
    <xf numFmtId="0" fontId="62" fillId="31" borderId="104" xfId="0" applyFont="1" applyFill="1" applyBorder="1" applyAlignment="1">
      <alignment horizontal="center" vertical="center" wrapText="1"/>
    </xf>
    <xf numFmtId="0" fontId="62" fillId="31" borderId="0" xfId="0" applyFont="1" applyFill="1" applyBorder="1" applyAlignment="1">
      <alignment horizontal="center" vertical="center" wrapText="1"/>
    </xf>
    <xf numFmtId="0" fontId="62" fillId="31" borderId="84" xfId="0" applyFont="1" applyFill="1" applyBorder="1" applyAlignment="1">
      <alignment horizontal="center" vertical="center" wrapText="1"/>
    </xf>
    <xf numFmtId="0" fontId="62" fillId="39" borderId="0" xfId="0" applyFont="1" applyFill="1" applyAlignment="1">
      <alignment horizontal="center" vertical="center"/>
    </xf>
    <xf numFmtId="0" fontId="62" fillId="21" borderId="0" xfId="0" applyFont="1" applyFill="1" applyAlignment="1">
      <alignment horizontal="center" vertical="center"/>
    </xf>
    <xf numFmtId="0" fontId="62" fillId="21" borderId="84" xfId="0" applyFont="1" applyFill="1" applyBorder="1" applyAlignment="1">
      <alignment horizontal="center" vertical="center"/>
    </xf>
    <xf numFmtId="0" fontId="63" fillId="35" borderId="34" xfId="0" applyFont="1" applyFill="1" applyBorder="1" applyAlignment="1">
      <alignment horizontal="center" vertical="center" wrapText="1"/>
    </xf>
    <xf numFmtId="0" fontId="0" fillId="43" borderId="106" xfId="0" applyFill="1" applyBorder="1" applyAlignment="1">
      <alignment horizontal="center" vertical="center" wrapText="1"/>
    </xf>
    <xf numFmtId="0" fontId="42" fillId="43" borderId="85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64" fillId="35" borderId="34" xfId="0" applyFont="1" applyFill="1" applyBorder="1" applyAlignment="1">
      <alignment horizontal="center" vertical="center" wrapText="1"/>
    </xf>
    <xf numFmtId="0" fontId="43" fillId="31" borderId="56" xfId="0" applyFont="1" applyFill="1" applyBorder="1" applyAlignment="1">
      <alignment horizontal="center" vertical="center" wrapText="1"/>
    </xf>
    <xf numFmtId="0" fontId="63" fillId="23" borderId="34" xfId="0" applyFont="1" applyFill="1" applyBorder="1" applyAlignment="1">
      <alignment horizontal="center" vertical="center" wrapText="1"/>
    </xf>
    <xf numFmtId="0" fontId="60" fillId="14" borderId="34" xfId="0" applyFont="1" applyFill="1" applyBorder="1" applyAlignment="1">
      <alignment horizontal="center" vertical="center"/>
    </xf>
    <xf numFmtId="0" fontId="52" fillId="35" borderId="34" xfId="0" applyFont="1" applyFill="1" applyBorder="1" applyAlignment="1">
      <alignment vertical="center" wrapText="1"/>
    </xf>
    <xf numFmtId="0" fontId="40" fillId="26" borderId="111" xfId="0" applyFont="1" applyFill="1" applyBorder="1" applyAlignment="1">
      <alignment horizontal="center" vertical="center" wrapText="1"/>
    </xf>
    <xf numFmtId="0" fontId="40" fillId="26" borderId="112" xfId="0" applyFont="1" applyFill="1" applyBorder="1" applyAlignment="1">
      <alignment horizontal="center" vertical="center" wrapText="1"/>
    </xf>
    <xf numFmtId="0" fontId="40" fillId="26" borderId="113" xfId="0" applyFont="1" applyFill="1" applyBorder="1" applyAlignment="1">
      <alignment horizontal="center" vertical="center" wrapText="1"/>
    </xf>
    <xf numFmtId="0" fontId="0" fillId="43" borderId="108" xfId="0" applyFill="1" applyBorder="1" applyAlignment="1">
      <alignment horizontal="center" vertical="center" wrapText="1"/>
    </xf>
    <xf numFmtId="0" fontId="0" fillId="43" borderId="109" xfId="0" applyFill="1" applyBorder="1" applyAlignment="1">
      <alignment horizontal="center" vertical="center" wrapText="1"/>
    </xf>
    <xf numFmtId="0" fontId="42" fillId="43" borderId="71" xfId="0" applyFont="1" applyFill="1" applyBorder="1" applyAlignment="1">
      <alignment horizontal="center" vertical="center" wrapText="1"/>
    </xf>
    <xf numFmtId="0" fontId="42" fillId="43" borderId="110" xfId="0" applyFont="1" applyFill="1" applyBorder="1" applyAlignment="1">
      <alignment horizontal="center" vertical="center" wrapText="1"/>
    </xf>
    <xf numFmtId="0" fontId="14" fillId="35" borderId="111" xfId="0" applyFont="1" applyFill="1" applyBorder="1" applyAlignment="1">
      <alignment horizontal="center" vertical="center" wrapText="1"/>
    </xf>
    <xf numFmtId="0" fontId="14" fillId="35" borderId="112" xfId="0" applyFont="1" applyFill="1" applyBorder="1" applyAlignment="1">
      <alignment horizontal="center" vertical="center" wrapText="1"/>
    </xf>
    <xf numFmtId="0" fontId="14" fillId="35" borderId="113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0" fillId="18" borderId="111" xfId="0" applyFont="1" applyFill="1" applyBorder="1" applyAlignment="1">
      <alignment horizontal="center" vertical="center" wrapText="1"/>
    </xf>
    <xf numFmtId="0" fontId="40" fillId="18" borderId="112" xfId="0" applyFont="1" applyFill="1" applyBorder="1" applyAlignment="1">
      <alignment horizontal="center" vertical="center" wrapText="1"/>
    </xf>
    <xf numFmtId="0" fontId="40" fillId="18" borderId="113" xfId="0" applyFont="1" applyFill="1" applyBorder="1" applyAlignment="1">
      <alignment horizontal="center" vertical="center" wrapText="1"/>
    </xf>
    <xf numFmtId="0" fontId="0" fillId="43" borderId="101" xfId="0" applyFill="1" applyBorder="1" applyAlignment="1">
      <alignment horizontal="center" vertical="center" wrapText="1"/>
    </xf>
    <xf numFmtId="0" fontId="0" fillId="43" borderId="107" xfId="0" applyFill="1" applyBorder="1" applyAlignment="1">
      <alignment horizontal="center" vertical="center" wrapText="1"/>
    </xf>
    <xf numFmtId="0" fontId="42" fillId="43" borderId="101" xfId="0" applyFont="1" applyFill="1" applyBorder="1" applyAlignment="1">
      <alignment horizontal="center" vertical="center" wrapText="1"/>
    </xf>
    <xf numFmtId="0" fontId="42" fillId="43" borderId="107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56" fillId="35" borderId="34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40" fillId="27" borderId="85" xfId="0" applyFont="1" applyFill="1" applyBorder="1" applyAlignment="1">
      <alignment horizontal="center" vertical="center" wrapText="1"/>
    </xf>
    <xf numFmtId="0" fontId="40" fillId="27" borderId="105" xfId="0" applyFont="1" applyFill="1" applyBorder="1" applyAlignment="1">
      <alignment horizontal="center" vertical="center" wrapText="1"/>
    </xf>
    <xf numFmtId="0" fontId="40" fillId="27" borderId="115" xfId="0" applyFont="1" applyFill="1" applyBorder="1" applyAlignment="1">
      <alignment horizontal="center" vertical="center" wrapText="1"/>
    </xf>
    <xf numFmtId="0" fontId="0" fillId="43" borderId="85" xfId="0" applyFill="1" applyBorder="1" applyAlignment="1">
      <alignment horizontal="center" vertical="center" wrapText="1"/>
    </xf>
    <xf numFmtId="0" fontId="0" fillId="43" borderId="105" xfId="0" applyFill="1" applyBorder="1" applyAlignment="1">
      <alignment horizontal="center" vertical="center" wrapText="1"/>
    </xf>
    <xf numFmtId="0" fontId="42" fillId="43" borderId="105" xfId="0" applyFont="1" applyFill="1" applyBorder="1" applyAlignment="1">
      <alignment horizontal="center" vertical="center" wrapText="1"/>
    </xf>
    <xf numFmtId="0" fontId="66" fillId="31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2" fillId="14" borderId="221" xfId="0" applyFont="1" applyFill="1" applyBorder="1" applyAlignment="1">
      <alignment horizontal="left" vertical="top" wrapText="1"/>
    </xf>
    <xf numFmtId="0" fontId="52" fillId="30" borderId="221" xfId="0" applyFont="1" applyFill="1" applyBorder="1" applyAlignment="1">
      <alignment horizontal="left" vertical="top" wrapText="1"/>
    </xf>
    <xf numFmtId="0" fontId="52" fillId="30" borderId="222" xfId="0" applyFont="1" applyFill="1" applyBorder="1" applyAlignment="1">
      <alignment horizontal="left" vertical="top" wrapText="1"/>
    </xf>
    <xf numFmtId="0" fontId="68" fillId="30" borderId="119" xfId="0" applyFont="1" applyFill="1" applyBorder="1" applyAlignment="1">
      <alignment horizontal="center" vertical="center" wrapText="1"/>
    </xf>
    <xf numFmtId="0" fontId="68" fillId="14" borderId="119" xfId="0" applyFont="1" applyFill="1" applyBorder="1" applyAlignment="1">
      <alignment horizontal="center" vertical="center" wrapText="1"/>
    </xf>
    <xf numFmtId="0" fontId="68" fillId="14" borderId="128" xfId="0" applyFont="1" applyFill="1" applyBorder="1" applyAlignment="1">
      <alignment horizontal="center" vertical="center" wrapText="1"/>
    </xf>
    <xf numFmtId="0" fontId="68" fillId="30" borderId="125" xfId="0" applyFont="1" applyFill="1" applyBorder="1" applyAlignment="1">
      <alignment horizontal="center" vertical="center" wrapText="1"/>
    </xf>
    <xf numFmtId="0" fontId="68" fillId="14" borderId="125" xfId="0" applyFont="1" applyFill="1" applyBorder="1" applyAlignment="1">
      <alignment horizontal="center" vertical="center" wrapText="1"/>
    </xf>
    <xf numFmtId="0" fontId="68" fillId="14" borderId="126" xfId="0" applyFont="1" applyFill="1" applyBorder="1" applyAlignment="1">
      <alignment horizontal="center" vertical="center" wrapText="1"/>
    </xf>
  </cellXfs>
  <cellStyles count="2">
    <cellStyle name="Магия" xfId="1"/>
    <cellStyle name="Обычный" xfId="0" builtinId="0"/>
  </cellStyles>
  <dxfs count="0"/>
  <tableStyles count="0" defaultTableStyle="TableStyleMedium2" defaultPivotStyle="PivotStyleLight16"/>
  <colors>
    <mruColors>
      <color rgb="FFD99795"/>
      <color rgb="FFE2A58A"/>
      <color rgb="FFCE7878"/>
      <color rgb="FFB17ED8"/>
      <color rgb="FFD89494"/>
      <color rgb="FFC4B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Spin" dx="22" fmlaLink="$Q$24" max="30000" page="10" val="0"/>
</file>

<file path=xl/ctrlProps/ctrlProp142.xml><?xml version="1.0" encoding="utf-8"?>
<formControlPr xmlns="http://schemas.microsoft.com/office/spreadsheetml/2009/9/main" objectType="Spin" dx="22" fmlaLink="$Q$25" max="30000" page="10" val="0"/>
</file>

<file path=xl/ctrlProps/ctrlProp143.xml><?xml version="1.0" encoding="utf-8"?>
<formControlPr xmlns="http://schemas.microsoft.com/office/spreadsheetml/2009/9/main" objectType="Spin" dx="22" fmlaLink="$Q$26" max="30000" page="10"/>
</file>

<file path=xl/ctrlProps/ctrlProp144.xml><?xml version="1.0" encoding="utf-8"?>
<formControlPr xmlns="http://schemas.microsoft.com/office/spreadsheetml/2009/9/main" objectType="Spin" dx="22" fmlaLink="$Q$27" max="30000" page="10" val="0"/>
</file>

<file path=xl/ctrlProps/ctrlProp145.xml><?xml version="1.0" encoding="utf-8"?>
<formControlPr xmlns="http://schemas.microsoft.com/office/spreadsheetml/2009/9/main" objectType="Spin" dx="22" fmlaLink="$Q$28" max="30000" page="10" val="0"/>
</file>

<file path=xl/ctrlProps/ctrlProp146.xml><?xml version="1.0" encoding="utf-8"?>
<formControlPr xmlns="http://schemas.microsoft.com/office/spreadsheetml/2009/9/main" objectType="Spin" dx="22" fmlaLink="$Q$29" max="30000" page="10"/>
</file>

<file path=xl/ctrlProps/ctrlProp147.xml><?xml version="1.0" encoding="utf-8"?>
<formControlPr xmlns="http://schemas.microsoft.com/office/spreadsheetml/2009/9/main" objectType="Spin" dx="22" fmlaLink="$E$16" max="30000" page="10" val="12"/>
</file>

<file path=xl/ctrlProps/ctrlProp148.xml><?xml version="1.0" encoding="utf-8"?>
<formControlPr xmlns="http://schemas.microsoft.com/office/spreadsheetml/2009/9/main" objectType="Spin" dx="22" fmlaLink="$E$15" max="30000" page="10" val="13"/>
</file>

<file path=xl/ctrlProps/ctrlProp149.xml><?xml version="1.0" encoding="utf-8"?>
<formControlPr xmlns="http://schemas.microsoft.com/office/spreadsheetml/2009/9/main" objectType="Spin" dx="22" fmlaLink="$E$14" max="30000" page="10" val="16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Spin" dx="22" fmlaLink="$E$17" max="30000" page="10" val="8"/>
</file>

<file path=xl/ctrlProps/ctrlProp151.xml><?xml version="1.0" encoding="utf-8"?>
<formControlPr xmlns="http://schemas.microsoft.com/office/spreadsheetml/2009/9/main" objectType="Spin" dx="22" fmlaLink="$E$18" max="30000" page="10" val="9"/>
</file>

<file path=xl/ctrlProps/ctrlProp152.xml><?xml version="1.0" encoding="utf-8"?>
<formControlPr xmlns="http://schemas.microsoft.com/office/spreadsheetml/2009/9/main" objectType="Spin" dx="22" fmlaLink="$E$19" max="30000" page="10" val="12"/>
</file>

<file path=xl/ctrlProps/ctrlProp153.xml><?xml version="1.0" encoding="utf-8"?>
<formControlPr xmlns="http://schemas.microsoft.com/office/spreadsheetml/2009/9/main" objectType="Spin" dx="22" fmlaLink="$M$8" max="30000" page="10" val="0"/>
</file>

<file path=xl/ctrlProps/ctrlProp154.xml><?xml version="1.0" encoding="utf-8"?>
<formControlPr xmlns="http://schemas.microsoft.com/office/spreadsheetml/2009/9/main" objectType="Spin" dx="22" fmlaLink="$M$9" max="30000" page="10" val="0"/>
</file>

<file path=xl/ctrlProps/ctrlProp155.xml><?xml version="1.0" encoding="utf-8"?>
<formControlPr xmlns="http://schemas.microsoft.com/office/spreadsheetml/2009/9/main" objectType="Spin" dx="22" fmlaLink="$M$11" max="30000" page="10" val="0"/>
</file>

<file path=xl/ctrlProps/ctrlProp156.xml><?xml version="1.0" encoding="utf-8"?>
<formControlPr xmlns="http://schemas.microsoft.com/office/spreadsheetml/2009/9/main" objectType="Spin" dx="22" fmlaLink="$M$10" max="30000" page="10" val="0"/>
</file>

<file path=xl/ctrlProps/ctrlProp157.xml><?xml version="1.0" encoding="utf-8"?>
<formControlPr xmlns="http://schemas.microsoft.com/office/spreadsheetml/2009/9/main" objectType="Spin" dx="22" fmlaLink="$M$7" max="30000" page="10" val="5"/>
</file>

<file path=xl/ctrlProps/ctrlProp158.xml><?xml version="1.0" encoding="utf-8"?>
<formControlPr xmlns="http://schemas.microsoft.com/office/spreadsheetml/2009/9/main" objectType="Spin" dx="22" fmlaLink="$Q$30" max="30000" page="10" val="2"/>
</file>

<file path=xl/ctrlProps/ctrlProp159.xml><?xml version="1.0" encoding="utf-8"?>
<formControlPr xmlns="http://schemas.microsoft.com/office/spreadsheetml/2009/9/main" objectType="Spin" dx="22" fmlaLink="$Q$31" max="30000" page="10" val="0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Spin" dx="22" fmlaLink="$Q$32" max="30000" page="10" val="0"/>
</file>

<file path=xl/ctrlProps/ctrlProp161.xml><?xml version="1.0" encoding="utf-8"?>
<formControlPr xmlns="http://schemas.microsoft.com/office/spreadsheetml/2009/9/main" objectType="Spin" dx="22" fmlaLink="$Q$33" max="30000" page="10" val="0"/>
</file>

<file path=xl/ctrlProps/ctrlProp162.xml><?xml version="1.0" encoding="utf-8"?>
<formControlPr xmlns="http://schemas.microsoft.com/office/spreadsheetml/2009/9/main" objectType="Spin" dx="22" fmlaLink="$Q$34" max="30000" page="10" val="0"/>
</file>

<file path=xl/ctrlProps/ctrlProp163.xml><?xml version="1.0" encoding="utf-8"?>
<formControlPr xmlns="http://schemas.microsoft.com/office/spreadsheetml/2009/9/main" objectType="Spin" dx="22" fmlaLink="$Q$35" max="30000" page="10" val="0"/>
</file>

<file path=xl/ctrlProps/ctrlProp164.xml><?xml version="1.0" encoding="utf-8"?>
<formControlPr xmlns="http://schemas.microsoft.com/office/spreadsheetml/2009/9/main" objectType="Spin" dx="22" fmlaLink="$Q$36" max="30000" page="10" val="0"/>
</file>

<file path=xl/ctrlProps/ctrlProp165.xml><?xml version="1.0" encoding="utf-8"?>
<formControlPr xmlns="http://schemas.microsoft.com/office/spreadsheetml/2009/9/main" objectType="Spin" dx="22" fmlaLink="$Q$37" max="30000" page="10" val="0"/>
</file>

<file path=xl/ctrlProps/ctrlProp166.xml><?xml version="1.0" encoding="utf-8"?>
<formControlPr xmlns="http://schemas.microsoft.com/office/spreadsheetml/2009/9/main" objectType="Spin" dx="22" fmlaLink="$Q$38" max="30000" page="10" val="0"/>
</file>

<file path=xl/ctrlProps/ctrlProp167.xml><?xml version="1.0" encoding="utf-8"?>
<formControlPr xmlns="http://schemas.microsoft.com/office/spreadsheetml/2009/9/main" objectType="Spin" dx="22" fmlaLink="$Q$39" max="30000" page="10" val="0"/>
</file>

<file path=xl/ctrlProps/ctrlProp168.xml><?xml version="1.0" encoding="utf-8"?>
<formControlPr xmlns="http://schemas.microsoft.com/office/spreadsheetml/2009/9/main" objectType="Spin" dx="22" fmlaLink="$Q$40" max="30000" page="10" val="0"/>
</file>

<file path=xl/ctrlProps/ctrlProp169.xml><?xml version="1.0" encoding="utf-8"?>
<formControlPr xmlns="http://schemas.microsoft.com/office/spreadsheetml/2009/9/main" objectType="Spin" dx="22" fmlaLink="$Q$41" max="30000" page="10" val="0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Spin" dx="22" fmlaLink="$Q$42" max="30000" page="10" val="0"/>
</file>

<file path=xl/ctrlProps/ctrlProp171.xml><?xml version="1.0" encoding="utf-8"?>
<formControlPr xmlns="http://schemas.microsoft.com/office/spreadsheetml/2009/9/main" objectType="Spin" dx="22" fmlaLink="$Q$43" max="30000" page="10" val="0"/>
</file>

<file path=xl/ctrlProps/ctrlProp172.xml><?xml version="1.0" encoding="utf-8"?>
<formControlPr xmlns="http://schemas.microsoft.com/office/spreadsheetml/2009/9/main" objectType="Spin" dx="22" fmlaLink="$Q$44" max="30000" page="10" val="0"/>
</file>

<file path=xl/ctrlProps/ctrlProp173.xml><?xml version="1.0" encoding="utf-8"?>
<formControlPr xmlns="http://schemas.microsoft.com/office/spreadsheetml/2009/9/main" objectType="Spin" dx="22" fmlaLink="$Q$45" max="30000" page="10" val="0"/>
</file>

<file path=xl/ctrlProps/ctrlProp174.xml><?xml version="1.0" encoding="utf-8"?>
<formControlPr xmlns="http://schemas.microsoft.com/office/spreadsheetml/2009/9/main" objectType="Spin" dx="22" fmlaLink="$Q$46" max="30000" page="10" val="0"/>
</file>

<file path=xl/ctrlProps/ctrlProp175.xml><?xml version="1.0" encoding="utf-8"?>
<formControlPr xmlns="http://schemas.microsoft.com/office/spreadsheetml/2009/9/main" objectType="Spin" dx="22" fmlaLink="$Q$47" max="30000" page="10" val="0"/>
</file>

<file path=xl/ctrlProps/ctrlProp176.xml><?xml version="1.0" encoding="utf-8"?>
<formControlPr xmlns="http://schemas.microsoft.com/office/spreadsheetml/2009/9/main" objectType="Spin" dx="22" fmlaLink="$Q$48" max="30000" page="10" val="0"/>
</file>

<file path=xl/ctrlProps/ctrlProp177.xml><?xml version="1.0" encoding="utf-8"?>
<formControlPr xmlns="http://schemas.microsoft.com/office/spreadsheetml/2009/9/main" objectType="Spin" dx="22" fmlaLink="$Q$49" max="30000" page="10" val="2"/>
</file>

<file path=xl/ctrlProps/ctrlProp178.xml><?xml version="1.0" encoding="utf-8"?>
<formControlPr xmlns="http://schemas.microsoft.com/office/spreadsheetml/2009/9/main" objectType="Spin" dx="22" fmlaLink="$Q$50" max="30000" page="10" val="0"/>
</file>

<file path=xl/ctrlProps/ctrlProp179.xml><?xml version="1.0" encoding="utf-8"?>
<formControlPr xmlns="http://schemas.microsoft.com/office/spreadsheetml/2009/9/main" objectType="Spin" dx="22" fmlaLink="$Q$51" max="30000" page="10" val="0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Spin" dx="22" fmlaLink="$Q$52" max="30000" page="10" val="0"/>
</file>

<file path=xl/ctrlProps/ctrlProp181.xml><?xml version="1.0" encoding="utf-8"?>
<formControlPr xmlns="http://schemas.microsoft.com/office/spreadsheetml/2009/9/main" objectType="Spin" dx="22" fmlaLink="$Q$53" max="30000" page="10" val="2"/>
</file>

<file path=xl/ctrlProps/ctrlProp182.xml><?xml version="1.0" encoding="utf-8"?>
<formControlPr xmlns="http://schemas.microsoft.com/office/spreadsheetml/2009/9/main" objectType="Spin" dx="22" fmlaLink="$Q$54" max="30000" page="10" val="0"/>
</file>

<file path=xl/ctrlProps/ctrlProp183.xml><?xml version="1.0" encoding="utf-8"?>
<formControlPr xmlns="http://schemas.microsoft.com/office/spreadsheetml/2009/9/main" objectType="Spin" dx="22" fmlaLink="$Q$55" max="30000" page="10" val="0"/>
</file>

<file path=xl/ctrlProps/ctrlProp184.xml><?xml version="1.0" encoding="utf-8"?>
<formControlPr xmlns="http://schemas.microsoft.com/office/spreadsheetml/2009/9/main" objectType="Spin" dx="22" fmlaLink="$Q$56" max="30000" page="10" val="0"/>
</file>

<file path=xl/ctrlProps/ctrlProp185.xml><?xml version="1.0" encoding="utf-8"?>
<formControlPr xmlns="http://schemas.microsoft.com/office/spreadsheetml/2009/9/main" objectType="Spin" dx="22" fmlaLink="$Q$57" max="30000" page="10" val="0"/>
</file>

<file path=xl/ctrlProps/ctrlProp186.xml><?xml version="1.0" encoding="utf-8"?>
<formControlPr xmlns="http://schemas.microsoft.com/office/spreadsheetml/2009/9/main" objectType="Spin" dx="22" fmlaLink="$Q$58" max="30000" page="10" val="0"/>
</file>

<file path=xl/ctrlProps/ctrlProp187.xml><?xml version="1.0" encoding="utf-8"?>
<formControlPr xmlns="http://schemas.microsoft.com/office/spreadsheetml/2009/9/main" objectType="Spin" dx="22" fmlaLink="$Q$59" max="30000" page="10" val="0"/>
</file>

<file path=xl/ctrlProps/ctrlProp188.xml><?xml version="1.0" encoding="utf-8"?>
<formControlPr xmlns="http://schemas.microsoft.com/office/spreadsheetml/2009/9/main" objectType="Spin" dx="22" fmlaLink="$Q$60" max="30000" page="10" val="0"/>
</file>

<file path=xl/ctrlProps/ctrlProp189.xml><?xml version="1.0" encoding="utf-8"?>
<formControlPr xmlns="http://schemas.microsoft.com/office/spreadsheetml/2009/9/main" objectType="Spin" dx="22" fmlaLink="$Q$61" max="30000" page="10" val="0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Spin" dx="22" fmlaLink="$Q$62" max="30000" page="10" val="0"/>
</file>

<file path=xl/ctrlProps/ctrlProp191.xml><?xml version="1.0" encoding="utf-8"?>
<formControlPr xmlns="http://schemas.microsoft.com/office/spreadsheetml/2009/9/main" objectType="Spin" dx="22" fmlaLink="$Q$63" max="30000" page="10" val="0"/>
</file>

<file path=xl/ctrlProps/ctrlProp192.xml><?xml version="1.0" encoding="utf-8"?>
<formControlPr xmlns="http://schemas.microsoft.com/office/spreadsheetml/2009/9/main" objectType="Spin" dx="22" fmlaLink="$Q$64" max="30000" page="10" val="0"/>
</file>

<file path=xl/ctrlProps/ctrlProp193.xml><?xml version="1.0" encoding="utf-8"?>
<formControlPr xmlns="http://schemas.microsoft.com/office/spreadsheetml/2009/9/main" objectType="Spin" dx="22" fmlaLink="$Q$65" max="30000" page="10" val="0"/>
</file>

<file path=xl/ctrlProps/ctrlProp194.xml><?xml version="1.0" encoding="utf-8"?>
<formControlPr xmlns="http://schemas.microsoft.com/office/spreadsheetml/2009/9/main" objectType="Spin" dx="22" fmlaLink="$Q$66" max="30000" page="10" val="0"/>
</file>

<file path=xl/ctrlProps/ctrlProp195.xml><?xml version="1.0" encoding="utf-8"?>
<formControlPr xmlns="http://schemas.microsoft.com/office/spreadsheetml/2009/9/main" objectType="Spin" dx="22" fmlaLink="$Q$67" max="30000" page="10" val="0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Spin" dx="22" fmlaLink="$O$22" max="30000" page="10" val="0"/>
</file>

<file path=xl/ctrlProps/ctrlProp32.xml><?xml version="1.0" encoding="utf-8"?>
<formControlPr xmlns="http://schemas.microsoft.com/office/spreadsheetml/2009/9/main" objectType="Spin" dx="22" fmlaLink="$O$23" max="30000" page="10" val="0"/>
</file>

<file path=xl/ctrlProps/ctrlProp33.xml><?xml version="1.0" encoding="utf-8"?>
<formControlPr xmlns="http://schemas.microsoft.com/office/spreadsheetml/2009/9/main" objectType="Spin" dx="22" fmlaLink="$O$24" max="30000" page="10" val="0"/>
</file>

<file path=xl/ctrlProps/ctrlProp34.xml><?xml version="1.0" encoding="utf-8"?>
<formControlPr xmlns="http://schemas.microsoft.com/office/spreadsheetml/2009/9/main" objectType="Spin" dx="22" fmlaLink="$O$25" max="30000" page="10" val="0"/>
</file>

<file path=xl/ctrlProps/ctrlProp35.xml><?xml version="1.0" encoding="utf-8"?>
<formControlPr xmlns="http://schemas.microsoft.com/office/spreadsheetml/2009/9/main" objectType="Spin" dx="22" fmlaLink="$O$26" max="30000" page="10" val="0"/>
</file>

<file path=xl/ctrlProps/ctrlProp36.xml><?xml version="1.0" encoding="utf-8"?>
<formControlPr xmlns="http://schemas.microsoft.com/office/spreadsheetml/2009/9/main" objectType="Spin" dx="22" fmlaLink="$O$27" max="30000" page="10" val="0"/>
</file>

<file path=xl/ctrlProps/ctrlProp37.xml><?xml version="1.0" encoding="utf-8"?>
<formControlPr xmlns="http://schemas.microsoft.com/office/spreadsheetml/2009/9/main" objectType="Spin" dx="22" fmlaLink="$O$28" max="30000" page="10" val="0"/>
</file>

<file path=xl/ctrlProps/ctrlProp38.xml><?xml version="1.0" encoding="utf-8"?>
<formControlPr xmlns="http://schemas.microsoft.com/office/spreadsheetml/2009/9/main" objectType="Spin" dx="22" fmlaLink="$O$29" max="30000" page="10" val="0"/>
</file>

<file path=xl/ctrlProps/ctrlProp39.xml><?xml version="1.0" encoding="utf-8"?>
<formControlPr xmlns="http://schemas.microsoft.com/office/spreadsheetml/2009/9/main" objectType="Spin" dx="22" fmlaLink="$O$30" max="30000" page="10" val="0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Spin" dx="22" fmlaLink="$O$31" max="30000" page="10" val="0"/>
</file>

<file path=xl/ctrlProps/ctrlProp41.xml><?xml version="1.0" encoding="utf-8"?>
<formControlPr xmlns="http://schemas.microsoft.com/office/spreadsheetml/2009/9/main" objectType="Spin" dx="22" fmlaLink="$O$32" max="30000" page="10" val="0"/>
</file>

<file path=xl/ctrlProps/ctrlProp42.xml><?xml version="1.0" encoding="utf-8"?>
<formControlPr xmlns="http://schemas.microsoft.com/office/spreadsheetml/2009/9/main" objectType="Spin" dx="22" fmlaLink="$O$33" max="30000" page="10" val="0"/>
</file>

<file path=xl/ctrlProps/ctrlProp43.xml><?xml version="1.0" encoding="utf-8"?>
<formControlPr xmlns="http://schemas.microsoft.com/office/spreadsheetml/2009/9/main" objectType="Spin" dx="22" fmlaLink="$O$34" max="30000" page="10" val="0"/>
</file>

<file path=xl/ctrlProps/ctrlProp44.xml><?xml version="1.0" encoding="utf-8"?>
<formControlPr xmlns="http://schemas.microsoft.com/office/spreadsheetml/2009/9/main" objectType="Spin" dx="22" fmlaLink="$O$35" max="30000" page="10" val="0"/>
</file>

<file path=xl/ctrlProps/ctrlProp45.xml><?xml version="1.0" encoding="utf-8"?>
<formControlPr xmlns="http://schemas.microsoft.com/office/spreadsheetml/2009/9/main" objectType="Spin" dx="22" fmlaLink="$O$37" max="30000" page="10" val="0"/>
</file>

<file path=xl/ctrlProps/ctrlProp46.xml><?xml version="1.0" encoding="utf-8"?>
<formControlPr xmlns="http://schemas.microsoft.com/office/spreadsheetml/2009/9/main" objectType="Spin" dx="22" fmlaLink="$O$38" max="30000" page="10" val="0"/>
</file>

<file path=xl/ctrlProps/ctrlProp47.xml><?xml version="1.0" encoding="utf-8"?>
<formControlPr xmlns="http://schemas.microsoft.com/office/spreadsheetml/2009/9/main" objectType="Spin" dx="22" fmlaLink="$O$39" max="30000" page="10" val="0"/>
</file>

<file path=xl/ctrlProps/ctrlProp48.xml><?xml version="1.0" encoding="utf-8"?>
<formControlPr xmlns="http://schemas.microsoft.com/office/spreadsheetml/2009/9/main" objectType="Spin" dx="22" fmlaLink="$O$40" max="30000" page="10" val="0"/>
</file>

<file path=xl/ctrlProps/ctrlProp49.xml><?xml version="1.0" encoding="utf-8"?>
<formControlPr xmlns="http://schemas.microsoft.com/office/spreadsheetml/2009/9/main" objectType="Spin" dx="22" fmlaLink="$O$41" max="30000" page="10" val="0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Spin" dx="22" fmlaLink="$O$42" max="30000" page="10" val="0"/>
</file>

<file path=xl/ctrlProps/ctrlProp51.xml><?xml version="1.0" encoding="utf-8"?>
<formControlPr xmlns="http://schemas.microsoft.com/office/spreadsheetml/2009/9/main" objectType="Spin" dx="22" fmlaLink="$O$43" max="30000" page="10" val="0"/>
</file>

<file path=xl/ctrlProps/ctrlProp52.xml><?xml version="1.0" encoding="utf-8"?>
<formControlPr xmlns="http://schemas.microsoft.com/office/spreadsheetml/2009/9/main" objectType="Spin" dx="22" fmlaLink="$O$44" max="30000" page="10" val="0"/>
</file>

<file path=xl/ctrlProps/ctrlProp53.xml><?xml version="1.0" encoding="utf-8"?>
<formControlPr xmlns="http://schemas.microsoft.com/office/spreadsheetml/2009/9/main" objectType="Spin" dx="22" fmlaLink="$O$45" max="30000" page="10" val="0"/>
</file>

<file path=xl/ctrlProps/ctrlProp54.xml><?xml version="1.0" encoding="utf-8"?>
<formControlPr xmlns="http://schemas.microsoft.com/office/spreadsheetml/2009/9/main" objectType="Spin" dx="22" fmlaLink="$O$46" max="30000" page="10" val="0"/>
</file>

<file path=xl/ctrlProps/ctrlProp55.xml><?xml version="1.0" encoding="utf-8"?>
<formControlPr xmlns="http://schemas.microsoft.com/office/spreadsheetml/2009/9/main" objectType="Spin" dx="22" fmlaLink="$O$47" max="30000" page="10" val="0"/>
</file>

<file path=xl/ctrlProps/ctrlProp56.xml><?xml version="1.0" encoding="utf-8"?>
<formControlPr xmlns="http://schemas.microsoft.com/office/spreadsheetml/2009/9/main" objectType="Spin" dx="22" fmlaLink="$O$48" max="30000" page="10" val="0"/>
</file>

<file path=xl/ctrlProps/ctrlProp57.xml><?xml version="1.0" encoding="utf-8"?>
<formControlPr xmlns="http://schemas.microsoft.com/office/spreadsheetml/2009/9/main" objectType="Spin" dx="22" fmlaLink="$O$49" max="30000" page="10" val="0"/>
</file>

<file path=xl/ctrlProps/ctrlProp58.xml><?xml version="1.0" encoding="utf-8"?>
<formControlPr xmlns="http://schemas.microsoft.com/office/spreadsheetml/2009/9/main" objectType="Spin" dx="22" fmlaLink="$O$50" max="30000" page="10" val="0"/>
</file>

<file path=xl/ctrlProps/ctrlProp59.xml><?xml version="1.0" encoding="utf-8"?>
<formControlPr xmlns="http://schemas.microsoft.com/office/spreadsheetml/2009/9/main" objectType="Spin" dx="22" fmlaLink="$O$51" max="300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pin" dx="22" fmlaLink="$O$52" max="30000" page="10" val="0"/>
</file>

<file path=xl/ctrlProps/ctrlProp61.xml><?xml version="1.0" encoding="utf-8"?>
<formControlPr xmlns="http://schemas.microsoft.com/office/spreadsheetml/2009/9/main" objectType="Spin" dx="22" fmlaLink="$O$53" max="30000" page="10" val="0"/>
</file>

<file path=xl/ctrlProps/ctrlProp62.xml><?xml version="1.0" encoding="utf-8"?>
<formControlPr xmlns="http://schemas.microsoft.com/office/spreadsheetml/2009/9/main" objectType="Spin" dx="22" fmlaLink="$O$54" max="30000" page="10" val="0"/>
</file>

<file path=xl/ctrlProps/ctrlProp63.xml><?xml version="1.0" encoding="utf-8"?>
<formControlPr xmlns="http://schemas.microsoft.com/office/spreadsheetml/2009/9/main" objectType="Spin" dx="22" fmlaLink="$O$55" max="30000" page="10" val="0"/>
</file>

<file path=xl/ctrlProps/ctrlProp64.xml><?xml version="1.0" encoding="utf-8"?>
<formControlPr xmlns="http://schemas.microsoft.com/office/spreadsheetml/2009/9/main" objectType="Spin" dx="22" fmlaLink="$O$56" max="30000" page="10" val="0"/>
</file>

<file path=xl/ctrlProps/ctrlProp65.xml><?xml version="1.0" encoding="utf-8"?>
<formControlPr xmlns="http://schemas.microsoft.com/office/spreadsheetml/2009/9/main" objectType="Spin" dx="22" fmlaLink="$O$57" max="30000" page="10" val="0"/>
</file>

<file path=xl/ctrlProps/ctrlProp66.xml><?xml version="1.0" encoding="utf-8"?>
<formControlPr xmlns="http://schemas.microsoft.com/office/spreadsheetml/2009/9/main" objectType="Spin" dx="22" fmlaLink="$O$58" max="30000" page="10" val="0"/>
</file>

<file path=xl/ctrlProps/ctrlProp67.xml><?xml version="1.0" encoding="utf-8"?>
<formControlPr xmlns="http://schemas.microsoft.com/office/spreadsheetml/2009/9/main" objectType="Spin" dx="22" fmlaLink="$O$59" max="30000" page="10" val="0"/>
</file>

<file path=xl/ctrlProps/ctrlProp68.xml><?xml version="1.0" encoding="utf-8"?>
<formControlPr xmlns="http://schemas.microsoft.com/office/spreadsheetml/2009/9/main" objectType="Spin" dx="22" fmlaLink="$O$60" max="30000" page="10" val="0"/>
</file>

<file path=xl/ctrlProps/ctrlProp69.xml><?xml version="1.0" encoding="utf-8"?>
<formControlPr xmlns="http://schemas.microsoft.com/office/spreadsheetml/2009/9/main" objectType="Spin" dx="22" fmlaLink="$O$61" max="30000" page="10" val="0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Spin" dx="22" fmlaLink="$O$62" max="30000" page="10" val="0"/>
</file>

<file path=xl/ctrlProps/ctrlProp71.xml><?xml version="1.0" encoding="utf-8"?>
<formControlPr xmlns="http://schemas.microsoft.com/office/spreadsheetml/2009/9/main" objectType="Spin" dx="22" fmlaLink="$O$63" max="30000" page="10" val="0"/>
</file>

<file path=xl/ctrlProps/ctrlProp72.xml><?xml version="1.0" encoding="utf-8"?>
<formControlPr xmlns="http://schemas.microsoft.com/office/spreadsheetml/2009/9/main" objectType="Spin" dx="22" fmlaLink="$O$64" max="30000" page="10" val="0"/>
</file>

<file path=xl/ctrlProps/ctrlProp73.xml><?xml version="1.0" encoding="utf-8"?>
<formControlPr xmlns="http://schemas.microsoft.com/office/spreadsheetml/2009/9/main" objectType="Spin" dx="22" fmlaLink="$O$65" max="30000" page="10" val="0"/>
</file>

<file path=xl/ctrlProps/ctrlProp74.xml><?xml version="1.0" encoding="utf-8"?>
<formControlPr xmlns="http://schemas.microsoft.com/office/spreadsheetml/2009/9/main" objectType="Spin" dx="22" fmlaLink="$D$14" max="30000" page="10" val="13"/>
</file>

<file path=xl/ctrlProps/ctrlProp75.xml><?xml version="1.0" encoding="utf-8"?>
<formControlPr xmlns="http://schemas.microsoft.com/office/spreadsheetml/2009/9/main" objectType="Spin" dx="22" fmlaLink="$D$13" max="30000" page="10" val="12"/>
</file>

<file path=xl/ctrlProps/ctrlProp76.xml><?xml version="1.0" encoding="utf-8"?>
<formControlPr xmlns="http://schemas.microsoft.com/office/spreadsheetml/2009/9/main" objectType="Spin" dx="22" fmlaLink="$D$12" max="30000" page="10" val="15"/>
</file>

<file path=xl/ctrlProps/ctrlProp77.xml><?xml version="1.0" encoding="utf-8"?>
<formControlPr xmlns="http://schemas.microsoft.com/office/spreadsheetml/2009/9/main" objectType="Spin" dx="22" fmlaLink="$D$15" max="30000" page="10" val="9"/>
</file>

<file path=xl/ctrlProps/ctrlProp78.xml><?xml version="1.0" encoding="utf-8"?>
<formControlPr xmlns="http://schemas.microsoft.com/office/spreadsheetml/2009/9/main" objectType="Spin" dx="22" fmlaLink="$D$16" max="30000" page="10" val="8"/>
</file>

<file path=xl/ctrlProps/ctrlProp79.xml><?xml version="1.0" encoding="utf-8"?>
<formControlPr xmlns="http://schemas.microsoft.com/office/spreadsheetml/2009/9/main" objectType="Spin" dx="22" fmlaLink="$D$17" max="30000" page="10" val="12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Spin" dx="22" fmlaLink="$O$36" max="30000" page="10" val="0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19673</xdr:colOff>
      <xdr:row>1</xdr:row>
      <xdr:rowOff>190500</xdr:rowOff>
    </xdr:from>
    <xdr:to>
      <xdr:col>26</xdr:col>
      <xdr:colOff>919845</xdr:colOff>
      <xdr:row>5</xdr:row>
      <xdr:rowOff>273843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784423" y="500063"/>
          <a:ext cx="5960328" cy="167878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83</xdr:row>
          <xdr:rowOff>314325</xdr:rowOff>
        </xdr:from>
        <xdr:to>
          <xdr:col>20</xdr:col>
          <xdr:colOff>800100</xdr:colOff>
          <xdr:row>85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83</xdr:row>
          <xdr:rowOff>314325</xdr:rowOff>
        </xdr:from>
        <xdr:to>
          <xdr:col>20</xdr:col>
          <xdr:colOff>1371600</xdr:colOff>
          <xdr:row>85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83</xdr:row>
          <xdr:rowOff>314325</xdr:rowOff>
        </xdr:from>
        <xdr:to>
          <xdr:col>20</xdr:col>
          <xdr:colOff>990600</xdr:colOff>
          <xdr:row>85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914400</xdr:colOff>
          <xdr:row>83</xdr:row>
          <xdr:rowOff>314325</xdr:rowOff>
        </xdr:from>
        <xdr:to>
          <xdr:col>20</xdr:col>
          <xdr:colOff>1181100</xdr:colOff>
          <xdr:row>85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1285875</xdr:colOff>
          <xdr:row>83</xdr:row>
          <xdr:rowOff>314325</xdr:rowOff>
        </xdr:from>
        <xdr:to>
          <xdr:col>21</xdr:col>
          <xdr:colOff>28575</xdr:colOff>
          <xdr:row>85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314325</xdr:rowOff>
        </xdr:from>
        <xdr:to>
          <xdr:col>21</xdr:col>
          <xdr:colOff>314325</xdr:colOff>
          <xdr:row>85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83</xdr:row>
          <xdr:rowOff>314325</xdr:rowOff>
        </xdr:from>
        <xdr:to>
          <xdr:col>21</xdr:col>
          <xdr:colOff>866775</xdr:colOff>
          <xdr:row>85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83</xdr:row>
          <xdr:rowOff>314325</xdr:rowOff>
        </xdr:from>
        <xdr:to>
          <xdr:col>21</xdr:col>
          <xdr:colOff>504825</xdr:colOff>
          <xdr:row>85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83</xdr:row>
          <xdr:rowOff>314325</xdr:rowOff>
        </xdr:from>
        <xdr:to>
          <xdr:col>21</xdr:col>
          <xdr:colOff>695325</xdr:colOff>
          <xdr:row>85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314325</xdr:rowOff>
        </xdr:from>
        <xdr:to>
          <xdr:col>22</xdr:col>
          <xdr:colOff>314325</xdr:colOff>
          <xdr:row>85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83</xdr:row>
          <xdr:rowOff>314325</xdr:rowOff>
        </xdr:from>
        <xdr:to>
          <xdr:col>22</xdr:col>
          <xdr:colOff>885825</xdr:colOff>
          <xdr:row>85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83</xdr:row>
          <xdr:rowOff>314325</xdr:rowOff>
        </xdr:from>
        <xdr:to>
          <xdr:col>22</xdr:col>
          <xdr:colOff>504825</xdr:colOff>
          <xdr:row>85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83</xdr:row>
          <xdr:rowOff>314325</xdr:rowOff>
        </xdr:from>
        <xdr:to>
          <xdr:col>22</xdr:col>
          <xdr:colOff>695325</xdr:colOff>
          <xdr:row>85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83</xdr:row>
          <xdr:rowOff>314325</xdr:rowOff>
        </xdr:from>
        <xdr:to>
          <xdr:col>23</xdr:col>
          <xdr:colOff>314325</xdr:colOff>
          <xdr:row>85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83</xdr:row>
          <xdr:rowOff>314325</xdr:rowOff>
        </xdr:from>
        <xdr:to>
          <xdr:col>23</xdr:col>
          <xdr:colOff>885825</xdr:colOff>
          <xdr:row>85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83</xdr:row>
          <xdr:rowOff>314325</xdr:rowOff>
        </xdr:from>
        <xdr:to>
          <xdr:col>23</xdr:col>
          <xdr:colOff>504825</xdr:colOff>
          <xdr:row>85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83</xdr:row>
          <xdr:rowOff>314325</xdr:rowOff>
        </xdr:from>
        <xdr:to>
          <xdr:col>23</xdr:col>
          <xdr:colOff>695325</xdr:colOff>
          <xdr:row>85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83</xdr:row>
          <xdr:rowOff>314325</xdr:rowOff>
        </xdr:from>
        <xdr:to>
          <xdr:col>23</xdr:col>
          <xdr:colOff>981075</xdr:colOff>
          <xdr:row>85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83</xdr:row>
          <xdr:rowOff>314325</xdr:rowOff>
        </xdr:from>
        <xdr:to>
          <xdr:col>24</xdr:col>
          <xdr:colOff>314325</xdr:colOff>
          <xdr:row>85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83</xdr:row>
          <xdr:rowOff>314325</xdr:rowOff>
        </xdr:from>
        <xdr:to>
          <xdr:col>24</xdr:col>
          <xdr:colOff>885825</xdr:colOff>
          <xdr:row>85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83</xdr:row>
          <xdr:rowOff>314325</xdr:rowOff>
        </xdr:from>
        <xdr:to>
          <xdr:col>24</xdr:col>
          <xdr:colOff>504825</xdr:colOff>
          <xdr:row>85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83</xdr:row>
          <xdr:rowOff>314325</xdr:rowOff>
        </xdr:from>
        <xdr:to>
          <xdr:col>24</xdr:col>
          <xdr:colOff>695325</xdr:colOff>
          <xdr:row>85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83</xdr:row>
          <xdr:rowOff>314325</xdr:rowOff>
        </xdr:from>
        <xdr:to>
          <xdr:col>24</xdr:col>
          <xdr:colOff>981075</xdr:colOff>
          <xdr:row>85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83</xdr:row>
          <xdr:rowOff>314325</xdr:rowOff>
        </xdr:from>
        <xdr:to>
          <xdr:col>25</xdr:col>
          <xdr:colOff>314325</xdr:colOff>
          <xdr:row>85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83</xdr:row>
          <xdr:rowOff>314325</xdr:rowOff>
        </xdr:from>
        <xdr:to>
          <xdr:col>25</xdr:col>
          <xdr:colOff>885825</xdr:colOff>
          <xdr:row>85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83</xdr:row>
          <xdr:rowOff>314325</xdr:rowOff>
        </xdr:from>
        <xdr:to>
          <xdr:col>25</xdr:col>
          <xdr:colOff>504825</xdr:colOff>
          <xdr:row>85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83</xdr:row>
          <xdr:rowOff>314325</xdr:rowOff>
        </xdr:from>
        <xdr:to>
          <xdr:col>25</xdr:col>
          <xdr:colOff>695325</xdr:colOff>
          <xdr:row>85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83</xdr:row>
          <xdr:rowOff>314325</xdr:rowOff>
        </xdr:from>
        <xdr:to>
          <xdr:col>25</xdr:col>
          <xdr:colOff>981075</xdr:colOff>
          <xdr:row>85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83</xdr:row>
          <xdr:rowOff>314325</xdr:rowOff>
        </xdr:from>
        <xdr:to>
          <xdr:col>22</xdr:col>
          <xdr:colOff>981075</xdr:colOff>
          <xdr:row>85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83</xdr:row>
          <xdr:rowOff>314325</xdr:rowOff>
        </xdr:from>
        <xdr:to>
          <xdr:col>22</xdr:col>
          <xdr:colOff>9525</xdr:colOff>
          <xdr:row>85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21</xdr:row>
          <xdr:rowOff>38100</xdr:rowOff>
        </xdr:from>
        <xdr:to>
          <xdr:col>15</xdr:col>
          <xdr:colOff>0</xdr:colOff>
          <xdr:row>21</xdr:row>
          <xdr:rowOff>342900</xdr:rowOff>
        </xdr:to>
        <xdr:sp macro="" textlink="">
          <xdr:nvSpPr>
            <xdr:cNvPr id="1781" name="Spinner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22</xdr:row>
          <xdr:rowOff>9525</xdr:rowOff>
        </xdr:from>
        <xdr:to>
          <xdr:col>15</xdr:col>
          <xdr:colOff>0</xdr:colOff>
          <xdr:row>22</xdr:row>
          <xdr:rowOff>342900</xdr:rowOff>
        </xdr:to>
        <xdr:sp macro="" textlink="">
          <xdr:nvSpPr>
            <xdr:cNvPr id="1825" name="Spinner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23</xdr:row>
          <xdr:rowOff>19050</xdr:rowOff>
        </xdr:from>
        <xdr:to>
          <xdr:col>15</xdr:col>
          <xdr:colOff>0</xdr:colOff>
          <xdr:row>23</xdr:row>
          <xdr:rowOff>333375</xdr:rowOff>
        </xdr:to>
        <xdr:sp macro="" textlink="">
          <xdr:nvSpPr>
            <xdr:cNvPr id="1827" name="Spinner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24</xdr:row>
          <xdr:rowOff>19050</xdr:rowOff>
        </xdr:from>
        <xdr:to>
          <xdr:col>15</xdr:col>
          <xdr:colOff>0</xdr:colOff>
          <xdr:row>24</xdr:row>
          <xdr:rowOff>333375</xdr:rowOff>
        </xdr:to>
        <xdr:sp macro="" textlink="">
          <xdr:nvSpPr>
            <xdr:cNvPr id="1828" name="Spinner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25</xdr:row>
          <xdr:rowOff>19050</xdr:rowOff>
        </xdr:from>
        <xdr:to>
          <xdr:col>15</xdr:col>
          <xdr:colOff>0</xdr:colOff>
          <xdr:row>25</xdr:row>
          <xdr:rowOff>333375</xdr:rowOff>
        </xdr:to>
        <xdr:sp macro="" textlink="">
          <xdr:nvSpPr>
            <xdr:cNvPr id="1829" name="Spinner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26</xdr:row>
          <xdr:rowOff>19050</xdr:rowOff>
        </xdr:from>
        <xdr:to>
          <xdr:col>15</xdr:col>
          <xdr:colOff>0</xdr:colOff>
          <xdr:row>26</xdr:row>
          <xdr:rowOff>333375</xdr:rowOff>
        </xdr:to>
        <xdr:sp macro="" textlink="">
          <xdr:nvSpPr>
            <xdr:cNvPr id="1830" name="Spinner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27</xdr:row>
          <xdr:rowOff>85725</xdr:rowOff>
        </xdr:from>
        <xdr:to>
          <xdr:col>15</xdr:col>
          <xdr:colOff>0</xdr:colOff>
          <xdr:row>27</xdr:row>
          <xdr:rowOff>400050</xdr:rowOff>
        </xdr:to>
        <xdr:sp macro="" textlink="">
          <xdr:nvSpPr>
            <xdr:cNvPr id="1831" name="Spinner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28</xdr:row>
          <xdr:rowOff>9525</xdr:rowOff>
        </xdr:from>
        <xdr:to>
          <xdr:col>14</xdr:col>
          <xdr:colOff>1304925</xdr:colOff>
          <xdr:row>29</xdr:row>
          <xdr:rowOff>0</xdr:rowOff>
        </xdr:to>
        <xdr:sp macro="" textlink="">
          <xdr:nvSpPr>
            <xdr:cNvPr id="1832" name="Spinner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29</xdr:row>
          <xdr:rowOff>76200</xdr:rowOff>
        </xdr:from>
        <xdr:to>
          <xdr:col>15</xdr:col>
          <xdr:colOff>0</xdr:colOff>
          <xdr:row>29</xdr:row>
          <xdr:rowOff>390525</xdr:rowOff>
        </xdr:to>
        <xdr:sp macro="" textlink="">
          <xdr:nvSpPr>
            <xdr:cNvPr id="1833" name="Spinner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30</xdr:row>
          <xdr:rowOff>95250</xdr:rowOff>
        </xdr:from>
        <xdr:to>
          <xdr:col>14</xdr:col>
          <xdr:colOff>1314450</xdr:colOff>
          <xdr:row>30</xdr:row>
          <xdr:rowOff>419100</xdr:rowOff>
        </xdr:to>
        <xdr:sp macro="" textlink="">
          <xdr:nvSpPr>
            <xdr:cNvPr id="1834" name="Spinner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31</xdr:row>
          <xdr:rowOff>19050</xdr:rowOff>
        </xdr:from>
        <xdr:to>
          <xdr:col>15</xdr:col>
          <xdr:colOff>0</xdr:colOff>
          <xdr:row>31</xdr:row>
          <xdr:rowOff>333375</xdr:rowOff>
        </xdr:to>
        <xdr:sp macro="" textlink="">
          <xdr:nvSpPr>
            <xdr:cNvPr id="1835" name="Spinner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32</xdr:row>
          <xdr:rowOff>19050</xdr:rowOff>
        </xdr:from>
        <xdr:to>
          <xdr:col>15</xdr:col>
          <xdr:colOff>0</xdr:colOff>
          <xdr:row>32</xdr:row>
          <xdr:rowOff>333375</xdr:rowOff>
        </xdr:to>
        <xdr:sp macro="" textlink="">
          <xdr:nvSpPr>
            <xdr:cNvPr id="1836" name="Spinner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33</xdr:row>
          <xdr:rowOff>19050</xdr:rowOff>
        </xdr:from>
        <xdr:to>
          <xdr:col>15</xdr:col>
          <xdr:colOff>0</xdr:colOff>
          <xdr:row>33</xdr:row>
          <xdr:rowOff>333375</xdr:rowOff>
        </xdr:to>
        <xdr:sp macro="" textlink="">
          <xdr:nvSpPr>
            <xdr:cNvPr id="1837" name="Spinner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34</xdr:row>
          <xdr:rowOff>19050</xdr:rowOff>
        </xdr:from>
        <xdr:to>
          <xdr:col>15</xdr:col>
          <xdr:colOff>0</xdr:colOff>
          <xdr:row>34</xdr:row>
          <xdr:rowOff>333375</xdr:rowOff>
        </xdr:to>
        <xdr:sp macro="" textlink="">
          <xdr:nvSpPr>
            <xdr:cNvPr id="1838" name="Spinner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36</xdr:row>
          <xdr:rowOff>19050</xdr:rowOff>
        </xdr:from>
        <xdr:to>
          <xdr:col>15</xdr:col>
          <xdr:colOff>0</xdr:colOff>
          <xdr:row>36</xdr:row>
          <xdr:rowOff>333375</xdr:rowOff>
        </xdr:to>
        <xdr:sp macro="" textlink="">
          <xdr:nvSpPr>
            <xdr:cNvPr id="1840" name="Spinner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37</xdr:row>
          <xdr:rowOff>19050</xdr:rowOff>
        </xdr:from>
        <xdr:to>
          <xdr:col>15</xdr:col>
          <xdr:colOff>0</xdr:colOff>
          <xdr:row>37</xdr:row>
          <xdr:rowOff>333375</xdr:rowOff>
        </xdr:to>
        <xdr:sp macro="" textlink="">
          <xdr:nvSpPr>
            <xdr:cNvPr id="1841" name="Spinner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38</xdr:row>
          <xdr:rowOff>19050</xdr:rowOff>
        </xdr:from>
        <xdr:to>
          <xdr:col>15</xdr:col>
          <xdr:colOff>0</xdr:colOff>
          <xdr:row>38</xdr:row>
          <xdr:rowOff>333375</xdr:rowOff>
        </xdr:to>
        <xdr:sp macro="" textlink="">
          <xdr:nvSpPr>
            <xdr:cNvPr id="1842" name="Spinner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39</xdr:row>
          <xdr:rowOff>19050</xdr:rowOff>
        </xdr:from>
        <xdr:to>
          <xdr:col>15</xdr:col>
          <xdr:colOff>0</xdr:colOff>
          <xdr:row>39</xdr:row>
          <xdr:rowOff>333375</xdr:rowOff>
        </xdr:to>
        <xdr:sp macro="" textlink="">
          <xdr:nvSpPr>
            <xdr:cNvPr id="1843" name="Spinner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40</xdr:row>
          <xdr:rowOff>19050</xdr:rowOff>
        </xdr:from>
        <xdr:to>
          <xdr:col>15</xdr:col>
          <xdr:colOff>0</xdr:colOff>
          <xdr:row>40</xdr:row>
          <xdr:rowOff>333375</xdr:rowOff>
        </xdr:to>
        <xdr:sp macro="" textlink="">
          <xdr:nvSpPr>
            <xdr:cNvPr id="1844" name="Spinner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41</xdr:row>
          <xdr:rowOff>19050</xdr:rowOff>
        </xdr:from>
        <xdr:to>
          <xdr:col>15</xdr:col>
          <xdr:colOff>0</xdr:colOff>
          <xdr:row>41</xdr:row>
          <xdr:rowOff>333375</xdr:rowOff>
        </xdr:to>
        <xdr:sp macro="" textlink="">
          <xdr:nvSpPr>
            <xdr:cNvPr id="1845" name="Spinner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42</xdr:row>
          <xdr:rowOff>19050</xdr:rowOff>
        </xdr:from>
        <xdr:to>
          <xdr:col>15</xdr:col>
          <xdr:colOff>0</xdr:colOff>
          <xdr:row>42</xdr:row>
          <xdr:rowOff>333375</xdr:rowOff>
        </xdr:to>
        <xdr:sp macro="" textlink="">
          <xdr:nvSpPr>
            <xdr:cNvPr id="1846" name="Spinner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43</xdr:row>
          <xdr:rowOff>19050</xdr:rowOff>
        </xdr:from>
        <xdr:to>
          <xdr:col>15</xdr:col>
          <xdr:colOff>0</xdr:colOff>
          <xdr:row>43</xdr:row>
          <xdr:rowOff>333375</xdr:rowOff>
        </xdr:to>
        <xdr:sp macro="" textlink="">
          <xdr:nvSpPr>
            <xdr:cNvPr id="1847" name="Spinner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44</xdr:row>
          <xdr:rowOff>19050</xdr:rowOff>
        </xdr:from>
        <xdr:to>
          <xdr:col>15</xdr:col>
          <xdr:colOff>0</xdr:colOff>
          <xdr:row>44</xdr:row>
          <xdr:rowOff>333375</xdr:rowOff>
        </xdr:to>
        <xdr:sp macro="" textlink="">
          <xdr:nvSpPr>
            <xdr:cNvPr id="1848" name="Spinner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45</xdr:row>
          <xdr:rowOff>76200</xdr:rowOff>
        </xdr:from>
        <xdr:to>
          <xdr:col>15</xdr:col>
          <xdr:colOff>0</xdr:colOff>
          <xdr:row>45</xdr:row>
          <xdr:rowOff>390525</xdr:rowOff>
        </xdr:to>
        <xdr:sp macro="" textlink="">
          <xdr:nvSpPr>
            <xdr:cNvPr id="1849" name="Spinner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46</xdr:row>
          <xdr:rowOff>9525</xdr:rowOff>
        </xdr:from>
        <xdr:to>
          <xdr:col>14</xdr:col>
          <xdr:colOff>1323975</xdr:colOff>
          <xdr:row>46</xdr:row>
          <xdr:rowOff>333375</xdr:rowOff>
        </xdr:to>
        <xdr:sp macro="" textlink="">
          <xdr:nvSpPr>
            <xdr:cNvPr id="1850" name="Spinner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47</xdr:row>
          <xdr:rowOff>28575</xdr:rowOff>
        </xdr:from>
        <xdr:to>
          <xdr:col>15</xdr:col>
          <xdr:colOff>0</xdr:colOff>
          <xdr:row>47</xdr:row>
          <xdr:rowOff>333375</xdr:rowOff>
        </xdr:to>
        <xdr:sp macro="" textlink="">
          <xdr:nvSpPr>
            <xdr:cNvPr id="1851" name="Spinner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48</xdr:row>
          <xdr:rowOff>19050</xdr:rowOff>
        </xdr:from>
        <xdr:to>
          <xdr:col>15</xdr:col>
          <xdr:colOff>0</xdr:colOff>
          <xdr:row>48</xdr:row>
          <xdr:rowOff>333375</xdr:rowOff>
        </xdr:to>
        <xdr:sp macro="" textlink="">
          <xdr:nvSpPr>
            <xdr:cNvPr id="1852" name="Spinner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49</xdr:row>
          <xdr:rowOff>19050</xdr:rowOff>
        </xdr:from>
        <xdr:to>
          <xdr:col>15</xdr:col>
          <xdr:colOff>0</xdr:colOff>
          <xdr:row>49</xdr:row>
          <xdr:rowOff>333375</xdr:rowOff>
        </xdr:to>
        <xdr:sp macro="" textlink="">
          <xdr:nvSpPr>
            <xdr:cNvPr id="1853" name="Spinner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50</xdr:row>
          <xdr:rowOff>19050</xdr:rowOff>
        </xdr:from>
        <xdr:to>
          <xdr:col>15</xdr:col>
          <xdr:colOff>0</xdr:colOff>
          <xdr:row>50</xdr:row>
          <xdr:rowOff>333375</xdr:rowOff>
        </xdr:to>
        <xdr:sp macro="" textlink="">
          <xdr:nvSpPr>
            <xdr:cNvPr id="1854" name="Spinner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51</xdr:row>
          <xdr:rowOff>19050</xdr:rowOff>
        </xdr:from>
        <xdr:to>
          <xdr:col>15</xdr:col>
          <xdr:colOff>0</xdr:colOff>
          <xdr:row>51</xdr:row>
          <xdr:rowOff>333375</xdr:rowOff>
        </xdr:to>
        <xdr:sp macro="" textlink="">
          <xdr:nvSpPr>
            <xdr:cNvPr id="1855" name="Spinner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52</xdr:row>
          <xdr:rowOff>19050</xdr:rowOff>
        </xdr:from>
        <xdr:to>
          <xdr:col>15</xdr:col>
          <xdr:colOff>0</xdr:colOff>
          <xdr:row>52</xdr:row>
          <xdr:rowOff>333375</xdr:rowOff>
        </xdr:to>
        <xdr:sp macro="" textlink="">
          <xdr:nvSpPr>
            <xdr:cNvPr id="1856" name="Spinner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53</xdr:row>
          <xdr:rowOff>19050</xdr:rowOff>
        </xdr:from>
        <xdr:to>
          <xdr:col>15</xdr:col>
          <xdr:colOff>0</xdr:colOff>
          <xdr:row>53</xdr:row>
          <xdr:rowOff>333375</xdr:rowOff>
        </xdr:to>
        <xdr:sp macro="" textlink="">
          <xdr:nvSpPr>
            <xdr:cNvPr id="1857" name="Spinner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54</xdr:row>
          <xdr:rowOff>19050</xdr:rowOff>
        </xdr:from>
        <xdr:to>
          <xdr:col>15</xdr:col>
          <xdr:colOff>0</xdr:colOff>
          <xdr:row>54</xdr:row>
          <xdr:rowOff>333375</xdr:rowOff>
        </xdr:to>
        <xdr:sp macro="" textlink="">
          <xdr:nvSpPr>
            <xdr:cNvPr id="1858" name="Spinner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55</xdr:row>
          <xdr:rowOff>19050</xdr:rowOff>
        </xdr:from>
        <xdr:to>
          <xdr:col>15</xdr:col>
          <xdr:colOff>0</xdr:colOff>
          <xdr:row>55</xdr:row>
          <xdr:rowOff>333375</xdr:rowOff>
        </xdr:to>
        <xdr:sp macro="" textlink="">
          <xdr:nvSpPr>
            <xdr:cNvPr id="1859" name="Spinner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56</xdr:row>
          <xdr:rowOff>19050</xdr:rowOff>
        </xdr:from>
        <xdr:to>
          <xdr:col>15</xdr:col>
          <xdr:colOff>0</xdr:colOff>
          <xdr:row>56</xdr:row>
          <xdr:rowOff>333375</xdr:rowOff>
        </xdr:to>
        <xdr:sp macro="" textlink="">
          <xdr:nvSpPr>
            <xdr:cNvPr id="1860" name="Spinner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57</xdr:row>
          <xdr:rowOff>38100</xdr:rowOff>
        </xdr:from>
        <xdr:to>
          <xdr:col>15</xdr:col>
          <xdr:colOff>0</xdr:colOff>
          <xdr:row>57</xdr:row>
          <xdr:rowOff>352425</xdr:rowOff>
        </xdr:to>
        <xdr:sp macro="" textlink="">
          <xdr:nvSpPr>
            <xdr:cNvPr id="1861" name="Spinner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58</xdr:row>
          <xdr:rowOff>19050</xdr:rowOff>
        </xdr:from>
        <xdr:to>
          <xdr:col>14</xdr:col>
          <xdr:colOff>1304925</xdr:colOff>
          <xdr:row>58</xdr:row>
          <xdr:rowOff>342900</xdr:rowOff>
        </xdr:to>
        <xdr:sp macro="" textlink="">
          <xdr:nvSpPr>
            <xdr:cNvPr id="1862" name="Spinner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59</xdr:row>
          <xdr:rowOff>19050</xdr:rowOff>
        </xdr:from>
        <xdr:to>
          <xdr:col>15</xdr:col>
          <xdr:colOff>0</xdr:colOff>
          <xdr:row>59</xdr:row>
          <xdr:rowOff>333375</xdr:rowOff>
        </xdr:to>
        <xdr:sp macro="" textlink="">
          <xdr:nvSpPr>
            <xdr:cNvPr id="1863" name="Spinner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60</xdr:row>
          <xdr:rowOff>19050</xdr:rowOff>
        </xdr:from>
        <xdr:to>
          <xdr:col>15</xdr:col>
          <xdr:colOff>0</xdr:colOff>
          <xdr:row>60</xdr:row>
          <xdr:rowOff>333375</xdr:rowOff>
        </xdr:to>
        <xdr:sp macro="" textlink="">
          <xdr:nvSpPr>
            <xdr:cNvPr id="1864" name="Spinner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61</xdr:row>
          <xdr:rowOff>57150</xdr:rowOff>
        </xdr:from>
        <xdr:to>
          <xdr:col>15</xdr:col>
          <xdr:colOff>0</xdr:colOff>
          <xdr:row>61</xdr:row>
          <xdr:rowOff>371475</xdr:rowOff>
        </xdr:to>
        <xdr:sp macro="" textlink="">
          <xdr:nvSpPr>
            <xdr:cNvPr id="1865" name="Spinner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62</xdr:row>
          <xdr:rowOff>95250</xdr:rowOff>
        </xdr:from>
        <xdr:to>
          <xdr:col>15</xdr:col>
          <xdr:colOff>0</xdr:colOff>
          <xdr:row>62</xdr:row>
          <xdr:rowOff>409575</xdr:rowOff>
        </xdr:to>
        <xdr:sp macro="" textlink="">
          <xdr:nvSpPr>
            <xdr:cNvPr id="1866" name="Spinner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63</xdr:row>
          <xdr:rowOff>123825</xdr:rowOff>
        </xdr:from>
        <xdr:to>
          <xdr:col>15</xdr:col>
          <xdr:colOff>0</xdr:colOff>
          <xdr:row>63</xdr:row>
          <xdr:rowOff>438150</xdr:rowOff>
        </xdr:to>
        <xdr:sp macro="" textlink="">
          <xdr:nvSpPr>
            <xdr:cNvPr id="1867" name="Spinner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64</xdr:row>
          <xdr:rowOff>9525</xdr:rowOff>
        </xdr:from>
        <xdr:to>
          <xdr:col>14</xdr:col>
          <xdr:colOff>1323975</xdr:colOff>
          <xdr:row>64</xdr:row>
          <xdr:rowOff>352425</xdr:rowOff>
        </xdr:to>
        <xdr:sp macro="" textlink="">
          <xdr:nvSpPr>
            <xdr:cNvPr id="1868" name="Spinner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13</xdr:row>
          <xdr:rowOff>104775</xdr:rowOff>
        </xdr:from>
        <xdr:to>
          <xdr:col>3</xdr:col>
          <xdr:colOff>971550</xdr:colOff>
          <xdr:row>13</xdr:row>
          <xdr:rowOff>447675</xdr:rowOff>
        </xdr:to>
        <xdr:sp macro="" textlink="">
          <xdr:nvSpPr>
            <xdr:cNvPr id="1872" name="Spinner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12</xdr:row>
          <xdr:rowOff>85725</xdr:rowOff>
        </xdr:from>
        <xdr:to>
          <xdr:col>3</xdr:col>
          <xdr:colOff>971550</xdr:colOff>
          <xdr:row>12</xdr:row>
          <xdr:rowOff>428625</xdr:rowOff>
        </xdr:to>
        <xdr:sp macro="" textlink="">
          <xdr:nvSpPr>
            <xdr:cNvPr id="1873" name="Spinner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11</xdr:row>
          <xdr:rowOff>85725</xdr:rowOff>
        </xdr:from>
        <xdr:to>
          <xdr:col>3</xdr:col>
          <xdr:colOff>971550</xdr:colOff>
          <xdr:row>11</xdr:row>
          <xdr:rowOff>428625</xdr:rowOff>
        </xdr:to>
        <xdr:sp macro="" textlink="">
          <xdr:nvSpPr>
            <xdr:cNvPr id="1874" name="Spinner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14</xdr:row>
          <xdr:rowOff>85725</xdr:rowOff>
        </xdr:from>
        <xdr:to>
          <xdr:col>3</xdr:col>
          <xdr:colOff>971550</xdr:colOff>
          <xdr:row>14</xdr:row>
          <xdr:rowOff>428625</xdr:rowOff>
        </xdr:to>
        <xdr:sp macro="" textlink="">
          <xdr:nvSpPr>
            <xdr:cNvPr id="1875" name="Spinner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15</xdr:row>
          <xdr:rowOff>85725</xdr:rowOff>
        </xdr:from>
        <xdr:to>
          <xdr:col>3</xdr:col>
          <xdr:colOff>971550</xdr:colOff>
          <xdr:row>15</xdr:row>
          <xdr:rowOff>428625</xdr:rowOff>
        </xdr:to>
        <xdr:sp macro="" textlink="">
          <xdr:nvSpPr>
            <xdr:cNvPr id="1876" name="Spinner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16</xdr:row>
          <xdr:rowOff>85725</xdr:rowOff>
        </xdr:from>
        <xdr:to>
          <xdr:col>3</xdr:col>
          <xdr:colOff>971550</xdr:colOff>
          <xdr:row>16</xdr:row>
          <xdr:rowOff>428625</xdr:rowOff>
        </xdr:to>
        <xdr:sp macro="" textlink="">
          <xdr:nvSpPr>
            <xdr:cNvPr id="1877" name="Spinner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35</xdr:row>
          <xdr:rowOff>19050</xdr:rowOff>
        </xdr:from>
        <xdr:to>
          <xdr:col>15</xdr:col>
          <xdr:colOff>0</xdr:colOff>
          <xdr:row>35</xdr:row>
          <xdr:rowOff>333375</xdr:rowOff>
        </xdr:to>
        <xdr:sp macro="" textlink="">
          <xdr:nvSpPr>
            <xdr:cNvPr id="1878" name="Spinner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76</xdr:row>
          <xdr:rowOff>314325</xdr:rowOff>
        </xdr:from>
        <xdr:to>
          <xdr:col>20</xdr:col>
          <xdr:colOff>800100</xdr:colOff>
          <xdr:row>78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76</xdr:row>
          <xdr:rowOff>314325</xdr:rowOff>
        </xdr:from>
        <xdr:to>
          <xdr:col>20</xdr:col>
          <xdr:colOff>1371600</xdr:colOff>
          <xdr:row>78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76</xdr:row>
          <xdr:rowOff>314325</xdr:rowOff>
        </xdr:from>
        <xdr:to>
          <xdr:col>20</xdr:col>
          <xdr:colOff>990600</xdr:colOff>
          <xdr:row>78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942975</xdr:colOff>
          <xdr:row>76</xdr:row>
          <xdr:rowOff>314325</xdr:rowOff>
        </xdr:from>
        <xdr:to>
          <xdr:col>20</xdr:col>
          <xdr:colOff>1219200</xdr:colOff>
          <xdr:row>78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1314450</xdr:colOff>
          <xdr:row>76</xdr:row>
          <xdr:rowOff>314325</xdr:rowOff>
        </xdr:from>
        <xdr:to>
          <xdr:col>21</xdr:col>
          <xdr:colOff>38100</xdr:colOff>
          <xdr:row>78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76</xdr:row>
          <xdr:rowOff>314325</xdr:rowOff>
        </xdr:from>
        <xdr:to>
          <xdr:col>21</xdr:col>
          <xdr:colOff>314325</xdr:colOff>
          <xdr:row>78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76</xdr:row>
          <xdr:rowOff>314325</xdr:rowOff>
        </xdr:from>
        <xdr:to>
          <xdr:col>21</xdr:col>
          <xdr:colOff>866775</xdr:colOff>
          <xdr:row>78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76</xdr:row>
          <xdr:rowOff>314325</xdr:rowOff>
        </xdr:from>
        <xdr:to>
          <xdr:col>21</xdr:col>
          <xdr:colOff>504825</xdr:colOff>
          <xdr:row>78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76</xdr:row>
          <xdr:rowOff>314325</xdr:rowOff>
        </xdr:from>
        <xdr:to>
          <xdr:col>21</xdr:col>
          <xdr:colOff>695325</xdr:colOff>
          <xdr:row>78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76</xdr:row>
          <xdr:rowOff>314325</xdr:rowOff>
        </xdr:from>
        <xdr:to>
          <xdr:col>22</xdr:col>
          <xdr:colOff>314325</xdr:colOff>
          <xdr:row>78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76</xdr:row>
          <xdr:rowOff>314325</xdr:rowOff>
        </xdr:from>
        <xdr:to>
          <xdr:col>22</xdr:col>
          <xdr:colOff>885825</xdr:colOff>
          <xdr:row>78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76</xdr:row>
          <xdr:rowOff>314325</xdr:rowOff>
        </xdr:from>
        <xdr:to>
          <xdr:col>22</xdr:col>
          <xdr:colOff>504825</xdr:colOff>
          <xdr:row>78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76</xdr:row>
          <xdr:rowOff>314325</xdr:rowOff>
        </xdr:from>
        <xdr:to>
          <xdr:col>22</xdr:col>
          <xdr:colOff>695325</xdr:colOff>
          <xdr:row>78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314325</xdr:rowOff>
        </xdr:from>
        <xdr:to>
          <xdr:col>23</xdr:col>
          <xdr:colOff>314325</xdr:colOff>
          <xdr:row>78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76</xdr:row>
          <xdr:rowOff>314325</xdr:rowOff>
        </xdr:from>
        <xdr:to>
          <xdr:col>23</xdr:col>
          <xdr:colOff>885825</xdr:colOff>
          <xdr:row>78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76</xdr:row>
          <xdr:rowOff>314325</xdr:rowOff>
        </xdr:from>
        <xdr:to>
          <xdr:col>23</xdr:col>
          <xdr:colOff>504825</xdr:colOff>
          <xdr:row>78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76</xdr:row>
          <xdr:rowOff>314325</xdr:rowOff>
        </xdr:from>
        <xdr:to>
          <xdr:col>23</xdr:col>
          <xdr:colOff>695325</xdr:colOff>
          <xdr:row>78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76</xdr:row>
          <xdr:rowOff>314325</xdr:rowOff>
        </xdr:from>
        <xdr:to>
          <xdr:col>23</xdr:col>
          <xdr:colOff>981075</xdr:colOff>
          <xdr:row>78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76</xdr:row>
          <xdr:rowOff>314325</xdr:rowOff>
        </xdr:from>
        <xdr:to>
          <xdr:col>24</xdr:col>
          <xdr:colOff>314325</xdr:colOff>
          <xdr:row>78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76</xdr:row>
          <xdr:rowOff>314325</xdr:rowOff>
        </xdr:from>
        <xdr:to>
          <xdr:col>24</xdr:col>
          <xdr:colOff>885825</xdr:colOff>
          <xdr:row>78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76</xdr:row>
          <xdr:rowOff>314325</xdr:rowOff>
        </xdr:from>
        <xdr:to>
          <xdr:col>24</xdr:col>
          <xdr:colOff>504825</xdr:colOff>
          <xdr:row>78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76</xdr:row>
          <xdr:rowOff>314325</xdr:rowOff>
        </xdr:from>
        <xdr:to>
          <xdr:col>24</xdr:col>
          <xdr:colOff>695325</xdr:colOff>
          <xdr:row>78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76</xdr:row>
          <xdr:rowOff>314325</xdr:rowOff>
        </xdr:from>
        <xdr:to>
          <xdr:col>24</xdr:col>
          <xdr:colOff>981075</xdr:colOff>
          <xdr:row>78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76</xdr:row>
          <xdr:rowOff>314325</xdr:rowOff>
        </xdr:from>
        <xdr:to>
          <xdr:col>25</xdr:col>
          <xdr:colOff>314325</xdr:colOff>
          <xdr:row>78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76</xdr:row>
          <xdr:rowOff>314325</xdr:rowOff>
        </xdr:from>
        <xdr:to>
          <xdr:col>25</xdr:col>
          <xdr:colOff>885825</xdr:colOff>
          <xdr:row>78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76</xdr:row>
          <xdr:rowOff>314325</xdr:rowOff>
        </xdr:from>
        <xdr:to>
          <xdr:col>25</xdr:col>
          <xdr:colOff>504825</xdr:colOff>
          <xdr:row>78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76</xdr:row>
          <xdr:rowOff>314325</xdr:rowOff>
        </xdr:from>
        <xdr:to>
          <xdr:col>25</xdr:col>
          <xdr:colOff>695325</xdr:colOff>
          <xdr:row>78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76</xdr:row>
          <xdr:rowOff>314325</xdr:rowOff>
        </xdr:from>
        <xdr:to>
          <xdr:col>25</xdr:col>
          <xdr:colOff>981075</xdr:colOff>
          <xdr:row>78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76</xdr:row>
          <xdr:rowOff>314325</xdr:rowOff>
        </xdr:from>
        <xdr:to>
          <xdr:col>22</xdr:col>
          <xdr:colOff>981075</xdr:colOff>
          <xdr:row>78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76</xdr:row>
          <xdr:rowOff>314325</xdr:rowOff>
        </xdr:from>
        <xdr:to>
          <xdr:col>22</xdr:col>
          <xdr:colOff>9525</xdr:colOff>
          <xdr:row>78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495300</xdr:colOff>
          <xdr:row>90</xdr:row>
          <xdr:rowOff>314325</xdr:rowOff>
        </xdr:from>
        <xdr:to>
          <xdr:col>20</xdr:col>
          <xdr:colOff>762000</xdr:colOff>
          <xdr:row>92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1066800</xdr:colOff>
          <xdr:row>90</xdr:row>
          <xdr:rowOff>314325</xdr:rowOff>
        </xdr:from>
        <xdr:to>
          <xdr:col>20</xdr:col>
          <xdr:colOff>1333500</xdr:colOff>
          <xdr:row>92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685800</xdr:colOff>
          <xdr:row>90</xdr:row>
          <xdr:rowOff>314325</xdr:rowOff>
        </xdr:from>
        <xdr:to>
          <xdr:col>20</xdr:col>
          <xdr:colOff>952500</xdr:colOff>
          <xdr:row>92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876300</xdr:colOff>
          <xdr:row>90</xdr:row>
          <xdr:rowOff>314325</xdr:rowOff>
        </xdr:from>
        <xdr:to>
          <xdr:col>20</xdr:col>
          <xdr:colOff>1143000</xdr:colOff>
          <xdr:row>92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1247775</xdr:colOff>
          <xdr:row>90</xdr:row>
          <xdr:rowOff>314325</xdr:rowOff>
        </xdr:from>
        <xdr:to>
          <xdr:col>20</xdr:col>
          <xdr:colOff>1428750</xdr:colOff>
          <xdr:row>92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90</xdr:row>
          <xdr:rowOff>314325</xdr:rowOff>
        </xdr:from>
        <xdr:to>
          <xdr:col>21</xdr:col>
          <xdr:colOff>314325</xdr:colOff>
          <xdr:row>92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90</xdr:row>
          <xdr:rowOff>314325</xdr:rowOff>
        </xdr:from>
        <xdr:to>
          <xdr:col>21</xdr:col>
          <xdr:colOff>866775</xdr:colOff>
          <xdr:row>92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90</xdr:row>
          <xdr:rowOff>314325</xdr:rowOff>
        </xdr:from>
        <xdr:to>
          <xdr:col>21</xdr:col>
          <xdr:colOff>504825</xdr:colOff>
          <xdr:row>92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90</xdr:row>
          <xdr:rowOff>314325</xdr:rowOff>
        </xdr:from>
        <xdr:to>
          <xdr:col>21</xdr:col>
          <xdr:colOff>695325</xdr:colOff>
          <xdr:row>92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90</xdr:row>
          <xdr:rowOff>314325</xdr:rowOff>
        </xdr:from>
        <xdr:to>
          <xdr:col>22</xdr:col>
          <xdr:colOff>314325</xdr:colOff>
          <xdr:row>92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90</xdr:row>
          <xdr:rowOff>314325</xdr:rowOff>
        </xdr:from>
        <xdr:to>
          <xdr:col>22</xdr:col>
          <xdr:colOff>885825</xdr:colOff>
          <xdr:row>92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90</xdr:row>
          <xdr:rowOff>314325</xdr:rowOff>
        </xdr:from>
        <xdr:to>
          <xdr:col>22</xdr:col>
          <xdr:colOff>504825</xdr:colOff>
          <xdr:row>92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90</xdr:row>
          <xdr:rowOff>314325</xdr:rowOff>
        </xdr:from>
        <xdr:to>
          <xdr:col>22</xdr:col>
          <xdr:colOff>695325</xdr:colOff>
          <xdr:row>92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90</xdr:row>
          <xdr:rowOff>314325</xdr:rowOff>
        </xdr:from>
        <xdr:to>
          <xdr:col>23</xdr:col>
          <xdr:colOff>314325</xdr:colOff>
          <xdr:row>92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90</xdr:row>
          <xdr:rowOff>314325</xdr:rowOff>
        </xdr:from>
        <xdr:to>
          <xdr:col>23</xdr:col>
          <xdr:colOff>885825</xdr:colOff>
          <xdr:row>92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90</xdr:row>
          <xdr:rowOff>314325</xdr:rowOff>
        </xdr:from>
        <xdr:to>
          <xdr:col>23</xdr:col>
          <xdr:colOff>504825</xdr:colOff>
          <xdr:row>92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90</xdr:row>
          <xdr:rowOff>314325</xdr:rowOff>
        </xdr:from>
        <xdr:to>
          <xdr:col>23</xdr:col>
          <xdr:colOff>695325</xdr:colOff>
          <xdr:row>92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90</xdr:row>
          <xdr:rowOff>314325</xdr:rowOff>
        </xdr:from>
        <xdr:to>
          <xdr:col>23</xdr:col>
          <xdr:colOff>981075</xdr:colOff>
          <xdr:row>92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90</xdr:row>
          <xdr:rowOff>314325</xdr:rowOff>
        </xdr:from>
        <xdr:to>
          <xdr:col>24</xdr:col>
          <xdr:colOff>314325</xdr:colOff>
          <xdr:row>92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90</xdr:row>
          <xdr:rowOff>314325</xdr:rowOff>
        </xdr:from>
        <xdr:to>
          <xdr:col>24</xdr:col>
          <xdr:colOff>885825</xdr:colOff>
          <xdr:row>92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90</xdr:row>
          <xdr:rowOff>314325</xdr:rowOff>
        </xdr:from>
        <xdr:to>
          <xdr:col>24</xdr:col>
          <xdr:colOff>504825</xdr:colOff>
          <xdr:row>92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90</xdr:row>
          <xdr:rowOff>314325</xdr:rowOff>
        </xdr:from>
        <xdr:to>
          <xdr:col>24</xdr:col>
          <xdr:colOff>695325</xdr:colOff>
          <xdr:row>92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90</xdr:row>
          <xdr:rowOff>314325</xdr:rowOff>
        </xdr:from>
        <xdr:to>
          <xdr:col>24</xdr:col>
          <xdr:colOff>981075</xdr:colOff>
          <xdr:row>92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90</xdr:row>
          <xdr:rowOff>314325</xdr:rowOff>
        </xdr:from>
        <xdr:to>
          <xdr:col>25</xdr:col>
          <xdr:colOff>314325</xdr:colOff>
          <xdr:row>92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90</xdr:row>
          <xdr:rowOff>314325</xdr:rowOff>
        </xdr:from>
        <xdr:to>
          <xdr:col>25</xdr:col>
          <xdr:colOff>885825</xdr:colOff>
          <xdr:row>92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90</xdr:row>
          <xdr:rowOff>314325</xdr:rowOff>
        </xdr:from>
        <xdr:to>
          <xdr:col>25</xdr:col>
          <xdr:colOff>504825</xdr:colOff>
          <xdr:row>92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90</xdr:row>
          <xdr:rowOff>314325</xdr:rowOff>
        </xdr:from>
        <xdr:to>
          <xdr:col>25</xdr:col>
          <xdr:colOff>695325</xdr:colOff>
          <xdr:row>92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90</xdr:row>
          <xdr:rowOff>314325</xdr:rowOff>
        </xdr:from>
        <xdr:to>
          <xdr:col>25</xdr:col>
          <xdr:colOff>981075</xdr:colOff>
          <xdr:row>92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90</xdr:row>
          <xdr:rowOff>314325</xdr:rowOff>
        </xdr:from>
        <xdr:to>
          <xdr:col>22</xdr:col>
          <xdr:colOff>981075</xdr:colOff>
          <xdr:row>92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90</xdr:row>
          <xdr:rowOff>314325</xdr:rowOff>
        </xdr:from>
        <xdr:to>
          <xdr:col>22</xdr:col>
          <xdr:colOff>9525</xdr:colOff>
          <xdr:row>92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19050</xdr:rowOff>
    </xdr:from>
    <xdr:to>
      <xdr:col>5</xdr:col>
      <xdr:colOff>590550</xdr:colOff>
      <xdr:row>39</xdr:row>
      <xdr:rowOff>148869</xdr:rowOff>
    </xdr:to>
    <xdr:pic>
      <xdr:nvPicPr>
        <xdr:cNvPr id="3" name="Рисунок 2" descr="C:\Users\plekhanov.aa\AppData\Local\Packages\Microsoft.Windows.Photos_8wekyb3d8bbwe\TempState\ShareServiceTempFolder\Безымянный (1).jpe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0700"/>
          <a:ext cx="3619500" cy="513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15</xdr:row>
      <xdr:rowOff>9524</xdr:rowOff>
    </xdr:from>
    <xdr:to>
      <xdr:col>5</xdr:col>
      <xdr:colOff>590550</xdr:colOff>
      <xdr:row>33</xdr:row>
      <xdr:rowOff>122949</xdr:rowOff>
    </xdr:to>
    <xdr:pic>
      <xdr:nvPicPr>
        <xdr:cNvPr id="2" name="Рисунок 1" descr="C:\Users\plekhanov.aa\AppData\Local\Packages\Microsoft.Windows.Photos_8wekyb3d8bbwe\TempState\ShareServiceTempFolder\Безымянный (2)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752974"/>
          <a:ext cx="3619499" cy="591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28575</xdr:rowOff>
    </xdr:from>
    <xdr:to>
      <xdr:col>5</xdr:col>
      <xdr:colOff>600075</xdr:colOff>
      <xdr:row>50</xdr:row>
      <xdr:rowOff>128234</xdr:rowOff>
    </xdr:to>
    <xdr:pic>
      <xdr:nvPicPr>
        <xdr:cNvPr id="2" name="Рисунок 1" descr="C:\Users\plekhanov.aa\AppData\Local\Packages\Microsoft.Windows.Photos_8wekyb3d8bbwe\TempState\ShareServiceTempFolder\Безымянный (3)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67600"/>
          <a:ext cx="3629025" cy="5976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28575</xdr:rowOff>
    </xdr:from>
    <xdr:to>
      <xdr:col>5</xdr:col>
      <xdr:colOff>585216</xdr:colOff>
      <xdr:row>31</xdr:row>
      <xdr:rowOff>47625</xdr:rowOff>
    </xdr:to>
    <xdr:pic>
      <xdr:nvPicPr>
        <xdr:cNvPr id="2" name="Рисунок 1" descr="C:\Users\plekhanov.aa\AppData\Local\Packages\Microsoft.Windows.Photos_8wekyb3d8bbwe\TempState\ShareServiceTempFolder\Безымянный (4)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24275"/>
          <a:ext cx="3614166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23</xdr:row>
          <xdr:rowOff>28575</xdr:rowOff>
        </xdr:from>
        <xdr:to>
          <xdr:col>16</xdr:col>
          <xdr:colOff>1333500</xdr:colOff>
          <xdr:row>23</xdr:row>
          <xdr:rowOff>371475</xdr:rowOff>
        </xdr:to>
        <xdr:sp macro="" textlink="">
          <xdr:nvSpPr>
            <xdr:cNvPr id="8223" name="Spinner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24</xdr:row>
          <xdr:rowOff>28575</xdr:rowOff>
        </xdr:from>
        <xdr:to>
          <xdr:col>16</xdr:col>
          <xdr:colOff>1333500</xdr:colOff>
          <xdr:row>24</xdr:row>
          <xdr:rowOff>371475</xdr:rowOff>
        </xdr:to>
        <xdr:sp macro="" textlink="">
          <xdr:nvSpPr>
            <xdr:cNvPr id="8224" name="Spinner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25</xdr:row>
          <xdr:rowOff>19050</xdr:rowOff>
        </xdr:from>
        <xdr:to>
          <xdr:col>16</xdr:col>
          <xdr:colOff>1333500</xdr:colOff>
          <xdr:row>25</xdr:row>
          <xdr:rowOff>381000</xdr:rowOff>
        </xdr:to>
        <xdr:sp macro="" textlink="">
          <xdr:nvSpPr>
            <xdr:cNvPr id="8225" name="Spinner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26</xdr:row>
          <xdr:rowOff>28575</xdr:rowOff>
        </xdr:from>
        <xdr:to>
          <xdr:col>16</xdr:col>
          <xdr:colOff>1333500</xdr:colOff>
          <xdr:row>26</xdr:row>
          <xdr:rowOff>371475</xdr:rowOff>
        </xdr:to>
        <xdr:sp macro="" textlink="">
          <xdr:nvSpPr>
            <xdr:cNvPr id="8226" name="Spinner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27</xdr:row>
          <xdr:rowOff>28575</xdr:rowOff>
        </xdr:from>
        <xdr:to>
          <xdr:col>16</xdr:col>
          <xdr:colOff>1333500</xdr:colOff>
          <xdr:row>27</xdr:row>
          <xdr:rowOff>371475</xdr:rowOff>
        </xdr:to>
        <xdr:sp macro="" textlink="">
          <xdr:nvSpPr>
            <xdr:cNvPr id="8227" name="Spinner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28</xdr:row>
          <xdr:rowOff>19050</xdr:rowOff>
        </xdr:from>
        <xdr:to>
          <xdr:col>16</xdr:col>
          <xdr:colOff>1333500</xdr:colOff>
          <xdr:row>28</xdr:row>
          <xdr:rowOff>361950</xdr:rowOff>
        </xdr:to>
        <xdr:sp macro="" textlink="">
          <xdr:nvSpPr>
            <xdr:cNvPr id="8228" name="Spinner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15</xdr:row>
          <xdr:rowOff>95250</xdr:rowOff>
        </xdr:from>
        <xdr:to>
          <xdr:col>4</xdr:col>
          <xdr:colOff>1057275</xdr:colOff>
          <xdr:row>15</xdr:row>
          <xdr:rowOff>438150</xdr:rowOff>
        </xdr:to>
        <xdr:sp macro="" textlink="">
          <xdr:nvSpPr>
            <xdr:cNvPr id="8266" name="Spinner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14</xdr:row>
          <xdr:rowOff>57150</xdr:rowOff>
        </xdr:from>
        <xdr:to>
          <xdr:col>4</xdr:col>
          <xdr:colOff>1057275</xdr:colOff>
          <xdr:row>14</xdr:row>
          <xdr:rowOff>400050</xdr:rowOff>
        </xdr:to>
        <xdr:sp macro="" textlink="">
          <xdr:nvSpPr>
            <xdr:cNvPr id="8267" name="Spinner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13</xdr:row>
          <xdr:rowOff>76200</xdr:rowOff>
        </xdr:from>
        <xdr:to>
          <xdr:col>4</xdr:col>
          <xdr:colOff>1057275</xdr:colOff>
          <xdr:row>13</xdr:row>
          <xdr:rowOff>419100</xdr:rowOff>
        </xdr:to>
        <xdr:sp macro="" textlink="">
          <xdr:nvSpPr>
            <xdr:cNvPr id="8268" name="Spinner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16</xdr:row>
          <xdr:rowOff>66675</xdr:rowOff>
        </xdr:from>
        <xdr:to>
          <xdr:col>4</xdr:col>
          <xdr:colOff>1057275</xdr:colOff>
          <xdr:row>16</xdr:row>
          <xdr:rowOff>409575</xdr:rowOff>
        </xdr:to>
        <xdr:sp macro="" textlink="">
          <xdr:nvSpPr>
            <xdr:cNvPr id="8269" name="Spinner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17</xdr:row>
          <xdr:rowOff>85725</xdr:rowOff>
        </xdr:from>
        <xdr:to>
          <xdr:col>4</xdr:col>
          <xdr:colOff>1057275</xdr:colOff>
          <xdr:row>17</xdr:row>
          <xdr:rowOff>428625</xdr:rowOff>
        </xdr:to>
        <xdr:sp macro="" textlink="">
          <xdr:nvSpPr>
            <xdr:cNvPr id="8270" name="Spinner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742950</xdr:colOff>
          <xdr:row>18</xdr:row>
          <xdr:rowOff>76200</xdr:rowOff>
        </xdr:from>
        <xdr:to>
          <xdr:col>4</xdr:col>
          <xdr:colOff>1057275</xdr:colOff>
          <xdr:row>18</xdr:row>
          <xdr:rowOff>419100</xdr:rowOff>
        </xdr:to>
        <xdr:sp macro="" textlink="">
          <xdr:nvSpPr>
            <xdr:cNvPr id="8271" name="Spinner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7</xdr:row>
          <xdr:rowOff>19050</xdr:rowOff>
        </xdr:from>
        <xdr:to>
          <xdr:col>12</xdr:col>
          <xdr:colOff>1619250</xdr:colOff>
          <xdr:row>7</xdr:row>
          <xdr:rowOff>323850</xdr:rowOff>
        </xdr:to>
        <xdr:sp macro="" textlink="">
          <xdr:nvSpPr>
            <xdr:cNvPr id="8284" name="Spinner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8</xdr:row>
          <xdr:rowOff>19050</xdr:rowOff>
        </xdr:from>
        <xdr:to>
          <xdr:col>12</xdr:col>
          <xdr:colOff>1619250</xdr:colOff>
          <xdr:row>8</xdr:row>
          <xdr:rowOff>323850</xdr:rowOff>
        </xdr:to>
        <xdr:sp macro="" textlink="">
          <xdr:nvSpPr>
            <xdr:cNvPr id="8285" name="Spinner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10</xdr:row>
          <xdr:rowOff>9525</xdr:rowOff>
        </xdr:from>
        <xdr:to>
          <xdr:col>12</xdr:col>
          <xdr:colOff>1619250</xdr:colOff>
          <xdr:row>10</xdr:row>
          <xdr:rowOff>314325</xdr:rowOff>
        </xdr:to>
        <xdr:sp macro="" textlink="">
          <xdr:nvSpPr>
            <xdr:cNvPr id="8287" name="Spinner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9</xdr:row>
          <xdr:rowOff>38100</xdr:rowOff>
        </xdr:from>
        <xdr:to>
          <xdr:col>12</xdr:col>
          <xdr:colOff>1619250</xdr:colOff>
          <xdr:row>9</xdr:row>
          <xdr:rowOff>342900</xdr:rowOff>
        </xdr:to>
        <xdr:sp macro="" textlink="">
          <xdr:nvSpPr>
            <xdr:cNvPr id="8288" name="Spinner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1343025</xdr:colOff>
          <xdr:row>6</xdr:row>
          <xdr:rowOff>104775</xdr:rowOff>
        </xdr:from>
        <xdr:to>
          <xdr:col>12</xdr:col>
          <xdr:colOff>1619250</xdr:colOff>
          <xdr:row>6</xdr:row>
          <xdr:rowOff>419100</xdr:rowOff>
        </xdr:to>
        <xdr:sp macro="" textlink="">
          <xdr:nvSpPr>
            <xdr:cNvPr id="8289" name="Spinner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29</xdr:row>
          <xdr:rowOff>28575</xdr:rowOff>
        </xdr:from>
        <xdr:to>
          <xdr:col>16</xdr:col>
          <xdr:colOff>1333500</xdr:colOff>
          <xdr:row>29</xdr:row>
          <xdr:rowOff>371475</xdr:rowOff>
        </xdr:to>
        <xdr:sp macro="" textlink="">
          <xdr:nvSpPr>
            <xdr:cNvPr id="8293" name="Spinner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30</xdr:row>
          <xdr:rowOff>28575</xdr:rowOff>
        </xdr:from>
        <xdr:to>
          <xdr:col>16</xdr:col>
          <xdr:colOff>1333500</xdr:colOff>
          <xdr:row>30</xdr:row>
          <xdr:rowOff>371475</xdr:rowOff>
        </xdr:to>
        <xdr:sp macro="" textlink="">
          <xdr:nvSpPr>
            <xdr:cNvPr id="8294" name="Spinner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31</xdr:row>
          <xdr:rowOff>28575</xdr:rowOff>
        </xdr:from>
        <xdr:to>
          <xdr:col>16</xdr:col>
          <xdr:colOff>1333500</xdr:colOff>
          <xdr:row>31</xdr:row>
          <xdr:rowOff>371475</xdr:rowOff>
        </xdr:to>
        <xdr:sp macro="" textlink="">
          <xdr:nvSpPr>
            <xdr:cNvPr id="8295" name="Spinner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32</xdr:row>
          <xdr:rowOff>28575</xdr:rowOff>
        </xdr:from>
        <xdr:to>
          <xdr:col>16</xdr:col>
          <xdr:colOff>1333500</xdr:colOff>
          <xdr:row>32</xdr:row>
          <xdr:rowOff>371475</xdr:rowOff>
        </xdr:to>
        <xdr:sp macro="" textlink="">
          <xdr:nvSpPr>
            <xdr:cNvPr id="8296" name="Spinner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33</xdr:row>
          <xdr:rowOff>28575</xdr:rowOff>
        </xdr:from>
        <xdr:to>
          <xdr:col>16</xdr:col>
          <xdr:colOff>1333500</xdr:colOff>
          <xdr:row>33</xdr:row>
          <xdr:rowOff>371475</xdr:rowOff>
        </xdr:to>
        <xdr:sp macro="" textlink="">
          <xdr:nvSpPr>
            <xdr:cNvPr id="8297" name="Spinner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34</xdr:row>
          <xdr:rowOff>28575</xdr:rowOff>
        </xdr:from>
        <xdr:to>
          <xdr:col>16</xdr:col>
          <xdr:colOff>1333500</xdr:colOff>
          <xdr:row>34</xdr:row>
          <xdr:rowOff>371475</xdr:rowOff>
        </xdr:to>
        <xdr:sp macro="" textlink="">
          <xdr:nvSpPr>
            <xdr:cNvPr id="8298" name="Spinner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1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35</xdr:row>
          <xdr:rowOff>28575</xdr:rowOff>
        </xdr:from>
        <xdr:to>
          <xdr:col>16</xdr:col>
          <xdr:colOff>1333500</xdr:colOff>
          <xdr:row>35</xdr:row>
          <xdr:rowOff>371475</xdr:rowOff>
        </xdr:to>
        <xdr:sp macro="" textlink="">
          <xdr:nvSpPr>
            <xdr:cNvPr id="8299" name="Spinner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36</xdr:row>
          <xdr:rowOff>28575</xdr:rowOff>
        </xdr:from>
        <xdr:to>
          <xdr:col>16</xdr:col>
          <xdr:colOff>1333500</xdr:colOff>
          <xdr:row>36</xdr:row>
          <xdr:rowOff>371475</xdr:rowOff>
        </xdr:to>
        <xdr:sp macro="" textlink="">
          <xdr:nvSpPr>
            <xdr:cNvPr id="8300" name="Spinner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1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37</xdr:row>
          <xdr:rowOff>28575</xdr:rowOff>
        </xdr:from>
        <xdr:to>
          <xdr:col>16</xdr:col>
          <xdr:colOff>1333500</xdr:colOff>
          <xdr:row>37</xdr:row>
          <xdr:rowOff>371475</xdr:rowOff>
        </xdr:to>
        <xdr:sp macro="" textlink="">
          <xdr:nvSpPr>
            <xdr:cNvPr id="8301" name="Spinner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1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38</xdr:row>
          <xdr:rowOff>28575</xdr:rowOff>
        </xdr:from>
        <xdr:to>
          <xdr:col>16</xdr:col>
          <xdr:colOff>1333500</xdr:colOff>
          <xdr:row>38</xdr:row>
          <xdr:rowOff>371475</xdr:rowOff>
        </xdr:to>
        <xdr:sp macro="" textlink="">
          <xdr:nvSpPr>
            <xdr:cNvPr id="8302" name="Spinner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1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39</xdr:row>
          <xdr:rowOff>28575</xdr:rowOff>
        </xdr:from>
        <xdr:to>
          <xdr:col>16</xdr:col>
          <xdr:colOff>1333500</xdr:colOff>
          <xdr:row>39</xdr:row>
          <xdr:rowOff>371475</xdr:rowOff>
        </xdr:to>
        <xdr:sp macro="" textlink="">
          <xdr:nvSpPr>
            <xdr:cNvPr id="8303" name="Spinner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40</xdr:row>
          <xdr:rowOff>28575</xdr:rowOff>
        </xdr:from>
        <xdr:to>
          <xdr:col>16</xdr:col>
          <xdr:colOff>1333500</xdr:colOff>
          <xdr:row>40</xdr:row>
          <xdr:rowOff>371475</xdr:rowOff>
        </xdr:to>
        <xdr:sp macro="" textlink="">
          <xdr:nvSpPr>
            <xdr:cNvPr id="8304" name="Spinner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1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41</xdr:row>
          <xdr:rowOff>28575</xdr:rowOff>
        </xdr:from>
        <xdr:to>
          <xdr:col>16</xdr:col>
          <xdr:colOff>1333500</xdr:colOff>
          <xdr:row>41</xdr:row>
          <xdr:rowOff>371475</xdr:rowOff>
        </xdr:to>
        <xdr:sp macro="" textlink="">
          <xdr:nvSpPr>
            <xdr:cNvPr id="8305" name="Spinner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1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42</xdr:row>
          <xdr:rowOff>28575</xdr:rowOff>
        </xdr:from>
        <xdr:to>
          <xdr:col>16</xdr:col>
          <xdr:colOff>1333500</xdr:colOff>
          <xdr:row>42</xdr:row>
          <xdr:rowOff>371475</xdr:rowOff>
        </xdr:to>
        <xdr:sp macro="" textlink="">
          <xdr:nvSpPr>
            <xdr:cNvPr id="8306" name="Spinner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43</xdr:row>
          <xdr:rowOff>28575</xdr:rowOff>
        </xdr:from>
        <xdr:to>
          <xdr:col>16</xdr:col>
          <xdr:colOff>1333500</xdr:colOff>
          <xdr:row>43</xdr:row>
          <xdr:rowOff>371475</xdr:rowOff>
        </xdr:to>
        <xdr:sp macro="" textlink="">
          <xdr:nvSpPr>
            <xdr:cNvPr id="8307" name="Spinner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44</xdr:row>
          <xdr:rowOff>28575</xdr:rowOff>
        </xdr:from>
        <xdr:to>
          <xdr:col>16</xdr:col>
          <xdr:colOff>1333500</xdr:colOff>
          <xdr:row>44</xdr:row>
          <xdr:rowOff>371475</xdr:rowOff>
        </xdr:to>
        <xdr:sp macro="" textlink="">
          <xdr:nvSpPr>
            <xdr:cNvPr id="8308" name="Spinner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45</xdr:row>
          <xdr:rowOff>28575</xdr:rowOff>
        </xdr:from>
        <xdr:to>
          <xdr:col>16</xdr:col>
          <xdr:colOff>1333500</xdr:colOff>
          <xdr:row>45</xdr:row>
          <xdr:rowOff>371475</xdr:rowOff>
        </xdr:to>
        <xdr:sp macro="" textlink="">
          <xdr:nvSpPr>
            <xdr:cNvPr id="8309" name="Spinner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46</xdr:row>
          <xdr:rowOff>28575</xdr:rowOff>
        </xdr:from>
        <xdr:to>
          <xdr:col>16</xdr:col>
          <xdr:colOff>1333500</xdr:colOff>
          <xdr:row>46</xdr:row>
          <xdr:rowOff>371475</xdr:rowOff>
        </xdr:to>
        <xdr:sp macro="" textlink="">
          <xdr:nvSpPr>
            <xdr:cNvPr id="8310" name="Spinner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47</xdr:row>
          <xdr:rowOff>28575</xdr:rowOff>
        </xdr:from>
        <xdr:to>
          <xdr:col>16</xdr:col>
          <xdr:colOff>1333500</xdr:colOff>
          <xdr:row>47</xdr:row>
          <xdr:rowOff>371475</xdr:rowOff>
        </xdr:to>
        <xdr:sp macro="" textlink="">
          <xdr:nvSpPr>
            <xdr:cNvPr id="8311" name="Spinner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48</xdr:row>
          <xdr:rowOff>28575</xdr:rowOff>
        </xdr:from>
        <xdr:to>
          <xdr:col>16</xdr:col>
          <xdr:colOff>1333500</xdr:colOff>
          <xdr:row>48</xdr:row>
          <xdr:rowOff>371475</xdr:rowOff>
        </xdr:to>
        <xdr:sp macro="" textlink="">
          <xdr:nvSpPr>
            <xdr:cNvPr id="8312" name="Spinner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49</xdr:row>
          <xdr:rowOff>28575</xdr:rowOff>
        </xdr:from>
        <xdr:to>
          <xdr:col>16</xdr:col>
          <xdr:colOff>1333500</xdr:colOff>
          <xdr:row>49</xdr:row>
          <xdr:rowOff>371475</xdr:rowOff>
        </xdr:to>
        <xdr:sp macro="" textlink="">
          <xdr:nvSpPr>
            <xdr:cNvPr id="8313" name="Spinner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50</xdr:row>
          <xdr:rowOff>28575</xdr:rowOff>
        </xdr:from>
        <xdr:to>
          <xdr:col>16</xdr:col>
          <xdr:colOff>1333500</xdr:colOff>
          <xdr:row>50</xdr:row>
          <xdr:rowOff>371475</xdr:rowOff>
        </xdr:to>
        <xdr:sp macro="" textlink="">
          <xdr:nvSpPr>
            <xdr:cNvPr id="8315" name="Spinner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51</xdr:row>
          <xdr:rowOff>28575</xdr:rowOff>
        </xdr:from>
        <xdr:to>
          <xdr:col>16</xdr:col>
          <xdr:colOff>1333500</xdr:colOff>
          <xdr:row>51</xdr:row>
          <xdr:rowOff>371475</xdr:rowOff>
        </xdr:to>
        <xdr:sp macro="" textlink="">
          <xdr:nvSpPr>
            <xdr:cNvPr id="8316" name="Spinner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52</xdr:row>
          <xdr:rowOff>28575</xdr:rowOff>
        </xdr:from>
        <xdr:to>
          <xdr:col>16</xdr:col>
          <xdr:colOff>1333500</xdr:colOff>
          <xdr:row>52</xdr:row>
          <xdr:rowOff>371475</xdr:rowOff>
        </xdr:to>
        <xdr:sp macro="" textlink="">
          <xdr:nvSpPr>
            <xdr:cNvPr id="8317" name="Spinner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53</xdr:row>
          <xdr:rowOff>28575</xdr:rowOff>
        </xdr:from>
        <xdr:to>
          <xdr:col>16</xdr:col>
          <xdr:colOff>1333500</xdr:colOff>
          <xdr:row>53</xdr:row>
          <xdr:rowOff>371475</xdr:rowOff>
        </xdr:to>
        <xdr:sp macro="" textlink="">
          <xdr:nvSpPr>
            <xdr:cNvPr id="8318" name="Spinner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54</xdr:row>
          <xdr:rowOff>28575</xdr:rowOff>
        </xdr:from>
        <xdr:to>
          <xdr:col>16</xdr:col>
          <xdr:colOff>1333500</xdr:colOff>
          <xdr:row>54</xdr:row>
          <xdr:rowOff>371475</xdr:rowOff>
        </xdr:to>
        <xdr:sp macro="" textlink="">
          <xdr:nvSpPr>
            <xdr:cNvPr id="8319" name="Spinner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1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55</xdr:row>
          <xdr:rowOff>28575</xdr:rowOff>
        </xdr:from>
        <xdr:to>
          <xdr:col>16</xdr:col>
          <xdr:colOff>1333500</xdr:colOff>
          <xdr:row>55</xdr:row>
          <xdr:rowOff>371475</xdr:rowOff>
        </xdr:to>
        <xdr:sp macro="" textlink="">
          <xdr:nvSpPr>
            <xdr:cNvPr id="8320" name="Spinner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1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56</xdr:row>
          <xdr:rowOff>38100</xdr:rowOff>
        </xdr:from>
        <xdr:to>
          <xdr:col>16</xdr:col>
          <xdr:colOff>1333500</xdr:colOff>
          <xdr:row>56</xdr:row>
          <xdr:rowOff>381000</xdr:rowOff>
        </xdr:to>
        <xdr:sp macro="" textlink="">
          <xdr:nvSpPr>
            <xdr:cNvPr id="8321" name="Spinner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57</xdr:row>
          <xdr:rowOff>38100</xdr:rowOff>
        </xdr:from>
        <xdr:to>
          <xdr:col>16</xdr:col>
          <xdr:colOff>1333500</xdr:colOff>
          <xdr:row>57</xdr:row>
          <xdr:rowOff>381000</xdr:rowOff>
        </xdr:to>
        <xdr:sp macro="" textlink="">
          <xdr:nvSpPr>
            <xdr:cNvPr id="8322" name="Spinner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58</xdr:row>
          <xdr:rowOff>38100</xdr:rowOff>
        </xdr:from>
        <xdr:to>
          <xdr:col>16</xdr:col>
          <xdr:colOff>1333500</xdr:colOff>
          <xdr:row>58</xdr:row>
          <xdr:rowOff>381000</xdr:rowOff>
        </xdr:to>
        <xdr:sp macro="" textlink="">
          <xdr:nvSpPr>
            <xdr:cNvPr id="8323" name="Spinner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1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59</xdr:row>
          <xdr:rowOff>38100</xdr:rowOff>
        </xdr:from>
        <xdr:to>
          <xdr:col>16</xdr:col>
          <xdr:colOff>1333500</xdr:colOff>
          <xdr:row>59</xdr:row>
          <xdr:rowOff>381000</xdr:rowOff>
        </xdr:to>
        <xdr:sp macro="" textlink="">
          <xdr:nvSpPr>
            <xdr:cNvPr id="8324" name="Spinner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60</xdr:row>
          <xdr:rowOff>38100</xdr:rowOff>
        </xdr:from>
        <xdr:to>
          <xdr:col>16</xdr:col>
          <xdr:colOff>1333500</xdr:colOff>
          <xdr:row>60</xdr:row>
          <xdr:rowOff>381000</xdr:rowOff>
        </xdr:to>
        <xdr:sp macro="" textlink="">
          <xdr:nvSpPr>
            <xdr:cNvPr id="8325" name="Spinner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1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61</xdr:row>
          <xdr:rowOff>38100</xdr:rowOff>
        </xdr:from>
        <xdr:to>
          <xdr:col>16</xdr:col>
          <xdr:colOff>1333500</xdr:colOff>
          <xdr:row>61</xdr:row>
          <xdr:rowOff>381000</xdr:rowOff>
        </xdr:to>
        <xdr:sp macro="" textlink="">
          <xdr:nvSpPr>
            <xdr:cNvPr id="8326" name="Spinner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1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62</xdr:row>
          <xdr:rowOff>38100</xdr:rowOff>
        </xdr:from>
        <xdr:to>
          <xdr:col>16</xdr:col>
          <xdr:colOff>1333500</xdr:colOff>
          <xdr:row>62</xdr:row>
          <xdr:rowOff>381000</xdr:rowOff>
        </xdr:to>
        <xdr:sp macro="" textlink="">
          <xdr:nvSpPr>
            <xdr:cNvPr id="8327" name="Spinner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1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63</xdr:row>
          <xdr:rowOff>38100</xdr:rowOff>
        </xdr:from>
        <xdr:to>
          <xdr:col>16</xdr:col>
          <xdr:colOff>1333500</xdr:colOff>
          <xdr:row>63</xdr:row>
          <xdr:rowOff>381000</xdr:rowOff>
        </xdr:to>
        <xdr:sp macro="" textlink="">
          <xdr:nvSpPr>
            <xdr:cNvPr id="8328" name="Spinner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1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64</xdr:row>
          <xdr:rowOff>38100</xdr:rowOff>
        </xdr:from>
        <xdr:to>
          <xdr:col>16</xdr:col>
          <xdr:colOff>1333500</xdr:colOff>
          <xdr:row>64</xdr:row>
          <xdr:rowOff>381000</xdr:rowOff>
        </xdr:to>
        <xdr:sp macro="" textlink="">
          <xdr:nvSpPr>
            <xdr:cNvPr id="8329" name="Spinner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1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65</xdr:row>
          <xdr:rowOff>38100</xdr:rowOff>
        </xdr:from>
        <xdr:to>
          <xdr:col>16</xdr:col>
          <xdr:colOff>1333500</xdr:colOff>
          <xdr:row>65</xdr:row>
          <xdr:rowOff>381000</xdr:rowOff>
        </xdr:to>
        <xdr:sp macro="" textlink="">
          <xdr:nvSpPr>
            <xdr:cNvPr id="8330" name="Spinner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1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1019175</xdr:colOff>
          <xdr:row>66</xdr:row>
          <xdr:rowOff>38100</xdr:rowOff>
        </xdr:from>
        <xdr:to>
          <xdr:col>16</xdr:col>
          <xdr:colOff>1333500</xdr:colOff>
          <xdr:row>66</xdr:row>
          <xdr:rowOff>381000</xdr:rowOff>
        </xdr:to>
        <xdr:sp macro="" textlink="">
          <xdr:nvSpPr>
            <xdr:cNvPr id="8331" name="Spinner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870858</xdr:colOff>
      <xdr:row>1</xdr:row>
      <xdr:rowOff>149679</xdr:rowOff>
    </xdr:from>
    <xdr:to>
      <xdr:col>12</xdr:col>
      <xdr:colOff>677693</xdr:colOff>
      <xdr:row>4</xdr:row>
      <xdr:rowOff>192357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27572" y="449036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1091236</xdr:colOff>
      <xdr:row>1</xdr:row>
      <xdr:rowOff>81643</xdr:rowOff>
    </xdr:from>
    <xdr:to>
      <xdr:col>9</xdr:col>
      <xdr:colOff>693057</xdr:colOff>
      <xdr:row>3</xdr:row>
      <xdr:rowOff>505321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220879" y="381000"/>
          <a:ext cx="4555728" cy="1280928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22</xdr:row>
          <xdr:rowOff>314325</xdr:rowOff>
        </xdr:from>
        <xdr:to>
          <xdr:col>7</xdr:col>
          <xdr:colOff>800100</xdr:colOff>
          <xdr:row>23</xdr:row>
          <xdr:rowOff>438150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22</xdr:row>
          <xdr:rowOff>314325</xdr:rowOff>
        </xdr:from>
        <xdr:to>
          <xdr:col>7</xdr:col>
          <xdr:colOff>276225</xdr:colOff>
          <xdr:row>23</xdr:row>
          <xdr:rowOff>438150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2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723900</xdr:colOff>
          <xdr:row>22</xdr:row>
          <xdr:rowOff>314325</xdr:rowOff>
        </xdr:from>
        <xdr:to>
          <xdr:col>8</xdr:col>
          <xdr:colOff>142875</xdr:colOff>
          <xdr:row>23</xdr:row>
          <xdr:rowOff>438150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22</xdr:row>
          <xdr:rowOff>314325</xdr:rowOff>
        </xdr:from>
        <xdr:to>
          <xdr:col>7</xdr:col>
          <xdr:colOff>409575</xdr:colOff>
          <xdr:row>23</xdr:row>
          <xdr:rowOff>438150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22</xdr:row>
          <xdr:rowOff>314325</xdr:rowOff>
        </xdr:from>
        <xdr:to>
          <xdr:col>7</xdr:col>
          <xdr:colOff>561975</xdr:colOff>
          <xdr:row>23</xdr:row>
          <xdr:rowOff>438150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2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22</xdr:row>
          <xdr:rowOff>314325</xdr:rowOff>
        </xdr:from>
        <xdr:to>
          <xdr:col>8</xdr:col>
          <xdr:colOff>457200</xdr:colOff>
          <xdr:row>23</xdr:row>
          <xdr:rowOff>438150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22</xdr:row>
          <xdr:rowOff>314325</xdr:rowOff>
        </xdr:from>
        <xdr:to>
          <xdr:col>8</xdr:col>
          <xdr:colOff>1009650</xdr:colOff>
          <xdr:row>23</xdr:row>
          <xdr:rowOff>438150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22</xdr:row>
          <xdr:rowOff>314325</xdr:rowOff>
        </xdr:from>
        <xdr:to>
          <xdr:col>8</xdr:col>
          <xdr:colOff>647700</xdr:colOff>
          <xdr:row>23</xdr:row>
          <xdr:rowOff>438150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2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22</xdr:row>
          <xdr:rowOff>314325</xdr:rowOff>
        </xdr:from>
        <xdr:to>
          <xdr:col>8</xdr:col>
          <xdr:colOff>838200</xdr:colOff>
          <xdr:row>23</xdr:row>
          <xdr:rowOff>438150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22</xdr:row>
          <xdr:rowOff>314325</xdr:rowOff>
        </xdr:from>
        <xdr:to>
          <xdr:col>9</xdr:col>
          <xdr:colOff>314325</xdr:colOff>
          <xdr:row>23</xdr:row>
          <xdr:rowOff>438150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22</xdr:row>
          <xdr:rowOff>314325</xdr:rowOff>
        </xdr:from>
        <xdr:to>
          <xdr:col>9</xdr:col>
          <xdr:colOff>885825</xdr:colOff>
          <xdr:row>23</xdr:row>
          <xdr:rowOff>438150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22</xdr:row>
          <xdr:rowOff>314325</xdr:rowOff>
        </xdr:from>
        <xdr:to>
          <xdr:col>9</xdr:col>
          <xdr:colOff>504825</xdr:colOff>
          <xdr:row>23</xdr:row>
          <xdr:rowOff>438150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2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428625</xdr:colOff>
          <xdr:row>22</xdr:row>
          <xdr:rowOff>314325</xdr:rowOff>
        </xdr:from>
        <xdr:to>
          <xdr:col>9</xdr:col>
          <xdr:colOff>695325</xdr:colOff>
          <xdr:row>23</xdr:row>
          <xdr:rowOff>438150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2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22</xdr:row>
          <xdr:rowOff>314325</xdr:rowOff>
        </xdr:from>
        <xdr:to>
          <xdr:col>10</xdr:col>
          <xdr:colOff>314325</xdr:colOff>
          <xdr:row>23</xdr:row>
          <xdr:rowOff>438150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2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22</xdr:row>
          <xdr:rowOff>314325</xdr:rowOff>
        </xdr:from>
        <xdr:to>
          <xdr:col>10</xdr:col>
          <xdr:colOff>885825</xdr:colOff>
          <xdr:row>23</xdr:row>
          <xdr:rowOff>438150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2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22</xdr:row>
          <xdr:rowOff>314325</xdr:rowOff>
        </xdr:from>
        <xdr:to>
          <xdr:col>10</xdr:col>
          <xdr:colOff>504825</xdr:colOff>
          <xdr:row>23</xdr:row>
          <xdr:rowOff>438150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2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22</xdr:row>
          <xdr:rowOff>314325</xdr:rowOff>
        </xdr:from>
        <xdr:to>
          <xdr:col>10</xdr:col>
          <xdr:colOff>695325</xdr:colOff>
          <xdr:row>23</xdr:row>
          <xdr:rowOff>438150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2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800100</xdr:colOff>
          <xdr:row>22</xdr:row>
          <xdr:rowOff>314325</xdr:rowOff>
        </xdr:from>
        <xdr:to>
          <xdr:col>10</xdr:col>
          <xdr:colOff>981075</xdr:colOff>
          <xdr:row>23</xdr:row>
          <xdr:rowOff>438150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2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22</xdr:row>
          <xdr:rowOff>314325</xdr:rowOff>
        </xdr:from>
        <xdr:to>
          <xdr:col>11</xdr:col>
          <xdr:colOff>314325</xdr:colOff>
          <xdr:row>23</xdr:row>
          <xdr:rowOff>438150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2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619125</xdr:colOff>
          <xdr:row>22</xdr:row>
          <xdr:rowOff>314325</xdr:rowOff>
        </xdr:from>
        <xdr:to>
          <xdr:col>11</xdr:col>
          <xdr:colOff>885825</xdr:colOff>
          <xdr:row>23</xdr:row>
          <xdr:rowOff>438150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2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22</xdr:row>
          <xdr:rowOff>314325</xdr:rowOff>
        </xdr:from>
        <xdr:to>
          <xdr:col>11</xdr:col>
          <xdr:colOff>504825</xdr:colOff>
          <xdr:row>23</xdr:row>
          <xdr:rowOff>438150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2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428625</xdr:colOff>
          <xdr:row>22</xdr:row>
          <xdr:rowOff>314325</xdr:rowOff>
        </xdr:from>
        <xdr:to>
          <xdr:col>11</xdr:col>
          <xdr:colOff>695325</xdr:colOff>
          <xdr:row>23</xdr:row>
          <xdr:rowOff>438150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2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22</xdr:row>
          <xdr:rowOff>314325</xdr:rowOff>
        </xdr:from>
        <xdr:to>
          <xdr:col>11</xdr:col>
          <xdr:colOff>981075</xdr:colOff>
          <xdr:row>23</xdr:row>
          <xdr:rowOff>438150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2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22</xdr:row>
          <xdr:rowOff>314325</xdr:rowOff>
        </xdr:from>
        <xdr:to>
          <xdr:col>12</xdr:col>
          <xdr:colOff>314325</xdr:colOff>
          <xdr:row>23</xdr:row>
          <xdr:rowOff>438150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2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619125</xdr:colOff>
          <xdr:row>22</xdr:row>
          <xdr:rowOff>314325</xdr:rowOff>
        </xdr:from>
        <xdr:to>
          <xdr:col>12</xdr:col>
          <xdr:colOff>885825</xdr:colOff>
          <xdr:row>23</xdr:row>
          <xdr:rowOff>438150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2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22</xdr:row>
          <xdr:rowOff>314325</xdr:rowOff>
        </xdr:from>
        <xdr:to>
          <xdr:col>12</xdr:col>
          <xdr:colOff>504825</xdr:colOff>
          <xdr:row>23</xdr:row>
          <xdr:rowOff>438150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2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428625</xdr:colOff>
          <xdr:row>22</xdr:row>
          <xdr:rowOff>314325</xdr:rowOff>
        </xdr:from>
        <xdr:to>
          <xdr:col>12</xdr:col>
          <xdr:colOff>695325</xdr:colOff>
          <xdr:row>23</xdr:row>
          <xdr:rowOff>438150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2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800100</xdr:colOff>
          <xdr:row>22</xdr:row>
          <xdr:rowOff>314325</xdr:rowOff>
        </xdr:from>
        <xdr:to>
          <xdr:col>12</xdr:col>
          <xdr:colOff>981075</xdr:colOff>
          <xdr:row>23</xdr:row>
          <xdr:rowOff>438150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2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22</xdr:row>
          <xdr:rowOff>314325</xdr:rowOff>
        </xdr:from>
        <xdr:to>
          <xdr:col>9</xdr:col>
          <xdr:colOff>981075</xdr:colOff>
          <xdr:row>23</xdr:row>
          <xdr:rowOff>438150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2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914400</xdr:colOff>
          <xdr:row>22</xdr:row>
          <xdr:rowOff>314325</xdr:rowOff>
        </xdr:from>
        <xdr:to>
          <xdr:col>8</xdr:col>
          <xdr:colOff>1181100</xdr:colOff>
          <xdr:row>23</xdr:row>
          <xdr:rowOff>438150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2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571500</xdr:colOff>
          <xdr:row>16</xdr:row>
          <xdr:rowOff>19050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9297" name="Check Box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2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866775</xdr:colOff>
          <xdr:row>16</xdr:row>
          <xdr:rowOff>19050</xdr:rowOff>
        </xdr:from>
        <xdr:to>
          <xdr:col>7</xdr:col>
          <xdr:colOff>276225</xdr:colOff>
          <xdr:row>17</xdr:row>
          <xdr:rowOff>9525</xdr:rowOff>
        </xdr:to>
        <xdr:sp macro="" textlink="">
          <xdr:nvSpPr>
            <xdr:cNvPr id="9298" name="Check Box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2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16</xdr:row>
          <xdr:rowOff>19050</xdr:rowOff>
        </xdr:from>
        <xdr:to>
          <xdr:col>8</xdr:col>
          <xdr:colOff>171450</xdr:colOff>
          <xdr:row>17</xdr:row>
          <xdr:rowOff>9525</xdr:rowOff>
        </xdr:to>
        <xdr:sp macro="" textlink="">
          <xdr:nvSpPr>
            <xdr:cNvPr id="9299" name="Check Box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2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16</xdr:row>
          <xdr:rowOff>19050</xdr:rowOff>
        </xdr:from>
        <xdr:to>
          <xdr:col>7</xdr:col>
          <xdr:colOff>466725</xdr:colOff>
          <xdr:row>17</xdr:row>
          <xdr:rowOff>9525</xdr:rowOff>
        </xdr:to>
        <xdr:sp macro="" textlink="">
          <xdr:nvSpPr>
            <xdr:cNvPr id="9300" name="Check Box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2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16</xdr:row>
          <xdr:rowOff>19050</xdr:rowOff>
        </xdr:from>
        <xdr:to>
          <xdr:col>7</xdr:col>
          <xdr:colOff>542925</xdr:colOff>
          <xdr:row>17</xdr:row>
          <xdr:rowOff>9525</xdr:rowOff>
        </xdr:to>
        <xdr:sp macro="" textlink="">
          <xdr:nvSpPr>
            <xdr:cNvPr id="9301" name="Check Box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2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16</xdr:row>
          <xdr:rowOff>19050</xdr:rowOff>
        </xdr:from>
        <xdr:to>
          <xdr:col>8</xdr:col>
          <xdr:colOff>476250</xdr:colOff>
          <xdr:row>17</xdr:row>
          <xdr:rowOff>9525</xdr:rowOff>
        </xdr:to>
        <xdr:sp macro="" textlink="">
          <xdr:nvSpPr>
            <xdr:cNvPr id="9302" name="Check Box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2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16</xdr:row>
          <xdr:rowOff>19050</xdr:rowOff>
        </xdr:from>
        <xdr:to>
          <xdr:col>8</xdr:col>
          <xdr:colOff>1019175</xdr:colOff>
          <xdr:row>17</xdr:row>
          <xdr:rowOff>9525</xdr:rowOff>
        </xdr:to>
        <xdr:sp macro="" textlink="">
          <xdr:nvSpPr>
            <xdr:cNvPr id="9303" name="Check Box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2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16</xdr:row>
          <xdr:rowOff>19050</xdr:rowOff>
        </xdr:from>
        <xdr:to>
          <xdr:col>8</xdr:col>
          <xdr:colOff>666750</xdr:colOff>
          <xdr:row>17</xdr:row>
          <xdr:rowOff>9525</xdr:rowOff>
        </xdr:to>
        <xdr:sp macro="" textlink="">
          <xdr:nvSpPr>
            <xdr:cNvPr id="9304" name="Check Box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2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16</xdr:row>
          <xdr:rowOff>19050</xdr:rowOff>
        </xdr:from>
        <xdr:to>
          <xdr:col>8</xdr:col>
          <xdr:colOff>857250</xdr:colOff>
          <xdr:row>17</xdr:row>
          <xdr:rowOff>9525</xdr:rowOff>
        </xdr:to>
        <xdr:sp macro="" textlink="">
          <xdr:nvSpPr>
            <xdr:cNvPr id="9305" name="Check Box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2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16</xdr:row>
          <xdr:rowOff>19050</xdr:rowOff>
        </xdr:from>
        <xdr:to>
          <xdr:col>9</xdr:col>
          <xdr:colOff>371475</xdr:colOff>
          <xdr:row>17</xdr:row>
          <xdr:rowOff>9525</xdr:rowOff>
        </xdr:to>
        <xdr:sp macro="" textlink="">
          <xdr:nvSpPr>
            <xdr:cNvPr id="9306" name="Check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2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657225</xdr:colOff>
          <xdr:row>16</xdr:row>
          <xdr:rowOff>19050</xdr:rowOff>
        </xdr:from>
        <xdr:to>
          <xdr:col>9</xdr:col>
          <xdr:colOff>942975</xdr:colOff>
          <xdr:row>17</xdr:row>
          <xdr:rowOff>9525</xdr:rowOff>
        </xdr:to>
        <xdr:sp macro="" textlink="">
          <xdr:nvSpPr>
            <xdr:cNvPr id="9307" name="Check Box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2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16</xdr:row>
          <xdr:rowOff>19050</xdr:rowOff>
        </xdr:from>
        <xdr:to>
          <xdr:col>9</xdr:col>
          <xdr:colOff>561975</xdr:colOff>
          <xdr:row>17</xdr:row>
          <xdr:rowOff>9525</xdr:rowOff>
        </xdr:to>
        <xdr:sp macro="" textlink="">
          <xdr:nvSpPr>
            <xdr:cNvPr id="9308" name="Check Box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2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466725</xdr:colOff>
          <xdr:row>16</xdr:row>
          <xdr:rowOff>19050</xdr:rowOff>
        </xdr:from>
        <xdr:to>
          <xdr:col>9</xdr:col>
          <xdr:colOff>752475</xdr:colOff>
          <xdr:row>17</xdr:row>
          <xdr:rowOff>9525</xdr:rowOff>
        </xdr:to>
        <xdr:sp macro="" textlink="">
          <xdr:nvSpPr>
            <xdr:cNvPr id="9309" name="Check Box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2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16</xdr:row>
          <xdr:rowOff>19050</xdr:rowOff>
        </xdr:from>
        <xdr:to>
          <xdr:col>10</xdr:col>
          <xdr:colOff>371475</xdr:colOff>
          <xdr:row>17</xdr:row>
          <xdr:rowOff>9525</xdr:rowOff>
        </xdr:to>
        <xdr:sp macro="" textlink="">
          <xdr:nvSpPr>
            <xdr:cNvPr id="9310" name="Check Box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2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657225</xdr:colOff>
          <xdr:row>16</xdr:row>
          <xdr:rowOff>19050</xdr:rowOff>
        </xdr:from>
        <xdr:to>
          <xdr:col>10</xdr:col>
          <xdr:colOff>942975</xdr:colOff>
          <xdr:row>17</xdr:row>
          <xdr:rowOff>9525</xdr:rowOff>
        </xdr:to>
        <xdr:sp macro="" textlink="">
          <xdr:nvSpPr>
            <xdr:cNvPr id="9311" name="Check Box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2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16</xdr:row>
          <xdr:rowOff>19050</xdr:rowOff>
        </xdr:from>
        <xdr:to>
          <xdr:col>10</xdr:col>
          <xdr:colOff>561975</xdr:colOff>
          <xdr:row>17</xdr:row>
          <xdr:rowOff>9525</xdr:rowOff>
        </xdr:to>
        <xdr:sp macro="" textlink="">
          <xdr:nvSpPr>
            <xdr:cNvPr id="9312" name="Check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2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16</xdr:row>
          <xdr:rowOff>19050</xdr:rowOff>
        </xdr:from>
        <xdr:to>
          <xdr:col>10</xdr:col>
          <xdr:colOff>752475</xdr:colOff>
          <xdr:row>17</xdr:row>
          <xdr:rowOff>9525</xdr:rowOff>
        </xdr:to>
        <xdr:sp macro="" textlink="">
          <xdr:nvSpPr>
            <xdr:cNvPr id="9313" name="Check Box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2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16</xdr:row>
          <xdr:rowOff>19050</xdr:rowOff>
        </xdr:from>
        <xdr:to>
          <xdr:col>10</xdr:col>
          <xdr:colOff>1038225</xdr:colOff>
          <xdr:row>17</xdr:row>
          <xdr:rowOff>9525</xdr:rowOff>
        </xdr:to>
        <xdr:sp macro="" textlink="">
          <xdr:nvSpPr>
            <xdr:cNvPr id="9314" name="Check Box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2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19050</xdr:rowOff>
        </xdr:from>
        <xdr:to>
          <xdr:col>11</xdr:col>
          <xdr:colOff>371475</xdr:colOff>
          <xdr:row>17</xdr:row>
          <xdr:rowOff>9525</xdr:rowOff>
        </xdr:to>
        <xdr:sp macro="" textlink="">
          <xdr:nvSpPr>
            <xdr:cNvPr id="9315" name="Check Box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2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16</xdr:row>
          <xdr:rowOff>19050</xdr:rowOff>
        </xdr:from>
        <xdr:to>
          <xdr:col>11</xdr:col>
          <xdr:colOff>914400</xdr:colOff>
          <xdr:row>17</xdr:row>
          <xdr:rowOff>9525</xdr:rowOff>
        </xdr:to>
        <xdr:sp macro="" textlink="">
          <xdr:nvSpPr>
            <xdr:cNvPr id="9316" name="Check Box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2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16</xdr:row>
          <xdr:rowOff>19050</xdr:rowOff>
        </xdr:from>
        <xdr:to>
          <xdr:col>11</xdr:col>
          <xdr:colOff>561975</xdr:colOff>
          <xdr:row>17</xdr:row>
          <xdr:rowOff>9525</xdr:rowOff>
        </xdr:to>
        <xdr:sp macro="" textlink="">
          <xdr:nvSpPr>
            <xdr:cNvPr id="9317" name="Check Box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2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466725</xdr:colOff>
          <xdr:row>16</xdr:row>
          <xdr:rowOff>19050</xdr:rowOff>
        </xdr:from>
        <xdr:to>
          <xdr:col>11</xdr:col>
          <xdr:colOff>752475</xdr:colOff>
          <xdr:row>17</xdr:row>
          <xdr:rowOff>9525</xdr:rowOff>
        </xdr:to>
        <xdr:sp macro="" textlink="">
          <xdr:nvSpPr>
            <xdr:cNvPr id="9318" name="Check Box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2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838200</xdr:colOff>
          <xdr:row>16</xdr:row>
          <xdr:rowOff>19050</xdr:rowOff>
        </xdr:from>
        <xdr:to>
          <xdr:col>11</xdr:col>
          <xdr:colOff>1019175</xdr:colOff>
          <xdr:row>17</xdr:row>
          <xdr:rowOff>9525</xdr:rowOff>
        </xdr:to>
        <xdr:sp macro="" textlink="">
          <xdr:nvSpPr>
            <xdr:cNvPr id="9319" name="Check Box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2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16</xdr:row>
          <xdr:rowOff>19050</xdr:rowOff>
        </xdr:from>
        <xdr:to>
          <xdr:col>12</xdr:col>
          <xdr:colOff>371475</xdr:colOff>
          <xdr:row>17</xdr:row>
          <xdr:rowOff>9525</xdr:rowOff>
        </xdr:to>
        <xdr:sp macro="" textlink="">
          <xdr:nvSpPr>
            <xdr:cNvPr id="9320" name="Check Box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2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657225</xdr:colOff>
          <xdr:row>16</xdr:row>
          <xdr:rowOff>19050</xdr:rowOff>
        </xdr:from>
        <xdr:to>
          <xdr:col>12</xdr:col>
          <xdr:colOff>942975</xdr:colOff>
          <xdr:row>17</xdr:row>
          <xdr:rowOff>9525</xdr:rowOff>
        </xdr:to>
        <xdr:sp macro="" textlink="">
          <xdr:nvSpPr>
            <xdr:cNvPr id="9321" name="Check Box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2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16</xdr:row>
          <xdr:rowOff>19050</xdr:rowOff>
        </xdr:from>
        <xdr:to>
          <xdr:col>12</xdr:col>
          <xdr:colOff>561975</xdr:colOff>
          <xdr:row>17</xdr:row>
          <xdr:rowOff>9525</xdr:rowOff>
        </xdr:to>
        <xdr:sp macro="" textlink="">
          <xdr:nvSpPr>
            <xdr:cNvPr id="9322" name="Check Box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2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466725</xdr:colOff>
          <xdr:row>16</xdr:row>
          <xdr:rowOff>19050</xdr:rowOff>
        </xdr:from>
        <xdr:to>
          <xdr:col>12</xdr:col>
          <xdr:colOff>752475</xdr:colOff>
          <xdr:row>17</xdr:row>
          <xdr:rowOff>9525</xdr:rowOff>
        </xdr:to>
        <xdr:sp macro="" textlink="">
          <xdr:nvSpPr>
            <xdr:cNvPr id="9323" name="Check Box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2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838200</xdr:colOff>
          <xdr:row>16</xdr:row>
          <xdr:rowOff>19050</xdr:rowOff>
        </xdr:from>
        <xdr:to>
          <xdr:col>12</xdr:col>
          <xdr:colOff>1038225</xdr:colOff>
          <xdr:row>17</xdr:row>
          <xdr:rowOff>9525</xdr:rowOff>
        </xdr:to>
        <xdr:sp macro="" textlink="">
          <xdr:nvSpPr>
            <xdr:cNvPr id="9324" name="Check Box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2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838200</xdr:colOff>
          <xdr:row>16</xdr:row>
          <xdr:rowOff>19050</xdr:rowOff>
        </xdr:from>
        <xdr:to>
          <xdr:col>9</xdr:col>
          <xdr:colOff>1038225</xdr:colOff>
          <xdr:row>17</xdr:row>
          <xdr:rowOff>9525</xdr:rowOff>
        </xdr:to>
        <xdr:sp macro="" textlink="">
          <xdr:nvSpPr>
            <xdr:cNvPr id="9325" name="Check Box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2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914400</xdr:colOff>
          <xdr:row>16</xdr:row>
          <xdr:rowOff>19050</xdr:rowOff>
        </xdr:from>
        <xdr:to>
          <xdr:col>8</xdr:col>
          <xdr:colOff>1162050</xdr:colOff>
          <xdr:row>17</xdr:row>
          <xdr:rowOff>9525</xdr:rowOff>
        </xdr:to>
        <xdr:sp macro="" textlink="">
          <xdr:nvSpPr>
            <xdr:cNvPr id="9326" name="Check Box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2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29</xdr:row>
          <xdr:rowOff>466725</xdr:rowOff>
        </xdr:from>
        <xdr:to>
          <xdr:col>7</xdr:col>
          <xdr:colOff>790575</xdr:colOff>
          <xdr:row>30</xdr:row>
          <xdr:rowOff>485775</xdr:rowOff>
        </xdr:to>
        <xdr:sp macro="" textlink="">
          <xdr:nvSpPr>
            <xdr:cNvPr id="9327" name="Check Box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2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30</xdr:row>
          <xdr:rowOff>0</xdr:rowOff>
        </xdr:from>
        <xdr:to>
          <xdr:col>7</xdr:col>
          <xdr:colOff>266700</xdr:colOff>
          <xdr:row>30</xdr:row>
          <xdr:rowOff>485775</xdr:rowOff>
        </xdr:to>
        <xdr:sp macro="" textlink="">
          <xdr:nvSpPr>
            <xdr:cNvPr id="9328" name="Check Box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2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714375</xdr:colOff>
          <xdr:row>29</xdr:row>
          <xdr:rowOff>466725</xdr:rowOff>
        </xdr:from>
        <xdr:to>
          <xdr:col>8</xdr:col>
          <xdr:colOff>133350</xdr:colOff>
          <xdr:row>30</xdr:row>
          <xdr:rowOff>485775</xdr:rowOff>
        </xdr:to>
        <xdr:sp macro="" textlink="">
          <xdr:nvSpPr>
            <xdr:cNvPr id="9329" name="Check Box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2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</xdr:row>
          <xdr:rowOff>0</xdr:rowOff>
        </xdr:from>
        <xdr:to>
          <xdr:col>7</xdr:col>
          <xdr:colOff>609600</xdr:colOff>
          <xdr:row>30</xdr:row>
          <xdr:rowOff>485775</xdr:rowOff>
        </xdr:to>
        <xdr:sp macro="" textlink="">
          <xdr:nvSpPr>
            <xdr:cNvPr id="9330" name="Check Box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2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30</xdr:row>
          <xdr:rowOff>0</xdr:rowOff>
        </xdr:from>
        <xdr:to>
          <xdr:col>7</xdr:col>
          <xdr:colOff>314325</xdr:colOff>
          <xdr:row>30</xdr:row>
          <xdr:rowOff>485775</xdr:rowOff>
        </xdr:to>
        <xdr:sp macro="" textlink="">
          <xdr:nvSpPr>
            <xdr:cNvPr id="9331" name="Check Box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2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30</xdr:row>
          <xdr:rowOff>0</xdr:rowOff>
        </xdr:from>
        <xdr:to>
          <xdr:col>8</xdr:col>
          <xdr:colOff>523875</xdr:colOff>
          <xdr:row>30</xdr:row>
          <xdr:rowOff>485775</xdr:rowOff>
        </xdr:to>
        <xdr:sp macro="" textlink="">
          <xdr:nvSpPr>
            <xdr:cNvPr id="9332" name="Check Box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2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809625</xdr:colOff>
          <xdr:row>30</xdr:row>
          <xdr:rowOff>0</xdr:rowOff>
        </xdr:from>
        <xdr:to>
          <xdr:col>8</xdr:col>
          <xdr:colOff>1076325</xdr:colOff>
          <xdr:row>30</xdr:row>
          <xdr:rowOff>485775</xdr:rowOff>
        </xdr:to>
        <xdr:sp macro="" textlink="">
          <xdr:nvSpPr>
            <xdr:cNvPr id="9333" name="Check Box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2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0</xdr:rowOff>
        </xdr:from>
        <xdr:to>
          <xdr:col>8</xdr:col>
          <xdr:colOff>714375</xdr:colOff>
          <xdr:row>30</xdr:row>
          <xdr:rowOff>485775</xdr:rowOff>
        </xdr:to>
        <xdr:sp macro="" textlink="">
          <xdr:nvSpPr>
            <xdr:cNvPr id="9334" name="Check Box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2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30</xdr:row>
          <xdr:rowOff>0</xdr:rowOff>
        </xdr:from>
        <xdr:to>
          <xdr:col>8</xdr:col>
          <xdr:colOff>904875</xdr:colOff>
          <xdr:row>30</xdr:row>
          <xdr:rowOff>485775</xdr:rowOff>
        </xdr:to>
        <xdr:sp macro="" textlink="">
          <xdr:nvSpPr>
            <xdr:cNvPr id="9335" name="Check Box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2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29</xdr:row>
          <xdr:rowOff>466725</xdr:rowOff>
        </xdr:from>
        <xdr:to>
          <xdr:col>9</xdr:col>
          <xdr:colOff>342900</xdr:colOff>
          <xdr:row>30</xdr:row>
          <xdr:rowOff>485775</xdr:rowOff>
        </xdr:to>
        <xdr:sp macro="" textlink="">
          <xdr:nvSpPr>
            <xdr:cNvPr id="9336" name="Check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2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628650</xdr:colOff>
          <xdr:row>30</xdr:row>
          <xdr:rowOff>0</xdr:rowOff>
        </xdr:from>
        <xdr:to>
          <xdr:col>9</xdr:col>
          <xdr:colOff>895350</xdr:colOff>
          <xdr:row>30</xdr:row>
          <xdr:rowOff>485775</xdr:rowOff>
        </xdr:to>
        <xdr:sp macro="" textlink="">
          <xdr:nvSpPr>
            <xdr:cNvPr id="9337" name="Check Box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2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29</xdr:row>
          <xdr:rowOff>466725</xdr:rowOff>
        </xdr:from>
        <xdr:to>
          <xdr:col>9</xdr:col>
          <xdr:colOff>533400</xdr:colOff>
          <xdr:row>30</xdr:row>
          <xdr:rowOff>485775</xdr:rowOff>
        </xdr:to>
        <xdr:sp macro="" textlink="">
          <xdr:nvSpPr>
            <xdr:cNvPr id="9338" name="Check Box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2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29</xdr:row>
          <xdr:rowOff>466725</xdr:rowOff>
        </xdr:from>
        <xdr:to>
          <xdr:col>9</xdr:col>
          <xdr:colOff>723900</xdr:colOff>
          <xdr:row>30</xdr:row>
          <xdr:rowOff>485775</xdr:rowOff>
        </xdr:to>
        <xdr:sp macro="" textlink="">
          <xdr:nvSpPr>
            <xdr:cNvPr id="9339" name="Check Box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2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29</xdr:row>
          <xdr:rowOff>466725</xdr:rowOff>
        </xdr:from>
        <xdr:to>
          <xdr:col>10</xdr:col>
          <xdr:colOff>342900</xdr:colOff>
          <xdr:row>30</xdr:row>
          <xdr:rowOff>485775</xdr:rowOff>
        </xdr:to>
        <xdr:sp macro="" textlink="">
          <xdr:nvSpPr>
            <xdr:cNvPr id="9340" name="Check Box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2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647700</xdr:colOff>
          <xdr:row>29</xdr:row>
          <xdr:rowOff>466725</xdr:rowOff>
        </xdr:from>
        <xdr:to>
          <xdr:col>10</xdr:col>
          <xdr:colOff>914400</xdr:colOff>
          <xdr:row>30</xdr:row>
          <xdr:rowOff>485775</xdr:rowOff>
        </xdr:to>
        <xdr:sp macro="" textlink="">
          <xdr:nvSpPr>
            <xdr:cNvPr id="9341" name="Check Box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2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29</xdr:row>
          <xdr:rowOff>466725</xdr:rowOff>
        </xdr:from>
        <xdr:to>
          <xdr:col>10</xdr:col>
          <xdr:colOff>533400</xdr:colOff>
          <xdr:row>30</xdr:row>
          <xdr:rowOff>485775</xdr:rowOff>
        </xdr:to>
        <xdr:sp macro="" textlink="">
          <xdr:nvSpPr>
            <xdr:cNvPr id="9342" name="Check Box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2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29</xdr:row>
          <xdr:rowOff>466725</xdr:rowOff>
        </xdr:from>
        <xdr:to>
          <xdr:col>10</xdr:col>
          <xdr:colOff>723900</xdr:colOff>
          <xdr:row>30</xdr:row>
          <xdr:rowOff>485775</xdr:rowOff>
        </xdr:to>
        <xdr:sp macro="" textlink="">
          <xdr:nvSpPr>
            <xdr:cNvPr id="9343" name="Check Box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2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828675</xdr:colOff>
          <xdr:row>29</xdr:row>
          <xdr:rowOff>466725</xdr:rowOff>
        </xdr:from>
        <xdr:to>
          <xdr:col>10</xdr:col>
          <xdr:colOff>1009650</xdr:colOff>
          <xdr:row>30</xdr:row>
          <xdr:rowOff>485775</xdr:rowOff>
        </xdr:to>
        <xdr:sp macro="" textlink="">
          <xdr:nvSpPr>
            <xdr:cNvPr id="9344" name="Check Box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2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29</xdr:row>
          <xdr:rowOff>466725</xdr:rowOff>
        </xdr:from>
        <xdr:to>
          <xdr:col>11</xdr:col>
          <xdr:colOff>342900</xdr:colOff>
          <xdr:row>30</xdr:row>
          <xdr:rowOff>485775</xdr:rowOff>
        </xdr:to>
        <xdr:sp macro="" textlink="">
          <xdr:nvSpPr>
            <xdr:cNvPr id="9345" name="Check Box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2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647700</xdr:colOff>
          <xdr:row>29</xdr:row>
          <xdr:rowOff>466725</xdr:rowOff>
        </xdr:from>
        <xdr:to>
          <xdr:col>11</xdr:col>
          <xdr:colOff>914400</xdr:colOff>
          <xdr:row>30</xdr:row>
          <xdr:rowOff>485775</xdr:rowOff>
        </xdr:to>
        <xdr:sp macro="" textlink="">
          <xdr:nvSpPr>
            <xdr:cNvPr id="9346" name="Check Box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2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266700</xdr:colOff>
          <xdr:row>29</xdr:row>
          <xdr:rowOff>466725</xdr:rowOff>
        </xdr:from>
        <xdr:to>
          <xdr:col>11</xdr:col>
          <xdr:colOff>533400</xdr:colOff>
          <xdr:row>30</xdr:row>
          <xdr:rowOff>485775</xdr:rowOff>
        </xdr:to>
        <xdr:sp macro="" textlink="">
          <xdr:nvSpPr>
            <xdr:cNvPr id="9347" name="Check Box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2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29</xdr:row>
          <xdr:rowOff>466725</xdr:rowOff>
        </xdr:from>
        <xdr:to>
          <xdr:col>11</xdr:col>
          <xdr:colOff>723900</xdr:colOff>
          <xdr:row>30</xdr:row>
          <xdr:rowOff>485775</xdr:rowOff>
        </xdr:to>
        <xdr:sp macro="" textlink="">
          <xdr:nvSpPr>
            <xdr:cNvPr id="9348" name="Check Box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2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828675</xdr:colOff>
          <xdr:row>29</xdr:row>
          <xdr:rowOff>466725</xdr:rowOff>
        </xdr:from>
        <xdr:to>
          <xdr:col>11</xdr:col>
          <xdr:colOff>1009650</xdr:colOff>
          <xdr:row>30</xdr:row>
          <xdr:rowOff>485775</xdr:rowOff>
        </xdr:to>
        <xdr:sp macro="" textlink="">
          <xdr:nvSpPr>
            <xdr:cNvPr id="9349" name="Check Box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2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29</xdr:row>
          <xdr:rowOff>466725</xdr:rowOff>
        </xdr:from>
        <xdr:to>
          <xdr:col>12</xdr:col>
          <xdr:colOff>342900</xdr:colOff>
          <xdr:row>30</xdr:row>
          <xdr:rowOff>485775</xdr:rowOff>
        </xdr:to>
        <xdr:sp macro="" textlink="">
          <xdr:nvSpPr>
            <xdr:cNvPr id="9350" name="Check Box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2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29</xdr:row>
          <xdr:rowOff>466725</xdr:rowOff>
        </xdr:from>
        <xdr:to>
          <xdr:col>12</xdr:col>
          <xdr:colOff>914400</xdr:colOff>
          <xdr:row>30</xdr:row>
          <xdr:rowOff>485775</xdr:rowOff>
        </xdr:to>
        <xdr:sp macro="" textlink="">
          <xdr:nvSpPr>
            <xdr:cNvPr id="9351" name="Check Box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2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266700</xdr:colOff>
          <xdr:row>29</xdr:row>
          <xdr:rowOff>466725</xdr:rowOff>
        </xdr:from>
        <xdr:to>
          <xdr:col>12</xdr:col>
          <xdr:colOff>533400</xdr:colOff>
          <xdr:row>30</xdr:row>
          <xdr:rowOff>485775</xdr:rowOff>
        </xdr:to>
        <xdr:sp macro="" textlink="">
          <xdr:nvSpPr>
            <xdr:cNvPr id="9352" name="Check Box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2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457200</xdr:colOff>
          <xdr:row>29</xdr:row>
          <xdr:rowOff>466725</xdr:rowOff>
        </xdr:from>
        <xdr:to>
          <xdr:col>12</xdr:col>
          <xdr:colOff>723900</xdr:colOff>
          <xdr:row>30</xdr:row>
          <xdr:rowOff>485775</xdr:rowOff>
        </xdr:to>
        <xdr:sp macro="" textlink="">
          <xdr:nvSpPr>
            <xdr:cNvPr id="9353" name="Check Box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2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828675</xdr:colOff>
          <xdr:row>29</xdr:row>
          <xdr:rowOff>466725</xdr:rowOff>
        </xdr:from>
        <xdr:to>
          <xdr:col>12</xdr:col>
          <xdr:colOff>1009650</xdr:colOff>
          <xdr:row>30</xdr:row>
          <xdr:rowOff>485775</xdr:rowOff>
        </xdr:to>
        <xdr:sp macro="" textlink="">
          <xdr:nvSpPr>
            <xdr:cNvPr id="9354" name="Check Box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2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828675</xdr:colOff>
          <xdr:row>29</xdr:row>
          <xdr:rowOff>466725</xdr:rowOff>
        </xdr:from>
        <xdr:to>
          <xdr:col>9</xdr:col>
          <xdr:colOff>1009650</xdr:colOff>
          <xdr:row>30</xdr:row>
          <xdr:rowOff>485775</xdr:rowOff>
        </xdr:to>
        <xdr:sp macro="" textlink="">
          <xdr:nvSpPr>
            <xdr:cNvPr id="9355" name="Check Box 13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2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981075</xdr:colOff>
          <xdr:row>30</xdr:row>
          <xdr:rowOff>0</xdr:rowOff>
        </xdr:from>
        <xdr:to>
          <xdr:col>8</xdr:col>
          <xdr:colOff>1228725</xdr:colOff>
          <xdr:row>30</xdr:row>
          <xdr:rowOff>485775</xdr:rowOff>
        </xdr:to>
        <xdr:sp macro="" textlink="">
          <xdr:nvSpPr>
            <xdr:cNvPr id="9356" name="Check Box 14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2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12</xdr:row>
      <xdr:rowOff>9525</xdr:rowOff>
    </xdr:from>
    <xdr:to>
      <xdr:col>5</xdr:col>
      <xdr:colOff>600075</xdr:colOff>
      <xdr:row>30</xdr:row>
      <xdr:rowOff>96283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95625"/>
          <a:ext cx="3629025" cy="44492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352425</xdr:rowOff>
    </xdr:from>
    <xdr:to>
      <xdr:col>5</xdr:col>
      <xdr:colOff>510010</xdr:colOff>
      <xdr:row>22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3834235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19</xdr:col>
      <xdr:colOff>9525</xdr:colOff>
      <xdr:row>15</xdr:row>
      <xdr:rowOff>10647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0"/>
          <a:ext cx="4257675" cy="5354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0</xdr:rowOff>
    </xdr:from>
    <xdr:to>
      <xdr:col>18</xdr:col>
      <xdr:colOff>600076</xdr:colOff>
      <xdr:row>16</xdr:row>
      <xdr:rowOff>19587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0"/>
          <a:ext cx="4219576" cy="5353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28574</xdr:rowOff>
    </xdr:from>
    <xdr:to>
      <xdr:col>5</xdr:col>
      <xdr:colOff>595025</xdr:colOff>
      <xdr:row>30</xdr:row>
      <xdr:rowOff>9524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600699"/>
          <a:ext cx="3623975" cy="4086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11</xdr:row>
      <xdr:rowOff>28574</xdr:rowOff>
    </xdr:from>
    <xdr:to>
      <xdr:col>5</xdr:col>
      <xdr:colOff>600886</xdr:colOff>
      <xdr:row>29</xdr:row>
      <xdr:rowOff>685800</xdr:rowOff>
    </xdr:to>
    <xdr:pic>
      <xdr:nvPicPr>
        <xdr:cNvPr id="2" name="Рисунок 1" descr="C:\Users\plekhanov.aa\AppData\Local\Packages\Microsoft.Windows.Photos_8wekyb3d8bbwe\TempState\ShareServiceTempFolder\Безымянный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248024"/>
          <a:ext cx="3620312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63" Type="http://schemas.openxmlformats.org/officeDocument/2006/relationships/ctrlProp" Target="../ctrlProps/ctrlProp59.xml"/><Relationship Id="rId84" Type="http://schemas.openxmlformats.org/officeDocument/2006/relationships/ctrlProp" Target="../ctrlProps/ctrlProp80.xml"/><Relationship Id="rId138" Type="http://schemas.openxmlformats.org/officeDocument/2006/relationships/ctrlProp" Target="../ctrlProps/ctrlProp134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28" Type="http://schemas.openxmlformats.org/officeDocument/2006/relationships/ctrlProp" Target="../ctrlProps/ctrlProp124.xml"/><Relationship Id="rId144" Type="http://schemas.openxmlformats.org/officeDocument/2006/relationships/ctrlProp" Target="../ctrlProps/ctrlProp140.xml"/><Relationship Id="rId5" Type="http://schemas.openxmlformats.org/officeDocument/2006/relationships/ctrlProp" Target="../ctrlProps/ctrlProp1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18" Type="http://schemas.openxmlformats.org/officeDocument/2006/relationships/ctrlProp" Target="../ctrlProps/ctrlProp114.xml"/><Relationship Id="rId134" Type="http://schemas.openxmlformats.org/officeDocument/2006/relationships/ctrlProp" Target="../ctrlProps/ctrlProp130.xml"/><Relationship Id="rId139" Type="http://schemas.openxmlformats.org/officeDocument/2006/relationships/ctrlProp" Target="../ctrlProps/ctrlProp135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24" Type="http://schemas.openxmlformats.org/officeDocument/2006/relationships/ctrlProp" Target="../ctrlProps/ctrlProp120.xml"/><Relationship Id="rId129" Type="http://schemas.openxmlformats.org/officeDocument/2006/relationships/ctrlProp" Target="../ctrlProps/ctrlProp125.xml"/><Relationship Id="rId54" Type="http://schemas.openxmlformats.org/officeDocument/2006/relationships/ctrlProp" Target="../ctrlProps/ctrlProp50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119" Type="http://schemas.openxmlformats.org/officeDocument/2006/relationships/ctrlProp" Target="../ctrlProps/ctrlProp115.xml"/><Relationship Id="rId44" Type="http://schemas.openxmlformats.org/officeDocument/2006/relationships/ctrlProp" Target="../ctrlProps/ctrlProp40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130" Type="http://schemas.openxmlformats.org/officeDocument/2006/relationships/ctrlProp" Target="../ctrlProps/ctrlProp126.xml"/><Relationship Id="rId135" Type="http://schemas.openxmlformats.org/officeDocument/2006/relationships/ctrlProp" Target="../ctrlProps/ctrlProp131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120" Type="http://schemas.openxmlformats.org/officeDocument/2006/relationships/ctrlProp" Target="../ctrlProps/ctrlProp116.xml"/><Relationship Id="rId125" Type="http://schemas.openxmlformats.org/officeDocument/2006/relationships/ctrlProp" Target="../ctrlProps/ctrlProp121.xml"/><Relationship Id="rId141" Type="http://schemas.openxmlformats.org/officeDocument/2006/relationships/ctrlProp" Target="../ctrlProps/ctrlProp137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131" Type="http://schemas.openxmlformats.org/officeDocument/2006/relationships/ctrlProp" Target="../ctrlProps/ctrlProp127.xml"/><Relationship Id="rId136" Type="http://schemas.openxmlformats.org/officeDocument/2006/relationships/ctrlProp" Target="../ctrlProps/ctrlProp132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27" Type="http://schemas.openxmlformats.org/officeDocument/2006/relationships/ctrlProp" Target="../ctrlProps/ctrlProp12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43" Type="http://schemas.openxmlformats.org/officeDocument/2006/relationships/ctrlProp" Target="../ctrlProps/ctrlProp139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26" Type="http://schemas.openxmlformats.org/officeDocument/2006/relationships/ctrlProp" Target="../ctrlProps/ctrlProp22.xml"/><Relationship Id="rId47" Type="http://schemas.openxmlformats.org/officeDocument/2006/relationships/ctrlProp" Target="../ctrlProps/ctrlProp43.xml"/><Relationship Id="rId68" Type="http://schemas.openxmlformats.org/officeDocument/2006/relationships/ctrlProp" Target="../ctrlProps/ctrlProp64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6" Type="http://schemas.openxmlformats.org/officeDocument/2006/relationships/ctrlProp" Target="../ctrlProps/ctrlProp1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50.xml"/><Relationship Id="rId18" Type="http://schemas.openxmlformats.org/officeDocument/2006/relationships/ctrlProp" Target="../ctrlProps/ctrlProp155.xml"/><Relationship Id="rId26" Type="http://schemas.openxmlformats.org/officeDocument/2006/relationships/ctrlProp" Target="../ctrlProps/ctrlProp163.xml"/><Relationship Id="rId39" Type="http://schemas.openxmlformats.org/officeDocument/2006/relationships/ctrlProp" Target="../ctrlProps/ctrlProp176.xml"/><Relationship Id="rId21" Type="http://schemas.openxmlformats.org/officeDocument/2006/relationships/ctrlProp" Target="../ctrlProps/ctrlProp158.xml"/><Relationship Id="rId34" Type="http://schemas.openxmlformats.org/officeDocument/2006/relationships/ctrlProp" Target="../ctrlProps/ctrlProp171.xml"/><Relationship Id="rId42" Type="http://schemas.openxmlformats.org/officeDocument/2006/relationships/ctrlProp" Target="../ctrlProps/ctrlProp179.xml"/><Relationship Id="rId47" Type="http://schemas.openxmlformats.org/officeDocument/2006/relationships/ctrlProp" Target="../ctrlProps/ctrlProp184.xml"/><Relationship Id="rId50" Type="http://schemas.openxmlformats.org/officeDocument/2006/relationships/ctrlProp" Target="../ctrlProps/ctrlProp187.xml"/><Relationship Id="rId55" Type="http://schemas.openxmlformats.org/officeDocument/2006/relationships/ctrlProp" Target="../ctrlProps/ctrlProp192.xml"/><Relationship Id="rId7" Type="http://schemas.openxmlformats.org/officeDocument/2006/relationships/ctrlProp" Target="../ctrlProps/ctrlProp1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3.xml"/><Relationship Id="rId29" Type="http://schemas.openxmlformats.org/officeDocument/2006/relationships/ctrlProp" Target="../ctrlProps/ctrlProp166.xml"/><Relationship Id="rId11" Type="http://schemas.openxmlformats.org/officeDocument/2006/relationships/ctrlProp" Target="../ctrlProps/ctrlProp148.xml"/><Relationship Id="rId24" Type="http://schemas.openxmlformats.org/officeDocument/2006/relationships/ctrlProp" Target="../ctrlProps/ctrlProp161.xml"/><Relationship Id="rId32" Type="http://schemas.openxmlformats.org/officeDocument/2006/relationships/ctrlProp" Target="../ctrlProps/ctrlProp169.xml"/><Relationship Id="rId37" Type="http://schemas.openxmlformats.org/officeDocument/2006/relationships/ctrlProp" Target="../ctrlProps/ctrlProp174.xml"/><Relationship Id="rId40" Type="http://schemas.openxmlformats.org/officeDocument/2006/relationships/ctrlProp" Target="../ctrlProps/ctrlProp177.xml"/><Relationship Id="rId45" Type="http://schemas.openxmlformats.org/officeDocument/2006/relationships/ctrlProp" Target="../ctrlProps/ctrlProp182.xml"/><Relationship Id="rId53" Type="http://schemas.openxmlformats.org/officeDocument/2006/relationships/ctrlProp" Target="../ctrlProps/ctrlProp190.xml"/><Relationship Id="rId58" Type="http://schemas.openxmlformats.org/officeDocument/2006/relationships/ctrlProp" Target="../ctrlProps/ctrlProp195.xml"/><Relationship Id="rId5" Type="http://schemas.openxmlformats.org/officeDocument/2006/relationships/ctrlProp" Target="../ctrlProps/ctrlProp142.xml"/><Relationship Id="rId19" Type="http://schemas.openxmlformats.org/officeDocument/2006/relationships/ctrlProp" Target="../ctrlProps/ctrlProp156.xml"/><Relationship Id="rId4" Type="http://schemas.openxmlformats.org/officeDocument/2006/relationships/ctrlProp" Target="../ctrlProps/ctrlProp141.xml"/><Relationship Id="rId9" Type="http://schemas.openxmlformats.org/officeDocument/2006/relationships/ctrlProp" Target="../ctrlProps/ctrlProp146.xml"/><Relationship Id="rId14" Type="http://schemas.openxmlformats.org/officeDocument/2006/relationships/ctrlProp" Target="../ctrlProps/ctrlProp151.xml"/><Relationship Id="rId22" Type="http://schemas.openxmlformats.org/officeDocument/2006/relationships/ctrlProp" Target="../ctrlProps/ctrlProp159.xml"/><Relationship Id="rId27" Type="http://schemas.openxmlformats.org/officeDocument/2006/relationships/ctrlProp" Target="../ctrlProps/ctrlProp164.xml"/><Relationship Id="rId30" Type="http://schemas.openxmlformats.org/officeDocument/2006/relationships/ctrlProp" Target="../ctrlProps/ctrlProp167.xml"/><Relationship Id="rId35" Type="http://schemas.openxmlformats.org/officeDocument/2006/relationships/ctrlProp" Target="../ctrlProps/ctrlProp172.xml"/><Relationship Id="rId43" Type="http://schemas.openxmlformats.org/officeDocument/2006/relationships/ctrlProp" Target="../ctrlProps/ctrlProp180.xml"/><Relationship Id="rId48" Type="http://schemas.openxmlformats.org/officeDocument/2006/relationships/ctrlProp" Target="../ctrlProps/ctrlProp185.xml"/><Relationship Id="rId56" Type="http://schemas.openxmlformats.org/officeDocument/2006/relationships/ctrlProp" Target="../ctrlProps/ctrlProp193.xml"/><Relationship Id="rId8" Type="http://schemas.openxmlformats.org/officeDocument/2006/relationships/ctrlProp" Target="../ctrlProps/ctrlProp145.xml"/><Relationship Id="rId51" Type="http://schemas.openxmlformats.org/officeDocument/2006/relationships/ctrlProp" Target="../ctrlProps/ctrlProp18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49.xml"/><Relationship Id="rId17" Type="http://schemas.openxmlformats.org/officeDocument/2006/relationships/ctrlProp" Target="../ctrlProps/ctrlProp154.xml"/><Relationship Id="rId25" Type="http://schemas.openxmlformats.org/officeDocument/2006/relationships/ctrlProp" Target="../ctrlProps/ctrlProp162.xml"/><Relationship Id="rId33" Type="http://schemas.openxmlformats.org/officeDocument/2006/relationships/ctrlProp" Target="../ctrlProps/ctrlProp170.xml"/><Relationship Id="rId38" Type="http://schemas.openxmlformats.org/officeDocument/2006/relationships/ctrlProp" Target="../ctrlProps/ctrlProp175.xml"/><Relationship Id="rId46" Type="http://schemas.openxmlformats.org/officeDocument/2006/relationships/ctrlProp" Target="../ctrlProps/ctrlProp183.xml"/><Relationship Id="rId20" Type="http://schemas.openxmlformats.org/officeDocument/2006/relationships/ctrlProp" Target="../ctrlProps/ctrlProp157.xml"/><Relationship Id="rId41" Type="http://schemas.openxmlformats.org/officeDocument/2006/relationships/ctrlProp" Target="../ctrlProps/ctrlProp178.xml"/><Relationship Id="rId54" Type="http://schemas.openxmlformats.org/officeDocument/2006/relationships/ctrlProp" Target="../ctrlProps/ctrlProp19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3.xml"/><Relationship Id="rId15" Type="http://schemas.openxmlformats.org/officeDocument/2006/relationships/ctrlProp" Target="../ctrlProps/ctrlProp152.xml"/><Relationship Id="rId23" Type="http://schemas.openxmlformats.org/officeDocument/2006/relationships/ctrlProp" Target="../ctrlProps/ctrlProp160.xml"/><Relationship Id="rId28" Type="http://schemas.openxmlformats.org/officeDocument/2006/relationships/ctrlProp" Target="../ctrlProps/ctrlProp165.xml"/><Relationship Id="rId36" Type="http://schemas.openxmlformats.org/officeDocument/2006/relationships/ctrlProp" Target="../ctrlProps/ctrlProp173.xml"/><Relationship Id="rId49" Type="http://schemas.openxmlformats.org/officeDocument/2006/relationships/ctrlProp" Target="../ctrlProps/ctrlProp186.xml"/><Relationship Id="rId57" Type="http://schemas.openxmlformats.org/officeDocument/2006/relationships/ctrlProp" Target="../ctrlProps/ctrlProp194.xml"/><Relationship Id="rId10" Type="http://schemas.openxmlformats.org/officeDocument/2006/relationships/ctrlProp" Target="../ctrlProps/ctrlProp147.xml"/><Relationship Id="rId31" Type="http://schemas.openxmlformats.org/officeDocument/2006/relationships/ctrlProp" Target="../ctrlProps/ctrlProp168.xml"/><Relationship Id="rId44" Type="http://schemas.openxmlformats.org/officeDocument/2006/relationships/ctrlProp" Target="../ctrlProps/ctrlProp181.xml"/><Relationship Id="rId52" Type="http://schemas.openxmlformats.org/officeDocument/2006/relationships/ctrlProp" Target="../ctrlProps/ctrlProp189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18.xml"/><Relationship Id="rId21" Type="http://schemas.openxmlformats.org/officeDocument/2006/relationships/ctrlProp" Target="../ctrlProps/ctrlProp213.xml"/><Relationship Id="rId42" Type="http://schemas.openxmlformats.org/officeDocument/2006/relationships/ctrlProp" Target="../ctrlProps/ctrlProp234.xml"/><Relationship Id="rId47" Type="http://schemas.openxmlformats.org/officeDocument/2006/relationships/ctrlProp" Target="../ctrlProps/ctrlProp239.xml"/><Relationship Id="rId63" Type="http://schemas.openxmlformats.org/officeDocument/2006/relationships/ctrlProp" Target="../ctrlProps/ctrlProp255.xml"/><Relationship Id="rId68" Type="http://schemas.openxmlformats.org/officeDocument/2006/relationships/ctrlProp" Target="../ctrlProps/ctrlProp260.xml"/><Relationship Id="rId84" Type="http://schemas.openxmlformats.org/officeDocument/2006/relationships/ctrlProp" Target="../ctrlProps/ctrlProp276.xml"/><Relationship Id="rId89" Type="http://schemas.openxmlformats.org/officeDocument/2006/relationships/ctrlProp" Target="../ctrlProps/ctrlProp281.xml"/><Relationship Id="rId16" Type="http://schemas.openxmlformats.org/officeDocument/2006/relationships/ctrlProp" Target="../ctrlProps/ctrlProp208.xml"/><Relationship Id="rId11" Type="http://schemas.openxmlformats.org/officeDocument/2006/relationships/ctrlProp" Target="../ctrlProps/ctrlProp203.xml"/><Relationship Id="rId32" Type="http://schemas.openxmlformats.org/officeDocument/2006/relationships/ctrlProp" Target="../ctrlProps/ctrlProp224.xml"/><Relationship Id="rId37" Type="http://schemas.openxmlformats.org/officeDocument/2006/relationships/ctrlProp" Target="../ctrlProps/ctrlProp229.xml"/><Relationship Id="rId53" Type="http://schemas.openxmlformats.org/officeDocument/2006/relationships/ctrlProp" Target="../ctrlProps/ctrlProp245.xml"/><Relationship Id="rId58" Type="http://schemas.openxmlformats.org/officeDocument/2006/relationships/ctrlProp" Target="../ctrlProps/ctrlProp250.xml"/><Relationship Id="rId74" Type="http://schemas.openxmlformats.org/officeDocument/2006/relationships/ctrlProp" Target="../ctrlProps/ctrlProp266.xml"/><Relationship Id="rId79" Type="http://schemas.openxmlformats.org/officeDocument/2006/relationships/ctrlProp" Target="../ctrlProps/ctrlProp271.xml"/><Relationship Id="rId5" Type="http://schemas.openxmlformats.org/officeDocument/2006/relationships/ctrlProp" Target="../ctrlProps/ctrlProp197.xml"/><Relationship Id="rId90" Type="http://schemas.openxmlformats.org/officeDocument/2006/relationships/ctrlProp" Target="../ctrlProps/ctrlProp282.xml"/><Relationship Id="rId22" Type="http://schemas.openxmlformats.org/officeDocument/2006/relationships/ctrlProp" Target="../ctrlProps/ctrlProp214.xml"/><Relationship Id="rId27" Type="http://schemas.openxmlformats.org/officeDocument/2006/relationships/ctrlProp" Target="../ctrlProps/ctrlProp219.xml"/><Relationship Id="rId43" Type="http://schemas.openxmlformats.org/officeDocument/2006/relationships/ctrlProp" Target="../ctrlProps/ctrlProp235.xml"/><Relationship Id="rId48" Type="http://schemas.openxmlformats.org/officeDocument/2006/relationships/ctrlProp" Target="../ctrlProps/ctrlProp240.xml"/><Relationship Id="rId64" Type="http://schemas.openxmlformats.org/officeDocument/2006/relationships/ctrlProp" Target="../ctrlProps/ctrlProp256.xml"/><Relationship Id="rId69" Type="http://schemas.openxmlformats.org/officeDocument/2006/relationships/ctrlProp" Target="../ctrlProps/ctrlProp261.xml"/><Relationship Id="rId8" Type="http://schemas.openxmlformats.org/officeDocument/2006/relationships/ctrlProp" Target="../ctrlProps/ctrlProp200.xml"/><Relationship Id="rId51" Type="http://schemas.openxmlformats.org/officeDocument/2006/relationships/ctrlProp" Target="../ctrlProps/ctrlProp243.xml"/><Relationship Id="rId72" Type="http://schemas.openxmlformats.org/officeDocument/2006/relationships/ctrlProp" Target="../ctrlProps/ctrlProp264.xml"/><Relationship Id="rId80" Type="http://schemas.openxmlformats.org/officeDocument/2006/relationships/ctrlProp" Target="../ctrlProps/ctrlProp272.xml"/><Relationship Id="rId85" Type="http://schemas.openxmlformats.org/officeDocument/2006/relationships/ctrlProp" Target="../ctrlProps/ctrlProp277.xml"/><Relationship Id="rId93" Type="http://schemas.openxmlformats.org/officeDocument/2006/relationships/ctrlProp" Target="../ctrlProps/ctrlProp285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204.xml"/><Relationship Id="rId17" Type="http://schemas.openxmlformats.org/officeDocument/2006/relationships/ctrlProp" Target="../ctrlProps/ctrlProp209.xml"/><Relationship Id="rId25" Type="http://schemas.openxmlformats.org/officeDocument/2006/relationships/ctrlProp" Target="../ctrlProps/ctrlProp217.xml"/><Relationship Id="rId33" Type="http://schemas.openxmlformats.org/officeDocument/2006/relationships/ctrlProp" Target="../ctrlProps/ctrlProp225.xml"/><Relationship Id="rId38" Type="http://schemas.openxmlformats.org/officeDocument/2006/relationships/ctrlProp" Target="../ctrlProps/ctrlProp230.xml"/><Relationship Id="rId46" Type="http://schemas.openxmlformats.org/officeDocument/2006/relationships/ctrlProp" Target="../ctrlProps/ctrlProp238.xml"/><Relationship Id="rId59" Type="http://schemas.openxmlformats.org/officeDocument/2006/relationships/ctrlProp" Target="../ctrlProps/ctrlProp251.xml"/><Relationship Id="rId67" Type="http://schemas.openxmlformats.org/officeDocument/2006/relationships/ctrlProp" Target="../ctrlProps/ctrlProp259.xml"/><Relationship Id="rId20" Type="http://schemas.openxmlformats.org/officeDocument/2006/relationships/ctrlProp" Target="../ctrlProps/ctrlProp212.xml"/><Relationship Id="rId41" Type="http://schemas.openxmlformats.org/officeDocument/2006/relationships/ctrlProp" Target="../ctrlProps/ctrlProp233.xml"/><Relationship Id="rId54" Type="http://schemas.openxmlformats.org/officeDocument/2006/relationships/ctrlProp" Target="../ctrlProps/ctrlProp246.xml"/><Relationship Id="rId62" Type="http://schemas.openxmlformats.org/officeDocument/2006/relationships/ctrlProp" Target="../ctrlProps/ctrlProp254.xml"/><Relationship Id="rId70" Type="http://schemas.openxmlformats.org/officeDocument/2006/relationships/ctrlProp" Target="../ctrlProps/ctrlProp262.xml"/><Relationship Id="rId75" Type="http://schemas.openxmlformats.org/officeDocument/2006/relationships/ctrlProp" Target="../ctrlProps/ctrlProp267.xml"/><Relationship Id="rId83" Type="http://schemas.openxmlformats.org/officeDocument/2006/relationships/ctrlProp" Target="../ctrlProps/ctrlProp275.xml"/><Relationship Id="rId88" Type="http://schemas.openxmlformats.org/officeDocument/2006/relationships/ctrlProp" Target="../ctrlProps/ctrlProp280.xml"/><Relationship Id="rId91" Type="http://schemas.openxmlformats.org/officeDocument/2006/relationships/ctrlProp" Target="../ctrlProps/ctrlProp28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8.xml"/><Relationship Id="rId15" Type="http://schemas.openxmlformats.org/officeDocument/2006/relationships/ctrlProp" Target="../ctrlProps/ctrlProp207.xml"/><Relationship Id="rId23" Type="http://schemas.openxmlformats.org/officeDocument/2006/relationships/ctrlProp" Target="../ctrlProps/ctrlProp215.xml"/><Relationship Id="rId28" Type="http://schemas.openxmlformats.org/officeDocument/2006/relationships/ctrlProp" Target="../ctrlProps/ctrlProp220.xml"/><Relationship Id="rId36" Type="http://schemas.openxmlformats.org/officeDocument/2006/relationships/ctrlProp" Target="../ctrlProps/ctrlProp228.xml"/><Relationship Id="rId49" Type="http://schemas.openxmlformats.org/officeDocument/2006/relationships/ctrlProp" Target="../ctrlProps/ctrlProp241.xml"/><Relationship Id="rId57" Type="http://schemas.openxmlformats.org/officeDocument/2006/relationships/ctrlProp" Target="../ctrlProps/ctrlProp249.xml"/><Relationship Id="rId10" Type="http://schemas.openxmlformats.org/officeDocument/2006/relationships/ctrlProp" Target="../ctrlProps/ctrlProp202.xml"/><Relationship Id="rId31" Type="http://schemas.openxmlformats.org/officeDocument/2006/relationships/ctrlProp" Target="../ctrlProps/ctrlProp223.xml"/><Relationship Id="rId44" Type="http://schemas.openxmlformats.org/officeDocument/2006/relationships/ctrlProp" Target="../ctrlProps/ctrlProp236.xml"/><Relationship Id="rId52" Type="http://schemas.openxmlformats.org/officeDocument/2006/relationships/ctrlProp" Target="../ctrlProps/ctrlProp244.xml"/><Relationship Id="rId60" Type="http://schemas.openxmlformats.org/officeDocument/2006/relationships/ctrlProp" Target="../ctrlProps/ctrlProp252.xml"/><Relationship Id="rId65" Type="http://schemas.openxmlformats.org/officeDocument/2006/relationships/ctrlProp" Target="../ctrlProps/ctrlProp257.xml"/><Relationship Id="rId73" Type="http://schemas.openxmlformats.org/officeDocument/2006/relationships/ctrlProp" Target="../ctrlProps/ctrlProp265.xml"/><Relationship Id="rId78" Type="http://schemas.openxmlformats.org/officeDocument/2006/relationships/ctrlProp" Target="../ctrlProps/ctrlProp270.xml"/><Relationship Id="rId81" Type="http://schemas.openxmlformats.org/officeDocument/2006/relationships/ctrlProp" Target="../ctrlProps/ctrlProp273.xml"/><Relationship Id="rId86" Type="http://schemas.openxmlformats.org/officeDocument/2006/relationships/ctrlProp" Target="../ctrlProps/ctrlProp278.xml"/><Relationship Id="rId4" Type="http://schemas.openxmlformats.org/officeDocument/2006/relationships/ctrlProp" Target="../ctrlProps/ctrlProp196.xml"/><Relationship Id="rId9" Type="http://schemas.openxmlformats.org/officeDocument/2006/relationships/ctrlProp" Target="../ctrlProps/ctrlProp201.xml"/><Relationship Id="rId13" Type="http://schemas.openxmlformats.org/officeDocument/2006/relationships/ctrlProp" Target="../ctrlProps/ctrlProp205.xml"/><Relationship Id="rId18" Type="http://schemas.openxmlformats.org/officeDocument/2006/relationships/ctrlProp" Target="../ctrlProps/ctrlProp210.xml"/><Relationship Id="rId39" Type="http://schemas.openxmlformats.org/officeDocument/2006/relationships/ctrlProp" Target="../ctrlProps/ctrlProp231.xml"/><Relationship Id="rId34" Type="http://schemas.openxmlformats.org/officeDocument/2006/relationships/ctrlProp" Target="../ctrlProps/ctrlProp226.xml"/><Relationship Id="rId50" Type="http://schemas.openxmlformats.org/officeDocument/2006/relationships/ctrlProp" Target="../ctrlProps/ctrlProp242.xml"/><Relationship Id="rId55" Type="http://schemas.openxmlformats.org/officeDocument/2006/relationships/ctrlProp" Target="../ctrlProps/ctrlProp247.xml"/><Relationship Id="rId76" Type="http://schemas.openxmlformats.org/officeDocument/2006/relationships/ctrlProp" Target="../ctrlProps/ctrlProp268.xml"/><Relationship Id="rId7" Type="http://schemas.openxmlformats.org/officeDocument/2006/relationships/ctrlProp" Target="../ctrlProps/ctrlProp199.xml"/><Relationship Id="rId71" Type="http://schemas.openxmlformats.org/officeDocument/2006/relationships/ctrlProp" Target="../ctrlProps/ctrlProp263.xml"/><Relationship Id="rId92" Type="http://schemas.openxmlformats.org/officeDocument/2006/relationships/ctrlProp" Target="../ctrlProps/ctrlProp284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21.xml"/><Relationship Id="rId24" Type="http://schemas.openxmlformats.org/officeDocument/2006/relationships/ctrlProp" Target="../ctrlProps/ctrlProp216.xml"/><Relationship Id="rId40" Type="http://schemas.openxmlformats.org/officeDocument/2006/relationships/ctrlProp" Target="../ctrlProps/ctrlProp232.xml"/><Relationship Id="rId45" Type="http://schemas.openxmlformats.org/officeDocument/2006/relationships/ctrlProp" Target="../ctrlProps/ctrlProp237.xml"/><Relationship Id="rId66" Type="http://schemas.openxmlformats.org/officeDocument/2006/relationships/ctrlProp" Target="../ctrlProps/ctrlProp258.xml"/><Relationship Id="rId87" Type="http://schemas.openxmlformats.org/officeDocument/2006/relationships/ctrlProp" Target="../ctrlProps/ctrlProp279.xml"/><Relationship Id="rId61" Type="http://schemas.openxmlformats.org/officeDocument/2006/relationships/ctrlProp" Target="../ctrlProps/ctrlProp253.xml"/><Relationship Id="rId82" Type="http://schemas.openxmlformats.org/officeDocument/2006/relationships/ctrlProp" Target="../ctrlProps/ctrlProp274.xml"/><Relationship Id="rId19" Type="http://schemas.openxmlformats.org/officeDocument/2006/relationships/ctrlProp" Target="../ctrlProps/ctrlProp211.xml"/><Relationship Id="rId14" Type="http://schemas.openxmlformats.org/officeDocument/2006/relationships/ctrlProp" Target="../ctrlProps/ctrlProp206.xml"/><Relationship Id="rId30" Type="http://schemas.openxmlformats.org/officeDocument/2006/relationships/ctrlProp" Target="../ctrlProps/ctrlProp222.xml"/><Relationship Id="rId35" Type="http://schemas.openxmlformats.org/officeDocument/2006/relationships/ctrlProp" Target="../ctrlProps/ctrlProp227.xml"/><Relationship Id="rId56" Type="http://schemas.openxmlformats.org/officeDocument/2006/relationships/ctrlProp" Target="../ctrlProps/ctrlProp248.xml"/><Relationship Id="rId77" Type="http://schemas.openxmlformats.org/officeDocument/2006/relationships/ctrlProp" Target="../ctrlProps/ctrlProp26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P167"/>
  <sheetViews>
    <sheetView zoomScale="80" zoomScaleNormal="80" workbookViewId="0">
      <selection activeCell="Q23" sqref="Q23"/>
    </sheetView>
  </sheetViews>
  <sheetFormatPr defaultColWidth="15.140625" defaultRowHeight="137.25" customHeight="1"/>
  <cols>
    <col min="1" max="1" width="4.42578125" style="24" customWidth="1"/>
    <col min="2" max="2" width="4.7109375" style="3" customWidth="1"/>
    <col min="3" max="3" width="22.5703125" style="3" customWidth="1"/>
    <col min="4" max="4" width="15.140625" style="3"/>
    <col min="5" max="5" width="18.5703125" style="3" customWidth="1"/>
    <col min="6" max="6" width="13.85546875" style="3" customWidth="1"/>
    <col min="7" max="7" width="15.5703125" style="3" customWidth="1"/>
    <col min="8" max="8" width="15.140625" style="3"/>
    <col min="9" max="9" width="18.5703125" style="3" customWidth="1"/>
    <col min="10" max="10" width="16.42578125" style="3" customWidth="1"/>
    <col min="11" max="11" width="18" style="3" customWidth="1"/>
    <col min="12" max="12" width="15.140625" style="3"/>
    <col min="13" max="13" width="16" style="3" customWidth="1"/>
    <col min="14" max="14" width="15.140625" style="3"/>
    <col min="15" max="15" width="19.85546875" style="3" customWidth="1"/>
    <col min="16" max="16" width="16.7109375" style="3" customWidth="1"/>
    <col min="17" max="17" width="16.28515625" style="3" customWidth="1"/>
    <col min="18" max="18" width="20.28515625" style="3" customWidth="1"/>
    <col min="19" max="19" width="21.7109375" style="3" bestFit="1" customWidth="1"/>
    <col min="20" max="20" width="15.140625" style="3" customWidth="1"/>
    <col min="21" max="21" width="21.7109375" style="3" bestFit="1" customWidth="1"/>
    <col min="22" max="22" width="15.140625" style="3"/>
    <col min="23" max="26" width="15.140625" style="24"/>
    <col min="27" max="27" width="15.140625" style="3"/>
    <col min="28" max="28" width="5.85546875" style="3" customWidth="1"/>
    <col min="29" max="16384" width="15.140625" style="3"/>
  </cols>
  <sheetData>
    <row r="1" spans="1:42" s="24" customFormat="1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54"/>
    </row>
    <row r="2" spans="1:42" s="24" customFormat="1" ht="30" customHeight="1" thickBot="1">
      <c r="A2" s="54"/>
      <c r="B2" s="33"/>
      <c r="C2" s="510"/>
      <c r="D2" s="510"/>
      <c r="E2" s="510"/>
      <c r="F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35"/>
      <c r="AB2" s="54"/>
    </row>
    <row r="3" spans="1:42" ht="25.5" customHeight="1" thickTop="1" thickBot="1">
      <c r="A3" s="54"/>
      <c r="B3" s="33"/>
      <c r="C3" s="514" t="s">
        <v>0</v>
      </c>
      <c r="D3" s="514"/>
      <c r="E3" s="514"/>
      <c r="F3" s="432"/>
      <c r="G3" s="24"/>
      <c r="H3" s="24"/>
      <c r="I3" s="2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8"/>
      <c r="V3" s="28"/>
      <c r="W3" s="28"/>
      <c r="X3" s="28"/>
      <c r="Y3" s="28"/>
      <c r="Z3" s="28"/>
      <c r="AA3" s="35"/>
      <c r="AB3" s="5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7.75" customHeight="1" thickTop="1" thickBot="1">
      <c r="A4" s="54"/>
      <c r="B4" s="33"/>
      <c r="C4" s="510"/>
      <c r="D4" s="510"/>
      <c r="E4" s="510"/>
      <c r="F4" s="432"/>
      <c r="G4" s="516" t="s">
        <v>1</v>
      </c>
      <c r="H4" s="514"/>
      <c r="I4" s="514"/>
      <c r="J4" s="88" t="s">
        <v>2</v>
      </c>
      <c r="K4" s="133" t="s">
        <v>3</v>
      </c>
      <c r="L4" s="24"/>
      <c r="M4" s="521">
        <f>IF(P4&lt;1000,1,IF(P4&lt;3000,2,IF(P4&lt;6000,3, IF(P4&lt;10000, 4,IF(P4&lt;15000, 5,IF(P4&lt;21000, 6,IF(P4&lt;28000, 7,IF(P4&lt;36000, 8,IF(P4&lt;45000, 9,IF(P4&lt;55000, 10,IF(P4&lt;66000, 11,IF(P4&lt;78000, 12,IF(P4&lt;91000, 13,IF(P4&lt;105000, 14,IF(P4&lt;120000, 15,IF(P4&lt;136000, 16,IF(P4&lt;153000, 17,IF(P4&lt;171000, 18,IF(P4&lt;190000, 19, 20)))))))))))))))))))</f>
        <v>1</v>
      </c>
      <c r="N4" s="521"/>
      <c r="O4" s="521"/>
      <c r="P4" s="518">
        <v>0</v>
      </c>
      <c r="Q4" s="518"/>
      <c r="R4" s="518">
        <f>IF(M4=1,1000-P4,IF(M4=2,3000-P4,IF(M4=3,6000-P4,IF(M4=4,10000-P4,IF(M4=5,15000-P4,IF(M4=6,21000-P4,IF(M4=7,28000-P4,IF(M4=8,36000-P4,IF(M4=9,45000-P4,IF(M4=10,55000-P4,IF(M4=11,66000-P4,IF(M4=12,78000-P4,IF(M4=13,91000-P4,IF(M4=14,105000-P4,IF(M4=15,120000-P4,IF(M4=16,136000-P4,IF(M4=17,153000-P4,IF(M4=18,171000-P4,IF(M4=19,190000-P4,IF(M4=20,"МАКС",))))))))))))))))))))</f>
        <v>1000</v>
      </c>
      <c r="S4" s="518"/>
      <c r="T4" s="28"/>
      <c r="U4" s="28"/>
      <c r="V4" s="28"/>
      <c r="W4" s="28"/>
      <c r="X4" s="28"/>
      <c r="Y4" s="28"/>
      <c r="Z4" s="28"/>
      <c r="AA4" s="35"/>
      <c r="AB4" s="5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8"/>
    </row>
    <row r="5" spans="1:42" ht="42" customHeight="1" thickTop="1" thickBot="1">
      <c r="A5" s="54"/>
      <c r="B5" s="33"/>
      <c r="C5" s="514" t="s">
        <v>4</v>
      </c>
      <c r="D5" s="514"/>
      <c r="E5" s="514"/>
      <c r="F5" s="432"/>
      <c r="G5" s="89">
        <v>1</v>
      </c>
      <c r="H5" s="515" t="s">
        <v>5</v>
      </c>
      <c r="I5" s="515"/>
      <c r="J5" s="90">
        <v>0</v>
      </c>
      <c r="K5" s="90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6+F15,IF(H5="Воин",2+F15,IF(H5="Варвар",4+F15,IF(H5="Вор",8+F15,IF(H5="Друид",4+F15,IF(H5="Жрец",2+F15,IF(H5="Волшебник",2+F15,IF(H5="Монах",4+F15,IF(H5="Паладин",2+F15,IF(H5="Рейнджер",6+F15,IF(H5="Чародей",2+F15))))))))))))</f>
        <v>4</v>
      </c>
      <c r="L5" s="24"/>
      <c r="M5" s="517" t="s">
        <v>6</v>
      </c>
      <c r="N5" s="517"/>
      <c r="O5" s="517"/>
      <c r="P5" s="517" t="s">
        <v>7</v>
      </c>
      <c r="Q5" s="517"/>
      <c r="R5" s="517" t="s">
        <v>8</v>
      </c>
      <c r="S5" s="517"/>
      <c r="T5" s="28"/>
      <c r="U5" s="28"/>
      <c r="V5" s="28"/>
      <c r="W5" s="28"/>
      <c r="X5" s="28"/>
      <c r="Y5" s="28"/>
      <c r="Z5" s="28"/>
      <c r="AA5" s="35"/>
      <c r="AB5" s="5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8"/>
    </row>
    <row r="6" spans="1:42" ht="27.75" customHeight="1" thickTop="1" thickBot="1">
      <c r="A6" s="54"/>
      <c r="B6" s="33"/>
      <c r="C6" s="510" t="s">
        <v>9</v>
      </c>
      <c r="D6" s="510"/>
      <c r="E6" s="510"/>
      <c r="F6" s="432"/>
      <c r="G6" s="89">
        <v>2</v>
      </c>
      <c r="H6" s="515" t="s">
        <v>10</v>
      </c>
      <c r="I6" s="515"/>
      <c r="J6" s="91">
        <v>0</v>
      </c>
      <c r="K6" s="91">
        <v>0</v>
      </c>
      <c r="L6" s="24"/>
      <c r="M6" s="522"/>
      <c r="N6" s="522"/>
      <c r="O6" s="522"/>
      <c r="P6" s="435"/>
      <c r="Q6" s="522"/>
      <c r="R6" s="522"/>
      <c r="S6" s="522"/>
      <c r="T6" s="28"/>
      <c r="U6" s="28"/>
      <c r="V6" s="28"/>
      <c r="W6" s="28"/>
      <c r="X6" s="28"/>
      <c r="Y6" s="28"/>
      <c r="Z6" s="28"/>
      <c r="AA6" s="35"/>
      <c r="AB6" s="5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8"/>
    </row>
    <row r="7" spans="1:42" ht="27.75" customHeight="1" thickTop="1" thickBot="1">
      <c r="A7" s="54"/>
      <c r="B7" s="33"/>
      <c r="C7" s="368" t="s">
        <v>11</v>
      </c>
      <c r="D7" s="368"/>
      <c r="E7" s="368"/>
      <c r="F7" s="432"/>
      <c r="G7" s="89">
        <v>3</v>
      </c>
      <c r="H7" s="515" t="s">
        <v>10</v>
      </c>
      <c r="I7" s="515"/>
      <c r="J7" s="91">
        <v>0</v>
      </c>
      <c r="K7" s="91">
        <v>0</v>
      </c>
      <c r="L7" s="24"/>
      <c r="M7" s="514" t="s">
        <v>12</v>
      </c>
      <c r="N7" s="514"/>
      <c r="O7" s="514"/>
      <c r="P7" s="435"/>
      <c r="Q7" s="514" t="s">
        <v>13</v>
      </c>
      <c r="R7" s="514"/>
      <c r="S7" s="514"/>
      <c r="T7" s="28"/>
      <c r="U7" s="28"/>
      <c r="V7" s="28"/>
      <c r="W7" s="28"/>
      <c r="X7" s="28"/>
      <c r="Y7" s="28"/>
      <c r="Z7" s="28"/>
      <c r="AA7" s="35"/>
      <c r="AB7" s="5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8"/>
    </row>
    <row r="8" spans="1:42" ht="31.5" customHeight="1" thickTop="1" thickBot="1">
      <c r="A8" s="54"/>
      <c r="B8" s="33"/>
      <c r="C8" s="72" t="str">
        <f>IF(OR(C6="Гном",C6="{Хафлинг",),"Маленький","Средний")</f>
        <v>Средний</v>
      </c>
      <c r="D8" s="434"/>
      <c r="E8" s="73"/>
      <c r="F8" s="432"/>
      <c r="G8" s="89">
        <v>4</v>
      </c>
      <c r="H8" s="515" t="s">
        <v>10</v>
      </c>
      <c r="I8" s="515"/>
      <c r="J8" s="91">
        <v>0</v>
      </c>
      <c r="K8" s="91"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35"/>
      <c r="AB8" s="5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8"/>
    </row>
    <row r="9" spans="1:42" ht="27.75" customHeight="1" thickTop="1" thickBot="1">
      <c r="A9" s="54"/>
      <c r="B9" s="33"/>
      <c r="C9" s="61" t="s">
        <v>14</v>
      </c>
      <c r="D9" s="434"/>
      <c r="E9" s="61" t="s">
        <v>15</v>
      </c>
      <c r="F9" s="432"/>
      <c r="G9" s="92">
        <v>5</v>
      </c>
      <c r="H9" s="515" t="s">
        <v>10</v>
      </c>
      <c r="I9" s="515"/>
      <c r="J9" s="93">
        <v>0</v>
      </c>
      <c r="K9" s="93">
        <v>0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35"/>
      <c r="AB9" s="5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7.75" customHeight="1" thickTop="1" thickBot="1">
      <c r="A10" s="54"/>
      <c r="B10" s="33"/>
      <c r="C10" s="433"/>
      <c r="D10" s="433"/>
      <c r="E10" s="433"/>
      <c r="F10" s="433"/>
      <c r="G10" s="433"/>
      <c r="H10" s="28"/>
      <c r="I10" s="28"/>
      <c r="J10" s="3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5"/>
      <c r="AB10" s="5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38.25" customHeight="1" thickTop="1" thickBot="1">
      <c r="A11" s="54"/>
      <c r="B11" s="33"/>
      <c r="C11" s="7"/>
      <c r="D11" s="8" t="s">
        <v>16</v>
      </c>
      <c r="E11" s="128" t="s">
        <v>17</v>
      </c>
      <c r="F11" s="9" t="s">
        <v>18</v>
      </c>
      <c r="G11" s="9" t="s">
        <v>19</v>
      </c>
      <c r="H11" s="9" t="s">
        <v>20</v>
      </c>
      <c r="I11" s="9" t="s">
        <v>21</v>
      </c>
      <c r="J11" s="24"/>
      <c r="K11" s="28"/>
      <c r="L11" s="87"/>
      <c r="M11" s="28"/>
      <c r="N11" s="525" t="s">
        <v>22</v>
      </c>
      <c r="O11" s="525"/>
      <c r="P11" s="28"/>
      <c r="Q11" s="59" t="s">
        <v>23</v>
      </c>
      <c r="R11" s="28"/>
      <c r="S11" s="58" t="s">
        <v>24</v>
      </c>
      <c r="T11" s="28"/>
      <c r="U11" s="28"/>
      <c r="V11" s="28"/>
      <c r="W11" s="28"/>
      <c r="X11" s="28"/>
      <c r="Y11" s="28"/>
      <c r="Z11" s="28"/>
      <c r="AA11" s="35"/>
      <c r="AB11" s="5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38.25" customHeight="1" thickTop="1" thickBot="1">
      <c r="A12" s="54"/>
      <c r="B12" s="33"/>
      <c r="C12" s="6" t="s">
        <v>25</v>
      </c>
      <c r="D12" s="130">
        <v>15</v>
      </c>
      <c r="E12" s="129">
        <f>D12+I12</f>
        <v>15</v>
      </c>
      <c r="F12" s="127">
        <f t="shared" ref="F12:F17" si="0">IF(D12 = 9, -1,IF(D12&lt;10, -1, 1) * FLOOR(ABS((D12-10)) / 2, 1))</f>
        <v>2</v>
      </c>
      <c r="G12" s="125"/>
      <c r="H12" s="125"/>
      <c r="I12" s="125">
        <f>IF(C6="Гном", -2,)</f>
        <v>0</v>
      </c>
      <c r="J12" s="24"/>
      <c r="K12" s="48" t="s">
        <v>26</v>
      </c>
      <c r="L12" s="47" t="str">
        <f>IF(H9="Невыбрано",IF(H8="Невыбрано",IF(H7="Невыбрано",IF(H6="Невыбрано",IF(H5="Воин",Воин!H1)))))</f>
        <v>d10</v>
      </c>
      <c r="M12" s="28"/>
      <c r="N12" s="523"/>
      <c r="O12" s="524"/>
      <c r="P12" s="28"/>
      <c r="Q12" s="74"/>
      <c r="R12" s="28"/>
      <c r="S12" s="74"/>
      <c r="T12" s="28"/>
      <c r="U12" s="28"/>
      <c r="V12" s="28"/>
      <c r="W12" s="28"/>
      <c r="X12" s="28"/>
      <c r="Y12" s="28"/>
      <c r="Z12" s="28"/>
      <c r="AA12" s="35"/>
      <c r="AB12" s="5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38.25" customHeight="1" thickTop="1" thickBot="1">
      <c r="A13" s="54"/>
      <c r="B13" s="33"/>
      <c r="C13" s="4" t="s">
        <v>27</v>
      </c>
      <c r="D13" s="131">
        <v>12</v>
      </c>
      <c r="E13" s="129">
        <f t="shared" ref="E13:E17" si="1">D13+I13</f>
        <v>12</v>
      </c>
      <c r="F13" s="127">
        <f t="shared" si="0"/>
        <v>1</v>
      </c>
      <c r="G13" s="126"/>
      <c r="H13" s="126"/>
      <c r="I13" s="126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5"/>
      <c r="AB13" s="5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42.75" customHeight="1" thickTop="1" thickBot="1">
      <c r="A14" s="54"/>
      <c r="B14" s="33"/>
      <c r="C14" s="4" t="s">
        <v>28</v>
      </c>
      <c r="D14" s="131">
        <v>13</v>
      </c>
      <c r="E14" s="129">
        <f t="shared" si="1"/>
        <v>13</v>
      </c>
      <c r="F14" s="127">
        <f t="shared" si="0"/>
        <v>1</v>
      </c>
      <c r="G14" s="126"/>
      <c r="H14" s="126"/>
      <c r="I14" s="126">
        <f>IF(C6="Гном",2,IF(C6="Дварф",2,))</f>
        <v>0</v>
      </c>
      <c r="J14" s="24"/>
      <c r="K14" s="50" t="s">
        <v>29</v>
      </c>
      <c r="L14" s="10">
        <f>N14+O14+P14+Q14+R14+S14+T14+U14</f>
        <v>11</v>
      </c>
      <c r="M14" s="36" t="s">
        <v>30</v>
      </c>
      <c r="N14" s="36">
        <v>10</v>
      </c>
      <c r="O14" s="75"/>
      <c r="P14" s="75"/>
      <c r="Q14" s="75">
        <f>F13</f>
        <v>1</v>
      </c>
      <c r="R14" s="75">
        <f>IF(C8 = "Маленький", 1, IF(C8 = "Средний", 0, IF(C8 = "Большой", 2, "ERROR")))</f>
        <v>0</v>
      </c>
      <c r="S14" s="75"/>
      <c r="T14" s="75"/>
      <c r="U14" s="75"/>
      <c r="V14" s="28"/>
      <c r="W14" s="28"/>
      <c r="X14" s="28"/>
      <c r="Y14" s="28"/>
      <c r="Z14" s="28"/>
      <c r="AA14" s="35"/>
      <c r="AB14" s="5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38.25" customHeight="1" thickTop="1" thickBot="1">
      <c r="A15" s="54"/>
      <c r="B15" s="33"/>
      <c r="C15" s="4" t="s">
        <v>31</v>
      </c>
      <c r="D15" s="131">
        <v>9</v>
      </c>
      <c r="E15" s="129">
        <f t="shared" si="1"/>
        <v>9</v>
      </c>
      <c r="F15" s="127">
        <f t="shared" si="0"/>
        <v>-1</v>
      </c>
      <c r="G15" s="126"/>
      <c r="H15" s="126"/>
      <c r="I15" s="126"/>
      <c r="J15" s="24"/>
      <c r="K15" s="28"/>
      <c r="L15" s="28"/>
      <c r="M15" s="28"/>
      <c r="N15" s="28"/>
      <c r="O15" s="60" t="s">
        <v>32</v>
      </c>
      <c r="P15" s="60" t="s">
        <v>33</v>
      </c>
      <c r="Q15" s="60" t="s">
        <v>34</v>
      </c>
      <c r="R15" s="60" t="s">
        <v>35</v>
      </c>
      <c r="S15" s="60" t="s">
        <v>36</v>
      </c>
      <c r="T15" s="60" t="s">
        <v>37</v>
      </c>
      <c r="U15" s="60" t="s">
        <v>38</v>
      </c>
      <c r="V15" s="28"/>
      <c r="W15" s="28"/>
      <c r="X15" s="28"/>
      <c r="Y15" s="28"/>
      <c r="Z15" s="28"/>
      <c r="AA15" s="35"/>
      <c r="AB15" s="5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38.25" customHeight="1" thickTop="1" thickBot="1">
      <c r="A16" s="54"/>
      <c r="B16" s="33"/>
      <c r="C16" s="4" t="s">
        <v>39</v>
      </c>
      <c r="D16" s="132">
        <v>8</v>
      </c>
      <c r="E16" s="129">
        <f t="shared" si="1"/>
        <v>8</v>
      </c>
      <c r="F16" s="127">
        <f t="shared" si="0"/>
        <v>-1</v>
      </c>
      <c r="G16" s="126"/>
      <c r="H16" s="126"/>
      <c r="I16" s="126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35"/>
      <c r="AB16" s="5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31" ht="38.25" customHeight="1" thickTop="1" thickBot="1">
      <c r="A17" s="54"/>
      <c r="B17" s="33"/>
      <c r="C17" s="5" t="s">
        <v>40</v>
      </c>
      <c r="D17" s="131">
        <v>12</v>
      </c>
      <c r="E17" s="129">
        <f t="shared" si="1"/>
        <v>12</v>
      </c>
      <c r="F17" s="127">
        <f t="shared" si="0"/>
        <v>1</v>
      </c>
      <c r="G17" s="124"/>
      <c r="H17" s="124"/>
      <c r="I17" s="124">
        <f>IF(C6="Дварф",-2,)</f>
        <v>0</v>
      </c>
      <c r="J17" s="24"/>
      <c r="K17" s="48" t="s">
        <v>41</v>
      </c>
      <c r="L17" s="47">
        <f>N17+O17</f>
        <v>1</v>
      </c>
      <c r="M17" s="37" t="s">
        <v>42</v>
      </c>
      <c r="N17" s="135">
        <f>F13</f>
        <v>1</v>
      </c>
      <c r="O17" s="135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35"/>
      <c r="AB17" s="54"/>
      <c r="AC17" s="24"/>
      <c r="AD17" s="24"/>
      <c r="AE17" s="24"/>
    </row>
    <row r="18" spans="1:31" ht="30.75" customHeight="1" thickTop="1">
      <c r="A18" s="54"/>
      <c r="B18" s="33"/>
      <c r="C18" s="28"/>
      <c r="D18" s="28"/>
      <c r="E18" s="28"/>
      <c r="F18" s="28"/>
      <c r="G18" s="28"/>
      <c r="H18" s="28"/>
      <c r="I18" s="24"/>
      <c r="J18" s="24"/>
      <c r="K18" s="28"/>
      <c r="L18" s="28"/>
      <c r="M18" s="28"/>
      <c r="N18" s="134" t="s">
        <v>34</v>
      </c>
      <c r="O18" s="134" t="s">
        <v>38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35"/>
      <c r="AB18" s="54"/>
      <c r="AC18" s="24"/>
      <c r="AD18" s="24"/>
      <c r="AE18" s="24"/>
    </row>
    <row r="19" spans="1:31" ht="41.25" customHeight="1">
      <c r="A19" s="54"/>
      <c r="B19" s="3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8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54"/>
      <c r="AC19" s="24"/>
      <c r="AD19" s="24"/>
      <c r="AE19" s="24"/>
    </row>
    <row r="20" spans="1:31" ht="36.75" customHeight="1" thickBot="1">
      <c r="A20" s="54"/>
      <c r="B20" s="33"/>
      <c r="C20" s="519" t="s">
        <v>43</v>
      </c>
      <c r="D20" s="520"/>
      <c r="E20" s="520"/>
      <c r="F20" s="520"/>
      <c r="G20" s="520"/>
      <c r="H20" s="520"/>
      <c r="I20" s="520"/>
      <c r="J20" s="24"/>
      <c r="K20" s="76" t="s">
        <v>44</v>
      </c>
      <c r="L20" s="77"/>
      <c r="M20" s="77"/>
      <c r="N20" s="78" t="s">
        <v>45</v>
      </c>
      <c r="O20" s="79">
        <f>Q20-O22-O23-O24-O25-O26-O27-O28-O29-O30-O31-O32-O33-O34-O35-O36-O37-O38-O39-O40-O41-O42-O43-O44-O45-O46-O47-O48-O49-O50-O51-O52-O53-O54-O55-O56-O57-O58-O59-O60-O61-O62-O63-O64-O65</f>
        <v>4</v>
      </c>
      <c r="P20" s="79" t="s">
        <v>46</v>
      </c>
      <c r="Q20" s="79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(6+F15)*4+(6+F15)*(M4-1),IF(H5="Воин",(2+F15)*4+(2+F15)*(M4-1),IF(H5="Варвар",(4+F15)*4+(4+F15)*(M4-1),IF(H5="Вор",(8+F15)*4+(8+F15)*(M4-1),IF(H5="Друид",(4+F15)*4+(4+F15)*(M4-1),IF(H5="Жрец",(2+F15)*4+(2+F15)*(M4-1),IF(H5="Волшебник",(2+F15)*4+(2+F15)*(M4-1),IF(H5="Монах",(4+F15)*4+(4+F15)*(M4-1),IF(H5="Паладин",(2+F15)*4+(2+F15)*(M4-1),IF(H5="Рейнджер",(6+F15)*4+(6+F15)*(M4-1),IF(H5="Чародей",(2+F15)*4+(2+F15)*(M4-1)))))))))))))</f>
        <v>4</v>
      </c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54"/>
      <c r="AC20" s="24"/>
      <c r="AD20" s="24"/>
      <c r="AE20" s="24"/>
    </row>
    <row r="21" spans="1:31" ht="27.75" customHeight="1" thickTop="1">
      <c r="A21" s="54"/>
      <c r="B21" s="33"/>
      <c r="C21" s="540"/>
      <c r="D21" s="541"/>
      <c r="E21" s="541"/>
      <c r="F21" s="541"/>
      <c r="G21" s="541"/>
      <c r="H21" s="541"/>
      <c r="I21" s="542"/>
      <c r="J21" s="24"/>
      <c r="K21" s="39" t="s">
        <v>47</v>
      </c>
      <c r="L21" s="30" t="s">
        <v>48</v>
      </c>
      <c r="M21" s="39" t="s">
        <v>49</v>
      </c>
      <c r="N21" s="39" t="s">
        <v>1</v>
      </c>
      <c r="O21" s="39" t="s">
        <v>50</v>
      </c>
      <c r="P21" s="39" t="s">
        <v>51</v>
      </c>
      <c r="Q21" s="39" t="s">
        <v>52</v>
      </c>
      <c r="R21" s="24"/>
      <c r="S21" s="24"/>
      <c r="T21" s="24"/>
      <c r="U21" s="24"/>
      <c r="V21" s="24"/>
      <c r="AA21" s="35"/>
      <c r="AB21" s="54"/>
      <c r="AC21" s="24"/>
      <c r="AD21" s="55" t="b">
        <v>0</v>
      </c>
      <c r="AE21" s="55" t="b">
        <v>0</v>
      </c>
    </row>
    <row r="22" spans="1:31" ht="32.25" customHeight="1">
      <c r="A22" s="54"/>
      <c r="B22" s="33"/>
      <c r="C22" s="543"/>
      <c r="D22" s="544"/>
      <c r="E22" s="544"/>
      <c r="F22" s="544"/>
      <c r="G22" s="544"/>
      <c r="H22" s="544"/>
      <c r="I22" s="545"/>
      <c r="J22" s="24"/>
      <c r="K22" s="31" t="s">
        <v>53</v>
      </c>
      <c r="L22" s="80">
        <f>IF(N22=1,O22+P22+Q22+F13,FLOOR(O22/2,1)+P22+Q22+F13)</f>
        <v>1</v>
      </c>
      <c r="M22" s="31" t="s">
        <v>27</v>
      </c>
      <c r="N22" s="81"/>
      <c r="O22" s="85">
        <v>0</v>
      </c>
      <c r="P22" s="81"/>
      <c r="Q22" s="86"/>
      <c r="R22" s="24"/>
      <c r="S22" s="24"/>
      <c r="T22" s="24"/>
      <c r="U22" s="24"/>
      <c r="V22" s="24"/>
      <c r="AA22" s="35"/>
      <c r="AB22" s="54"/>
      <c r="AC22" s="24"/>
      <c r="AD22" s="55" t="b">
        <v>0</v>
      </c>
      <c r="AE22" s="55" t="b">
        <v>0</v>
      </c>
    </row>
    <row r="23" spans="1:31" ht="27.75" customHeight="1">
      <c r="A23" s="54"/>
      <c r="B23" s="33"/>
      <c r="C23" s="543"/>
      <c r="D23" s="544"/>
      <c r="E23" s="544"/>
      <c r="F23" s="544"/>
      <c r="G23" s="544"/>
      <c r="H23" s="544"/>
      <c r="I23" s="545"/>
      <c r="J23" s="24"/>
      <c r="K23" s="31" t="s">
        <v>54</v>
      </c>
      <c r="L23" s="80">
        <f>IF(N23=1,O23+P23+Q23+F13,FLOOR(O23/2,1)+P23+Q23+F13)</f>
        <v>1</v>
      </c>
      <c r="M23" s="31" t="s">
        <v>27</v>
      </c>
      <c r="N23" s="81"/>
      <c r="O23" s="82">
        <v>0</v>
      </c>
      <c r="P23" s="81"/>
      <c r="Q23" s="83"/>
      <c r="R23" s="24"/>
      <c r="S23" s="24"/>
      <c r="T23" s="24"/>
      <c r="U23" s="24"/>
      <c r="V23" s="24"/>
      <c r="AA23" s="35"/>
      <c r="AB23" s="54"/>
      <c r="AC23" s="24"/>
      <c r="AD23" s="55" t="b">
        <v>0</v>
      </c>
      <c r="AE23" s="55" t="b">
        <v>0</v>
      </c>
    </row>
    <row r="24" spans="1:31" ht="27.75" customHeight="1">
      <c r="A24" s="54"/>
      <c r="B24" s="33"/>
      <c r="C24" s="543"/>
      <c r="D24" s="544"/>
      <c r="E24" s="544"/>
      <c r="F24" s="544"/>
      <c r="G24" s="544"/>
      <c r="H24" s="544"/>
      <c r="I24" s="545"/>
      <c r="J24" s="24"/>
      <c r="K24" s="31" t="s">
        <v>55</v>
      </c>
      <c r="L24" s="80">
        <f>IF(N24=1,O24+P24+Q24+F13,FLOOR(O24/2,1)+P24+Q24+F13)</f>
        <v>1</v>
      </c>
      <c r="M24" s="31" t="s">
        <v>27</v>
      </c>
      <c r="N24" s="81">
        <f>IF(H5="Воин", 1,2)</f>
        <v>1</v>
      </c>
      <c r="O24" s="82">
        <v>0</v>
      </c>
      <c r="P24" s="81"/>
      <c r="Q24" s="83"/>
      <c r="R24" s="24"/>
      <c r="S24" s="24"/>
      <c r="T24" s="24"/>
      <c r="U24" s="24"/>
      <c r="V24" s="24"/>
      <c r="AA24" s="35"/>
      <c r="AB24" s="54"/>
      <c r="AC24" s="24"/>
      <c r="AD24" s="55" t="b">
        <v>0</v>
      </c>
      <c r="AE24" s="55" t="b">
        <v>0</v>
      </c>
    </row>
    <row r="25" spans="1:31" ht="27.75" customHeight="1">
      <c r="A25" s="54" t="b">
        <f>IF(C6="Гном",C21=Расы!A12)</f>
        <v>0</v>
      </c>
      <c r="B25" s="33"/>
      <c r="C25" s="543"/>
      <c r="D25" s="544"/>
      <c r="E25" s="544"/>
      <c r="F25" s="544"/>
      <c r="G25" s="544"/>
      <c r="H25" s="544"/>
      <c r="I25" s="545"/>
      <c r="J25" s="24"/>
      <c r="K25" s="31" t="s">
        <v>56</v>
      </c>
      <c r="L25" s="80">
        <f>IF(N25=1,O25+P25+Q25+F16,FLOOR(O25/2,1)+P25+Q25+F16)</f>
        <v>-1</v>
      </c>
      <c r="M25" s="31" t="s">
        <v>39</v>
      </c>
      <c r="N25" s="81"/>
      <c r="O25" s="82">
        <v>0</v>
      </c>
      <c r="P25" s="81"/>
      <c r="Q25" s="83"/>
      <c r="R25" s="24"/>
      <c r="S25" s="24"/>
      <c r="T25" s="24"/>
      <c r="U25" s="24"/>
      <c r="V25" s="24"/>
      <c r="AA25" s="35"/>
      <c r="AB25" s="54"/>
      <c r="AC25" s="24"/>
      <c r="AD25" s="55" t="b">
        <v>0</v>
      </c>
      <c r="AE25" s="55" t="b">
        <v>0</v>
      </c>
    </row>
    <row r="26" spans="1:31" ht="27.75" customHeight="1">
      <c r="A26" s="54"/>
      <c r="B26" s="33"/>
      <c r="C26" s="543"/>
      <c r="D26" s="544"/>
      <c r="E26" s="544"/>
      <c r="F26" s="544"/>
      <c r="G26" s="544"/>
      <c r="H26" s="544"/>
      <c r="I26" s="545"/>
      <c r="J26" s="24"/>
      <c r="K26" s="31" t="s">
        <v>57</v>
      </c>
      <c r="L26" s="80">
        <f>IF(N26=1,O26+P26+Q26+F17,FLOOR(O26/2,1)+P26+Q26+F17)</f>
        <v>3</v>
      </c>
      <c r="M26" s="31" t="s">
        <v>40</v>
      </c>
      <c r="N26" s="81"/>
      <c r="O26" s="82">
        <v>0</v>
      </c>
      <c r="P26" s="81">
        <f>IF(C6="Полуэльф", 2,0)</f>
        <v>2</v>
      </c>
      <c r="Q26" s="83"/>
      <c r="R26" s="24"/>
      <c r="S26" s="24"/>
      <c r="T26" s="24"/>
      <c r="U26" s="24"/>
      <c r="V26" s="24"/>
      <c r="AA26" s="35"/>
      <c r="AB26" s="54"/>
      <c r="AC26" s="24"/>
      <c r="AD26" s="55" t="b">
        <v>0</v>
      </c>
      <c r="AE26" s="55" t="b">
        <v>0</v>
      </c>
    </row>
    <row r="27" spans="1:31" ht="27.75" customHeight="1">
      <c r="A27" s="54"/>
      <c r="B27" s="33"/>
      <c r="C27" s="543"/>
      <c r="D27" s="544"/>
      <c r="E27" s="544"/>
      <c r="F27" s="544"/>
      <c r="G27" s="544"/>
      <c r="H27" s="544"/>
      <c r="I27" s="545"/>
      <c r="J27" s="24"/>
      <c r="K27" s="31" t="s">
        <v>58</v>
      </c>
      <c r="L27" s="80">
        <f>IF(N27=1,O27+P27+Q27+F17,FLOOR(O27/2,1)+P27+Q27+F17)</f>
        <v>1</v>
      </c>
      <c r="M27" s="31" t="s">
        <v>40</v>
      </c>
      <c r="N27" s="81">
        <f>IF(H5="Воин", 1,2)</f>
        <v>1</v>
      </c>
      <c r="O27" s="82">
        <v>0</v>
      </c>
      <c r="P27" s="81"/>
      <c r="Q27" s="83"/>
      <c r="R27" s="24"/>
      <c r="S27" s="24"/>
      <c r="T27" s="24"/>
      <c r="U27" s="24"/>
      <c r="V27" s="24"/>
      <c r="AA27" s="35"/>
      <c r="AB27" s="54"/>
      <c r="AC27" s="24"/>
      <c r="AD27" s="55" t="b">
        <v>0</v>
      </c>
      <c r="AE27" s="55" t="b">
        <v>0</v>
      </c>
    </row>
    <row r="28" spans="1:31" ht="40.5" customHeight="1">
      <c r="A28" s="54"/>
      <c r="B28" s="33"/>
      <c r="C28" s="543"/>
      <c r="D28" s="544"/>
      <c r="E28" s="544"/>
      <c r="F28" s="544"/>
      <c r="G28" s="544"/>
      <c r="H28" s="544"/>
      <c r="I28" s="545"/>
      <c r="J28" s="24"/>
      <c r="K28" s="31" t="s">
        <v>59</v>
      </c>
      <c r="L28" s="80">
        <f>IF(N28=1,O28+P28+Q28+F17,FLOOR(O28/2,1)+P28+Q28+F17)</f>
        <v>1</v>
      </c>
      <c r="M28" s="31" t="s">
        <v>40</v>
      </c>
      <c r="N28" s="81">
        <f>IF(H5="Воин", 1,2)</f>
        <v>1</v>
      </c>
      <c r="O28" s="82">
        <v>0</v>
      </c>
      <c r="P28" s="81"/>
      <c r="Q28" s="83"/>
      <c r="R28" s="24"/>
      <c r="S28" s="24"/>
      <c r="T28" s="24"/>
      <c r="U28" s="24"/>
      <c r="V28" s="24"/>
      <c r="AA28" s="35"/>
      <c r="AB28" s="54"/>
      <c r="AC28" s="24"/>
      <c r="AD28" s="55" t="b">
        <v>0</v>
      </c>
      <c r="AE28" s="55" t="b">
        <v>0</v>
      </c>
    </row>
    <row r="29" spans="1:31" ht="27.75" customHeight="1">
      <c r="A29" s="54"/>
      <c r="B29" s="33"/>
      <c r="C29" s="543"/>
      <c r="D29" s="544"/>
      <c r="E29" s="544"/>
      <c r="F29" s="544"/>
      <c r="G29" s="544"/>
      <c r="H29" s="544"/>
      <c r="I29" s="545"/>
      <c r="J29" s="24"/>
      <c r="K29" s="31" t="s">
        <v>60</v>
      </c>
      <c r="L29" s="80">
        <f>IF(N29=1,O29+P29+Q29+F13,FLOOR(O29/2,1)+P29+Q29+F13)</f>
        <v>1</v>
      </c>
      <c r="M29" s="31" t="s">
        <v>27</v>
      </c>
      <c r="N29" s="81"/>
      <c r="O29" s="82">
        <v>0</v>
      </c>
      <c r="P29" s="81"/>
      <c r="Q29" s="83"/>
      <c r="R29" s="24"/>
      <c r="S29" s="24"/>
      <c r="T29" s="24"/>
      <c r="U29" s="24"/>
      <c r="V29" s="24"/>
      <c r="AA29" s="35"/>
      <c r="AB29" s="54"/>
      <c r="AC29" s="24"/>
      <c r="AD29" s="55" t="b">
        <v>0</v>
      </c>
      <c r="AE29" s="55" t="b">
        <v>0</v>
      </c>
    </row>
    <row r="30" spans="1:31" ht="36.75" customHeight="1">
      <c r="A30" s="54"/>
      <c r="B30" s="33"/>
      <c r="C30" s="543"/>
      <c r="D30" s="544"/>
      <c r="E30" s="544"/>
      <c r="F30" s="544"/>
      <c r="G30" s="544"/>
      <c r="H30" s="544"/>
      <c r="I30" s="545"/>
      <c r="J30" s="24"/>
      <c r="K30" s="31" t="s">
        <v>61</v>
      </c>
      <c r="L30" s="80">
        <f>IF(N30=1,O30+P30+Q30+E69,FLOOR(O30/2,1)+P30+Q30+E69)</f>
        <v>1</v>
      </c>
      <c r="M30" s="31" t="s">
        <v>27</v>
      </c>
      <c r="N30" s="81"/>
      <c r="O30" s="82">
        <v>0</v>
      </c>
      <c r="P30" s="81"/>
      <c r="Q30" s="83"/>
      <c r="R30" s="24"/>
      <c r="S30" s="24"/>
      <c r="T30" s="24"/>
      <c r="U30" s="24"/>
      <c r="V30" s="24"/>
      <c r="AA30" s="35"/>
      <c r="AB30" s="54"/>
      <c r="AC30" s="24"/>
      <c r="AD30" s="55" t="b">
        <v>0</v>
      </c>
      <c r="AE30" s="55" t="b">
        <v>0</v>
      </c>
    </row>
    <row r="31" spans="1:31" ht="41.25" customHeight="1">
      <c r="A31" s="54"/>
      <c r="B31" s="33"/>
      <c r="C31" s="543"/>
      <c r="D31" s="544"/>
      <c r="E31" s="544"/>
      <c r="F31" s="544"/>
      <c r="G31" s="544"/>
      <c r="H31" s="544"/>
      <c r="I31" s="545"/>
      <c r="J31" s="24"/>
      <c r="K31" s="31" t="s">
        <v>62</v>
      </c>
      <c r="L31" s="80">
        <f>IF(N31=1,O31+P31+Q31+F17,FLOOR(O31/2,1)+P31+Q31+F17)</f>
        <v>1</v>
      </c>
      <c r="M31" s="31" t="s">
        <v>40</v>
      </c>
      <c r="N31" s="81"/>
      <c r="O31" s="82">
        <v>0</v>
      </c>
      <c r="P31" s="81"/>
      <c r="Q31" s="83"/>
      <c r="R31" s="24"/>
      <c r="S31" s="24"/>
      <c r="T31" s="24"/>
      <c r="U31" s="24"/>
      <c r="V31" s="24"/>
      <c r="AA31" s="35"/>
      <c r="AB31" s="54"/>
      <c r="AC31" s="24"/>
      <c r="AD31" s="55" t="b">
        <v>0</v>
      </c>
      <c r="AE31" s="55" t="b">
        <v>0</v>
      </c>
    </row>
    <row r="32" spans="1:31" ht="27.75" customHeight="1">
      <c r="A32" s="54"/>
      <c r="B32" s="33"/>
      <c r="C32" s="543"/>
      <c r="D32" s="544"/>
      <c r="E32" s="544"/>
      <c r="F32" s="544"/>
      <c r="G32" s="544"/>
      <c r="H32" s="544"/>
      <c r="I32" s="545"/>
      <c r="J32" s="24"/>
      <c r="K32" s="31" t="s">
        <v>63</v>
      </c>
      <c r="L32" s="80">
        <f>IF(N32=1,O32+P32+Q32+F15,FLOOR(O32/2,1)+P32+Q32+F15)</f>
        <v>-1</v>
      </c>
      <c r="M32" s="31" t="s">
        <v>31</v>
      </c>
      <c r="N32" s="81"/>
      <c r="O32" s="82">
        <v>0</v>
      </c>
      <c r="P32" s="81"/>
      <c r="Q32" s="83"/>
      <c r="R32" s="24"/>
      <c r="S32" s="24"/>
      <c r="T32" s="24"/>
      <c r="U32" s="24"/>
      <c r="V32" s="24"/>
      <c r="AA32" s="35"/>
      <c r="AB32" s="54"/>
      <c r="AC32" s="24"/>
      <c r="AD32" s="55" t="b">
        <v>0</v>
      </c>
      <c r="AE32" s="24"/>
    </row>
    <row r="33" spans="1:30" ht="27.75" customHeight="1">
      <c r="A33" s="54"/>
      <c r="B33" s="33"/>
      <c r="C33" s="543"/>
      <c r="D33" s="544"/>
      <c r="E33" s="544"/>
      <c r="F33" s="544"/>
      <c r="G33" s="544"/>
      <c r="H33" s="544"/>
      <c r="I33" s="545"/>
      <c r="J33" s="24"/>
      <c r="K33" s="31" t="s">
        <v>64</v>
      </c>
      <c r="L33" s="80">
        <f>IF(N32=1,O32+P32+Q32+F14,FLOOR(O32/2,1)+P32+Q32+F14)</f>
        <v>1</v>
      </c>
      <c r="M33" s="31" t="s">
        <v>65</v>
      </c>
      <c r="N33" s="81"/>
      <c r="O33" s="82">
        <v>0</v>
      </c>
      <c r="P33" s="81"/>
      <c r="Q33" s="83"/>
      <c r="R33" s="24"/>
      <c r="S33" s="24"/>
      <c r="T33" s="24"/>
      <c r="U33" s="24"/>
      <c r="V33" s="24"/>
      <c r="AA33" s="35"/>
      <c r="AB33" s="54"/>
      <c r="AC33" s="24"/>
      <c r="AD33" s="55" t="b">
        <v>0</v>
      </c>
    </row>
    <row r="34" spans="1:30" ht="27.75" customHeight="1">
      <c r="A34" s="54"/>
      <c r="B34" s="33"/>
      <c r="C34" s="543"/>
      <c r="D34" s="544"/>
      <c r="E34" s="544"/>
      <c r="F34" s="544"/>
      <c r="G34" s="544"/>
      <c r="H34" s="544"/>
      <c r="I34" s="545"/>
      <c r="J34" s="24"/>
      <c r="K34" s="31" t="s">
        <v>66</v>
      </c>
      <c r="L34" s="80">
        <f>IF(N34=1,O34+P34+Q34+F13,FLOOR(O34/2,1)+P34+Q34+F13)</f>
        <v>1</v>
      </c>
      <c r="M34" s="31" t="s">
        <v>27</v>
      </c>
      <c r="N34" s="81"/>
      <c r="O34" s="82">
        <v>0</v>
      </c>
      <c r="P34" s="81"/>
      <c r="Q34" s="83"/>
      <c r="R34" s="24"/>
      <c r="S34" s="24"/>
      <c r="T34" s="24"/>
      <c r="U34" s="24"/>
      <c r="V34" s="24"/>
      <c r="AA34" s="35"/>
      <c r="AB34" s="54"/>
      <c r="AC34" s="24"/>
      <c r="AD34" s="55" t="b">
        <v>0</v>
      </c>
    </row>
    <row r="35" spans="1:30" ht="27.75" customHeight="1">
      <c r="A35" s="54"/>
      <c r="B35" s="33"/>
      <c r="C35" s="543"/>
      <c r="D35" s="544"/>
      <c r="E35" s="544"/>
      <c r="F35" s="544"/>
      <c r="G35" s="544"/>
      <c r="H35" s="544"/>
      <c r="I35" s="545"/>
      <c r="J35" s="24"/>
      <c r="K35" s="31" t="s">
        <v>67</v>
      </c>
      <c r="L35" s="80">
        <f>IF(N35=1,O35+P35+Q35+F12,FLOOR(O35/2,1)+P35+Q35+F12)</f>
        <v>2</v>
      </c>
      <c r="M35" s="31" t="s">
        <v>25</v>
      </c>
      <c r="N35" s="81">
        <f>IF(H5="Воин", 1,2)</f>
        <v>1</v>
      </c>
      <c r="O35" s="82">
        <v>0</v>
      </c>
      <c r="P35" s="81"/>
      <c r="Q35" s="83"/>
      <c r="R35" s="24"/>
      <c r="S35" s="24"/>
      <c r="T35" s="24"/>
      <c r="U35" s="24"/>
      <c r="V35" s="24"/>
      <c r="AA35" s="35"/>
      <c r="AB35" s="54"/>
      <c r="AC35" s="24"/>
      <c r="AD35" s="55" t="b">
        <v>0</v>
      </c>
    </row>
    <row r="36" spans="1:30" ht="27.75" customHeight="1">
      <c r="A36" s="54"/>
      <c r="B36" s="33"/>
      <c r="C36" s="543"/>
      <c r="D36" s="544"/>
      <c r="E36" s="544"/>
      <c r="F36" s="544"/>
      <c r="G36" s="544"/>
      <c r="H36" s="544"/>
      <c r="I36" s="545"/>
      <c r="J36" s="24"/>
      <c r="K36" s="31" t="s">
        <v>68</v>
      </c>
      <c r="L36" s="80">
        <f>IF(N36=1,O36+P36+Q36+F16,FLOOR(O36/2,1)+P36+Q36+F16)</f>
        <v>-1</v>
      </c>
      <c r="M36" s="31" t="s">
        <v>39</v>
      </c>
      <c r="N36" s="81"/>
      <c r="O36" s="82">
        <v>0</v>
      </c>
      <c r="P36" s="81"/>
      <c r="Q36" s="83"/>
      <c r="R36" s="24"/>
      <c r="S36" s="24"/>
      <c r="T36" s="24"/>
      <c r="U36" s="24"/>
      <c r="V36" s="24"/>
      <c r="AA36" s="35"/>
      <c r="AB36" s="54"/>
      <c r="AC36" s="24"/>
      <c r="AD36" s="55" t="b">
        <v>0</v>
      </c>
    </row>
    <row r="37" spans="1:30" ht="27.75" customHeight="1">
      <c r="A37" s="54"/>
      <c r="B37" s="33"/>
      <c r="C37" s="543"/>
      <c r="D37" s="544"/>
      <c r="E37" s="544"/>
      <c r="F37" s="544"/>
      <c r="G37" s="544"/>
      <c r="H37" s="544"/>
      <c r="I37" s="545"/>
      <c r="J37" s="24"/>
      <c r="K37" s="31" t="s">
        <v>69</v>
      </c>
      <c r="L37" s="80">
        <f>IF(N37=1,O37+P37+Q37+F13,FLOOR(O37/2,1)+P37+Q37+F13)</f>
        <v>1</v>
      </c>
      <c r="M37" s="31" t="s">
        <v>27</v>
      </c>
      <c r="N37" s="81"/>
      <c r="O37" s="82">
        <v>0</v>
      </c>
      <c r="P37" s="81"/>
      <c r="Q37" s="83"/>
      <c r="R37" s="24"/>
      <c r="S37" s="24"/>
      <c r="T37" s="24"/>
      <c r="U37" s="24"/>
      <c r="V37" s="24"/>
      <c r="AA37" s="35"/>
      <c r="AB37" s="54"/>
      <c r="AC37" s="24"/>
      <c r="AD37" s="55" t="b">
        <v>0</v>
      </c>
    </row>
    <row r="38" spans="1:30" ht="27.75" customHeight="1">
      <c r="A38" s="54"/>
      <c r="B38" s="33"/>
      <c r="C38" s="543"/>
      <c r="D38" s="544"/>
      <c r="E38" s="544"/>
      <c r="F38" s="544"/>
      <c r="G38" s="544"/>
      <c r="H38" s="544"/>
      <c r="I38" s="545"/>
      <c r="J38" s="24"/>
      <c r="K38" s="31" t="s">
        <v>70</v>
      </c>
      <c r="L38" s="80">
        <f>IF(N38=1,O38+P38+Q38+F17,FLOOR(O38/2,1)+P38+Q38+F17)</f>
        <v>1</v>
      </c>
      <c r="M38" s="31" t="s">
        <v>40</v>
      </c>
      <c r="N38" s="81"/>
      <c r="O38" s="82">
        <v>0</v>
      </c>
      <c r="P38" s="81"/>
      <c r="Q38" s="83"/>
      <c r="R38" s="24"/>
      <c r="S38" s="24"/>
      <c r="T38" s="24"/>
      <c r="U38" s="24"/>
      <c r="V38" s="24"/>
      <c r="AA38" s="35"/>
      <c r="AB38" s="54"/>
      <c r="AC38" s="24"/>
      <c r="AD38" s="55" t="b">
        <v>0</v>
      </c>
    </row>
    <row r="39" spans="1:30" ht="27.75" customHeight="1">
      <c r="A39" s="54"/>
      <c r="B39" s="33"/>
      <c r="C39" s="543"/>
      <c r="D39" s="544"/>
      <c r="E39" s="544"/>
      <c r="F39" s="544"/>
      <c r="G39" s="544"/>
      <c r="H39" s="544"/>
      <c r="I39" s="545"/>
      <c r="J39" s="24"/>
      <c r="K39" s="31" t="s">
        <v>71</v>
      </c>
      <c r="L39" s="80">
        <f>IF(N39=1,O39+P39+Q39+F15,FLOOR(O39/2,1)+P39+Q39+F15)</f>
        <v>-1</v>
      </c>
      <c r="M39" s="31" t="s">
        <v>31</v>
      </c>
      <c r="N39" s="81"/>
      <c r="O39" s="82">
        <v>0</v>
      </c>
      <c r="P39" s="81"/>
      <c r="Q39" s="83"/>
      <c r="R39" s="24"/>
      <c r="S39" s="24"/>
      <c r="T39" s="24"/>
      <c r="U39" s="24"/>
      <c r="V39" s="24"/>
      <c r="AA39" s="35"/>
      <c r="AB39" s="54"/>
      <c r="AC39" s="24"/>
      <c r="AD39" s="55" t="b">
        <v>0</v>
      </c>
    </row>
    <row r="40" spans="1:30" ht="27.75" customHeight="1">
      <c r="A40" s="54"/>
      <c r="B40" s="33"/>
      <c r="C40" s="543"/>
      <c r="D40" s="544"/>
      <c r="E40" s="544"/>
      <c r="F40" s="544"/>
      <c r="G40" s="544"/>
      <c r="H40" s="544"/>
      <c r="I40" s="545"/>
      <c r="J40" s="24"/>
      <c r="K40" s="31" t="s">
        <v>72</v>
      </c>
      <c r="L40" s="80">
        <f>IF(N40=1,O40+P40+Q40+F17,FLOOR(O40/2,1)+P40+Q40+F17)</f>
        <v>1</v>
      </c>
      <c r="M40" s="31" t="s">
        <v>40</v>
      </c>
      <c r="N40" s="81"/>
      <c r="O40" s="82">
        <v>0</v>
      </c>
      <c r="P40" s="81"/>
      <c r="Q40" s="83"/>
      <c r="R40" s="24"/>
      <c r="S40" s="24"/>
      <c r="T40" s="24"/>
      <c r="U40" s="24"/>
      <c r="V40" s="24"/>
      <c r="AA40" s="35"/>
      <c r="AB40" s="54"/>
      <c r="AC40" s="24"/>
      <c r="AD40" s="55" t="b">
        <v>0</v>
      </c>
    </row>
    <row r="41" spans="1:30" ht="27.75" customHeight="1">
      <c r="A41" s="54"/>
      <c r="B41" s="33"/>
      <c r="C41" s="543"/>
      <c r="D41" s="544"/>
      <c r="E41" s="544"/>
      <c r="F41" s="544"/>
      <c r="G41" s="544"/>
      <c r="H41" s="544"/>
      <c r="I41" s="545"/>
      <c r="J41" s="24"/>
      <c r="K41" s="31" t="s">
        <v>73</v>
      </c>
      <c r="L41" s="80">
        <f>IF(N41=1,O41+P41+Q41+F16,FLOOR(O41/2,1)+P41+Q41+F16)</f>
        <v>0</v>
      </c>
      <c r="M41" s="31" t="s">
        <v>39</v>
      </c>
      <c r="N41" s="81"/>
      <c r="O41" s="82">
        <v>0</v>
      </c>
      <c r="P41" s="81">
        <f>IF(C6="Полуэльф", 1,)</f>
        <v>1</v>
      </c>
      <c r="Q41" s="84"/>
      <c r="R41" s="24"/>
      <c r="S41" s="24"/>
      <c r="T41" s="24"/>
      <c r="U41" s="24"/>
      <c r="V41" s="24"/>
      <c r="AA41" s="35"/>
      <c r="AB41" s="54"/>
      <c r="AC41" s="24"/>
      <c r="AD41" s="55" t="b">
        <v>0</v>
      </c>
    </row>
    <row r="42" spans="1:30" ht="27.75" customHeight="1">
      <c r="A42" s="54"/>
      <c r="B42" s="33"/>
      <c r="C42" s="543"/>
      <c r="D42" s="544"/>
      <c r="E42" s="544"/>
      <c r="F42" s="544"/>
      <c r="G42" s="544"/>
      <c r="H42" s="544"/>
      <c r="I42" s="545"/>
      <c r="J42" s="24"/>
      <c r="K42" s="31" t="s">
        <v>74</v>
      </c>
      <c r="L42" s="80">
        <f>IF(N42=1,O42+P42+Q42+F13,FLOOR(O42/2,1)+P42+Q42+F13)</f>
        <v>1</v>
      </c>
      <c r="M42" s="31" t="s">
        <v>27</v>
      </c>
      <c r="N42" s="81"/>
      <c r="O42" s="82">
        <v>0</v>
      </c>
      <c r="P42" s="81"/>
      <c r="Q42" s="83"/>
      <c r="R42" s="24"/>
      <c r="S42" s="24"/>
      <c r="T42" s="24"/>
      <c r="U42" s="24"/>
      <c r="V42" s="24"/>
      <c r="AA42" s="35"/>
      <c r="AB42" s="54"/>
      <c r="AC42" s="24"/>
      <c r="AD42" s="55" t="b">
        <v>0</v>
      </c>
    </row>
    <row r="43" spans="1:30" ht="27.75" customHeight="1">
      <c r="A43" s="54"/>
      <c r="B43" s="33"/>
      <c r="C43" s="543"/>
      <c r="D43" s="544"/>
      <c r="E43" s="544"/>
      <c r="F43" s="544"/>
      <c r="G43" s="544"/>
      <c r="H43" s="544"/>
      <c r="I43" s="545"/>
      <c r="J43" s="24"/>
      <c r="K43" s="31" t="s">
        <v>75</v>
      </c>
      <c r="L43" s="80">
        <f>IF(N43=1,O43+P43+Q43+F15,FLOOR(O43/2,1)+P43+Q43+F15)</f>
        <v>-1</v>
      </c>
      <c r="M43" s="31" t="s">
        <v>31</v>
      </c>
      <c r="N43" s="81"/>
      <c r="O43" s="82">
        <v>0</v>
      </c>
      <c r="P43" s="81">
        <f>IF(C6="Дварф", 2,)</f>
        <v>0</v>
      </c>
      <c r="Q43" s="83"/>
      <c r="R43" s="24"/>
      <c r="S43" s="24"/>
      <c r="T43" s="24"/>
      <c r="U43" s="24"/>
      <c r="V43" s="24"/>
      <c r="AA43" s="35"/>
      <c r="AB43" s="54"/>
      <c r="AC43" s="24"/>
      <c r="AD43" s="24"/>
    </row>
    <row r="44" spans="1:30" ht="27.75" customHeight="1">
      <c r="A44" s="54"/>
      <c r="B44" s="33"/>
      <c r="C44" s="543"/>
      <c r="D44" s="544"/>
      <c r="E44" s="544"/>
      <c r="F44" s="544"/>
      <c r="G44" s="544"/>
      <c r="H44" s="544"/>
      <c r="I44" s="545"/>
      <c r="J44" s="24"/>
      <c r="K44" s="31" t="s">
        <v>76</v>
      </c>
      <c r="L44" s="80">
        <f>IF(N44=1,O44+P44+Q44+F12,FLOOR(O44/2,1)+P44+Q44+F12)</f>
        <v>2</v>
      </c>
      <c r="M44" s="31" t="s">
        <v>25</v>
      </c>
      <c r="N44" s="81">
        <f>IF(H5="Воин", 1,2)</f>
        <v>1</v>
      </c>
      <c r="O44" s="82">
        <v>0</v>
      </c>
      <c r="P44" s="81"/>
      <c r="Q44" s="83"/>
      <c r="R44" s="24"/>
      <c r="S44" s="24"/>
      <c r="T44" s="24"/>
      <c r="U44" s="24"/>
      <c r="V44" s="24"/>
      <c r="AA44" s="35"/>
      <c r="AB44" s="54"/>
      <c r="AC44" s="24"/>
      <c r="AD44" s="24"/>
    </row>
    <row r="45" spans="1:30" ht="27.75" customHeight="1">
      <c r="A45" s="54"/>
      <c r="B45" s="33"/>
      <c r="C45" s="543"/>
      <c r="D45" s="544"/>
      <c r="E45" s="544"/>
      <c r="F45" s="544"/>
      <c r="G45" s="544"/>
      <c r="H45" s="544"/>
      <c r="I45" s="545"/>
      <c r="J45" s="24"/>
      <c r="K45" s="31" t="s">
        <v>77</v>
      </c>
      <c r="L45" s="80">
        <f>IF(N45=1,O45+P45+Q45+F15,FLOOR(O45/2,1)+P45+Q45+F15)</f>
        <v>-1</v>
      </c>
      <c r="M45" s="31" t="s">
        <v>31</v>
      </c>
      <c r="N45" s="81"/>
      <c r="O45" s="82">
        <v>0</v>
      </c>
      <c r="P45" s="81"/>
      <c r="Q45" s="83"/>
      <c r="R45" s="24"/>
      <c r="S45" s="24"/>
      <c r="T45" s="24"/>
      <c r="U45" s="24"/>
      <c r="V45" s="24"/>
      <c r="AA45" s="35"/>
      <c r="AB45" s="54"/>
      <c r="AC45" s="24"/>
      <c r="AD45" s="24"/>
    </row>
    <row r="46" spans="1:30" ht="35.25" customHeight="1">
      <c r="A46" s="54"/>
      <c r="B46" s="33"/>
      <c r="C46" s="543"/>
      <c r="D46" s="544"/>
      <c r="E46" s="544"/>
      <c r="F46" s="544"/>
      <c r="G46" s="544"/>
      <c r="H46" s="544"/>
      <c r="I46" s="545"/>
      <c r="J46" s="24"/>
      <c r="K46" s="31" t="s">
        <v>78</v>
      </c>
      <c r="L46" s="80">
        <f>IF(N46=1,O46+P46+Q46+F15,FLOOR(O46/2,1)+P46+Q46+F15)</f>
        <v>0</v>
      </c>
      <c r="M46" s="31" t="s">
        <v>31</v>
      </c>
      <c r="N46" s="81"/>
      <c r="O46" s="82">
        <v>0</v>
      </c>
      <c r="P46" s="81">
        <f>IF(C6="Полуэльф", 1,)</f>
        <v>1</v>
      </c>
      <c r="Q46" s="83"/>
      <c r="R46" s="24"/>
      <c r="S46" s="24"/>
      <c r="T46" s="24"/>
      <c r="U46" s="24"/>
      <c r="V46" s="24"/>
      <c r="AA46" s="35"/>
      <c r="AB46" s="54"/>
      <c r="AC46" s="24"/>
      <c r="AD46" s="24"/>
    </row>
    <row r="47" spans="1:30" ht="27" customHeight="1">
      <c r="A47" s="54"/>
      <c r="B47" s="33"/>
      <c r="C47" s="543"/>
      <c r="D47" s="544"/>
      <c r="E47" s="544"/>
      <c r="F47" s="544"/>
      <c r="G47" s="544"/>
      <c r="H47" s="544"/>
      <c r="I47" s="545"/>
      <c r="J47" s="24"/>
      <c r="K47" s="31" t="s">
        <v>79</v>
      </c>
      <c r="L47" s="80">
        <f>IF(N47=1,O47+P47+Q47+F16,FLOOR(O47/2,1)+P47+Q47+F16)</f>
        <v>-1</v>
      </c>
      <c r="M47" s="31" t="s">
        <v>39</v>
      </c>
      <c r="N47" s="81"/>
      <c r="O47" s="82">
        <v>0</v>
      </c>
      <c r="P47" s="81"/>
      <c r="Q47" s="83"/>
      <c r="R47" s="24"/>
      <c r="S47" s="24"/>
      <c r="T47" s="24"/>
      <c r="U47" s="24"/>
      <c r="V47" s="24"/>
      <c r="AA47" s="35"/>
      <c r="AB47" s="54"/>
      <c r="AC47" s="24"/>
      <c r="AD47" s="24"/>
    </row>
    <row r="48" spans="1:30" ht="27.75" customHeight="1">
      <c r="A48" s="54"/>
      <c r="B48" s="33"/>
      <c r="C48" s="543"/>
      <c r="D48" s="544"/>
      <c r="E48" s="544"/>
      <c r="F48" s="544"/>
      <c r="G48" s="544"/>
      <c r="H48" s="544"/>
      <c r="I48" s="545"/>
      <c r="J48" s="24"/>
      <c r="K48" s="31" t="s">
        <v>80</v>
      </c>
      <c r="L48" s="80">
        <f>IF(N48=1,O48+P48+Q48+F12,FLOOR(O48/2,1)+P48+Q48+F12)</f>
        <v>2</v>
      </c>
      <c r="M48" s="31" t="s">
        <v>25</v>
      </c>
      <c r="N48" s="81"/>
      <c r="O48" s="82">
        <v>0</v>
      </c>
      <c r="P48" s="81"/>
      <c r="Q48" s="83"/>
      <c r="R48" s="24"/>
      <c r="S48" s="24"/>
      <c r="T48" s="24"/>
      <c r="U48" s="24"/>
      <c r="V48" s="24"/>
      <c r="AA48" s="35"/>
      <c r="AB48" s="54"/>
      <c r="AC48" s="24"/>
      <c r="AD48" s="24"/>
    </row>
    <row r="49" spans="1:28" ht="27.75" customHeight="1">
      <c r="A49" s="54"/>
      <c r="B49" s="33"/>
      <c r="C49" s="543"/>
      <c r="D49" s="544"/>
      <c r="E49" s="544"/>
      <c r="F49" s="544"/>
      <c r="G49" s="544"/>
      <c r="H49" s="544"/>
      <c r="I49" s="545"/>
      <c r="J49" s="24"/>
      <c r="K49" s="31" t="s">
        <v>81</v>
      </c>
      <c r="L49" s="80">
        <f>IF(N49=1,O49+P49+Q49+F15,FLOOR(O49/2,1)+P49+Q49+F15)</f>
        <v>-1</v>
      </c>
      <c r="M49" s="31" t="s">
        <v>31</v>
      </c>
      <c r="N49" s="81"/>
      <c r="O49" s="82">
        <v>0</v>
      </c>
      <c r="P49" s="81"/>
      <c r="Q49" s="83"/>
      <c r="R49" s="24"/>
      <c r="S49" s="24"/>
      <c r="T49" s="24"/>
      <c r="U49" s="24"/>
      <c r="V49" s="24"/>
      <c r="AA49" s="35"/>
      <c r="AB49" s="54"/>
    </row>
    <row r="50" spans="1:28" ht="27.75" customHeight="1">
      <c r="A50" s="54"/>
      <c r="B50" s="33"/>
      <c r="C50" s="543"/>
      <c r="D50" s="544"/>
      <c r="E50" s="544"/>
      <c r="F50" s="544"/>
      <c r="G50" s="544"/>
      <c r="H50" s="544"/>
      <c r="I50" s="545"/>
      <c r="J50" s="24"/>
      <c r="K50" s="31" t="s">
        <v>82</v>
      </c>
      <c r="L50" s="80">
        <f>IF(N50=1,O50+P50+Q50+F17,FLOOR(O50/2,1)+P50+Q50+F17)</f>
        <v>3</v>
      </c>
      <c r="M50" s="31" t="s">
        <v>40</v>
      </c>
      <c r="N50" s="81"/>
      <c r="O50" s="82">
        <v>0</v>
      </c>
      <c r="P50" s="81">
        <f>IF(C6="Полуэльф", 2,)</f>
        <v>2</v>
      </c>
      <c r="Q50" s="83"/>
      <c r="R50" s="24"/>
      <c r="S50" s="24"/>
      <c r="T50" s="24"/>
      <c r="U50" s="24"/>
      <c r="V50" s="24"/>
      <c r="AA50" s="35"/>
      <c r="AB50" s="54"/>
    </row>
    <row r="51" spans="1:28" ht="27.75" customHeight="1">
      <c r="A51" s="54"/>
      <c r="B51" s="33"/>
      <c r="C51" s="543"/>
      <c r="D51" s="544"/>
      <c r="E51" s="544"/>
      <c r="F51" s="544"/>
      <c r="G51" s="544"/>
      <c r="H51" s="544"/>
      <c r="I51" s="545"/>
      <c r="J51" s="24"/>
      <c r="K51" s="31" t="s">
        <v>83</v>
      </c>
      <c r="L51" s="80">
        <f>IF(N51=1,O51+P51+Q51+F16,FLOOR(O51/2,1)+P51+Q51+F16)</f>
        <v>0</v>
      </c>
      <c r="M51" s="31" t="s">
        <v>39</v>
      </c>
      <c r="N51" s="81"/>
      <c r="O51" s="82">
        <v>0</v>
      </c>
      <c r="P51" s="81">
        <f>IF(C6="Полуэльф", 1,IF(C6="Гном", 2,))</f>
        <v>1</v>
      </c>
      <c r="Q51" s="83"/>
      <c r="R51" s="24"/>
      <c r="S51" s="24"/>
      <c r="T51" s="24"/>
      <c r="U51" s="24"/>
      <c r="V51" s="24"/>
      <c r="AA51" s="35"/>
      <c r="AB51" s="54"/>
    </row>
    <row r="52" spans="1:28" ht="27.75" customHeight="1">
      <c r="A52" s="54"/>
      <c r="B52" s="33"/>
      <c r="C52" s="543"/>
      <c r="D52" s="544"/>
      <c r="E52" s="544"/>
      <c r="F52" s="544"/>
      <c r="G52" s="544"/>
      <c r="H52" s="544"/>
      <c r="I52" s="545"/>
      <c r="J52" s="24"/>
      <c r="K52" s="31" t="s">
        <v>84</v>
      </c>
      <c r="L52" s="80">
        <f>IF(N52=1,O52+P52+Q52+F13,FLOOR(O52/2,1)+P52+Q52+F13)</f>
        <v>1</v>
      </c>
      <c r="M52" s="31" t="s">
        <v>27</v>
      </c>
      <c r="N52" s="81"/>
      <c r="O52" s="82">
        <v>0</v>
      </c>
      <c r="P52" s="81">
        <f>IF(C6="Гном", 4,)</f>
        <v>0</v>
      </c>
      <c r="Q52" s="83"/>
      <c r="R52" s="24"/>
      <c r="S52" s="24"/>
      <c r="T52" s="24"/>
      <c r="U52" s="24"/>
      <c r="V52" s="24"/>
      <c r="AA52" s="35"/>
      <c r="AB52" s="54"/>
    </row>
    <row r="53" spans="1:28" ht="27.75" customHeight="1">
      <c r="A53" s="54"/>
      <c r="B53" s="33"/>
      <c r="C53" s="543"/>
      <c r="D53" s="544"/>
      <c r="E53" s="544"/>
      <c r="F53" s="544"/>
      <c r="G53" s="544"/>
      <c r="H53" s="544"/>
      <c r="I53" s="545"/>
      <c r="J53" s="24"/>
      <c r="K53" s="31" t="s">
        <v>85</v>
      </c>
      <c r="L53" s="80">
        <f>IF(N53=1,O53+P53+Q53+F15,FLOOR(O53/2,1)+P53+Q53+F15)</f>
        <v>-1</v>
      </c>
      <c r="M53" s="31" t="s">
        <v>31</v>
      </c>
      <c r="N53" s="81"/>
      <c r="O53" s="82">
        <v>0</v>
      </c>
      <c r="P53" s="81"/>
      <c r="Q53" s="83"/>
      <c r="R53" s="24"/>
      <c r="S53" s="24"/>
      <c r="T53" s="24"/>
      <c r="U53" s="24"/>
      <c r="V53" s="24"/>
      <c r="AA53" s="35"/>
      <c r="AB53" s="54"/>
    </row>
    <row r="54" spans="1:28" ht="27.75" customHeight="1">
      <c r="A54" s="54"/>
      <c r="B54" s="33"/>
      <c r="C54" s="543"/>
      <c r="D54" s="544"/>
      <c r="E54" s="544"/>
      <c r="F54" s="544"/>
      <c r="G54" s="544"/>
      <c r="H54" s="544"/>
      <c r="I54" s="545"/>
      <c r="J54" s="24"/>
      <c r="K54" s="31" t="s">
        <v>85</v>
      </c>
      <c r="L54" s="80">
        <f>IF(N54=1,O54+P54+Q54+F15,FLOOR(O54/2,1)+P54+Q54+F15)</f>
        <v>-1</v>
      </c>
      <c r="M54" s="31" t="s">
        <v>31</v>
      </c>
      <c r="N54" s="81"/>
      <c r="O54" s="82">
        <v>0</v>
      </c>
      <c r="P54" s="81"/>
      <c r="Q54" s="83"/>
      <c r="R54" s="24"/>
      <c r="S54" s="24"/>
      <c r="T54" s="24"/>
      <c r="U54" s="24"/>
      <c r="V54" s="24"/>
      <c r="AA54" s="35"/>
      <c r="AB54" s="54"/>
    </row>
    <row r="55" spans="1:28" ht="27.75" customHeight="1">
      <c r="A55" s="54"/>
      <c r="B55" s="33"/>
      <c r="C55" s="543"/>
      <c r="D55" s="544"/>
      <c r="E55" s="544"/>
      <c r="F55" s="544"/>
      <c r="G55" s="544"/>
      <c r="H55" s="544"/>
      <c r="I55" s="545"/>
      <c r="J55" s="24"/>
      <c r="K55" s="31" t="s">
        <v>85</v>
      </c>
      <c r="L55" s="80">
        <f>IF(N55=1,O55+P55+Q55+F15,FLOOR(O55/2,1)+P55+Q55+F15)</f>
        <v>-1</v>
      </c>
      <c r="M55" s="31" t="s">
        <v>31</v>
      </c>
      <c r="N55" s="81"/>
      <c r="O55" s="82">
        <v>0</v>
      </c>
      <c r="P55" s="81"/>
      <c r="Q55" s="83"/>
      <c r="R55" s="24"/>
      <c r="S55" s="24"/>
      <c r="T55" s="24"/>
      <c r="U55" s="24"/>
      <c r="V55" s="24"/>
      <c r="AA55" s="35"/>
      <c r="AB55" s="54"/>
    </row>
    <row r="56" spans="1:28" ht="27.75" customHeight="1">
      <c r="A56" s="54"/>
      <c r="B56" s="33"/>
      <c r="C56" s="543"/>
      <c r="D56" s="544"/>
      <c r="E56" s="544"/>
      <c r="F56" s="544"/>
      <c r="G56" s="544"/>
      <c r="H56" s="544"/>
      <c r="I56" s="545"/>
      <c r="J56" s="24"/>
      <c r="K56" s="31" t="s">
        <v>86</v>
      </c>
      <c r="L56" s="80">
        <f>IF(N56=1,O56+P56+Q56+F17,FLOOR(O56/2,1)+P56+Q56+F17)</f>
        <v>1</v>
      </c>
      <c r="M56" s="31" t="s">
        <v>87</v>
      </c>
      <c r="N56" s="81"/>
      <c r="O56" s="82">
        <v>0</v>
      </c>
      <c r="P56" s="81"/>
      <c r="Q56" s="83"/>
      <c r="R56" s="24"/>
      <c r="S56" s="24"/>
      <c r="T56" s="24"/>
      <c r="U56" s="24"/>
      <c r="V56" s="24"/>
      <c r="AA56" s="35"/>
      <c r="AB56" s="54"/>
    </row>
    <row r="57" spans="1:28" ht="27.75" customHeight="1">
      <c r="A57" s="54"/>
      <c r="B57" s="33"/>
      <c r="C57" s="543"/>
      <c r="D57" s="544"/>
      <c r="E57" s="544"/>
      <c r="F57" s="544"/>
      <c r="G57" s="544"/>
      <c r="H57" s="544"/>
      <c r="I57" s="545"/>
      <c r="J57" s="24"/>
      <c r="K57" s="31" t="s">
        <v>86</v>
      </c>
      <c r="L57" s="80">
        <f>IF(N57=1,O57+P57+Q57+F17,FLOOR(O57/2,1)+P57+Q57+F17)</f>
        <v>1</v>
      </c>
      <c r="M57" s="31" t="s">
        <v>87</v>
      </c>
      <c r="N57" s="81"/>
      <c r="O57" s="82">
        <v>0</v>
      </c>
      <c r="P57" s="81"/>
      <c r="Q57" s="83"/>
      <c r="R57" s="24"/>
      <c r="S57" s="24"/>
      <c r="T57" s="24"/>
      <c r="U57" s="24"/>
      <c r="V57" s="24"/>
      <c r="AA57" s="35"/>
      <c r="AB57" s="54"/>
    </row>
    <row r="58" spans="1:28" ht="30.75" customHeight="1">
      <c r="A58" s="54"/>
      <c r="B58" s="33"/>
      <c r="C58" s="543"/>
      <c r="D58" s="544"/>
      <c r="E58" s="544"/>
      <c r="F58" s="544"/>
      <c r="G58" s="544"/>
      <c r="H58" s="544"/>
      <c r="I58" s="545"/>
      <c r="J58" s="24"/>
      <c r="K58" s="31" t="s">
        <v>86</v>
      </c>
      <c r="L58" s="80">
        <f>IF(N58=1,O58+P58+Q58+F17,FLOOR(O58/2,1)+P58+Q58+F17)</f>
        <v>1</v>
      </c>
      <c r="M58" s="31" t="s">
        <v>87</v>
      </c>
      <c r="N58" s="81"/>
      <c r="O58" s="82">
        <v>0</v>
      </c>
      <c r="P58" s="81"/>
      <c r="Q58" s="83"/>
      <c r="R58" s="24"/>
      <c r="S58" s="24"/>
      <c r="T58" s="24"/>
      <c r="U58" s="24"/>
      <c r="V58" s="24"/>
      <c r="AA58" s="35"/>
      <c r="AB58" s="54"/>
    </row>
    <row r="59" spans="1:28" ht="27.75" customHeight="1">
      <c r="A59" s="54"/>
      <c r="B59" s="33"/>
      <c r="C59" s="543"/>
      <c r="D59" s="544"/>
      <c r="E59" s="544"/>
      <c r="F59" s="544"/>
      <c r="G59" s="544"/>
      <c r="H59" s="544"/>
      <c r="I59" s="545"/>
      <c r="J59" s="24"/>
      <c r="K59" s="31" t="s">
        <v>88</v>
      </c>
      <c r="L59" s="80">
        <f>IF(N59=1,O59+P59+Q59+F16,FLOOR(O59/2,1)+P59+Q59+F16)</f>
        <v>-1</v>
      </c>
      <c r="M59" s="31" t="s">
        <v>39</v>
      </c>
      <c r="N59" s="81"/>
      <c r="O59" s="82">
        <v>0</v>
      </c>
      <c r="P59" s="81"/>
      <c r="Q59" s="83"/>
      <c r="R59" s="24"/>
      <c r="S59" s="24"/>
      <c r="T59" s="24"/>
      <c r="U59" s="24"/>
      <c r="V59" s="24"/>
      <c r="AA59" s="35"/>
      <c r="AB59" s="54"/>
    </row>
    <row r="60" spans="1:28" ht="27.75" customHeight="1">
      <c r="A60" s="54"/>
      <c r="B60" s="33"/>
      <c r="C60" s="543"/>
      <c r="D60" s="544"/>
      <c r="E60" s="544"/>
      <c r="F60" s="544"/>
      <c r="G60" s="544"/>
      <c r="H60" s="544"/>
      <c r="I60" s="545"/>
      <c r="J60" s="24"/>
      <c r="K60" s="31" t="s">
        <v>88</v>
      </c>
      <c r="L60" s="80">
        <f>IF(N60=1,O60+P60+Q60+F16,FLOOR(O60/2,1)+P60+Q60+F16)</f>
        <v>-1</v>
      </c>
      <c r="M60" s="31" t="s">
        <v>39</v>
      </c>
      <c r="N60" s="81"/>
      <c r="O60" s="82">
        <v>0</v>
      </c>
      <c r="P60" s="81"/>
      <c r="Q60" s="83"/>
      <c r="R60" s="24"/>
      <c r="S60" s="24"/>
      <c r="T60" s="24"/>
      <c r="U60" s="24"/>
      <c r="V60" s="24"/>
      <c r="AA60" s="35"/>
      <c r="AB60" s="54"/>
    </row>
    <row r="61" spans="1:28" ht="27.75" customHeight="1">
      <c r="A61" s="54"/>
      <c r="B61" s="33"/>
      <c r="C61" s="543"/>
      <c r="D61" s="544"/>
      <c r="E61" s="544"/>
      <c r="F61" s="544"/>
      <c r="G61" s="544"/>
      <c r="H61" s="544"/>
      <c r="I61" s="545"/>
      <c r="J61" s="24"/>
      <c r="K61" s="31" t="s">
        <v>89</v>
      </c>
      <c r="L61" s="80">
        <f>IF(N61=1,O61+P61+Q61+F15,FLOOR(O61/2,1)+P61+Q61+F15)</f>
        <v>-1</v>
      </c>
      <c r="M61" s="31" t="s">
        <v>31</v>
      </c>
      <c r="N61" s="81"/>
      <c r="O61" s="82">
        <v>0</v>
      </c>
      <c r="P61" s="81"/>
      <c r="Q61" s="83"/>
      <c r="R61" s="24"/>
      <c r="S61" s="24"/>
      <c r="T61" s="24"/>
      <c r="U61" s="24"/>
      <c r="V61" s="24"/>
      <c r="AA61" s="35"/>
      <c r="AB61" s="54"/>
    </row>
    <row r="62" spans="1:28" ht="33" customHeight="1">
      <c r="A62" s="54"/>
      <c r="B62" s="33"/>
      <c r="C62" s="543"/>
      <c r="D62" s="544"/>
      <c r="E62" s="544"/>
      <c r="F62" s="544"/>
      <c r="G62" s="544"/>
      <c r="H62" s="544"/>
      <c r="I62" s="545"/>
      <c r="J62" s="24"/>
      <c r="K62" s="31" t="s">
        <v>89</v>
      </c>
      <c r="L62" s="80">
        <f>IF(N62=1,O62+P62+Q62+F15,FLOOR(O62/2,1)+P62+Q62+F15)</f>
        <v>-1</v>
      </c>
      <c r="M62" s="31" t="s">
        <v>31</v>
      </c>
      <c r="N62" s="81"/>
      <c r="O62" s="82">
        <v>0</v>
      </c>
      <c r="P62" s="81"/>
      <c r="Q62" s="83"/>
      <c r="R62" s="24"/>
      <c r="S62" s="24"/>
      <c r="T62" s="24"/>
      <c r="U62" s="24"/>
      <c r="V62" s="24"/>
      <c r="AA62" s="35"/>
      <c r="AB62" s="54"/>
    </row>
    <row r="63" spans="1:28" ht="40.5" customHeight="1">
      <c r="A63" s="54"/>
      <c r="B63" s="33"/>
      <c r="C63" s="543"/>
      <c r="D63" s="544"/>
      <c r="E63" s="544"/>
      <c r="F63" s="544"/>
      <c r="G63" s="544"/>
      <c r="H63" s="544"/>
      <c r="I63" s="545"/>
      <c r="J63" s="24"/>
      <c r="K63" s="31" t="s">
        <v>89</v>
      </c>
      <c r="L63" s="80">
        <f>IF(N63=1,O63+P63+Q63+F15,FLOOR(O63/2,1)+P63+Q63+F15)</f>
        <v>-1</v>
      </c>
      <c r="M63" s="31" t="s">
        <v>31</v>
      </c>
      <c r="N63" s="81"/>
      <c r="O63" s="82">
        <v>0</v>
      </c>
      <c r="P63" s="81"/>
      <c r="Q63" s="83"/>
      <c r="R63" s="24"/>
      <c r="S63" s="24"/>
      <c r="T63" s="24"/>
      <c r="U63" s="24"/>
      <c r="V63" s="24"/>
      <c r="AA63" s="35"/>
      <c r="AB63" s="54"/>
    </row>
    <row r="64" spans="1:28" ht="42" customHeight="1">
      <c r="A64" s="54"/>
      <c r="B64" s="33"/>
      <c r="C64" s="543"/>
      <c r="D64" s="544"/>
      <c r="E64" s="544"/>
      <c r="F64" s="544"/>
      <c r="G64" s="544"/>
      <c r="H64" s="544"/>
      <c r="I64" s="545"/>
      <c r="J64" s="24"/>
      <c r="K64" s="31" t="s">
        <v>89</v>
      </c>
      <c r="L64" s="80">
        <f>IF(N64=1,O64+P64+Q64+F15,FLOOR(O64/2,1)+P64+Q64+F15)</f>
        <v>-1</v>
      </c>
      <c r="M64" s="31" t="s">
        <v>31</v>
      </c>
      <c r="N64" s="81"/>
      <c r="O64" s="82">
        <v>0</v>
      </c>
      <c r="P64" s="81"/>
      <c r="Q64" s="83"/>
      <c r="R64" s="24"/>
      <c r="S64" s="24"/>
      <c r="T64" s="24"/>
      <c r="U64" s="24"/>
      <c r="V64" s="24"/>
      <c r="AA64" s="35"/>
      <c r="AB64" s="54"/>
    </row>
    <row r="65" spans="1:28" ht="27.75" customHeight="1" thickBot="1">
      <c r="A65" s="54"/>
      <c r="B65" s="33"/>
      <c r="C65" s="546"/>
      <c r="D65" s="547"/>
      <c r="E65" s="547"/>
      <c r="F65" s="547"/>
      <c r="G65" s="547"/>
      <c r="H65" s="547"/>
      <c r="I65" s="548"/>
      <c r="J65" s="28"/>
      <c r="K65" s="31" t="s">
        <v>89</v>
      </c>
      <c r="L65" s="80">
        <f>IF(N65=1,O65+P65+Q65+F15,FLOOR(O65/2,1)+P65+Q65+F15)</f>
        <v>-1</v>
      </c>
      <c r="M65" s="31" t="s">
        <v>31</v>
      </c>
      <c r="N65" s="81"/>
      <c r="O65" s="82">
        <v>0</v>
      </c>
      <c r="P65" s="81"/>
      <c r="Q65" s="83"/>
      <c r="R65" s="28"/>
      <c r="S65" s="28"/>
      <c r="T65" s="28"/>
      <c r="U65" s="28"/>
      <c r="V65" s="28"/>
      <c r="W65" s="28"/>
      <c r="X65" s="28"/>
      <c r="Y65" s="28"/>
      <c r="Z65" s="28"/>
      <c r="AA65" s="35"/>
      <c r="AB65" s="54"/>
    </row>
    <row r="66" spans="1:28" ht="27.75" customHeight="1" thickTop="1">
      <c r="A66" s="54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35"/>
      <c r="AB66" s="54"/>
    </row>
    <row r="67" spans="1:28" ht="27.75" customHeight="1" thickBot="1">
      <c r="A67" s="54"/>
      <c r="B67" s="33"/>
      <c r="C67" s="557" t="s">
        <v>90</v>
      </c>
      <c r="D67" s="557"/>
      <c r="E67" s="557"/>
      <c r="F67" s="38"/>
      <c r="G67" s="38"/>
      <c r="H67" s="38"/>
      <c r="I67" s="38"/>
      <c r="J67" s="38"/>
      <c r="K67" s="38"/>
      <c r="L67" s="3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8"/>
      <c r="X67" s="28"/>
      <c r="Y67" s="28"/>
      <c r="Z67" s="28"/>
      <c r="AA67" s="35"/>
      <c r="AB67" s="54"/>
    </row>
    <row r="68" spans="1:28" ht="38.25" customHeight="1" thickTop="1" thickBot="1">
      <c r="A68" s="54"/>
      <c r="B68" s="33"/>
      <c r="C68" s="549"/>
      <c r="D68" s="550"/>
      <c r="E68" s="14" t="s">
        <v>91</v>
      </c>
      <c r="F68" s="25" t="s">
        <v>92</v>
      </c>
      <c r="G68" s="25" t="s">
        <v>93</v>
      </c>
      <c r="H68" s="25" t="s">
        <v>94</v>
      </c>
      <c r="I68" s="25" t="s">
        <v>95</v>
      </c>
      <c r="J68" s="25" t="s">
        <v>96</v>
      </c>
      <c r="K68" s="551" t="s">
        <v>97</v>
      </c>
      <c r="L68" s="552"/>
      <c r="M68" s="24"/>
      <c r="N68" s="511" t="s">
        <v>98</v>
      </c>
      <c r="O68" s="512"/>
      <c r="P68" s="513"/>
      <c r="Q68" s="74">
        <f>IF(H9="Невыбрано",IF(H8="Невыбрано",IF(H7="Невыбрано",IF(H6="Невыбрано",IF(H5="Воин",M4)))))+IF(C8="Маленький",1,)</f>
        <v>1</v>
      </c>
      <c r="R68" s="24"/>
      <c r="S68" s="49" t="s">
        <v>99</v>
      </c>
      <c r="T68" s="74"/>
      <c r="U68" s="24"/>
      <c r="V68" s="24"/>
      <c r="W68" s="28"/>
      <c r="X68" s="28"/>
      <c r="Y68" s="28"/>
      <c r="Z68" s="28"/>
      <c r="AA68" s="35"/>
      <c r="AB68" s="54"/>
    </row>
    <row r="69" spans="1:28" ht="27.75" customHeight="1" thickBot="1">
      <c r="A69" s="54"/>
      <c r="B69" s="33"/>
      <c r="C69" s="551" t="s">
        <v>100</v>
      </c>
      <c r="D69" s="552"/>
      <c r="E69" s="40">
        <f>F69+G69+H69+I69+J69</f>
        <v>1</v>
      </c>
      <c r="F69" s="26"/>
      <c r="G69" s="26">
        <f>F14</f>
        <v>1</v>
      </c>
      <c r="H69" s="26"/>
      <c r="I69" s="26"/>
      <c r="J69" s="11"/>
      <c r="K69" s="468"/>
      <c r="L69" s="470"/>
      <c r="M69" s="24"/>
      <c r="N69" s="24"/>
      <c r="O69" s="24"/>
      <c r="P69" s="24"/>
      <c r="Q69" s="24"/>
      <c r="R69" s="24"/>
      <c r="S69" s="24"/>
      <c r="T69" s="24"/>
      <c r="U69" s="24"/>
      <c r="V69" s="24"/>
      <c r="AA69" s="35"/>
      <c r="AB69" s="54"/>
    </row>
    <row r="70" spans="1:28" ht="27.75" customHeight="1" thickTop="1" thickBot="1">
      <c r="A70" s="54"/>
      <c r="B70" s="33"/>
      <c r="C70" s="45"/>
      <c r="D70" s="41"/>
      <c r="E70" s="42"/>
      <c r="F70" s="42"/>
      <c r="G70" s="42"/>
      <c r="H70" s="42"/>
      <c r="I70" s="42"/>
      <c r="J70" s="12"/>
      <c r="K70" s="553"/>
      <c r="L70" s="554"/>
      <c r="M70" s="24"/>
      <c r="N70" s="511" t="s">
        <v>101</v>
      </c>
      <c r="O70" s="512"/>
      <c r="P70" s="513"/>
      <c r="Q70" s="74">
        <f>S70+T70+U70+AA70</f>
        <v>3</v>
      </c>
      <c r="R70" s="139" t="s">
        <v>30</v>
      </c>
      <c r="S70" s="74">
        <f>Q68</f>
        <v>1</v>
      </c>
      <c r="T70" s="74">
        <f>F12</f>
        <v>2</v>
      </c>
      <c r="U70" s="74">
        <f>IF(C8 = "Маленький", 1, IF(C8 = "Средний", 0, IF(C8 = "Большой", 2, "ERROR")))</f>
        <v>0</v>
      </c>
      <c r="V70" s="74"/>
      <c r="X70" s="28"/>
      <c r="Y70" s="28"/>
      <c r="Z70" s="28"/>
      <c r="AA70" s="35"/>
      <c r="AB70" s="54"/>
    </row>
    <row r="71" spans="1:28" ht="34.5" customHeight="1" thickTop="1" thickBot="1">
      <c r="A71" s="54"/>
      <c r="B71" s="33"/>
      <c r="C71" s="551" t="s">
        <v>102</v>
      </c>
      <c r="D71" s="552"/>
      <c r="E71" s="43">
        <f>F71+G71+H71+I71+J71</f>
        <v>1</v>
      </c>
      <c r="F71" s="26"/>
      <c r="G71" s="26">
        <f>F13</f>
        <v>1</v>
      </c>
      <c r="H71" s="26"/>
      <c r="I71" s="26"/>
      <c r="J71" s="11"/>
      <c r="K71" s="553"/>
      <c r="L71" s="554"/>
      <c r="M71" s="24"/>
      <c r="N71" s="24"/>
      <c r="O71" s="24"/>
      <c r="P71" s="24"/>
      <c r="Q71" s="24"/>
      <c r="R71" s="24"/>
      <c r="S71" s="137" t="s">
        <v>103</v>
      </c>
      <c r="T71" s="137" t="s">
        <v>104</v>
      </c>
      <c r="U71" s="137" t="s">
        <v>35</v>
      </c>
      <c r="V71" s="137" t="s">
        <v>38</v>
      </c>
      <c r="AA71" s="35"/>
      <c r="AB71" s="54"/>
    </row>
    <row r="72" spans="1:28" ht="27.75" customHeight="1" thickBot="1">
      <c r="A72" s="54"/>
      <c r="B72" s="33"/>
      <c r="C72" s="45"/>
      <c r="D72" s="41"/>
      <c r="E72" s="42"/>
      <c r="F72" s="42"/>
      <c r="G72" s="42"/>
      <c r="H72" s="42"/>
      <c r="I72" s="42"/>
      <c r="J72" s="12"/>
      <c r="K72" s="553"/>
      <c r="L72" s="554"/>
      <c r="M72" s="24"/>
      <c r="N72" s="24"/>
      <c r="O72" s="24"/>
      <c r="P72" s="24"/>
      <c r="Q72" s="24"/>
      <c r="R72" s="24"/>
      <c r="S72" s="24"/>
      <c r="T72" s="24"/>
      <c r="U72" s="24"/>
      <c r="V72" s="24"/>
      <c r="AA72" s="35"/>
      <c r="AB72" s="54"/>
    </row>
    <row r="73" spans="1:28" ht="27.75" customHeight="1" thickBot="1">
      <c r="A73" s="54"/>
      <c r="B73" s="33"/>
      <c r="C73" s="558" t="s">
        <v>105</v>
      </c>
      <c r="D73" s="559"/>
      <c r="E73" s="43">
        <f>F73+G73+H73+I73+J73</f>
        <v>-1</v>
      </c>
      <c r="F73" s="26"/>
      <c r="G73" s="26">
        <f>F16</f>
        <v>-1</v>
      </c>
      <c r="H73" s="26"/>
      <c r="I73" s="26"/>
      <c r="J73" s="11"/>
      <c r="K73" s="553"/>
      <c r="L73" s="554"/>
      <c r="M73" s="24"/>
      <c r="N73" s="24"/>
      <c r="O73" s="24"/>
      <c r="P73" s="24"/>
      <c r="Q73" s="24"/>
      <c r="R73" s="24"/>
      <c r="S73" s="24"/>
      <c r="T73" s="24"/>
      <c r="U73" s="24"/>
      <c r="V73" s="24"/>
      <c r="AA73" s="35"/>
      <c r="AB73" s="54"/>
    </row>
    <row r="74" spans="1:28" ht="27.75" customHeight="1" thickBot="1">
      <c r="A74" s="54"/>
      <c r="B74" s="33"/>
      <c r="C74" s="46"/>
      <c r="D74" s="44"/>
      <c r="E74" s="42"/>
      <c r="F74" s="42"/>
      <c r="G74" s="42"/>
      <c r="H74" s="42"/>
      <c r="I74" s="42"/>
      <c r="J74" s="12"/>
      <c r="K74" s="555"/>
      <c r="L74" s="556"/>
      <c r="M74" s="24"/>
      <c r="N74" s="24"/>
      <c r="O74" s="24"/>
      <c r="P74" s="423" t="s">
        <v>106</v>
      </c>
      <c r="Q74" s="419"/>
      <c r="R74" s="420"/>
      <c r="S74" s="418" t="s">
        <v>107</v>
      </c>
      <c r="T74" s="419"/>
      <c r="U74" s="420"/>
      <c r="V74" s="418" t="s">
        <v>108</v>
      </c>
      <c r="W74" s="419"/>
      <c r="X74" s="420"/>
      <c r="Y74" s="412" t="s">
        <v>109</v>
      </c>
      <c r="Z74" s="413"/>
      <c r="AA74" s="35"/>
      <c r="AB74" s="54"/>
    </row>
    <row r="75" spans="1:28" ht="27.75" customHeight="1" thickTop="1" thickBot="1">
      <c r="A75" s="54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8"/>
      <c r="P75" s="405"/>
      <c r="Q75" s="406"/>
      <c r="R75" s="407"/>
      <c r="S75" s="405"/>
      <c r="T75" s="406"/>
      <c r="U75" s="407"/>
      <c r="V75" s="405"/>
      <c r="W75" s="406"/>
      <c r="X75" s="407"/>
      <c r="Y75" s="408"/>
      <c r="Z75" s="409"/>
      <c r="AA75" s="35"/>
      <c r="AB75" s="54"/>
    </row>
    <row r="76" spans="1:28" ht="27.75" customHeight="1" thickTop="1" thickBot="1">
      <c r="A76" s="54"/>
      <c r="B76" s="3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8"/>
      <c r="P76" s="410" t="s">
        <v>110</v>
      </c>
      <c r="Q76" s="411"/>
      <c r="R76" s="412" t="s">
        <v>111</v>
      </c>
      <c r="S76" s="411"/>
      <c r="T76" s="412" t="s">
        <v>112</v>
      </c>
      <c r="U76" s="413"/>
      <c r="V76" s="413"/>
      <c r="W76" s="413"/>
      <c r="X76" s="413"/>
      <c r="Y76" s="413"/>
      <c r="Z76" s="413"/>
      <c r="AA76" s="35"/>
      <c r="AB76" s="54"/>
    </row>
    <row r="77" spans="1:28" ht="27.75" customHeight="1" thickTop="1" thickBot="1">
      <c r="A77" s="54"/>
      <c r="B77" s="33"/>
      <c r="C77" s="2" t="s">
        <v>113</v>
      </c>
      <c r="D77" s="507" t="s">
        <v>114</v>
      </c>
      <c r="E77" s="508"/>
      <c r="F77" s="508"/>
      <c r="G77" s="508"/>
      <c r="H77" s="508"/>
      <c r="I77" s="508"/>
      <c r="J77" s="508"/>
      <c r="K77" s="508"/>
      <c r="L77" s="508"/>
      <c r="M77" s="508"/>
      <c r="N77" s="509"/>
      <c r="O77" s="28"/>
      <c r="P77" s="408"/>
      <c r="Q77" s="409"/>
      <c r="R77" s="408"/>
      <c r="S77" s="409"/>
      <c r="T77" s="408"/>
      <c r="U77" s="414"/>
      <c r="V77" s="414"/>
      <c r="W77" s="414"/>
      <c r="X77" s="414"/>
      <c r="Y77" s="414"/>
      <c r="Z77" s="409"/>
      <c r="AA77" s="24"/>
      <c r="AB77" s="54"/>
    </row>
    <row r="78" spans="1:28" ht="27.75" customHeight="1" thickTop="1" thickBot="1">
      <c r="A78" s="54"/>
      <c r="B78" s="33"/>
      <c r="C78" s="15" t="s">
        <v>115</v>
      </c>
      <c r="D78" s="504" t="s">
        <v>116</v>
      </c>
      <c r="E78" s="505"/>
      <c r="F78" s="505"/>
      <c r="G78" s="506"/>
      <c r="H78" s="498" t="s">
        <v>117</v>
      </c>
      <c r="I78" s="499"/>
      <c r="J78" s="499"/>
      <c r="K78" s="500"/>
      <c r="L78" s="498" t="s">
        <v>118</v>
      </c>
      <c r="M78" s="499"/>
      <c r="N78" s="500"/>
      <c r="O78" s="28"/>
      <c r="P78" s="138" t="s">
        <v>119</v>
      </c>
      <c r="Q78" s="421"/>
      <c r="R78" s="422"/>
      <c r="S78" s="422"/>
      <c r="T78" s="422"/>
      <c r="U78" s="424"/>
      <c r="V78" s="424"/>
      <c r="W78" s="424"/>
      <c r="X78" s="424"/>
      <c r="Y78" s="424"/>
      <c r="Z78" s="424"/>
      <c r="AA78" s="24"/>
      <c r="AB78" s="54"/>
    </row>
    <row r="79" spans="1:28" ht="27.75" customHeight="1" thickTop="1">
      <c r="A79" s="54"/>
      <c r="B79" s="33"/>
      <c r="C79" s="16"/>
      <c r="D79" s="501"/>
      <c r="E79" s="502"/>
      <c r="F79" s="502"/>
      <c r="G79" s="503"/>
      <c r="H79" s="465"/>
      <c r="I79" s="466"/>
      <c r="J79" s="466"/>
      <c r="K79" s="467"/>
      <c r="L79" s="465"/>
      <c r="M79" s="466"/>
      <c r="N79" s="467"/>
      <c r="O79" s="28"/>
      <c r="P79" s="24"/>
      <c r="Q79" s="24"/>
      <c r="R79" s="24"/>
      <c r="S79" s="24"/>
      <c r="T79" s="24"/>
      <c r="U79" s="24"/>
      <c r="V79" s="24"/>
      <c r="AA79" s="24"/>
      <c r="AB79" s="54"/>
    </row>
    <row r="80" spans="1:28" ht="27.75" customHeight="1">
      <c r="A80" s="54"/>
      <c r="B80" s="33"/>
      <c r="C80" s="16"/>
      <c r="D80" s="462"/>
      <c r="E80" s="463"/>
      <c r="F80" s="463"/>
      <c r="G80" s="464"/>
      <c r="H80" s="436"/>
      <c r="I80" s="437"/>
      <c r="J80" s="437"/>
      <c r="K80" s="438"/>
      <c r="L80" s="436"/>
      <c r="M80" s="437"/>
      <c r="N80" s="438"/>
      <c r="O80" s="28"/>
      <c r="P80" s="24"/>
      <c r="Q80" s="24"/>
      <c r="R80" s="24"/>
      <c r="S80" s="24"/>
      <c r="T80" s="24"/>
      <c r="U80" s="24"/>
      <c r="V80" s="24"/>
      <c r="AA80" s="24"/>
      <c r="AB80" s="54"/>
    </row>
    <row r="81" spans="1:28" ht="27.75" customHeight="1" thickBot="1">
      <c r="A81" s="54"/>
      <c r="B81" s="33"/>
      <c r="C81" s="16"/>
      <c r="D81" s="459"/>
      <c r="E81" s="460"/>
      <c r="F81" s="460"/>
      <c r="G81" s="461"/>
      <c r="H81" s="456"/>
      <c r="I81" s="457"/>
      <c r="J81" s="457"/>
      <c r="K81" s="458"/>
      <c r="L81" s="465"/>
      <c r="M81" s="466"/>
      <c r="N81" s="467"/>
      <c r="O81" s="28"/>
      <c r="P81" s="423" t="s">
        <v>106</v>
      </c>
      <c r="Q81" s="419"/>
      <c r="R81" s="420"/>
      <c r="S81" s="418" t="s">
        <v>107</v>
      </c>
      <c r="T81" s="419"/>
      <c r="U81" s="420"/>
      <c r="V81" s="418" t="s">
        <v>108</v>
      </c>
      <c r="W81" s="419"/>
      <c r="X81" s="420"/>
      <c r="Y81" s="412" t="s">
        <v>109</v>
      </c>
      <c r="Z81" s="413"/>
      <c r="AA81" s="24"/>
      <c r="AB81" s="54"/>
    </row>
    <row r="82" spans="1:28" ht="27.75" customHeight="1" thickTop="1" thickBot="1">
      <c r="A82" s="54"/>
      <c r="B82" s="33"/>
      <c r="C82" s="16"/>
      <c r="D82" s="462"/>
      <c r="E82" s="463"/>
      <c r="F82" s="463"/>
      <c r="G82" s="464"/>
      <c r="H82" s="436"/>
      <c r="I82" s="437"/>
      <c r="J82" s="437"/>
      <c r="K82" s="438"/>
      <c r="L82" s="436"/>
      <c r="M82" s="437"/>
      <c r="N82" s="438"/>
      <c r="O82" s="28"/>
      <c r="P82" s="405"/>
      <c r="Q82" s="406"/>
      <c r="R82" s="407"/>
      <c r="S82" s="405"/>
      <c r="T82" s="406"/>
      <c r="U82" s="407"/>
      <c r="V82" s="405"/>
      <c r="W82" s="406"/>
      <c r="X82" s="407"/>
      <c r="Y82" s="408"/>
      <c r="Z82" s="409"/>
      <c r="AA82" s="35"/>
      <c r="AB82" s="54"/>
    </row>
    <row r="83" spans="1:28" ht="27.75" customHeight="1" thickTop="1" thickBot="1">
      <c r="A83" s="54"/>
      <c r="B83" s="33"/>
      <c r="C83" s="16"/>
      <c r="D83" s="459"/>
      <c r="E83" s="460"/>
      <c r="F83" s="460"/>
      <c r="G83" s="461"/>
      <c r="H83" s="456"/>
      <c r="I83" s="457"/>
      <c r="J83" s="457"/>
      <c r="K83" s="458"/>
      <c r="L83" s="465"/>
      <c r="M83" s="466"/>
      <c r="N83" s="467"/>
      <c r="O83" s="28"/>
      <c r="P83" s="410" t="s">
        <v>110</v>
      </c>
      <c r="Q83" s="411"/>
      <c r="R83" s="412" t="s">
        <v>111</v>
      </c>
      <c r="S83" s="411"/>
      <c r="T83" s="412" t="s">
        <v>112</v>
      </c>
      <c r="U83" s="413"/>
      <c r="V83" s="413"/>
      <c r="W83" s="413"/>
      <c r="X83" s="413"/>
      <c r="Y83" s="413"/>
      <c r="Z83" s="413"/>
      <c r="AA83" s="35"/>
      <c r="AB83" s="54"/>
    </row>
    <row r="84" spans="1:28" ht="27.75" customHeight="1" thickTop="1" thickBot="1">
      <c r="A84" s="54"/>
      <c r="B84" s="33"/>
      <c r="C84" s="16"/>
      <c r="D84" s="462"/>
      <c r="E84" s="463"/>
      <c r="F84" s="463"/>
      <c r="G84" s="464"/>
      <c r="H84" s="436"/>
      <c r="I84" s="437"/>
      <c r="J84" s="437"/>
      <c r="K84" s="438"/>
      <c r="L84" s="436"/>
      <c r="M84" s="437"/>
      <c r="N84" s="438"/>
      <c r="O84" s="28"/>
      <c r="P84" s="408"/>
      <c r="Q84" s="409"/>
      <c r="R84" s="408"/>
      <c r="S84" s="409"/>
      <c r="T84" s="408"/>
      <c r="U84" s="414"/>
      <c r="V84" s="414"/>
      <c r="W84" s="414"/>
      <c r="X84" s="414"/>
      <c r="Y84" s="414"/>
      <c r="Z84" s="409"/>
      <c r="AA84" s="35"/>
      <c r="AB84" s="54"/>
    </row>
    <row r="85" spans="1:28" ht="27.75" customHeight="1" thickTop="1" thickBot="1">
      <c r="A85" s="54"/>
      <c r="B85" s="33"/>
      <c r="C85" s="16"/>
      <c r="D85" s="459"/>
      <c r="E85" s="460"/>
      <c r="F85" s="460"/>
      <c r="G85" s="461"/>
      <c r="H85" s="456"/>
      <c r="I85" s="457"/>
      <c r="J85" s="457"/>
      <c r="K85" s="458"/>
      <c r="L85" s="465"/>
      <c r="M85" s="466"/>
      <c r="N85" s="467"/>
      <c r="O85" s="24"/>
      <c r="P85" s="32" t="s">
        <v>119</v>
      </c>
      <c r="Q85" s="415"/>
      <c r="R85" s="416"/>
      <c r="S85" s="416"/>
      <c r="T85" s="416"/>
      <c r="U85" s="417"/>
      <c r="V85" s="417"/>
      <c r="W85" s="417"/>
      <c r="X85" s="417"/>
      <c r="Y85" s="417"/>
      <c r="Z85" s="417"/>
      <c r="AA85" s="35"/>
      <c r="AB85" s="54"/>
    </row>
    <row r="86" spans="1:28" ht="27.75" customHeight="1" thickTop="1">
      <c r="A86" s="54"/>
      <c r="B86" s="33"/>
      <c r="C86" s="16"/>
      <c r="D86" s="462"/>
      <c r="E86" s="463"/>
      <c r="F86" s="463"/>
      <c r="G86" s="464"/>
      <c r="H86" s="436"/>
      <c r="I86" s="437"/>
      <c r="J86" s="437"/>
      <c r="K86" s="438"/>
      <c r="L86" s="436"/>
      <c r="M86" s="437"/>
      <c r="N86" s="438"/>
      <c r="O86" s="24"/>
      <c r="P86" s="24"/>
      <c r="Q86" s="24"/>
      <c r="R86" s="24"/>
      <c r="S86" s="24"/>
      <c r="T86" s="24"/>
      <c r="U86" s="28"/>
      <c r="V86" s="28"/>
      <c r="W86" s="28"/>
      <c r="X86" s="28"/>
      <c r="Y86" s="28"/>
      <c r="Z86" s="28"/>
      <c r="AA86" s="35"/>
      <c r="AB86" s="54"/>
    </row>
    <row r="87" spans="1:28" ht="27.75" customHeight="1">
      <c r="A87" s="54"/>
      <c r="B87" s="33"/>
      <c r="C87" s="16"/>
      <c r="D87" s="459"/>
      <c r="E87" s="460"/>
      <c r="F87" s="460"/>
      <c r="G87" s="461"/>
      <c r="H87" s="456"/>
      <c r="I87" s="457"/>
      <c r="J87" s="457"/>
      <c r="K87" s="458"/>
      <c r="L87" s="465"/>
      <c r="M87" s="466"/>
      <c r="N87" s="467"/>
      <c r="O87" s="24"/>
      <c r="P87" s="24"/>
      <c r="Q87" s="24"/>
      <c r="R87" s="24"/>
      <c r="S87" s="24"/>
      <c r="T87" s="24"/>
      <c r="U87" s="28"/>
      <c r="V87" s="28"/>
      <c r="W87" s="28"/>
      <c r="X87" s="28"/>
      <c r="Y87" s="28"/>
      <c r="Z87" s="28"/>
      <c r="AA87" s="35"/>
      <c r="AB87" s="54"/>
    </row>
    <row r="88" spans="1:28" ht="27.75" customHeight="1" thickBot="1">
      <c r="A88" s="54"/>
      <c r="B88" s="33"/>
      <c r="C88" s="16"/>
      <c r="D88" s="462"/>
      <c r="E88" s="463"/>
      <c r="F88" s="463"/>
      <c r="G88" s="464"/>
      <c r="H88" s="436"/>
      <c r="I88" s="437"/>
      <c r="J88" s="437"/>
      <c r="K88" s="438"/>
      <c r="L88" s="436"/>
      <c r="M88" s="437"/>
      <c r="N88" s="438"/>
      <c r="O88" s="24"/>
      <c r="P88" s="423" t="s">
        <v>106</v>
      </c>
      <c r="Q88" s="419"/>
      <c r="R88" s="420"/>
      <c r="S88" s="418" t="s">
        <v>107</v>
      </c>
      <c r="T88" s="419"/>
      <c r="U88" s="420"/>
      <c r="V88" s="418" t="s">
        <v>108</v>
      </c>
      <c r="W88" s="419"/>
      <c r="X88" s="420"/>
      <c r="Y88" s="412" t="s">
        <v>109</v>
      </c>
      <c r="Z88" s="413"/>
      <c r="AA88" s="35"/>
      <c r="AB88" s="54"/>
    </row>
    <row r="89" spans="1:28" ht="27.75" customHeight="1" thickTop="1" thickBot="1">
      <c r="A89" s="54"/>
      <c r="B89" s="33"/>
      <c r="C89" s="16"/>
      <c r="D89" s="459"/>
      <c r="E89" s="460"/>
      <c r="F89" s="460"/>
      <c r="G89" s="461"/>
      <c r="H89" s="456"/>
      <c r="I89" s="457"/>
      <c r="J89" s="457"/>
      <c r="K89" s="458"/>
      <c r="L89" s="465"/>
      <c r="M89" s="466"/>
      <c r="N89" s="467"/>
      <c r="O89" s="24"/>
      <c r="P89" s="405"/>
      <c r="Q89" s="406"/>
      <c r="R89" s="407"/>
      <c r="S89" s="405"/>
      <c r="T89" s="406"/>
      <c r="U89" s="407"/>
      <c r="V89" s="405"/>
      <c r="W89" s="406"/>
      <c r="X89" s="407"/>
      <c r="Y89" s="408"/>
      <c r="Z89" s="409"/>
      <c r="AA89" s="35"/>
      <c r="AB89" s="54"/>
    </row>
    <row r="90" spans="1:28" ht="27.75" customHeight="1" thickTop="1" thickBot="1">
      <c r="A90" s="54"/>
      <c r="B90" s="33"/>
      <c r="C90" s="16"/>
      <c r="D90" s="462"/>
      <c r="E90" s="463"/>
      <c r="F90" s="463"/>
      <c r="G90" s="464"/>
      <c r="H90" s="436"/>
      <c r="I90" s="437"/>
      <c r="J90" s="437"/>
      <c r="K90" s="438"/>
      <c r="L90" s="436"/>
      <c r="M90" s="437"/>
      <c r="N90" s="438"/>
      <c r="O90" s="24"/>
      <c r="P90" s="410" t="s">
        <v>110</v>
      </c>
      <c r="Q90" s="411"/>
      <c r="R90" s="412" t="s">
        <v>111</v>
      </c>
      <c r="S90" s="411"/>
      <c r="T90" s="412" t="s">
        <v>112</v>
      </c>
      <c r="U90" s="413"/>
      <c r="V90" s="413"/>
      <c r="W90" s="413"/>
      <c r="X90" s="413"/>
      <c r="Y90" s="413"/>
      <c r="Z90" s="413"/>
      <c r="AA90" s="35"/>
      <c r="AB90" s="54"/>
    </row>
    <row r="91" spans="1:28" ht="27.75" customHeight="1" thickTop="1" thickBot="1">
      <c r="A91" s="54"/>
      <c r="B91" s="33"/>
      <c r="C91" s="16"/>
      <c r="D91" s="459"/>
      <c r="E91" s="460"/>
      <c r="F91" s="460"/>
      <c r="G91" s="461"/>
      <c r="H91" s="456"/>
      <c r="I91" s="457"/>
      <c r="J91" s="457"/>
      <c r="K91" s="458"/>
      <c r="L91" s="465"/>
      <c r="M91" s="466"/>
      <c r="N91" s="467"/>
      <c r="O91" s="24"/>
      <c r="P91" s="408"/>
      <c r="Q91" s="409"/>
      <c r="R91" s="408"/>
      <c r="S91" s="409"/>
      <c r="T91" s="408"/>
      <c r="U91" s="414"/>
      <c r="V91" s="414"/>
      <c r="W91" s="414"/>
      <c r="X91" s="414"/>
      <c r="Y91" s="414"/>
      <c r="Z91" s="409"/>
      <c r="AA91" s="35"/>
      <c r="AB91" s="54"/>
    </row>
    <row r="92" spans="1:28" ht="27.75" customHeight="1" thickTop="1" thickBot="1">
      <c r="A92" s="54"/>
      <c r="B92" s="33"/>
      <c r="C92" s="16"/>
      <c r="D92" s="462"/>
      <c r="E92" s="463"/>
      <c r="F92" s="463"/>
      <c r="G92" s="464"/>
      <c r="H92" s="436"/>
      <c r="I92" s="437"/>
      <c r="J92" s="437"/>
      <c r="K92" s="438"/>
      <c r="L92" s="436"/>
      <c r="M92" s="437"/>
      <c r="N92" s="438"/>
      <c r="O92" s="24"/>
      <c r="P92" s="32" t="s">
        <v>119</v>
      </c>
      <c r="Q92" s="415"/>
      <c r="R92" s="416"/>
      <c r="S92" s="416"/>
      <c r="T92" s="416"/>
      <c r="U92" s="417"/>
      <c r="V92" s="417"/>
      <c r="W92" s="417"/>
      <c r="X92" s="417"/>
      <c r="Y92" s="417"/>
      <c r="Z92" s="417"/>
      <c r="AA92" s="35"/>
      <c r="AB92" s="54"/>
    </row>
    <row r="93" spans="1:28" ht="27.75" customHeight="1" thickTop="1" thickBot="1">
      <c r="A93" s="54"/>
      <c r="B93" s="33"/>
      <c r="C93" s="16"/>
      <c r="D93" s="459"/>
      <c r="E93" s="460"/>
      <c r="F93" s="460"/>
      <c r="G93" s="461"/>
      <c r="H93" s="456"/>
      <c r="I93" s="457"/>
      <c r="J93" s="457"/>
      <c r="K93" s="458"/>
      <c r="L93" s="465"/>
      <c r="M93" s="466"/>
      <c r="N93" s="467"/>
      <c r="O93" s="475" t="s">
        <v>120</v>
      </c>
      <c r="P93" s="476"/>
      <c r="Q93" s="476"/>
      <c r="R93" s="476"/>
      <c r="S93" s="476"/>
      <c r="T93" s="477"/>
      <c r="U93" s="28"/>
      <c r="V93" s="28"/>
      <c r="W93" s="28"/>
      <c r="X93" s="28"/>
      <c r="Y93" s="28"/>
      <c r="Z93" s="28"/>
      <c r="AA93" s="35"/>
      <c r="AB93" s="54"/>
    </row>
    <row r="94" spans="1:28" ht="27.75" customHeight="1" thickBot="1">
      <c r="A94" s="54"/>
      <c r="B94" s="33"/>
      <c r="C94" s="16"/>
      <c r="D94" s="462"/>
      <c r="E94" s="463"/>
      <c r="F94" s="463"/>
      <c r="G94" s="464"/>
      <c r="H94" s="436"/>
      <c r="I94" s="437"/>
      <c r="J94" s="437"/>
      <c r="K94" s="438"/>
      <c r="L94" s="436"/>
      <c r="M94" s="437"/>
      <c r="N94" s="438"/>
      <c r="O94" s="1" t="s">
        <v>2</v>
      </c>
      <c r="P94" s="1" t="s">
        <v>121</v>
      </c>
      <c r="Q94" s="1" t="s">
        <v>122</v>
      </c>
      <c r="R94" s="1" t="s">
        <v>123</v>
      </c>
      <c r="S94" s="18" t="s">
        <v>124</v>
      </c>
      <c r="T94" s="19" t="s">
        <v>125</v>
      </c>
      <c r="U94" s="28"/>
      <c r="V94" s="28"/>
      <c r="W94" s="28"/>
      <c r="X94" s="28"/>
      <c r="Y94" s="28"/>
      <c r="Z94" s="28"/>
      <c r="AA94" s="35"/>
      <c r="AB94" s="54"/>
    </row>
    <row r="95" spans="1:28" ht="27.75" customHeight="1">
      <c r="A95" s="54"/>
      <c r="B95" s="33"/>
      <c r="C95" s="16"/>
      <c r="D95" s="459"/>
      <c r="E95" s="460"/>
      <c r="F95" s="460"/>
      <c r="G95" s="461"/>
      <c r="H95" s="456"/>
      <c r="I95" s="457"/>
      <c r="J95" s="457"/>
      <c r="K95" s="458"/>
      <c r="L95" s="465"/>
      <c r="M95" s="466"/>
      <c r="N95" s="467"/>
      <c r="O95" s="20">
        <v>0</v>
      </c>
      <c r="P95" s="62"/>
      <c r="Q95" s="62"/>
      <c r="R95" s="62"/>
      <c r="S95" s="62"/>
      <c r="T95" s="63"/>
      <c r="U95" s="28"/>
      <c r="V95" s="28"/>
      <c r="W95" s="28"/>
      <c r="X95" s="28"/>
      <c r="Y95" s="28"/>
      <c r="Z95" s="28"/>
      <c r="AA95" s="35"/>
      <c r="AB95" s="54"/>
    </row>
    <row r="96" spans="1:28" ht="27.75" customHeight="1">
      <c r="A96" s="54"/>
      <c r="B96" s="33"/>
      <c r="C96" s="16"/>
      <c r="D96" s="462"/>
      <c r="E96" s="463"/>
      <c r="F96" s="463"/>
      <c r="G96" s="464"/>
      <c r="H96" s="436"/>
      <c r="I96" s="437"/>
      <c r="J96" s="437"/>
      <c r="K96" s="438"/>
      <c r="L96" s="436"/>
      <c r="M96" s="437"/>
      <c r="N96" s="438"/>
      <c r="O96" s="27">
        <v>1</v>
      </c>
      <c r="P96" s="370"/>
      <c r="Q96" s="370"/>
      <c r="R96" s="370"/>
      <c r="S96" s="370"/>
      <c r="T96" s="64"/>
      <c r="U96" s="28"/>
      <c r="V96" s="28"/>
      <c r="W96" s="28"/>
      <c r="X96" s="28"/>
      <c r="Y96" s="28"/>
      <c r="Z96" s="28"/>
      <c r="AA96" s="35"/>
      <c r="AB96" s="54"/>
    </row>
    <row r="97" spans="1:28" ht="27.75" customHeight="1">
      <c r="A97" s="54"/>
      <c r="B97" s="33"/>
      <c r="C97" s="16"/>
      <c r="D97" s="459"/>
      <c r="E97" s="460"/>
      <c r="F97" s="460"/>
      <c r="G97" s="461"/>
      <c r="H97" s="456"/>
      <c r="I97" s="457"/>
      <c r="J97" s="457"/>
      <c r="K97" s="458"/>
      <c r="L97" s="465"/>
      <c r="M97" s="466"/>
      <c r="N97" s="467"/>
      <c r="O97" s="29">
        <v>2</v>
      </c>
      <c r="P97" s="369"/>
      <c r="Q97" s="369"/>
      <c r="R97" s="369"/>
      <c r="S97" s="369"/>
      <c r="T97" s="65"/>
      <c r="U97" s="28"/>
      <c r="V97" s="28"/>
      <c r="W97" s="28"/>
      <c r="X97" s="28"/>
      <c r="Y97" s="28"/>
      <c r="Z97" s="28"/>
      <c r="AA97" s="35"/>
      <c r="AB97" s="54"/>
    </row>
    <row r="98" spans="1:28" ht="27.75" customHeight="1" thickBot="1">
      <c r="A98" s="54"/>
      <c r="B98" s="33"/>
      <c r="C98" s="16"/>
      <c r="D98" s="22"/>
      <c r="E98" s="23"/>
      <c r="F98" s="23"/>
      <c r="G98" s="23"/>
      <c r="H98" s="532"/>
      <c r="I98" s="532"/>
      <c r="J98" s="532"/>
      <c r="K98" s="532"/>
      <c r="L98" s="532"/>
      <c r="M98" s="532"/>
      <c r="N98" s="533"/>
      <c r="O98" s="27">
        <v>3</v>
      </c>
      <c r="P98" s="370"/>
      <c r="Q98" s="370"/>
      <c r="R98" s="370"/>
      <c r="S98" s="370"/>
      <c r="T98" s="64"/>
      <c r="U98" s="28"/>
      <c r="V98" s="28"/>
      <c r="W98" s="28"/>
      <c r="X98" s="28"/>
      <c r="Y98" s="28"/>
      <c r="Z98" s="28"/>
      <c r="AA98" s="35"/>
      <c r="AB98" s="54"/>
    </row>
    <row r="99" spans="1:28" ht="27.75" customHeight="1">
      <c r="A99" s="54"/>
      <c r="B99" s="33"/>
      <c r="C99" s="16"/>
      <c r="D99" s="480" t="s">
        <v>126</v>
      </c>
      <c r="E99" s="481"/>
      <c r="F99" s="481"/>
      <c r="G99" s="482"/>
      <c r="H99" s="534" t="s">
        <v>117</v>
      </c>
      <c r="I99" s="535"/>
      <c r="J99" s="535"/>
      <c r="K99" s="536"/>
      <c r="L99" s="534" t="s">
        <v>118</v>
      </c>
      <c r="M99" s="535"/>
      <c r="N99" s="536"/>
      <c r="O99" s="29">
        <v>4</v>
      </c>
      <c r="P99" s="369"/>
      <c r="Q99" s="369"/>
      <c r="R99" s="369"/>
      <c r="S99" s="369"/>
      <c r="T99" s="65"/>
      <c r="U99" s="28"/>
      <c r="V99" s="28"/>
      <c r="W99" s="28"/>
      <c r="X99" s="28"/>
      <c r="Y99" s="28"/>
      <c r="Z99" s="28"/>
      <c r="AA99" s="35"/>
      <c r="AB99" s="54"/>
    </row>
    <row r="100" spans="1:28" ht="27.75" customHeight="1">
      <c r="A100" s="54"/>
      <c r="B100" s="33"/>
      <c r="C100" s="16"/>
      <c r="D100" s="462"/>
      <c r="E100" s="463"/>
      <c r="F100" s="463"/>
      <c r="G100" s="464"/>
      <c r="H100" s="436"/>
      <c r="I100" s="437"/>
      <c r="J100" s="437"/>
      <c r="K100" s="438"/>
      <c r="L100" s="436"/>
      <c r="M100" s="437"/>
      <c r="N100" s="438"/>
      <c r="O100" s="27">
        <v>5</v>
      </c>
      <c r="P100" s="370"/>
      <c r="Q100" s="370"/>
      <c r="R100" s="370"/>
      <c r="S100" s="370"/>
      <c r="T100" s="64"/>
      <c r="U100" s="28"/>
      <c r="V100" s="28"/>
      <c r="W100" s="28"/>
      <c r="X100" s="28"/>
      <c r="Y100" s="28"/>
      <c r="Z100" s="28"/>
      <c r="AA100" s="35"/>
      <c r="AB100" s="54"/>
    </row>
    <row r="101" spans="1:28" ht="27.75" customHeight="1">
      <c r="A101" s="54"/>
      <c r="B101" s="33"/>
      <c r="C101" s="16"/>
      <c r="D101" s="459"/>
      <c r="E101" s="460"/>
      <c r="F101" s="460"/>
      <c r="G101" s="461"/>
      <c r="H101" s="456"/>
      <c r="I101" s="457"/>
      <c r="J101" s="457"/>
      <c r="K101" s="458"/>
      <c r="L101" s="465"/>
      <c r="M101" s="466"/>
      <c r="N101" s="467"/>
      <c r="O101" s="29">
        <v>6</v>
      </c>
      <c r="P101" s="369"/>
      <c r="Q101" s="369"/>
      <c r="R101" s="369"/>
      <c r="S101" s="369"/>
      <c r="T101" s="65"/>
      <c r="U101" s="28"/>
      <c r="V101" s="28"/>
      <c r="W101" s="28"/>
      <c r="X101" s="28"/>
      <c r="Y101" s="28"/>
      <c r="Z101" s="28"/>
      <c r="AA101" s="35"/>
      <c r="AB101" s="54"/>
    </row>
    <row r="102" spans="1:28" ht="27.75" customHeight="1">
      <c r="A102" s="54"/>
      <c r="B102" s="33"/>
      <c r="C102" s="16"/>
      <c r="D102" s="462"/>
      <c r="E102" s="463"/>
      <c r="F102" s="463"/>
      <c r="G102" s="464"/>
      <c r="H102" s="436"/>
      <c r="I102" s="437"/>
      <c r="J102" s="437"/>
      <c r="K102" s="438"/>
      <c r="L102" s="436"/>
      <c r="M102" s="437"/>
      <c r="N102" s="438"/>
      <c r="O102" s="27">
        <v>7</v>
      </c>
      <c r="P102" s="370"/>
      <c r="Q102" s="370"/>
      <c r="R102" s="370"/>
      <c r="S102" s="370"/>
      <c r="T102" s="64"/>
      <c r="U102" s="28"/>
      <c r="V102" s="28"/>
      <c r="W102" s="28"/>
      <c r="X102" s="28"/>
      <c r="Y102" s="28"/>
      <c r="Z102" s="28"/>
      <c r="AA102" s="35"/>
      <c r="AB102" s="54"/>
    </row>
    <row r="103" spans="1:28" ht="27.75" customHeight="1">
      <c r="A103" s="54"/>
      <c r="B103" s="33"/>
      <c r="C103" s="16"/>
      <c r="D103" s="459"/>
      <c r="E103" s="460"/>
      <c r="F103" s="460"/>
      <c r="G103" s="461"/>
      <c r="H103" s="456"/>
      <c r="I103" s="457"/>
      <c r="J103" s="457"/>
      <c r="K103" s="458"/>
      <c r="L103" s="465"/>
      <c r="M103" s="466"/>
      <c r="N103" s="467"/>
      <c r="O103" s="29">
        <v>8</v>
      </c>
      <c r="P103" s="369"/>
      <c r="Q103" s="369"/>
      <c r="R103" s="369"/>
      <c r="S103" s="369"/>
      <c r="T103" s="65"/>
      <c r="U103" s="28"/>
      <c r="V103" s="28"/>
      <c r="W103" s="28"/>
      <c r="X103" s="28"/>
      <c r="Y103" s="28"/>
      <c r="Z103" s="28"/>
      <c r="AA103" s="35"/>
      <c r="AB103" s="54"/>
    </row>
    <row r="104" spans="1:28" ht="27.75" customHeight="1">
      <c r="A104" s="54"/>
      <c r="B104" s="33"/>
      <c r="C104" s="16"/>
      <c r="D104" s="462"/>
      <c r="E104" s="463"/>
      <c r="F104" s="463"/>
      <c r="G104" s="464"/>
      <c r="H104" s="436"/>
      <c r="I104" s="437"/>
      <c r="J104" s="437"/>
      <c r="K104" s="438"/>
      <c r="L104" s="436"/>
      <c r="M104" s="437"/>
      <c r="N104" s="438"/>
      <c r="O104" s="27">
        <v>9</v>
      </c>
      <c r="P104" s="370"/>
      <c r="Q104" s="370"/>
      <c r="R104" s="370"/>
      <c r="S104" s="370"/>
      <c r="T104" s="64"/>
      <c r="U104" s="28"/>
      <c r="V104" s="28"/>
      <c r="W104" s="28"/>
      <c r="X104" s="28"/>
      <c r="Y104" s="28"/>
      <c r="Z104" s="28"/>
      <c r="AA104" s="35"/>
      <c r="AB104" s="54"/>
    </row>
    <row r="105" spans="1:28" ht="27.75" customHeight="1">
      <c r="A105" s="54"/>
      <c r="B105" s="33"/>
      <c r="C105" s="16"/>
      <c r="D105" s="459"/>
      <c r="E105" s="460"/>
      <c r="F105" s="460"/>
      <c r="G105" s="461"/>
      <c r="H105" s="456"/>
      <c r="I105" s="457"/>
      <c r="J105" s="457"/>
      <c r="K105" s="458"/>
      <c r="L105" s="465"/>
      <c r="M105" s="466"/>
      <c r="N105" s="467"/>
      <c r="O105" s="21">
        <v>10</v>
      </c>
      <c r="P105" s="66"/>
      <c r="Q105" s="66"/>
      <c r="R105" s="66"/>
      <c r="S105" s="66"/>
      <c r="T105" s="67"/>
      <c r="U105" s="28"/>
      <c r="V105" s="28"/>
      <c r="W105" s="28"/>
      <c r="X105" s="28"/>
      <c r="Y105" s="28"/>
      <c r="Z105" s="28"/>
      <c r="AA105" s="35"/>
      <c r="AB105" s="54"/>
    </row>
    <row r="106" spans="1:28" ht="27.75" customHeight="1">
      <c r="A106" s="54"/>
      <c r="B106" s="33"/>
      <c r="C106" s="16"/>
      <c r="D106" s="462"/>
      <c r="E106" s="463"/>
      <c r="F106" s="463"/>
      <c r="G106" s="464"/>
      <c r="H106" s="436"/>
      <c r="I106" s="437"/>
      <c r="J106" s="437"/>
      <c r="K106" s="438"/>
      <c r="L106" s="436"/>
      <c r="M106" s="437"/>
      <c r="N106" s="438"/>
      <c r="O106" s="94" t="s">
        <v>127</v>
      </c>
      <c r="P106" s="95"/>
      <c r="Q106" s="95"/>
      <c r="R106" s="95"/>
      <c r="S106" s="95"/>
      <c r="T106" s="95"/>
      <c r="U106" s="28"/>
      <c r="V106" s="28"/>
      <c r="W106" s="28"/>
      <c r="X106" s="28"/>
      <c r="Y106" s="28"/>
      <c r="Z106" s="28"/>
      <c r="AA106" s="35"/>
      <c r="AB106" s="54"/>
    </row>
    <row r="107" spans="1:28" ht="27.75" customHeight="1" thickBot="1">
      <c r="A107" s="54"/>
      <c r="B107" s="33"/>
      <c r="C107" s="16"/>
      <c r="D107" s="459"/>
      <c r="E107" s="460"/>
      <c r="F107" s="460"/>
      <c r="G107" s="461"/>
      <c r="H107" s="456"/>
      <c r="I107" s="457"/>
      <c r="J107" s="457"/>
      <c r="K107" s="458"/>
      <c r="L107" s="465"/>
      <c r="M107" s="466"/>
      <c r="N107" s="467"/>
      <c r="O107" s="96"/>
      <c r="P107" s="372"/>
      <c r="Q107" s="372"/>
      <c r="R107" s="372"/>
      <c r="S107" s="372"/>
      <c r="T107" s="373"/>
      <c r="U107" s="28"/>
      <c r="V107" s="28"/>
      <c r="W107" s="28"/>
      <c r="X107" s="28"/>
      <c r="Y107" s="28"/>
      <c r="Z107" s="28"/>
      <c r="AA107" s="35"/>
      <c r="AB107" s="54"/>
    </row>
    <row r="108" spans="1:28" ht="27.75" customHeight="1" thickBot="1">
      <c r="A108" s="54"/>
      <c r="B108" s="33"/>
      <c r="C108" s="16"/>
      <c r="D108" s="462"/>
      <c r="E108" s="463"/>
      <c r="F108" s="463"/>
      <c r="G108" s="464"/>
      <c r="H108" s="436"/>
      <c r="I108" s="437"/>
      <c r="J108" s="437"/>
      <c r="K108" s="438"/>
      <c r="L108" s="436"/>
      <c r="M108" s="437"/>
      <c r="N108" s="438"/>
      <c r="O108" s="97" t="s">
        <v>128</v>
      </c>
      <c r="P108" s="98"/>
      <c r="Q108" s="99" t="s">
        <v>129</v>
      </c>
      <c r="R108" s="100"/>
      <c r="S108" s="100"/>
      <c r="T108" s="98"/>
      <c r="U108" s="28"/>
      <c r="V108" s="28"/>
      <c r="W108" s="28"/>
      <c r="X108" s="28"/>
      <c r="Y108" s="28"/>
      <c r="Z108" s="28"/>
      <c r="AA108" s="35"/>
      <c r="AB108" s="54"/>
    </row>
    <row r="109" spans="1:28" ht="27.75" customHeight="1" thickBot="1">
      <c r="A109" s="54"/>
      <c r="B109" s="33"/>
      <c r="C109" s="16"/>
      <c r="D109" s="459"/>
      <c r="E109" s="460"/>
      <c r="F109" s="460"/>
      <c r="G109" s="461"/>
      <c r="H109" s="465"/>
      <c r="I109" s="466"/>
      <c r="J109" s="466"/>
      <c r="K109" s="467"/>
      <c r="L109" s="465"/>
      <c r="M109" s="466"/>
      <c r="N109" s="467"/>
      <c r="O109" s="101"/>
      <c r="P109" s="102"/>
      <c r="Q109" s="102"/>
      <c r="R109" s="102"/>
      <c r="S109" s="102"/>
      <c r="T109" s="103"/>
      <c r="U109" s="28"/>
      <c r="V109" s="28"/>
      <c r="W109" s="28"/>
      <c r="X109" s="28"/>
      <c r="Y109" s="28"/>
      <c r="Z109" s="28"/>
      <c r="AA109" s="35"/>
      <c r="AB109" s="54"/>
    </row>
    <row r="110" spans="1:28" ht="27.75" customHeight="1" thickBot="1">
      <c r="A110" s="54"/>
      <c r="B110" s="33"/>
      <c r="C110" s="16"/>
      <c r="D110" s="537" t="s">
        <v>130</v>
      </c>
      <c r="E110" s="538"/>
      <c r="F110" s="538"/>
      <c r="G110" s="538"/>
      <c r="H110" s="538"/>
      <c r="I110" s="538"/>
      <c r="J110" s="538"/>
      <c r="K110" s="538"/>
      <c r="L110" s="538"/>
      <c r="M110" s="538"/>
      <c r="N110" s="539"/>
      <c r="O110" s="97" t="s">
        <v>128</v>
      </c>
      <c r="P110" s="98"/>
      <c r="Q110" s="99" t="s">
        <v>129</v>
      </c>
      <c r="R110" s="100"/>
      <c r="S110" s="100"/>
      <c r="T110" s="98"/>
      <c r="U110" s="28"/>
      <c r="V110" s="28"/>
      <c r="W110" s="28"/>
      <c r="X110" s="28"/>
      <c r="Y110" s="28"/>
      <c r="Z110" s="28"/>
      <c r="AA110" s="35"/>
      <c r="AB110" s="54"/>
    </row>
    <row r="111" spans="1:28" ht="27.75" customHeight="1" thickBot="1">
      <c r="A111" s="54"/>
      <c r="B111" s="33"/>
      <c r="C111" s="16"/>
      <c r="D111" s="478"/>
      <c r="E111" s="479"/>
      <c r="F111" s="479"/>
      <c r="G111" s="479"/>
      <c r="H111" s="479"/>
      <c r="I111" s="68"/>
      <c r="J111" s="430"/>
      <c r="K111" s="430"/>
      <c r="L111" s="430"/>
      <c r="M111" s="430"/>
      <c r="N111" s="431"/>
      <c r="O111" s="374" t="s">
        <v>131</v>
      </c>
      <c r="P111" s="375"/>
      <c r="Q111" s="375"/>
      <c r="R111" s="375"/>
      <c r="S111" s="375"/>
      <c r="T111" s="376"/>
      <c r="U111" s="28"/>
      <c r="V111" s="28"/>
      <c r="W111" s="28"/>
      <c r="X111" s="28"/>
      <c r="Y111" s="28"/>
      <c r="Z111" s="28"/>
      <c r="AA111" s="35"/>
      <c r="AB111" s="54"/>
    </row>
    <row r="112" spans="1:28" ht="30" customHeight="1" thickBot="1">
      <c r="A112" s="54"/>
      <c r="B112" s="33"/>
      <c r="C112" s="16"/>
      <c r="D112" s="439" t="s">
        <v>132</v>
      </c>
      <c r="E112" s="440"/>
      <c r="F112" s="440"/>
      <c r="G112" s="440"/>
      <c r="H112" s="441"/>
      <c r="I112" s="68"/>
      <c r="J112" s="453" t="s">
        <v>133</v>
      </c>
      <c r="K112" s="454"/>
      <c r="L112" s="454"/>
      <c r="M112" s="454"/>
      <c r="N112" s="455"/>
      <c r="O112" s="377"/>
      <c r="P112" s="378"/>
      <c r="Q112" s="378"/>
      <c r="R112" s="378"/>
      <c r="S112" s="378"/>
      <c r="T112" s="379"/>
      <c r="U112" s="28"/>
      <c r="V112" s="28"/>
      <c r="W112" s="28"/>
      <c r="X112" s="28"/>
      <c r="Y112" s="28"/>
      <c r="Z112" s="28"/>
      <c r="AA112" s="35"/>
      <c r="AB112" s="54"/>
    </row>
    <row r="113" spans="1:28" ht="27.75" customHeight="1" thickBot="1">
      <c r="A113" s="54"/>
      <c r="B113" s="33"/>
      <c r="C113" s="16"/>
      <c r="D113" s="442"/>
      <c r="E113" s="443"/>
      <c r="F113" s="443"/>
      <c r="G113" s="443"/>
      <c r="H113" s="444"/>
      <c r="I113" s="69"/>
      <c r="J113" s="450"/>
      <c r="K113" s="451"/>
      <c r="L113" s="451"/>
      <c r="M113" s="451"/>
      <c r="N113" s="452"/>
      <c r="O113" s="104" t="s">
        <v>134</v>
      </c>
      <c r="P113" s="105"/>
      <c r="Q113" s="106" t="s">
        <v>135</v>
      </c>
      <c r="R113" s="105"/>
      <c r="S113" s="106" t="s">
        <v>136</v>
      </c>
      <c r="T113" s="105"/>
      <c r="U113" s="28"/>
      <c r="V113" s="28"/>
      <c r="W113" s="28"/>
      <c r="X113" s="28"/>
      <c r="Y113" s="28"/>
      <c r="Z113" s="28"/>
      <c r="AA113" s="35"/>
      <c r="AB113" s="54"/>
    </row>
    <row r="114" spans="1:28" ht="27.75" customHeight="1" thickBot="1">
      <c r="A114" s="54"/>
      <c r="B114" s="33"/>
      <c r="C114" s="16"/>
      <c r="D114" s="439" t="s">
        <v>137</v>
      </c>
      <c r="E114" s="440"/>
      <c r="F114" s="440"/>
      <c r="G114" s="440"/>
      <c r="H114" s="441"/>
      <c r="I114" s="68"/>
      <c r="J114" s="448" t="s">
        <v>138</v>
      </c>
      <c r="K114" s="426"/>
      <c r="L114" s="426"/>
      <c r="M114" s="426"/>
      <c r="N114" s="449"/>
      <c r="O114" s="107"/>
      <c r="P114" s="108"/>
      <c r="Q114" s="108"/>
      <c r="R114" s="108"/>
      <c r="S114" s="108"/>
      <c r="T114" s="109"/>
      <c r="U114" s="28"/>
      <c r="V114" s="28"/>
      <c r="W114" s="28"/>
      <c r="X114" s="28"/>
      <c r="Y114" s="28"/>
      <c r="Z114" s="28"/>
      <c r="AA114" s="35"/>
      <c r="AB114" s="54"/>
    </row>
    <row r="115" spans="1:28" ht="27.75" customHeight="1" thickBot="1">
      <c r="A115" s="54"/>
      <c r="B115" s="33"/>
      <c r="C115" s="16"/>
      <c r="D115" s="442"/>
      <c r="E115" s="443"/>
      <c r="F115" s="443"/>
      <c r="G115" s="443"/>
      <c r="H115" s="444"/>
      <c r="I115" s="69"/>
      <c r="J115" s="445"/>
      <c r="K115" s="446"/>
      <c r="L115" s="446"/>
      <c r="M115" s="446"/>
      <c r="N115" s="447"/>
      <c r="O115" s="374" t="s">
        <v>139</v>
      </c>
      <c r="P115" s="375"/>
      <c r="Q115" s="375"/>
      <c r="R115" s="375"/>
      <c r="S115" s="375"/>
      <c r="T115" s="376"/>
      <c r="U115" s="28"/>
      <c r="V115" s="28"/>
      <c r="W115" s="28"/>
      <c r="X115" s="28"/>
      <c r="Y115" s="28"/>
      <c r="Z115" s="28"/>
      <c r="AA115" s="35"/>
      <c r="AB115" s="54"/>
    </row>
    <row r="116" spans="1:28" ht="27.75" customHeight="1" thickBot="1">
      <c r="A116" s="54"/>
      <c r="B116" s="33"/>
      <c r="C116" s="16"/>
      <c r="D116" s="439" t="s">
        <v>140</v>
      </c>
      <c r="E116" s="440"/>
      <c r="F116" s="440"/>
      <c r="G116" s="440"/>
      <c r="H116" s="441"/>
      <c r="I116" s="68"/>
      <c r="J116" s="448" t="s">
        <v>141</v>
      </c>
      <c r="K116" s="426"/>
      <c r="L116" s="426"/>
      <c r="M116" s="426"/>
      <c r="N116" s="449"/>
      <c r="O116" s="377"/>
      <c r="P116" s="378"/>
      <c r="Q116" s="378"/>
      <c r="R116" s="378"/>
      <c r="S116" s="110"/>
      <c r="T116" s="111"/>
      <c r="U116" s="28"/>
      <c r="V116" s="28"/>
      <c r="W116" s="28"/>
      <c r="X116" s="28"/>
      <c r="Y116" s="28"/>
      <c r="Z116" s="28"/>
      <c r="AA116" s="35"/>
      <c r="AB116" s="54"/>
    </row>
    <row r="117" spans="1:28" ht="27.75" customHeight="1" thickBot="1">
      <c r="A117" s="54"/>
      <c r="B117" s="33"/>
      <c r="C117" s="16"/>
      <c r="D117" s="442"/>
      <c r="E117" s="443"/>
      <c r="F117" s="443"/>
      <c r="G117" s="443"/>
      <c r="H117" s="444"/>
      <c r="I117" s="70"/>
      <c r="J117" s="445"/>
      <c r="K117" s="446"/>
      <c r="L117" s="446"/>
      <c r="M117" s="446"/>
      <c r="N117" s="447"/>
      <c r="O117" s="112" t="s">
        <v>122</v>
      </c>
      <c r="P117" s="113"/>
      <c r="Q117" s="114" t="s">
        <v>142</v>
      </c>
      <c r="R117" s="113"/>
      <c r="S117" s="115" t="s">
        <v>143</v>
      </c>
      <c r="T117" s="116"/>
      <c r="U117" s="28"/>
      <c r="V117" s="28"/>
      <c r="W117" s="28"/>
      <c r="X117" s="28"/>
      <c r="Y117" s="28"/>
      <c r="Z117" s="28"/>
      <c r="AA117" s="35"/>
      <c r="AB117" s="54"/>
    </row>
    <row r="118" spans="1:28" ht="27.75" customHeight="1" thickBot="1">
      <c r="A118" s="54"/>
      <c r="B118" s="33"/>
      <c r="C118" s="16"/>
      <c r="D118" s="427" t="s">
        <v>144</v>
      </c>
      <c r="E118" s="428"/>
      <c r="F118" s="428"/>
      <c r="G118" s="428"/>
      <c r="H118" s="429"/>
      <c r="I118" s="69"/>
      <c r="J118" s="425" t="s">
        <v>145</v>
      </c>
      <c r="K118" s="426"/>
      <c r="L118" s="426"/>
      <c r="M118" s="426"/>
      <c r="N118" s="426"/>
      <c r="O118" s="117"/>
      <c r="P118" s="110"/>
      <c r="Q118" s="110"/>
      <c r="R118" s="110"/>
      <c r="S118" s="370"/>
      <c r="T118" s="371"/>
      <c r="U118" s="28"/>
      <c r="V118" s="28"/>
      <c r="W118" s="28"/>
      <c r="X118" s="28"/>
      <c r="Y118" s="28"/>
      <c r="Z118" s="28"/>
      <c r="AA118" s="35"/>
      <c r="AB118" s="54"/>
    </row>
    <row r="119" spans="1:28" ht="27.75" customHeight="1" thickBot="1">
      <c r="A119" s="54"/>
      <c r="B119" s="33"/>
      <c r="C119" s="16"/>
      <c r="D119" s="471"/>
      <c r="E119" s="472"/>
      <c r="F119" s="472"/>
      <c r="G119" s="472"/>
      <c r="H119" s="473"/>
      <c r="I119" s="69"/>
      <c r="J119" s="445"/>
      <c r="K119" s="446"/>
      <c r="L119" s="446"/>
      <c r="M119" s="446"/>
      <c r="N119" s="446"/>
      <c r="O119" s="118" t="s">
        <v>146</v>
      </c>
      <c r="P119" s="119"/>
      <c r="Q119" s="120" t="s">
        <v>147</v>
      </c>
      <c r="R119" s="120"/>
      <c r="S119" s="120" t="s">
        <v>148</v>
      </c>
      <c r="T119" s="116"/>
      <c r="U119" s="28"/>
      <c r="V119" s="28"/>
      <c r="W119" s="28"/>
      <c r="X119" s="28"/>
      <c r="Y119" s="28"/>
      <c r="Z119" s="28"/>
      <c r="AA119" s="35"/>
      <c r="AB119" s="54"/>
    </row>
    <row r="120" spans="1:28" ht="27.75" customHeight="1" thickBot="1">
      <c r="A120" s="54"/>
      <c r="B120" s="33"/>
      <c r="C120" s="16"/>
      <c r="D120" s="425" t="s">
        <v>149</v>
      </c>
      <c r="E120" s="426"/>
      <c r="F120" s="426"/>
      <c r="G120" s="426"/>
      <c r="H120" s="474"/>
      <c r="I120" s="69"/>
      <c r="J120" s="425" t="s">
        <v>150</v>
      </c>
      <c r="K120" s="426"/>
      <c r="L120" s="426"/>
      <c r="M120" s="426"/>
      <c r="N120" s="426"/>
      <c r="O120" s="97" t="s">
        <v>151</v>
      </c>
      <c r="P120" s="98"/>
      <c r="Q120" s="121"/>
      <c r="R120" s="122"/>
      <c r="S120" s="122"/>
      <c r="T120" s="123"/>
      <c r="U120" s="28"/>
      <c r="V120" s="28"/>
      <c r="W120" s="28"/>
      <c r="X120" s="28"/>
      <c r="Y120" s="28"/>
      <c r="Z120" s="28"/>
      <c r="AA120" s="35"/>
      <c r="AB120" s="54"/>
    </row>
    <row r="121" spans="1:28" ht="27.75" customHeight="1" thickBot="1">
      <c r="A121" s="54"/>
      <c r="B121" s="33"/>
      <c r="C121" s="16"/>
      <c r="D121" s="471"/>
      <c r="E121" s="472"/>
      <c r="F121" s="472"/>
      <c r="G121" s="472"/>
      <c r="H121" s="473"/>
      <c r="I121" s="69"/>
      <c r="J121" s="445"/>
      <c r="K121" s="446"/>
      <c r="L121" s="446"/>
      <c r="M121" s="446"/>
      <c r="N121" s="446"/>
      <c r="O121" s="483" t="s">
        <v>152</v>
      </c>
      <c r="P121" s="484"/>
      <c r="Q121" s="484"/>
      <c r="R121" s="484"/>
      <c r="S121" s="484"/>
      <c r="T121" s="484"/>
      <c r="U121" s="28"/>
      <c r="V121" s="28"/>
      <c r="W121" s="28"/>
      <c r="X121" s="28"/>
      <c r="Y121" s="28"/>
      <c r="Z121" s="28"/>
      <c r="AA121" s="35"/>
      <c r="AB121" s="54"/>
    </row>
    <row r="122" spans="1:28" ht="27.75" customHeight="1" thickBot="1">
      <c r="A122" s="54"/>
      <c r="B122" s="33"/>
      <c r="C122" s="16"/>
      <c r="D122" s="425" t="s">
        <v>153</v>
      </c>
      <c r="E122" s="426"/>
      <c r="F122" s="426"/>
      <c r="G122" s="426"/>
      <c r="H122" s="474"/>
      <c r="I122" s="69"/>
      <c r="J122" s="425" t="s">
        <v>154</v>
      </c>
      <c r="K122" s="426"/>
      <c r="L122" s="426"/>
      <c r="M122" s="426"/>
      <c r="N122" s="426"/>
      <c r="O122" s="485"/>
      <c r="P122" s="486"/>
      <c r="Q122" s="486"/>
      <c r="R122" s="487"/>
      <c r="S122" s="487"/>
      <c r="T122" s="488"/>
      <c r="U122" s="28"/>
      <c r="V122" s="28"/>
      <c r="W122" s="28"/>
      <c r="X122" s="28"/>
      <c r="Y122" s="28"/>
      <c r="Z122" s="28"/>
      <c r="AA122" s="35"/>
      <c r="AB122" s="54"/>
    </row>
    <row r="123" spans="1:28" ht="27.75" customHeight="1">
      <c r="A123" s="54"/>
      <c r="B123" s="33"/>
      <c r="C123" s="16"/>
      <c r="D123" s="468"/>
      <c r="E123" s="469"/>
      <c r="F123" s="469"/>
      <c r="G123" s="469"/>
      <c r="H123" s="470"/>
      <c r="I123" s="13"/>
      <c r="J123" s="468"/>
      <c r="K123" s="469"/>
      <c r="L123" s="469"/>
      <c r="M123" s="469"/>
      <c r="N123" s="470"/>
      <c r="O123" s="489"/>
      <c r="P123" s="490"/>
      <c r="Q123" s="490"/>
      <c r="R123" s="490"/>
      <c r="S123" s="490"/>
      <c r="T123" s="491"/>
      <c r="U123" s="28"/>
      <c r="V123" s="28"/>
      <c r="W123" s="28"/>
      <c r="X123" s="28"/>
      <c r="Y123" s="28"/>
      <c r="Z123" s="28"/>
      <c r="AA123" s="35"/>
      <c r="AB123" s="54"/>
    </row>
    <row r="124" spans="1:28" ht="27.75" customHeight="1" thickBot="1">
      <c r="A124" s="54"/>
      <c r="B124" s="33"/>
      <c r="C124" s="16"/>
      <c r="D124" s="529" t="s">
        <v>155</v>
      </c>
      <c r="E124" s="530"/>
      <c r="F124" s="530"/>
      <c r="G124" s="530"/>
      <c r="H124" s="531"/>
      <c r="I124" s="13"/>
      <c r="J124" s="529" t="s">
        <v>156</v>
      </c>
      <c r="K124" s="530"/>
      <c r="L124" s="530"/>
      <c r="M124" s="530"/>
      <c r="N124" s="531"/>
      <c r="O124" s="492"/>
      <c r="P124" s="493"/>
      <c r="Q124" s="493"/>
      <c r="R124" s="493"/>
      <c r="S124" s="493"/>
      <c r="T124" s="494"/>
      <c r="U124" s="28"/>
      <c r="V124" s="28"/>
      <c r="W124" s="28"/>
      <c r="X124" s="28"/>
      <c r="Y124" s="28"/>
      <c r="Z124" s="28"/>
      <c r="AA124" s="35"/>
      <c r="AB124" s="54"/>
    </row>
    <row r="125" spans="1:28" ht="27.75" customHeight="1" thickBot="1">
      <c r="A125" s="54"/>
      <c r="B125" s="33"/>
      <c r="C125" s="17"/>
      <c r="D125" s="526"/>
      <c r="E125" s="527"/>
      <c r="F125" s="527"/>
      <c r="G125" s="527"/>
      <c r="H125" s="528"/>
      <c r="I125" s="71"/>
      <c r="J125" s="526"/>
      <c r="K125" s="527"/>
      <c r="L125" s="527"/>
      <c r="M125" s="527"/>
      <c r="N125" s="528"/>
      <c r="O125" s="495"/>
      <c r="P125" s="496"/>
      <c r="Q125" s="496"/>
      <c r="R125" s="496"/>
      <c r="S125" s="496"/>
      <c r="T125" s="497"/>
      <c r="U125" s="28"/>
      <c r="V125" s="28"/>
      <c r="W125" s="28"/>
      <c r="X125" s="28"/>
      <c r="Y125" s="28"/>
      <c r="Z125" s="28"/>
      <c r="AA125" s="35"/>
      <c r="AB125" s="54"/>
    </row>
    <row r="126" spans="1:28" ht="27.75" customHeight="1">
      <c r="A126" s="54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5"/>
      <c r="AB126" s="54"/>
    </row>
    <row r="127" spans="1:28" ht="27.75" customHeight="1" thickBot="1">
      <c r="A127" s="54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4"/>
    </row>
    <row r="128" spans="1:28" ht="27.75" customHeight="1" thickTop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AA128" s="24"/>
      <c r="AB128" s="24"/>
    </row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223">
    <mergeCell ref="S81:U81"/>
    <mergeCell ref="C21:I65"/>
    <mergeCell ref="L87:N87"/>
    <mergeCell ref="H88:K88"/>
    <mergeCell ref="L88:N88"/>
    <mergeCell ref="D87:G87"/>
    <mergeCell ref="D88:G88"/>
    <mergeCell ref="D85:G85"/>
    <mergeCell ref="D84:G84"/>
    <mergeCell ref="H82:K82"/>
    <mergeCell ref="L82:N82"/>
    <mergeCell ref="H83:K83"/>
    <mergeCell ref="L83:N83"/>
    <mergeCell ref="H84:K84"/>
    <mergeCell ref="L84:N84"/>
    <mergeCell ref="H87:K87"/>
    <mergeCell ref="S74:U74"/>
    <mergeCell ref="C68:D68"/>
    <mergeCell ref="C69:D69"/>
    <mergeCell ref="C71:D71"/>
    <mergeCell ref="K69:L74"/>
    <mergeCell ref="C67:E67"/>
    <mergeCell ref="K68:L68"/>
    <mergeCell ref="C73:D73"/>
    <mergeCell ref="D110:N110"/>
    <mergeCell ref="H89:K89"/>
    <mergeCell ref="L89:N89"/>
    <mergeCell ref="L90:N90"/>
    <mergeCell ref="H91:K91"/>
    <mergeCell ref="L91:N91"/>
    <mergeCell ref="H92:K92"/>
    <mergeCell ref="L92:N92"/>
    <mergeCell ref="H90:K90"/>
    <mergeCell ref="D89:G89"/>
    <mergeCell ref="L96:N96"/>
    <mergeCell ref="H103:K103"/>
    <mergeCell ref="H97:K97"/>
    <mergeCell ref="L97:N97"/>
    <mergeCell ref="D108:G108"/>
    <mergeCell ref="D109:G109"/>
    <mergeCell ref="D125:H125"/>
    <mergeCell ref="J125:N125"/>
    <mergeCell ref="D124:H124"/>
    <mergeCell ref="J124:N124"/>
    <mergeCell ref="H93:K93"/>
    <mergeCell ref="L93:N93"/>
    <mergeCell ref="H94:K94"/>
    <mergeCell ref="H98:K98"/>
    <mergeCell ref="L98:N98"/>
    <mergeCell ref="H99:K99"/>
    <mergeCell ref="L99:N99"/>
    <mergeCell ref="H100:K100"/>
    <mergeCell ref="L100:N100"/>
    <mergeCell ref="L94:N94"/>
    <mergeCell ref="H95:K95"/>
    <mergeCell ref="L95:N95"/>
    <mergeCell ref="L108:N108"/>
    <mergeCell ref="H109:K109"/>
    <mergeCell ref="L109:N109"/>
    <mergeCell ref="L103:N103"/>
    <mergeCell ref="L104:N104"/>
    <mergeCell ref="L105:N105"/>
    <mergeCell ref="L101:N101"/>
    <mergeCell ref="L102:N102"/>
    <mergeCell ref="C20:I20"/>
    <mergeCell ref="N68:P68"/>
    <mergeCell ref="P4:Q4"/>
    <mergeCell ref="M5:O5"/>
    <mergeCell ref="P5:Q5"/>
    <mergeCell ref="M4:O4"/>
    <mergeCell ref="M6:O6"/>
    <mergeCell ref="M7:O7"/>
    <mergeCell ref="Q7:S7"/>
    <mergeCell ref="Q6:S6"/>
    <mergeCell ref="N12:O12"/>
    <mergeCell ref="N11:O11"/>
    <mergeCell ref="Q85:T85"/>
    <mergeCell ref="U85:Z85"/>
    <mergeCell ref="P83:Q83"/>
    <mergeCell ref="R83:S83"/>
    <mergeCell ref="T83:Z83"/>
    <mergeCell ref="P84:Q84"/>
    <mergeCell ref="R84:S84"/>
    <mergeCell ref="T84:Z84"/>
    <mergeCell ref="C2:E2"/>
    <mergeCell ref="P81:R81"/>
    <mergeCell ref="N70:P70"/>
    <mergeCell ref="C3:E3"/>
    <mergeCell ref="C4:E4"/>
    <mergeCell ref="C5:E5"/>
    <mergeCell ref="C6:E6"/>
    <mergeCell ref="H5:I5"/>
    <mergeCell ref="G4:I4"/>
    <mergeCell ref="H6:I6"/>
    <mergeCell ref="H7:I7"/>
    <mergeCell ref="H8:I8"/>
    <mergeCell ref="H9:I9"/>
    <mergeCell ref="P74:R74"/>
    <mergeCell ref="R5:S5"/>
    <mergeCell ref="R4:S4"/>
    <mergeCell ref="H78:K78"/>
    <mergeCell ref="L78:N78"/>
    <mergeCell ref="H79:K79"/>
    <mergeCell ref="L79:N79"/>
    <mergeCell ref="D79:G79"/>
    <mergeCell ref="D78:G78"/>
    <mergeCell ref="D77:N77"/>
    <mergeCell ref="H86:K86"/>
    <mergeCell ref="L86:N86"/>
    <mergeCell ref="D83:G83"/>
    <mergeCell ref="D82:G82"/>
    <mergeCell ref="D81:G81"/>
    <mergeCell ref="D80:G80"/>
    <mergeCell ref="D86:G86"/>
    <mergeCell ref="H80:K80"/>
    <mergeCell ref="L80:N80"/>
    <mergeCell ref="H81:K81"/>
    <mergeCell ref="L81:N81"/>
    <mergeCell ref="H85:K85"/>
    <mergeCell ref="L85:N85"/>
    <mergeCell ref="O121:T121"/>
    <mergeCell ref="O122:Q122"/>
    <mergeCell ref="R122:T122"/>
    <mergeCell ref="O123:Q123"/>
    <mergeCell ref="R123:T123"/>
    <mergeCell ref="O124:Q124"/>
    <mergeCell ref="R124:T124"/>
    <mergeCell ref="O125:Q125"/>
    <mergeCell ref="R125:T125"/>
    <mergeCell ref="O93:T93"/>
    <mergeCell ref="D111:H111"/>
    <mergeCell ref="H106:K106"/>
    <mergeCell ref="D90:G90"/>
    <mergeCell ref="D91:G91"/>
    <mergeCell ref="D92:G92"/>
    <mergeCell ref="D93:G93"/>
    <mergeCell ref="D94:G94"/>
    <mergeCell ref="D95:G95"/>
    <mergeCell ref="D96:G96"/>
    <mergeCell ref="D97:G97"/>
    <mergeCell ref="D99:G99"/>
    <mergeCell ref="H104:K104"/>
    <mergeCell ref="H105:K105"/>
    <mergeCell ref="H101:K101"/>
    <mergeCell ref="H102:K102"/>
    <mergeCell ref="D105:G105"/>
    <mergeCell ref="D104:G104"/>
    <mergeCell ref="D103:G103"/>
    <mergeCell ref="D102:G102"/>
    <mergeCell ref="D101:G101"/>
    <mergeCell ref="D100:G100"/>
    <mergeCell ref="H96:K96"/>
    <mergeCell ref="H108:K108"/>
    <mergeCell ref="D123:H123"/>
    <mergeCell ref="J120:N120"/>
    <mergeCell ref="J121:N121"/>
    <mergeCell ref="J122:N122"/>
    <mergeCell ref="D119:H119"/>
    <mergeCell ref="D120:H120"/>
    <mergeCell ref="D121:H121"/>
    <mergeCell ref="D122:H122"/>
    <mergeCell ref="J123:N123"/>
    <mergeCell ref="J119:N119"/>
    <mergeCell ref="J118:N118"/>
    <mergeCell ref="D118:H118"/>
    <mergeCell ref="J111:N111"/>
    <mergeCell ref="F3:F9"/>
    <mergeCell ref="C10:G10"/>
    <mergeCell ref="D8:D9"/>
    <mergeCell ref="P6:P7"/>
    <mergeCell ref="L106:N106"/>
    <mergeCell ref="D116:H116"/>
    <mergeCell ref="D117:H117"/>
    <mergeCell ref="J117:N117"/>
    <mergeCell ref="J116:N116"/>
    <mergeCell ref="J115:N115"/>
    <mergeCell ref="J114:N114"/>
    <mergeCell ref="J113:N113"/>
    <mergeCell ref="J112:N112"/>
    <mergeCell ref="D112:H112"/>
    <mergeCell ref="D113:H113"/>
    <mergeCell ref="D114:H114"/>
    <mergeCell ref="D115:H115"/>
    <mergeCell ref="H107:K107"/>
    <mergeCell ref="D107:G107"/>
    <mergeCell ref="D106:G106"/>
    <mergeCell ref="L107:N107"/>
    <mergeCell ref="V74:X74"/>
    <mergeCell ref="Y74:Z74"/>
    <mergeCell ref="Q78:T78"/>
    <mergeCell ref="P88:R88"/>
    <mergeCell ref="S88:U88"/>
    <mergeCell ref="V88:X88"/>
    <mergeCell ref="Y88:Z88"/>
    <mergeCell ref="P75:R75"/>
    <mergeCell ref="S75:U75"/>
    <mergeCell ref="V75:X75"/>
    <mergeCell ref="Y75:Z75"/>
    <mergeCell ref="P76:Q76"/>
    <mergeCell ref="R76:S76"/>
    <mergeCell ref="T76:Z76"/>
    <mergeCell ref="P77:Q77"/>
    <mergeCell ref="R77:S77"/>
    <mergeCell ref="T77:Z77"/>
    <mergeCell ref="U78:Z78"/>
    <mergeCell ref="P82:R82"/>
    <mergeCell ref="S82:U82"/>
    <mergeCell ref="V82:X82"/>
    <mergeCell ref="Y82:Z82"/>
    <mergeCell ref="V81:X81"/>
    <mergeCell ref="Y81:Z81"/>
    <mergeCell ref="V89:X89"/>
    <mergeCell ref="Y89:Z89"/>
    <mergeCell ref="P90:Q90"/>
    <mergeCell ref="R90:S90"/>
    <mergeCell ref="T90:Z90"/>
    <mergeCell ref="P91:Q91"/>
    <mergeCell ref="R91:S91"/>
    <mergeCell ref="T91:Z91"/>
    <mergeCell ref="Q92:T92"/>
    <mergeCell ref="U92:Z92"/>
    <mergeCell ref="P89:R89"/>
    <mergeCell ref="S89:U89"/>
  </mergeCells>
  <dataValidations count="4">
    <dataValidation type="list" allowBlank="1" showInputMessage="1" showErrorMessage="1" sqref="C6:E6">
      <formula1>"Полуэльф,Человек,Гном,Дварф,Полуорк,Хафлинг,Эльф"</formula1>
    </dataValidation>
    <dataValidation type="whole" allowBlank="1" showInputMessage="1" showErrorMessage="1" sqref="O20">
      <formula1>0</formula1>
      <formula2>Q20</formula2>
    </dataValidation>
    <dataValidation type="whole" allowBlank="1" showInputMessage="1" showErrorMessage="1" sqref="O22">
      <formula1>0</formula1>
      <formula2>Q20</formula2>
    </dataValidation>
    <dataValidation type="list" showInputMessage="1" showErrorMessage="1" sqref="H5:I9">
      <formula1>"Невыбрано,Воин,Варвар,Паладин,Вор,Жрец,Друид,Волшебник,Бард,Монах,Рейнджер,Чародей"</formula1>
    </dataValidation>
  </dataValidations>
  <pageMargins left="0.7" right="0.7" top="0.75" bottom="0.75" header="0.3" footer="0.3"/>
  <pageSetup paperSize="9"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" r:id="rId5" name="Check Box 513">
              <controlPr defaultSize="0" autoFill="0" autoLine="0" autoPict="0">
                <anchor moveWithCells="1">
                  <from>
                    <xdr:col>20</xdr:col>
                    <xdr:colOff>533400</xdr:colOff>
                    <xdr:row>83</xdr:row>
                    <xdr:rowOff>314325</xdr:rowOff>
                  </from>
                  <to>
                    <xdr:col>20</xdr:col>
                    <xdr:colOff>800100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6" name="Check Box 514">
              <controlPr defaultSize="0" autoFill="0" autoLine="0" autoPict="0">
                <anchor moveWithCells="1">
                  <from>
                    <xdr:col>20</xdr:col>
                    <xdr:colOff>1104900</xdr:colOff>
                    <xdr:row>83</xdr:row>
                    <xdr:rowOff>314325</xdr:rowOff>
                  </from>
                  <to>
                    <xdr:col>20</xdr:col>
                    <xdr:colOff>1371600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7" name="Check Box 515">
              <controlPr defaultSize="0" autoFill="0" autoLine="0" autoPict="0">
                <anchor moveWithCells="1">
                  <from>
                    <xdr:col>20</xdr:col>
                    <xdr:colOff>723900</xdr:colOff>
                    <xdr:row>83</xdr:row>
                    <xdr:rowOff>314325</xdr:rowOff>
                  </from>
                  <to>
                    <xdr:col>20</xdr:col>
                    <xdr:colOff>990600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8" name="Check Box 516">
              <controlPr defaultSize="0" autoFill="0" autoLine="0" autoPict="0">
                <anchor moveWithCells="1">
                  <from>
                    <xdr:col>20</xdr:col>
                    <xdr:colOff>914400</xdr:colOff>
                    <xdr:row>83</xdr:row>
                    <xdr:rowOff>314325</xdr:rowOff>
                  </from>
                  <to>
                    <xdr:col>20</xdr:col>
                    <xdr:colOff>1181100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9" name="Check Box 517">
              <controlPr defaultSize="0" autoFill="0" autoLine="0" autoPict="0">
                <anchor moveWithCells="1">
                  <from>
                    <xdr:col>20</xdr:col>
                    <xdr:colOff>1285875</xdr:colOff>
                    <xdr:row>83</xdr:row>
                    <xdr:rowOff>314325</xdr:rowOff>
                  </from>
                  <to>
                    <xdr:col>21</xdr:col>
                    <xdr:colOff>28575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10" name="Check Box 518">
              <controlPr defaultSize="0" autoFill="0" autoLine="0" autoPict="0">
                <anchor moveWithCells="1">
                  <from>
                    <xdr:col>21</xdr:col>
                    <xdr:colOff>47625</xdr:colOff>
                    <xdr:row>83</xdr:row>
                    <xdr:rowOff>314325</xdr:rowOff>
                  </from>
                  <to>
                    <xdr:col>21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11" name="Check Box 519">
              <controlPr defaultSize="0" autoFill="0" autoLine="0" autoPict="0">
                <anchor moveWithCells="1">
                  <from>
                    <xdr:col>21</xdr:col>
                    <xdr:colOff>600075</xdr:colOff>
                    <xdr:row>83</xdr:row>
                    <xdr:rowOff>314325</xdr:rowOff>
                  </from>
                  <to>
                    <xdr:col>21</xdr:col>
                    <xdr:colOff>866775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12" name="Check Box 520">
              <controlPr defaultSize="0" autoFill="0" autoLine="0" autoPict="0">
                <anchor moveWithCells="1">
                  <from>
                    <xdr:col>21</xdr:col>
                    <xdr:colOff>238125</xdr:colOff>
                    <xdr:row>83</xdr:row>
                    <xdr:rowOff>314325</xdr:rowOff>
                  </from>
                  <to>
                    <xdr:col>21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13" name="Check Box 521">
              <controlPr defaultSize="0" autoFill="0" autoLine="0" autoPict="0">
                <anchor moveWithCells="1">
                  <from>
                    <xdr:col>21</xdr:col>
                    <xdr:colOff>428625</xdr:colOff>
                    <xdr:row>83</xdr:row>
                    <xdr:rowOff>314325</xdr:rowOff>
                  </from>
                  <to>
                    <xdr:col>21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14" name="Check Box 522">
              <controlPr defaultSize="0" autoFill="0" autoLine="0" autoPict="0">
                <anchor moveWithCells="1">
                  <from>
                    <xdr:col>22</xdr:col>
                    <xdr:colOff>47625</xdr:colOff>
                    <xdr:row>83</xdr:row>
                    <xdr:rowOff>314325</xdr:rowOff>
                  </from>
                  <to>
                    <xdr:col>22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15" name="Check Box 523">
              <controlPr defaultSize="0" autoFill="0" autoLine="0" autoPict="0">
                <anchor moveWithCells="1">
                  <from>
                    <xdr:col>22</xdr:col>
                    <xdr:colOff>619125</xdr:colOff>
                    <xdr:row>83</xdr:row>
                    <xdr:rowOff>314325</xdr:rowOff>
                  </from>
                  <to>
                    <xdr:col>22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16" name="Check Box 524">
              <controlPr defaultSize="0" autoFill="0" autoLine="0" autoPict="0">
                <anchor moveWithCells="1">
                  <from>
                    <xdr:col>22</xdr:col>
                    <xdr:colOff>238125</xdr:colOff>
                    <xdr:row>83</xdr:row>
                    <xdr:rowOff>314325</xdr:rowOff>
                  </from>
                  <to>
                    <xdr:col>22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17" name="Check Box 525">
              <controlPr defaultSize="0" autoFill="0" autoLine="0" autoPict="0">
                <anchor moveWithCells="1">
                  <from>
                    <xdr:col>22</xdr:col>
                    <xdr:colOff>428625</xdr:colOff>
                    <xdr:row>83</xdr:row>
                    <xdr:rowOff>314325</xdr:rowOff>
                  </from>
                  <to>
                    <xdr:col>22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18" name="Check Box 526">
              <controlPr defaultSize="0" autoFill="0" autoLine="0" autoPict="0">
                <anchor moveWithCells="1">
                  <from>
                    <xdr:col>23</xdr:col>
                    <xdr:colOff>47625</xdr:colOff>
                    <xdr:row>83</xdr:row>
                    <xdr:rowOff>314325</xdr:rowOff>
                  </from>
                  <to>
                    <xdr:col>23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19" name="Check Box 527">
              <controlPr defaultSize="0" autoFill="0" autoLine="0" autoPict="0">
                <anchor moveWithCells="1">
                  <from>
                    <xdr:col>23</xdr:col>
                    <xdr:colOff>619125</xdr:colOff>
                    <xdr:row>83</xdr:row>
                    <xdr:rowOff>314325</xdr:rowOff>
                  </from>
                  <to>
                    <xdr:col>23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20" name="Check Box 528">
              <controlPr defaultSize="0" autoFill="0" autoLine="0" autoPict="0">
                <anchor moveWithCells="1">
                  <from>
                    <xdr:col>23</xdr:col>
                    <xdr:colOff>238125</xdr:colOff>
                    <xdr:row>83</xdr:row>
                    <xdr:rowOff>314325</xdr:rowOff>
                  </from>
                  <to>
                    <xdr:col>23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21" name="Check Box 529">
              <controlPr defaultSize="0" autoFill="0" autoLine="0" autoPict="0">
                <anchor moveWithCells="1">
                  <from>
                    <xdr:col>23</xdr:col>
                    <xdr:colOff>428625</xdr:colOff>
                    <xdr:row>83</xdr:row>
                    <xdr:rowOff>314325</xdr:rowOff>
                  </from>
                  <to>
                    <xdr:col>23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22" name="Check Box 530">
              <controlPr defaultSize="0" autoFill="0" autoLine="0" autoPict="0">
                <anchor moveWithCells="1">
                  <from>
                    <xdr:col>23</xdr:col>
                    <xdr:colOff>800100</xdr:colOff>
                    <xdr:row>83</xdr:row>
                    <xdr:rowOff>314325</xdr:rowOff>
                  </from>
                  <to>
                    <xdr:col>23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23" name="Check Box 531">
              <controlPr defaultSize="0" autoFill="0" autoLine="0" autoPict="0">
                <anchor moveWithCells="1">
                  <from>
                    <xdr:col>24</xdr:col>
                    <xdr:colOff>47625</xdr:colOff>
                    <xdr:row>83</xdr:row>
                    <xdr:rowOff>314325</xdr:rowOff>
                  </from>
                  <to>
                    <xdr:col>24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24" name="Check Box 532">
              <controlPr defaultSize="0" autoFill="0" autoLine="0" autoPict="0">
                <anchor moveWithCells="1">
                  <from>
                    <xdr:col>24</xdr:col>
                    <xdr:colOff>619125</xdr:colOff>
                    <xdr:row>83</xdr:row>
                    <xdr:rowOff>314325</xdr:rowOff>
                  </from>
                  <to>
                    <xdr:col>24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25" name="Check Box 533">
              <controlPr defaultSize="0" autoFill="0" autoLine="0" autoPict="0">
                <anchor moveWithCells="1">
                  <from>
                    <xdr:col>24</xdr:col>
                    <xdr:colOff>238125</xdr:colOff>
                    <xdr:row>83</xdr:row>
                    <xdr:rowOff>314325</xdr:rowOff>
                  </from>
                  <to>
                    <xdr:col>24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26" name="Check Box 534">
              <controlPr defaultSize="0" autoFill="0" autoLine="0" autoPict="0">
                <anchor moveWithCells="1">
                  <from>
                    <xdr:col>24</xdr:col>
                    <xdr:colOff>428625</xdr:colOff>
                    <xdr:row>83</xdr:row>
                    <xdr:rowOff>314325</xdr:rowOff>
                  </from>
                  <to>
                    <xdr:col>24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27" name="Check Box 535">
              <controlPr defaultSize="0" autoFill="0" autoLine="0" autoPict="0">
                <anchor moveWithCells="1">
                  <from>
                    <xdr:col>24</xdr:col>
                    <xdr:colOff>800100</xdr:colOff>
                    <xdr:row>83</xdr:row>
                    <xdr:rowOff>314325</xdr:rowOff>
                  </from>
                  <to>
                    <xdr:col>24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28" name="Check Box 536">
              <controlPr defaultSize="0" autoFill="0" autoLine="0" autoPict="0">
                <anchor moveWithCells="1">
                  <from>
                    <xdr:col>25</xdr:col>
                    <xdr:colOff>47625</xdr:colOff>
                    <xdr:row>83</xdr:row>
                    <xdr:rowOff>314325</xdr:rowOff>
                  </from>
                  <to>
                    <xdr:col>25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29" name="Check Box 537">
              <controlPr defaultSize="0" autoFill="0" autoLine="0" autoPict="0">
                <anchor moveWithCells="1">
                  <from>
                    <xdr:col>25</xdr:col>
                    <xdr:colOff>619125</xdr:colOff>
                    <xdr:row>83</xdr:row>
                    <xdr:rowOff>314325</xdr:rowOff>
                  </from>
                  <to>
                    <xdr:col>25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0" name="Check Box 538">
              <controlPr defaultSize="0" autoFill="0" autoLine="0" autoPict="0">
                <anchor moveWithCells="1">
                  <from>
                    <xdr:col>25</xdr:col>
                    <xdr:colOff>238125</xdr:colOff>
                    <xdr:row>83</xdr:row>
                    <xdr:rowOff>314325</xdr:rowOff>
                  </from>
                  <to>
                    <xdr:col>25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1" name="Check Box 539">
              <controlPr defaultSize="0" autoFill="0" autoLine="0" autoPict="0">
                <anchor moveWithCells="1">
                  <from>
                    <xdr:col>25</xdr:col>
                    <xdr:colOff>428625</xdr:colOff>
                    <xdr:row>83</xdr:row>
                    <xdr:rowOff>314325</xdr:rowOff>
                  </from>
                  <to>
                    <xdr:col>25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2" name="Check Box 540">
              <controlPr defaultSize="0" autoFill="0" autoLine="0" autoPict="0">
                <anchor moveWithCells="1">
                  <from>
                    <xdr:col>25</xdr:col>
                    <xdr:colOff>800100</xdr:colOff>
                    <xdr:row>83</xdr:row>
                    <xdr:rowOff>314325</xdr:rowOff>
                  </from>
                  <to>
                    <xdr:col>25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3" name="Check Box 541">
              <controlPr defaultSize="0" autoFill="0" autoLine="0" autoPict="0">
                <anchor moveWithCells="1">
                  <from>
                    <xdr:col>22</xdr:col>
                    <xdr:colOff>800100</xdr:colOff>
                    <xdr:row>83</xdr:row>
                    <xdr:rowOff>314325</xdr:rowOff>
                  </from>
                  <to>
                    <xdr:col>22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4" name="Check Box 542">
              <controlPr defaultSize="0" autoFill="0" autoLine="0" autoPict="0">
                <anchor moveWithCells="1">
                  <from>
                    <xdr:col>21</xdr:col>
                    <xdr:colOff>771525</xdr:colOff>
                    <xdr:row>83</xdr:row>
                    <xdr:rowOff>314325</xdr:rowOff>
                  </from>
                  <to>
                    <xdr:col>22</xdr:col>
                    <xdr:colOff>9525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5" name="Spinner 757">
              <controlPr defaultSize="0" autoPict="0">
                <anchor moveWithCells="1" sizeWithCells="1">
                  <from>
                    <xdr:col>14</xdr:col>
                    <xdr:colOff>1085850</xdr:colOff>
                    <xdr:row>21</xdr:row>
                    <xdr:rowOff>38100</xdr:rowOff>
                  </from>
                  <to>
                    <xdr:col>15</xdr:col>
                    <xdr:colOff>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6" name="Spinner 801">
              <controlPr defaultSize="0" autoPict="0">
                <anchor moveWithCells="1" sizeWithCells="1">
                  <from>
                    <xdr:col>14</xdr:col>
                    <xdr:colOff>1066800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7" name="Spinner 803">
              <controlPr defaultSize="0" autoPict="0">
                <anchor moveWithCells="1" sizeWithCells="1">
                  <from>
                    <xdr:col>14</xdr:col>
                    <xdr:colOff>1085850</xdr:colOff>
                    <xdr:row>23</xdr:row>
                    <xdr:rowOff>19050</xdr:rowOff>
                  </from>
                  <to>
                    <xdr:col>15</xdr:col>
                    <xdr:colOff>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8" name="Spinner 804">
              <controlPr defaultSize="0" autoPict="0">
                <anchor moveWithCells="1" sizeWithCells="1">
                  <from>
                    <xdr:col>14</xdr:col>
                    <xdr:colOff>1085850</xdr:colOff>
                    <xdr:row>24</xdr:row>
                    <xdr:rowOff>19050</xdr:rowOff>
                  </from>
                  <to>
                    <xdr:col>15</xdr:col>
                    <xdr:colOff>0</xdr:colOff>
                    <xdr:row>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39" name="Spinner 805">
              <controlPr defaultSize="0" autoPict="0">
                <anchor moveWithCells="1" sizeWithCells="1">
                  <from>
                    <xdr:col>14</xdr:col>
                    <xdr:colOff>1085850</xdr:colOff>
                    <xdr:row>25</xdr:row>
                    <xdr:rowOff>19050</xdr:rowOff>
                  </from>
                  <to>
                    <xdr:col>15</xdr:col>
                    <xdr:colOff>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40" name="Spinner 806">
              <controlPr defaultSize="0" autoPict="0">
                <anchor moveWithCells="1" sizeWithCells="1">
                  <from>
                    <xdr:col>14</xdr:col>
                    <xdr:colOff>1085850</xdr:colOff>
                    <xdr:row>26</xdr:row>
                    <xdr:rowOff>19050</xdr:rowOff>
                  </from>
                  <to>
                    <xdr:col>15</xdr:col>
                    <xdr:colOff>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41" name="Spinner 807">
              <controlPr defaultSize="0" autoPict="0">
                <anchor moveWithCells="1" sizeWithCells="1">
                  <from>
                    <xdr:col>14</xdr:col>
                    <xdr:colOff>1085850</xdr:colOff>
                    <xdr:row>27</xdr:row>
                    <xdr:rowOff>85725</xdr:rowOff>
                  </from>
                  <to>
                    <xdr:col>15</xdr:col>
                    <xdr:colOff>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42" name="Spinner 808">
              <controlPr defaultSize="0" autoPict="0">
                <anchor moveWithCells="1" sizeWithCells="1">
                  <from>
                    <xdr:col>14</xdr:col>
                    <xdr:colOff>1085850</xdr:colOff>
                    <xdr:row>28</xdr:row>
                    <xdr:rowOff>9525</xdr:rowOff>
                  </from>
                  <to>
                    <xdr:col>14</xdr:col>
                    <xdr:colOff>1304925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43" name="Spinner 809">
              <controlPr defaultSize="0" autoPict="0">
                <anchor moveWithCells="1" sizeWithCells="1">
                  <from>
                    <xdr:col>14</xdr:col>
                    <xdr:colOff>1085850</xdr:colOff>
                    <xdr:row>29</xdr:row>
                    <xdr:rowOff>76200</xdr:rowOff>
                  </from>
                  <to>
                    <xdr:col>15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44" name="Spinner 810">
              <controlPr defaultSize="0" autoPict="0">
                <anchor moveWithCells="1" sizeWithCells="1">
                  <from>
                    <xdr:col>14</xdr:col>
                    <xdr:colOff>1085850</xdr:colOff>
                    <xdr:row>30</xdr:row>
                    <xdr:rowOff>95250</xdr:rowOff>
                  </from>
                  <to>
                    <xdr:col>14</xdr:col>
                    <xdr:colOff>1314450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45" name="Spinner 811">
              <controlPr defaultSize="0" autoPict="0">
                <anchor moveWithCells="1" sizeWithCells="1">
                  <from>
                    <xdr:col>14</xdr:col>
                    <xdr:colOff>1085850</xdr:colOff>
                    <xdr:row>31</xdr:row>
                    <xdr:rowOff>19050</xdr:rowOff>
                  </from>
                  <to>
                    <xdr:col>15</xdr:col>
                    <xdr:colOff>0</xdr:colOff>
                    <xdr:row>31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46" name="Spinner 812">
              <controlPr defaultSize="0" autoPict="0">
                <anchor moveWithCells="1" sizeWithCells="1">
                  <from>
                    <xdr:col>14</xdr:col>
                    <xdr:colOff>1085850</xdr:colOff>
                    <xdr:row>32</xdr:row>
                    <xdr:rowOff>19050</xdr:rowOff>
                  </from>
                  <to>
                    <xdr:col>15</xdr:col>
                    <xdr:colOff>0</xdr:colOff>
                    <xdr:row>32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47" name="Spinner 813">
              <controlPr defaultSize="0" autoPict="0">
                <anchor moveWithCells="1" sizeWithCells="1">
                  <from>
                    <xdr:col>14</xdr:col>
                    <xdr:colOff>1085850</xdr:colOff>
                    <xdr:row>33</xdr:row>
                    <xdr:rowOff>19050</xdr:rowOff>
                  </from>
                  <to>
                    <xdr:col>15</xdr:col>
                    <xdr:colOff>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48" name="Spinner 814">
              <controlPr defaultSize="0" autoPict="0">
                <anchor moveWithCells="1" sizeWithCells="1">
                  <from>
                    <xdr:col>14</xdr:col>
                    <xdr:colOff>1085850</xdr:colOff>
                    <xdr:row>34</xdr:row>
                    <xdr:rowOff>19050</xdr:rowOff>
                  </from>
                  <to>
                    <xdr:col>15</xdr:col>
                    <xdr:colOff>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49" name="Spinner 816">
              <controlPr defaultSize="0" autoPict="0">
                <anchor moveWithCells="1" sizeWithCells="1">
                  <from>
                    <xdr:col>14</xdr:col>
                    <xdr:colOff>1085850</xdr:colOff>
                    <xdr:row>36</xdr:row>
                    <xdr:rowOff>19050</xdr:rowOff>
                  </from>
                  <to>
                    <xdr:col>15</xdr:col>
                    <xdr:colOff>0</xdr:colOff>
                    <xdr:row>36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0" name="Spinner 817">
              <controlPr defaultSize="0" autoPict="0">
                <anchor moveWithCells="1" sizeWithCells="1">
                  <from>
                    <xdr:col>14</xdr:col>
                    <xdr:colOff>1085850</xdr:colOff>
                    <xdr:row>37</xdr:row>
                    <xdr:rowOff>19050</xdr:rowOff>
                  </from>
                  <to>
                    <xdr:col>15</xdr:col>
                    <xdr:colOff>0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1" name="Spinner 818">
              <controlPr defaultSize="0" autoPict="0">
                <anchor moveWithCells="1" sizeWithCells="1">
                  <from>
                    <xdr:col>14</xdr:col>
                    <xdr:colOff>1085850</xdr:colOff>
                    <xdr:row>38</xdr:row>
                    <xdr:rowOff>19050</xdr:rowOff>
                  </from>
                  <to>
                    <xdr:col>15</xdr:col>
                    <xdr:colOff>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" name="Spinner 819">
              <controlPr defaultSize="0" autoPict="0">
                <anchor moveWithCells="1" sizeWithCells="1">
                  <from>
                    <xdr:col>14</xdr:col>
                    <xdr:colOff>1085850</xdr:colOff>
                    <xdr:row>39</xdr:row>
                    <xdr:rowOff>19050</xdr:rowOff>
                  </from>
                  <to>
                    <xdr:col>15</xdr:col>
                    <xdr:colOff>0</xdr:colOff>
                    <xdr:row>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3" name="Spinner 820">
              <controlPr defaultSize="0" autoPict="0">
                <anchor moveWithCells="1" sizeWithCells="1">
                  <from>
                    <xdr:col>14</xdr:col>
                    <xdr:colOff>1085850</xdr:colOff>
                    <xdr:row>40</xdr:row>
                    <xdr:rowOff>19050</xdr:rowOff>
                  </from>
                  <to>
                    <xdr:col>15</xdr:col>
                    <xdr:colOff>0</xdr:colOff>
                    <xdr:row>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4" name="Spinner 821">
              <controlPr defaultSize="0" autoPict="0">
                <anchor moveWithCells="1" sizeWithCells="1">
                  <from>
                    <xdr:col>14</xdr:col>
                    <xdr:colOff>1085850</xdr:colOff>
                    <xdr:row>41</xdr:row>
                    <xdr:rowOff>19050</xdr:rowOff>
                  </from>
                  <to>
                    <xdr:col>15</xdr:col>
                    <xdr:colOff>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5" name="Spinner 822">
              <controlPr defaultSize="0" autoPict="0">
                <anchor moveWithCells="1" sizeWithCells="1">
                  <from>
                    <xdr:col>14</xdr:col>
                    <xdr:colOff>1085850</xdr:colOff>
                    <xdr:row>42</xdr:row>
                    <xdr:rowOff>19050</xdr:rowOff>
                  </from>
                  <to>
                    <xdr:col>15</xdr:col>
                    <xdr:colOff>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6" name="Spinner 823">
              <controlPr defaultSize="0" autoPict="0">
                <anchor moveWithCells="1" sizeWithCells="1">
                  <from>
                    <xdr:col>14</xdr:col>
                    <xdr:colOff>1085850</xdr:colOff>
                    <xdr:row>43</xdr:row>
                    <xdr:rowOff>19050</xdr:rowOff>
                  </from>
                  <to>
                    <xdr:col>15</xdr:col>
                    <xdr:colOff>0</xdr:colOff>
                    <xdr:row>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7" name="Spinner 824">
              <controlPr defaultSize="0" autoPict="0">
                <anchor moveWithCells="1" sizeWithCells="1">
                  <from>
                    <xdr:col>14</xdr:col>
                    <xdr:colOff>1085850</xdr:colOff>
                    <xdr:row>44</xdr:row>
                    <xdr:rowOff>19050</xdr:rowOff>
                  </from>
                  <to>
                    <xdr:col>15</xdr:col>
                    <xdr:colOff>0</xdr:colOff>
                    <xdr:row>44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8" name="Spinner 825">
              <controlPr defaultSize="0" autoPict="0">
                <anchor moveWithCells="1" sizeWithCells="1">
                  <from>
                    <xdr:col>14</xdr:col>
                    <xdr:colOff>1085850</xdr:colOff>
                    <xdr:row>45</xdr:row>
                    <xdr:rowOff>76200</xdr:rowOff>
                  </from>
                  <to>
                    <xdr:col>15</xdr:col>
                    <xdr:colOff>0</xdr:colOff>
                    <xdr:row>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9" name="Spinner 826">
              <controlPr defaultSize="0" autoPict="0">
                <anchor moveWithCells="1" sizeWithCells="1">
                  <from>
                    <xdr:col>14</xdr:col>
                    <xdr:colOff>1085850</xdr:colOff>
                    <xdr:row>46</xdr:row>
                    <xdr:rowOff>9525</xdr:rowOff>
                  </from>
                  <to>
                    <xdr:col>14</xdr:col>
                    <xdr:colOff>1323975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0" name="Spinner 827">
              <controlPr defaultSize="0" autoPict="0">
                <anchor moveWithCells="1" sizeWithCells="1">
                  <from>
                    <xdr:col>14</xdr:col>
                    <xdr:colOff>1085850</xdr:colOff>
                    <xdr:row>47</xdr:row>
                    <xdr:rowOff>28575</xdr:rowOff>
                  </from>
                  <to>
                    <xdr:col>15</xdr:col>
                    <xdr:colOff>0</xdr:colOff>
                    <xdr:row>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1" name="Spinner 828">
              <controlPr defaultSize="0" autoPict="0">
                <anchor moveWithCells="1" sizeWithCells="1">
                  <from>
                    <xdr:col>14</xdr:col>
                    <xdr:colOff>1085850</xdr:colOff>
                    <xdr:row>48</xdr:row>
                    <xdr:rowOff>19050</xdr:rowOff>
                  </from>
                  <to>
                    <xdr:col>15</xdr:col>
                    <xdr:colOff>0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" name="Spinner 829">
              <controlPr defaultSize="0" autoPict="0">
                <anchor moveWithCells="1" sizeWithCells="1">
                  <from>
                    <xdr:col>14</xdr:col>
                    <xdr:colOff>1085850</xdr:colOff>
                    <xdr:row>49</xdr:row>
                    <xdr:rowOff>19050</xdr:rowOff>
                  </from>
                  <to>
                    <xdr:col>15</xdr:col>
                    <xdr:colOff>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3" name="Spinner 830">
              <controlPr defaultSize="0" autoPict="0">
                <anchor moveWithCells="1" sizeWithCells="1">
                  <from>
                    <xdr:col>14</xdr:col>
                    <xdr:colOff>1085850</xdr:colOff>
                    <xdr:row>50</xdr:row>
                    <xdr:rowOff>19050</xdr:rowOff>
                  </from>
                  <to>
                    <xdr:col>15</xdr:col>
                    <xdr:colOff>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4" name="Spinner 831">
              <controlPr defaultSize="0" autoPict="0">
                <anchor moveWithCells="1" sizeWithCells="1">
                  <from>
                    <xdr:col>14</xdr:col>
                    <xdr:colOff>1085850</xdr:colOff>
                    <xdr:row>51</xdr:row>
                    <xdr:rowOff>19050</xdr:rowOff>
                  </from>
                  <to>
                    <xdr:col>15</xdr:col>
                    <xdr:colOff>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5" name="Spinner 832">
              <controlPr defaultSize="0" autoPict="0">
                <anchor moveWithCells="1" sizeWithCells="1">
                  <from>
                    <xdr:col>14</xdr:col>
                    <xdr:colOff>1085850</xdr:colOff>
                    <xdr:row>52</xdr:row>
                    <xdr:rowOff>19050</xdr:rowOff>
                  </from>
                  <to>
                    <xdr:col>15</xdr:col>
                    <xdr:colOff>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" name="Spinner 833">
              <controlPr defaultSize="0" autoPict="0">
                <anchor moveWithCells="1" sizeWithCells="1">
                  <from>
                    <xdr:col>14</xdr:col>
                    <xdr:colOff>1085850</xdr:colOff>
                    <xdr:row>53</xdr:row>
                    <xdr:rowOff>19050</xdr:rowOff>
                  </from>
                  <to>
                    <xdr:col>15</xdr:col>
                    <xdr:colOff>0</xdr:colOff>
                    <xdr:row>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7" name="Spinner 834">
              <controlPr defaultSize="0" autoPict="0">
                <anchor moveWithCells="1" sizeWithCells="1">
                  <from>
                    <xdr:col>14</xdr:col>
                    <xdr:colOff>1085850</xdr:colOff>
                    <xdr:row>54</xdr:row>
                    <xdr:rowOff>19050</xdr:rowOff>
                  </from>
                  <to>
                    <xdr:col>15</xdr:col>
                    <xdr:colOff>0</xdr:colOff>
                    <xdr:row>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8" name="Spinner 835">
              <controlPr defaultSize="0" autoPict="0">
                <anchor moveWithCells="1" sizeWithCells="1">
                  <from>
                    <xdr:col>14</xdr:col>
                    <xdr:colOff>1085850</xdr:colOff>
                    <xdr:row>55</xdr:row>
                    <xdr:rowOff>19050</xdr:rowOff>
                  </from>
                  <to>
                    <xdr:col>15</xdr:col>
                    <xdr:colOff>0</xdr:colOff>
                    <xdr:row>55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69" name="Spinner 836">
              <controlPr defaultSize="0" autoPict="0">
                <anchor moveWithCells="1" sizeWithCells="1">
                  <from>
                    <xdr:col>14</xdr:col>
                    <xdr:colOff>1085850</xdr:colOff>
                    <xdr:row>56</xdr:row>
                    <xdr:rowOff>19050</xdr:rowOff>
                  </from>
                  <to>
                    <xdr:col>15</xdr:col>
                    <xdr:colOff>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0" name="Spinner 837">
              <controlPr defaultSize="0" autoPict="0">
                <anchor moveWithCells="1" sizeWithCells="1">
                  <from>
                    <xdr:col>14</xdr:col>
                    <xdr:colOff>1085850</xdr:colOff>
                    <xdr:row>57</xdr:row>
                    <xdr:rowOff>38100</xdr:rowOff>
                  </from>
                  <to>
                    <xdr:col>15</xdr:col>
                    <xdr:colOff>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1" name="Spinner 838">
              <controlPr defaultSize="0" autoPict="0">
                <anchor moveWithCells="1" sizeWithCells="1">
                  <from>
                    <xdr:col>14</xdr:col>
                    <xdr:colOff>1085850</xdr:colOff>
                    <xdr:row>58</xdr:row>
                    <xdr:rowOff>19050</xdr:rowOff>
                  </from>
                  <to>
                    <xdr:col>14</xdr:col>
                    <xdr:colOff>1304925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2" name="Spinner 839">
              <controlPr defaultSize="0" autoPict="0">
                <anchor moveWithCells="1" sizeWithCells="1">
                  <from>
                    <xdr:col>14</xdr:col>
                    <xdr:colOff>1085850</xdr:colOff>
                    <xdr:row>59</xdr:row>
                    <xdr:rowOff>19050</xdr:rowOff>
                  </from>
                  <to>
                    <xdr:col>15</xdr:col>
                    <xdr:colOff>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3" name="Spinner 840">
              <controlPr defaultSize="0" autoPict="0">
                <anchor moveWithCells="1" sizeWithCells="1">
                  <from>
                    <xdr:col>14</xdr:col>
                    <xdr:colOff>1085850</xdr:colOff>
                    <xdr:row>60</xdr:row>
                    <xdr:rowOff>19050</xdr:rowOff>
                  </from>
                  <to>
                    <xdr:col>15</xdr:col>
                    <xdr:colOff>0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4" name="Spinner 841">
              <controlPr defaultSize="0" autoPict="0">
                <anchor moveWithCells="1" sizeWithCells="1">
                  <from>
                    <xdr:col>14</xdr:col>
                    <xdr:colOff>1085850</xdr:colOff>
                    <xdr:row>61</xdr:row>
                    <xdr:rowOff>57150</xdr:rowOff>
                  </from>
                  <to>
                    <xdr:col>15</xdr:col>
                    <xdr:colOff>0</xdr:colOff>
                    <xdr:row>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5" name="Spinner 842">
              <controlPr defaultSize="0" autoPict="0">
                <anchor moveWithCells="1" sizeWithCells="1">
                  <from>
                    <xdr:col>14</xdr:col>
                    <xdr:colOff>1085850</xdr:colOff>
                    <xdr:row>62</xdr:row>
                    <xdr:rowOff>95250</xdr:rowOff>
                  </from>
                  <to>
                    <xdr:col>15</xdr:col>
                    <xdr:colOff>0</xdr:colOff>
                    <xdr:row>62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6" name="Spinner 843">
              <controlPr defaultSize="0" autoPict="0">
                <anchor moveWithCells="1" sizeWithCells="1">
                  <from>
                    <xdr:col>14</xdr:col>
                    <xdr:colOff>1085850</xdr:colOff>
                    <xdr:row>63</xdr:row>
                    <xdr:rowOff>123825</xdr:rowOff>
                  </from>
                  <to>
                    <xdr:col>15</xdr:col>
                    <xdr:colOff>0</xdr:colOff>
                    <xdr:row>63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7" name="Spinner 844">
              <controlPr locked="0" defaultSize="0" autoPict="0">
                <anchor moveWithCells="1" sizeWithCells="1">
                  <from>
                    <xdr:col>14</xdr:col>
                    <xdr:colOff>1066800</xdr:colOff>
                    <xdr:row>64</xdr:row>
                    <xdr:rowOff>9525</xdr:rowOff>
                  </from>
                  <to>
                    <xdr:col>14</xdr:col>
                    <xdr:colOff>1323975</xdr:colOff>
                    <xdr:row>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" name="Spinner 848">
              <controlPr defaultSize="0" autoPict="0">
                <anchor moveWithCells="1" sizeWithCells="1">
                  <from>
                    <xdr:col>3</xdr:col>
                    <xdr:colOff>657225</xdr:colOff>
                    <xdr:row>13</xdr:row>
                    <xdr:rowOff>104775</xdr:rowOff>
                  </from>
                  <to>
                    <xdr:col>3</xdr:col>
                    <xdr:colOff>971550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9" name="Spinner 849">
              <controlPr defaultSize="0" autoPict="0">
                <anchor moveWithCells="1" sizeWithCells="1">
                  <from>
                    <xdr:col>3</xdr:col>
                    <xdr:colOff>657225</xdr:colOff>
                    <xdr:row>12</xdr:row>
                    <xdr:rowOff>85725</xdr:rowOff>
                  </from>
                  <to>
                    <xdr:col>3</xdr:col>
                    <xdr:colOff>971550</xdr:colOff>
                    <xdr:row>12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0" name="Spinner 850">
              <controlPr defaultSize="0" autoPict="0">
                <anchor moveWithCells="1" sizeWithCells="1">
                  <from>
                    <xdr:col>3</xdr:col>
                    <xdr:colOff>657225</xdr:colOff>
                    <xdr:row>11</xdr:row>
                    <xdr:rowOff>85725</xdr:rowOff>
                  </from>
                  <to>
                    <xdr:col>3</xdr:col>
                    <xdr:colOff>971550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1" name="Spinner 851">
              <controlPr defaultSize="0" autoPict="0">
                <anchor moveWithCells="1" sizeWithCells="1">
                  <from>
                    <xdr:col>3</xdr:col>
                    <xdr:colOff>657225</xdr:colOff>
                    <xdr:row>14</xdr:row>
                    <xdr:rowOff>85725</xdr:rowOff>
                  </from>
                  <to>
                    <xdr:col>3</xdr:col>
                    <xdr:colOff>971550</xdr:colOff>
                    <xdr:row>14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2" name="Spinner 852">
              <controlPr defaultSize="0" autoPict="0">
                <anchor moveWithCells="1" sizeWithCells="1">
                  <from>
                    <xdr:col>3</xdr:col>
                    <xdr:colOff>657225</xdr:colOff>
                    <xdr:row>15</xdr:row>
                    <xdr:rowOff>85725</xdr:rowOff>
                  </from>
                  <to>
                    <xdr:col>3</xdr:col>
                    <xdr:colOff>971550</xdr:colOff>
                    <xdr:row>15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3" name="Spinner 853">
              <controlPr defaultSize="0" autoPict="0">
                <anchor moveWithCells="1" sizeWithCells="1">
                  <from>
                    <xdr:col>3</xdr:col>
                    <xdr:colOff>657225</xdr:colOff>
                    <xdr:row>16</xdr:row>
                    <xdr:rowOff>85725</xdr:rowOff>
                  </from>
                  <to>
                    <xdr:col>3</xdr:col>
                    <xdr:colOff>971550</xdr:colOff>
                    <xdr:row>16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4" name="Spinner 854">
              <controlPr defaultSize="0" autoPict="0">
                <anchor moveWithCells="1" sizeWithCells="1">
                  <from>
                    <xdr:col>14</xdr:col>
                    <xdr:colOff>1085850</xdr:colOff>
                    <xdr:row>35</xdr:row>
                    <xdr:rowOff>19050</xdr:rowOff>
                  </from>
                  <to>
                    <xdr:col>15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5" name="Check Box 885">
              <controlPr defaultSize="0" autoFill="0" autoLine="0" autoPict="0">
                <anchor moveWithCells="1">
                  <from>
                    <xdr:col>20</xdr:col>
                    <xdr:colOff>533400</xdr:colOff>
                    <xdr:row>76</xdr:row>
                    <xdr:rowOff>314325</xdr:rowOff>
                  </from>
                  <to>
                    <xdr:col>20</xdr:col>
                    <xdr:colOff>800100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6" name="Check Box 886">
              <controlPr defaultSize="0" autoFill="0" autoLine="0" autoPict="0">
                <anchor moveWithCells="1">
                  <from>
                    <xdr:col>20</xdr:col>
                    <xdr:colOff>1104900</xdr:colOff>
                    <xdr:row>76</xdr:row>
                    <xdr:rowOff>314325</xdr:rowOff>
                  </from>
                  <to>
                    <xdr:col>20</xdr:col>
                    <xdr:colOff>1371600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7" name="Check Box 887">
              <controlPr defaultSize="0" autoFill="0" autoLine="0" autoPict="0">
                <anchor moveWithCells="1">
                  <from>
                    <xdr:col>20</xdr:col>
                    <xdr:colOff>723900</xdr:colOff>
                    <xdr:row>76</xdr:row>
                    <xdr:rowOff>314325</xdr:rowOff>
                  </from>
                  <to>
                    <xdr:col>20</xdr:col>
                    <xdr:colOff>990600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8" name="Check Box 888">
              <controlPr defaultSize="0" autoFill="0" autoLine="0" autoPict="0">
                <anchor moveWithCells="1">
                  <from>
                    <xdr:col>20</xdr:col>
                    <xdr:colOff>942975</xdr:colOff>
                    <xdr:row>76</xdr:row>
                    <xdr:rowOff>314325</xdr:rowOff>
                  </from>
                  <to>
                    <xdr:col>20</xdr:col>
                    <xdr:colOff>1219200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" name="Check Box 889">
              <controlPr defaultSize="0" autoFill="0" autoLine="0" autoPict="0">
                <anchor moveWithCells="1">
                  <from>
                    <xdr:col>20</xdr:col>
                    <xdr:colOff>1314450</xdr:colOff>
                    <xdr:row>76</xdr:row>
                    <xdr:rowOff>314325</xdr:rowOff>
                  </from>
                  <to>
                    <xdr:col>21</xdr:col>
                    <xdr:colOff>38100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90" name="Check Box 890">
              <controlPr defaultSize="0" autoFill="0" autoLine="0" autoPict="0">
                <anchor moveWithCells="1">
                  <from>
                    <xdr:col>21</xdr:col>
                    <xdr:colOff>47625</xdr:colOff>
                    <xdr:row>76</xdr:row>
                    <xdr:rowOff>314325</xdr:rowOff>
                  </from>
                  <to>
                    <xdr:col>21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91" name="Check Box 891">
              <controlPr defaultSize="0" autoFill="0" autoLine="0" autoPict="0">
                <anchor moveWithCells="1">
                  <from>
                    <xdr:col>21</xdr:col>
                    <xdr:colOff>600075</xdr:colOff>
                    <xdr:row>76</xdr:row>
                    <xdr:rowOff>314325</xdr:rowOff>
                  </from>
                  <to>
                    <xdr:col>21</xdr:col>
                    <xdr:colOff>866775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92" name="Check Box 892">
              <controlPr defaultSize="0" autoFill="0" autoLine="0" autoPict="0">
                <anchor moveWithCells="1">
                  <from>
                    <xdr:col>21</xdr:col>
                    <xdr:colOff>238125</xdr:colOff>
                    <xdr:row>76</xdr:row>
                    <xdr:rowOff>314325</xdr:rowOff>
                  </from>
                  <to>
                    <xdr:col>21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93" name="Check Box 893">
              <controlPr defaultSize="0" autoFill="0" autoLine="0" autoPict="0">
                <anchor moveWithCells="1">
                  <from>
                    <xdr:col>21</xdr:col>
                    <xdr:colOff>428625</xdr:colOff>
                    <xdr:row>76</xdr:row>
                    <xdr:rowOff>314325</xdr:rowOff>
                  </from>
                  <to>
                    <xdr:col>21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94" name="Check Box 894">
              <controlPr defaultSize="0" autoFill="0" autoLine="0" autoPict="0">
                <anchor moveWithCells="1">
                  <from>
                    <xdr:col>22</xdr:col>
                    <xdr:colOff>47625</xdr:colOff>
                    <xdr:row>76</xdr:row>
                    <xdr:rowOff>314325</xdr:rowOff>
                  </from>
                  <to>
                    <xdr:col>22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5" name="Check Box 895">
              <controlPr defaultSize="0" autoFill="0" autoLine="0" autoPict="0">
                <anchor moveWithCells="1">
                  <from>
                    <xdr:col>22</xdr:col>
                    <xdr:colOff>619125</xdr:colOff>
                    <xdr:row>76</xdr:row>
                    <xdr:rowOff>314325</xdr:rowOff>
                  </from>
                  <to>
                    <xdr:col>22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96" name="Check Box 896">
              <controlPr defaultSize="0" autoFill="0" autoLine="0" autoPict="0">
                <anchor moveWithCells="1">
                  <from>
                    <xdr:col>22</xdr:col>
                    <xdr:colOff>238125</xdr:colOff>
                    <xdr:row>76</xdr:row>
                    <xdr:rowOff>314325</xdr:rowOff>
                  </from>
                  <to>
                    <xdr:col>22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7" name="Check Box 897">
              <controlPr defaultSize="0" autoFill="0" autoLine="0" autoPict="0">
                <anchor moveWithCells="1">
                  <from>
                    <xdr:col>22</xdr:col>
                    <xdr:colOff>428625</xdr:colOff>
                    <xdr:row>76</xdr:row>
                    <xdr:rowOff>314325</xdr:rowOff>
                  </from>
                  <to>
                    <xdr:col>22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8" name="Check Box 898">
              <controlPr defaultSize="0" autoFill="0" autoLine="0" autoPict="0">
                <anchor moveWithCells="1">
                  <from>
                    <xdr:col>23</xdr:col>
                    <xdr:colOff>47625</xdr:colOff>
                    <xdr:row>76</xdr:row>
                    <xdr:rowOff>314325</xdr:rowOff>
                  </from>
                  <to>
                    <xdr:col>23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9" name="Check Box 899">
              <controlPr defaultSize="0" autoFill="0" autoLine="0" autoPict="0">
                <anchor moveWithCells="1">
                  <from>
                    <xdr:col>23</xdr:col>
                    <xdr:colOff>619125</xdr:colOff>
                    <xdr:row>76</xdr:row>
                    <xdr:rowOff>314325</xdr:rowOff>
                  </from>
                  <to>
                    <xdr:col>23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00" name="Check Box 900">
              <controlPr defaultSize="0" autoFill="0" autoLine="0" autoPict="0">
                <anchor moveWithCells="1">
                  <from>
                    <xdr:col>23</xdr:col>
                    <xdr:colOff>238125</xdr:colOff>
                    <xdr:row>76</xdr:row>
                    <xdr:rowOff>314325</xdr:rowOff>
                  </from>
                  <to>
                    <xdr:col>23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01" name="Check Box 901">
              <controlPr defaultSize="0" autoFill="0" autoLine="0" autoPict="0">
                <anchor moveWithCells="1">
                  <from>
                    <xdr:col>23</xdr:col>
                    <xdr:colOff>428625</xdr:colOff>
                    <xdr:row>76</xdr:row>
                    <xdr:rowOff>314325</xdr:rowOff>
                  </from>
                  <to>
                    <xdr:col>23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2" name="Check Box 902">
              <controlPr defaultSize="0" autoFill="0" autoLine="0" autoPict="0">
                <anchor moveWithCells="1">
                  <from>
                    <xdr:col>23</xdr:col>
                    <xdr:colOff>800100</xdr:colOff>
                    <xdr:row>76</xdr:row>
                    <xdr:rowOff>314325</xdr:rowOff>
                  </from>
                  <to>
                    <xdr:col>23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03" name="Check Box 903">
              <controlPr defaultSize="0" autoFill="0" autoLine="0" autoPict="0">
                <anchor moveWithCells="1">
                  <from>
                    <xdr:col>24</xdr:col>
                    <xdr:colOff>47625</xdr:colOff>
                    <xdr:row>76</xdr:row>
                    <xdr:rowOff>314325</xdr:rowOff>
                  </from>
                  <to>
                    <xdr:col>24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04" name="Check Box 904">
              <controlPr defaultSize="0" autoFill="0" autoLine="0" autoPict="0">
                <anchor moveWithCells="1">
                  <from>
                    <xdr:col>24</xdr:col>
                    <xdr:colOff>619125</xdr:colOff>
                    <xdr:row>76</xdr:row>
                    <xdr:rowOff>314325</xdr:rowOff>
                  </from>
                  <to>
                    <xdr:col>24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05" name="Check Box 905">
              <controlPr defaultSize="0" autoFill="0" autoLine="0" autoPict="0">
                <anchor moveWithCells="1">
                  <from>
                    <xdr:col>24</xdr:col>
                    <xdr:colOff>238125</xdr:colOff>
                    <xdr:row>76</xdr:row>
                    <xdr:rowOff>314325</xdr:rowOff>
                  </from>
                  <to>
                    <xdr:col>24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06" name="Check Box 906">
              <controlPr defaultSize="0" autoFill="0" autoLine="0" autoPict="0">
                <anchor moveWithCells="1">
                  <from>
                    <xdr:col>24</xdr:col>
                    <xdr:colOff>428625</xdr:colOff>
                    <xdr:row>76</xdr:row>
                    <xdr:rowOff>314325</xdr:rowOff>
                  </from>
                  <to>
                    <xdr:col>24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07" name="Check Box 907">
              <controlPr defaultSize="0" autoFill="0" autoLine="0" autoPict="0">
                <anchor moveWithCells="1">
                  <from>
                    <xdr:col>24</xdr:col>
                    <xdr:colOff>800100</xdr:colOff>
                    <xdr:row>76</xdr:row>
                    <xdr:rowOff>314325</xdr:rowOff>
                  </from>
                  <to>
                    <xdr:col>24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08" name="Check Box 908">
              <controlPr defaultSize="0" autoFill="0" autoLine="0" autoPict="0">
                <anchor moveWithCells="1">
                  <from>
                    <xdr:col>25</xdr:col>
                    <xdr:colOff>47625</xdr:colOff>
                    <xdr:row>76</xdr:row>
                    <xdr:rowOff>314325</xdr:rowOff>
                  </from>
                  <to>
                    <xdr:col>25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09" name="Check Box 909">
              <controlPr defaultSize="0" autoFill="0" autoLine="0" autoPict="0">
                <anchor moveWithCells="1">
                  <from>
                    <xdr:col>25</xdr:col>
                    <xdr:colOff>619125</xdr:colOff>
                    <xdr:row>76</xdr:row>
                    <xdr:rowOff>314325</xdr:rowOff>
                  </from>
                  <to>
                    <xdr:col>25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10" name="Check Box 910">
              <controlPr defaultSize="0" autoFill="0" autoLine="0" autoPict="0">
                <anchor moveWithCells="1">
                  <from>
                    <xdr:col>25</xdr:col>
                    <xdr:colOff>238125</xdr:colOff>
                    <xdr:row>76</xdr:row>
                    <xdr:rowOff>314325</xdr:rowOff>
                  </from>
                  <to>
                    <xdr:col>25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11" name="Check Box 911">
              <controlPr defaultSize="0" autoFill="0" autoLine="0" autoPict="0">
                <anchor moveWithCells="1">
                  <from>
                    <xdr:col>25</xdr:col>
                    <xdr:colOff>428625</xdr:colOff>
                    <xdr:row>76</xdr:row>
                    <xdr:rowOff>314325</xdr:rowOff>
                  </from>
                  <to>
                    <xdr:col>25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12" name="Check Box 912">
              <controlPr defaultSize="0" autoFill="0" autoLine="0" autoPict="0">
                <anchor moveWithCells="1">
                  <from>
                    <xdr:col>25</xdr:col>
                    <xdr:colOff>800100</xdr:colOff>
                    <xdr:row>76</xdr:row>
                    <xdr:rowOff>314325</xdr:rowOff>
                  </from>
                  <to>
                    <xdr:col>25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13" name="Check Box 913">
              <controlPr defaultSize="0" autoFill="0" autoLine="0" autoPict="0">
                <anchor moveWithCells="1">
                  <from>
                    <xdr:col>22</xdr:col>
                    <xdr:colOff>800100</xdr:colOff>
                    <xdr:row>76</xdr:row>
                    <xdr:rowOff>314325</xdr:rowOff>
                  </from>
                  <to>
                    <xdr:col>22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14" name="Check Box 914">
              <controlPr defaultSize="0" autoFill="0" autoLine="0" autoPict="0">
                <anchor moveWithCells="1">
                  <from>
                    <xdr:col>21</xdr:col>
                    <xdr:colOff>771525</xdr:colOff>
                    <xdr:row>76</xdr:row>
                    <xdr:rowOff>314325</xdr:rowOff>
                  </from>
                  <to>
                    <xdr:col>22</xdr:col>
                    <xdr:colOff>9525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15" name="Check Box 915">
              <controlPr defaultSize="0" autoFill="0" autoLine="0" autoPict="0">
                <anchor moveWithCells="1">
                  <from>
                    <xdr:col>20</xdr:col>
                    <xdr:colOff>495300</xdr:colOff>
                    <xdr:row>90</xdr:row>
                    <xdr:rowOff>314325</xdr:rowOff>
                  </from>
                  <to>
                    <xdr:col>20</xdr:col>
                    <xdr:colOff>762000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16" name="Check Box 916">
              <controlPr defaultSize="0" autoFill="0" autoLine="0" autoPict="0">
                <anchor moveWithCells="1">
                  <from>
                    <xdr:col>20</xdr:col>
                    <xdr:colOff>1066800</xdr:colOff>
                    <xdr:row>90</xdr:row>
                    <xdr:rowOff>314325</xdr:rowOff>
                  </from>
                  <to>
                    <xdr:col>20</xdr:col>
                    <xdr:colOff>1333500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17" name="Check Box 917">
              <controlPr defaultSize="0" autoFill="0" autoLine="0" autoPict="0">
                <anchor moveWithCells="1">
                  <from>
                    <xdr:col>20</xdr:col>
                    <xdr:colOff>685800</xdr:colOff>
                    <xdr:row>90</xdr:row>
                    <xdr:rowOff>314325</xdr:rowOff>
                  </from>
                  <to>
                    <xdr:col>20</xdr:col>
                    <xdr:colOff>952500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18" name="Check Box 918">
              <controlPr defaultSize="0" autoFill="0" autoLine="0" autoPict="0">
                <anchor moveWithCells="1">
                  <from>
                    <xdr:col>20</xdr:col>
                    <xdr:colOff>876300</xdr:colOff>
                    <xdr:row>90</xdr:row>
                    <xdr:rowOff>314325</xdr:rowOff>
                  </from>
                  <to>
                    <xdr:col>20</xdr:col>
                    <xdr:colOff>1143000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19" name="Check Box 919">
              <controlPr defaultSize="0" autoFill="0" autoLine="0" autoPict="0">
                <anchor moveWithCells="1">
                  <from>
                    <xdr:col>20</xdr:col>
                    <xdr:colOff>1247775</xdr:colOff>
                    <xdr:row>90</xdr:row>
                    <xdr:rowOff>314325</xdr:rowOff>
                  </from>
                  <to>
                    <xdr:col>20</xdr:col>
                    <xdr:colOff>1428750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20" name="Check Box 920">
              <controlPr defaultSize="0" autoFill="0" autoLine="0" autoPict="0">
                <anchor moveWithCells="1">
                  <from>
                    <xdr:col>21</xdr:col>
                    <xdr:colOff>47625</xdr:colOff>
                    <xdr:row>90</xdr:row>
                    <xdr:rowOff>314325</xdr:rowOff>
                  </from>
                  <to>
                    <xdr:col>21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21" name="Check Box 921">
              <controlPr defaultSize="0" autoFill="0" autoLine="0" autoPict="0">
                <anchor moveWithCells="1">
                  <from>
                    <xdr:col>21</xdr:col>
                    <xdr:colOff>600075</xdr:colOff>
                    <xdr:row>90</xdr:row>
                    <xdr:rowOff>314325</xdr:rowOff>
                  </from>
                  <to>
                    <xdr:col>21</xdr:col>
                    <xdr:colOff>866775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22" name="Check Box 922">
              <controlPr defaultSize="0" autoFill="0" autoLine="0" autoPict="0">
                <anchor moveWithCells="1">
                  <from>
                    <xdr:col>21</xdr:col>
                    <xdr:colOff>238125</xdr:colOff>
                    <xdr:row>90</xdr:row>
                    <xdr:rowOff>314325</xdr:rowOff>
                  </from>
                  <to>
                    <xdr:col>21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23" name="Check Box 923">
              <controlPr defaultSize="0" autoFill="0" autoLine="0" autoPict="0">
                <anchor moveWithCells="1">
                  <from>
                    <xdr:col>21</xdr:col>
                    <xdr:colOff>428625</xdr:colOff>
                    <xdr:row>90</xdr:row>
                    <xdr:rowOff>314325</xdr:rowOff>
                  </from>
                  <to>
                    <xdr:col>21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24" name="Check Box 924">
              <controlPr defaultSize="0" autoFill="0" autoLine="0" autoPict="0">
                <anchor moveWithCells="1">
                  <from>
                    <xdr:col>22</xdr:col>
                    <xdr:colOff>47625</xdr:colOff>
                    <xdr:row>90</xdr:row>
                    <xdr:rowOff>314325</xdr:rowOff>
                  </from>
                  <to>
                    <xdr:col>22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25" name="Check Box 925">
              <controlPr defaultSize="0" autoFill="0" autoLine="0" autoPict="0">
                <anchor moveWithCells="1">
                  <from>
                    <xdr:col>22</xdr:col>
                    <xdr:colOff>619125</xdr:colOff>
                    <xdr:row>90</xdr:row>
                    <xdr:rowOff>314325</xdr:rowOff>
                  </from>
                  <to>
                    <xdr:col>22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26" name="Check Box 926">
              <controlPr defaultSize="0" autoFill="0" autoLine="0" autoPict="0">
                <anchor moveWithCells="1">
                  <from>
                    <xdr:col>22</xdr:col>
                    <xdr:colOff>238125</xdr:colOff>
                    <xdr:row>90</xdr:row>
                    <xdr:rowOff>314325</xdr:rowOff>
                  </from>
                  <to>
                    <xdr:col>22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27" name="Check Box 927">
              <controlPr defaultSize="0" autoFill="0" autoLine="0" autoPict="0">
                <anchor moveWithCells="1">
                  <from>
                    <xdr:col>22</xdr:col>
                    <xdr:colOff>428625</xdr:colOff>
                    <xdr:row>90</xdr:row>
                    <xdr:rowOff>314325</xdr:rowOff>
                  </from>
                  <to>
                    <xdr:col>22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28" name="Check Box 928">
              <controlPr defaultSize="0" autoFill="0" autoLine="0" autoPict="0">
                <anchor moveWithCells="1">
                  <from>
                    <xdr:col>23</xdr:col>
                    <xdr:colOff>47625</xdr:colOff>
                    <xdr:row>90</xdr:row>
                    <xdr:rowOff>314325</xdr:rowOff>
                  </from>
                  <to>
                    <xdr:col>23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29" name="Check Box 929">
              <controlPr defaultSize="0" autoFill="0" autoLine="0" autoPict="0">
                <anchor moveWithCells="1">
                  <from>
                    <xdr:col>23</xdr:col>
                    <xdr:colOff>619125</xdr:colOff>
                    <xdr:row>90</xdr:row>
                    <xdr:rowOff>314325</xdr:rowOff>
                  </from>
                  <to>
                    <xdr:col>23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0" name="Check Box 930">
              <controlPr defaultSize="0" autoFill="0" autoLine="0" autoPict="0">
                <anchor moveWithCells="1">
                  <from>
                    <xdr:col>23</xdr:col>
                    <xdr:colOff>238125</xdr:colOff>
                    <xdr:row>90</xdr:row>
                    <xdr:rowOff>314325</xdr:rowOff>
                  </from>
                  <to>
                    <xdr:col>23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1" name="Check Box 931">
              <controlPr defaultSize="0" autoFill="0" autoLine="0" autoPict="0">
                <anchor moveWithCells="1">
                  <from>
                    <xdr:col>23</xdr:col>
                    <xdr:colOff>428625</xdr:colOff>
                    <xdr:row>90</xdr:row>
                    <xdr:rowOff>314325</xdr:rowOff>
                  </from>
                  <to>
                    <xdr:col>23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2" name="Check Box 932">
              <controlPr defaultSize="0" autoFill="0" autoLine="0" autoPict="0">
                <anchor moveWithCells="1">
                  <from>
                    <xdr:col>23</xdr:col>
                    <xdr:colOff>800100</xdr:colOff>
                    <xdr:row>90</xdr:row>
                    <xdr:rowOff>314325</xdr:rowOff>
                  </from>
                  <to>
                    <xdr:col>23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3" name="Check Box 933">
              <controlPr defaultSize="0" autoFill="0" autoLine="0" autoPict="0">
                <anchor moveWithCells="1">
                  <from>
                    <xdr:col>24</xdr:col>
                    <xdr:colOff>47625</xdr:colOff>
                    <xdr:row>90</xdr:row>
                    <xdr:rowOff>314325</xdr:rowOff>
                  </from>
                  <to>
                    <xdr:col>24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4" name="Check Box 934">
              <controlPr defaultSize="0" autoFill="0" autoLine="0" autoPict="0">
                <anchor moveWithCells="1">
                  <from>
                    <xdr:col>24</xdr:col>
                    <xdr:colOff>619125</xdr:colOff>
                    <xdr:row>90</xdr:row>
                    <xdr:rowOff>314325</xdr:rowOff>
                  </from>
                  <to>
                    <xdr:col>24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5" name="Check Box 935">
              <controlPr defaultSize="0" autoFill="0" autoLine="0" autoPict="0">
                <anchor moveWithCells="1">
                  <from>
                    <xdr:col>24</xdr:col>
                    <xdr:colOff>238125</xdr:colOff>
                    <xdr:row>90</xdr:row>
                    <xdr:rowOff>314325</xdr:rowOff>
                  </from>
                  <to>
                    <xdr:col>24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6" name="Check Box 936">
              <controlPr defaultSize="0" autoFill="0" autoLine="0" autoPict="0">
                <anchor moveWithCells="1">
                  <from>
                    <xdr:col>24</xdr:col>
                    <xdr:colOff>428625</xdr:colOff>
                    <xdr:row>90</xdr:row>
                    <xdr:rowOff>314325</xdr:rowOff>
                  </from>
                  <to>
                    <xdr:col>24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7" name="Check Box 937">
              <controlPr defaultSize="0" autoFill="0" autoLine="0" autoPict="0">
                <anchor moveWithCells="1">
                  <from>
                    <xdr:col>24</xdr:col>
                    <xdr:colOff>800100</xdr:colOff>
                    <xdr:row>90</xdr:row>
                    <xdr:rowOff>314325</xdr:rowOff>
                  </from>
                  <to>
                    <xdr:col>24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8" name="Check Box 938">
              <controlPr defaultSize="0" autoFill="0" autoLine="0" autoPict="0">
                <anchor moveWithCells="1">
                  <from>
                    <xdr:col>25</xdr:col>
                    <xdr:colOff>47625</xdr:colOff>
                    <xdr:row>90</xdr:row>
                    <xdr:rowOff>314325</xdr:rowOff>
                  </from>
                  <to>
                    <xdr:col>25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39" name="Check Box 939">
              <controlPr defaultSize="0" autoFill="0" autoLine="0" autoPict="0">
                <anchor moveWithCells="1">
                  <from>
                    <xdr:col>25</xdr:col>
                    <xdr:colOff>619125</xdr:colOff>
                    <xdr:row>90</xdr:row>
                    <xdr:rowOff>314325</xdr:rowOff>
                  </from>
                  <to>
                    <xdr:col>25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40" name="Check Box 940">
              <controlPr defaultSize="0" autoFill="0" autoLine="0" autoPict="0">
                <anchor moveWithCells="1">
                  <from>
                    <xdr:col>25</xdr:col>
                    <xdr:colOff>238125</xdr:colOff>
                    <xdr:row>90</xdr:row>
                    <xdr:rowOff>314325</xdr:rowOff>
                  </from>
                  <to>
                    <xdr:col>25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41" name="Check Box 941">
              <controlPr defaultSize="0" autoFill="0" autoLine="0" autoPict="0">
                <anchor moveWithCells="1">
                  <from>
                    <xdr:col>25</xdr:col>
                    <xdr:colOff>428625</xdr:colOff>
                    <xdr:row>90</xdr:row>
                    <xdr:rowOff>314325</xdr:rowOff>
                  </from>
                  <to>
                    <xdr:col>25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42" name="Check Box 942">
              <controlPr defaultSize="0" autoFill="0" autoLine="0" autoPict="0">
                <anchor moveWithCells="1">
                  <from>
                    <xdr:col>25</xdr:col>
                    <xdr:colOff>800100</xdr:colOff>
                    <xdr:row>90</xdr:row>
                    <xdr:rowOff>314325</xdr:rowOff>
                  </from>
                  <to>
                    <xdr:col>25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43" name="Check Box 943">
              <controlPr defaultSize="0" autoFill="0" autoLine="0" autoPict="0">
                <anchor moveWithCells="1">
                  <from>
                    <xdr:col>22</xdr:col>
                    <xdr:colOff>800100</xdr:colOff>
                    <xdr:row>90</xdr:row>
                    <xdr:rowOff>314325</xdr:rowOff>
                  </from>
                  <to>
                    <xdr:col>22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44" name="Check Box 944">
              <controlPr defaultSize="0" autoFill="0" autoLine="0" autoPict="0">
                <anchor moveWithCells="1">
                  <from>
                    <xdr:col>21</xdr:col>
                    <xdr:colOff>771525</xdr:colOff>
                    <xdr:row>90</xdr:row>
                    <xdr:rowOff>314325</xdr:rowOff>
                  </from>
                  <to>
                    <xdr:col>22</xdr:col>
                    <xdr:colOff>9525</xdr:colOff>
                    <xdr:row>92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showRowColHeaders="0" workbookViewId="0">
      <selection activeCell="L47" sqref="L47"/>
    </sheetView>
  </sheetViews>
  <sheetFormatPr defaultRowHeight="15"/>
  <cols>
    <col min="7" max="7" width="9.85546875" customWidth="1"/>
    <col min="12" max="12" width="47.42578125" customWidth="1"/>
    <col min="14" max="15" width="6.42578125" customWidth="1"/>
  </cols>
  <sheetData>
    <row r="1" spans="1:22" ht="16.5" thickTop="1" thickBot="1">
      <c r="A1" s="835" t="s">
        <v>178</v>
      </c>
      <c r="B1" s="835"/>
      <c r="C1" s="835"/>
      <c r="D1" s="835"/>
      <c r="E1" s="835"/>
      <c r="F1" s="835"/>
      <c r="G1" s="817" t="s">
        <v>26</v>
      </c>
      <c r="H1" s="819" t="s">
        <v>593</v>
      </c>
    </row>
    <row r="2" spans="1:22" ht="16.5" thickTop="1" thickBot="1">
      <c r="A2" s="835"/>
      <c r="B2" s="835"/>
      <c r="C2" s="835"/>
      <c r="D2" s="835"/>
      <c r="E2" s="835"/>
      <c r="F2" s="835"/>
      <c r="G2" s="817"/>
      <c r="H2" s="819"/>
    </row>
    <row r="3" spans="1:22" ht="16.5" thickTop="1" thickBot="1">
      <c r="A3" s="835"/>
      <c r="B3" s="835"/>
      <c r="C3" s="835"/>
      <c r="D3" s="835"/>
      <c r="E3" s="835"/>
      <c r="F3" s="835"/>
      <c r="G3" s="825" t="s">
        <v>107</v>
      </c>
      <c r="H3" s="825"/>
      <c r="I3" s="828" t="s">
        <v>594</v>
      </c>
      <c r="J3" s="828" t="s">
        <v>595</v>
      </c>
      <c r="K3" s="828" t="s">
        <v>185</v>
      </c>
      <c r="L3" s="829" t="s">
        <v>479</v>
      </c>
      <c r="M3" s="831" t="s">
        <v>596</v>
      </c>
      <c r="N3" s="832"/>
      <c r="O3" s="832"/>
      <c r="P3" s="832"/>
      <c r="Q3" s="832"/>
      <c r="R3" s="832"/>
      <c r="S3" s="832"/>
      <c r="T3" s="832"/>
      <c r="U3" s="832"/>
      <c r="V3" s="832"/>
    </row>
    <row r="4" spans="1:22" ht="16.5" thickTop="1" thickBot="1">
      <c r="A4" s="769" t="s">
        <v>44</v>
      </c>
      <c r="B4" s="769"/>
      <c r="C4" s="769"/>
      <c r="D4" s="769"/>
      <c r="E4" s="769"/>
      <c r="F4" s="769"/>
      <c r="G4" s="836"/>
      <c r="H4" s="836"/>
      <c r="I4" s="828"/>
      <c r="J4" s="828"/>
      <c r="K4" s="828"/>
      <c r="L4" s="830"/>
      <c r="M4" s="832"/>
      <c r="N4" s="832"/>
      <c r="O4" s="832"/>
      <c r="P4" s="832"/>
      <c r="Q4" s="832"/>
      <c r="R4" s="832"/>
      <c r="S4" s="832"/>
      <c r="T4" s="832"/>
      <c r="U4" s="832"/>
      <c r="V4" s="832"/>
    </row>
    <row r="5" spans="1:22" ht="41.25" customHeight="1" thickTop="1" thickBot="1">
      <c r="A5" s="837"/>
      <c r="B5" s="837"/>
      <c r="C5" s="837"/>
      <c r="D5" s="837"/>
      <c r="E5" s="837"/>
      <c r="F5" s="838"/>
      <c r="G5" s="394" t="s">
        <v>477</v>
      </c>
      <c r="H5" s="394" t="s">
        <v>478</v>
      </c>
      <c r="I5" s="828"/>
      <c r="J5" s="828"/>
      <c r="K5" s="828"/>
      <c r="L5" s="830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1.5" customHeight="1" thickTop="1" thickBot="1">
      <c r="A6" s="231">
        <v>1</v>
      </c>
      <c r="B6" s="833" t="s">
        <v>482</v>
      </c>
      <c r="C6" s="833"/>
      <c r="D6" s="833"/>
      <c r="E6" s="833" t="s">
        <v>168</v>
      </c>
      <c r="F6" s="834"/>
      <c r="G6" s="220">
        <v>1</v>
      </c>
      <c r="H6" s="220">
        <v>0</v>
      </c>
      <c r="I6" s="220">
        <v>2</v>
      </c>
      <c r="J6" s="220">
        <v>0</v>
      </c>
      <c r="K6" s="220">
        <v>2</v>
      </c>
      <c r="L6" s="158" t="s">
        <v>597</v>
      </c>
      <c r="M6" s="151">
        <v>3</v>
      </c>
      <c r="N6" s="151">
        <v>1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</row>
    <row r="7" spans="1:22" ht="21" customHeight="1" thickTop="1" thickBot="1">
      <c r="A7" s="231">
        <v>2</v>
      </c>
      <c r="B7" s="833" t="s">
        <v>64</v>
      </c>
      <c r="C7" s="833"/>
      <c r="D7" s="833"/>
      <c r="E7" s="833" t="s">
        <v>598</v>
      </c>
      <c r="F7" s="834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211" t="s">
        <v>599</v>
      </c>
      <c r="M7" s="212">
        <v>4</v>
      </c>
      <c r="N7" s="212">
        <v>2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</row>
    <row r="8" spans="1:22" ht="19.5" customHeight="1" thickTop="1" thickBot="1">
      <c r="A8" s="231">
        <v>3</v>
      </c>
      <c r="B8" s="833" t="s">
        <v>486</v>
      </c>
      <c r="C8" s="833"/>
      <c r="D8" s="833"/>
      <c r="E8" s="833" t="s">
        <v>515</v>
      </c>
      <c r="F8" s="834"/>
      <c r="G8" s="220">
        <v>3</v>
      </c>
      <c r="H8" s="220">
        <v>2</v>
      </c>
      <c r="I8" s="220">
        <v>3</v>
      </c>
      <c r="J8" s="220">
        <v>1</v>
      </c>
      <c r="K8" s="220">
        <v>3</v>
      </c>
      <c r="L8" s="158" t="s">
        <v>600</v>
      </c>
      <c r="M8" s="151">
        <v>4</v>
      </c>
      <c r="N8" s="151">
        <v>2</v>
      </c>
      <c r="O8" s="151">
        <v>1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</row>
    <row r="9" spans="1:22" ht="19.5" customHeight="1" thickTop="1" thickBot="1">
      <c r="A9" s="231">
        <v>4</v>
      </c>
      <c r="B9" s="833" t="s">
        <v>57</v>
      </c>
      <c r="C9" s="833"/>
      <c r="D9" s="833"/>
      <c r="E9" s="833" t="s">
        <v>507</v>
      </c>
      <c r="F9" s="834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211" t="s">
        <v>601</v>
      </c>
      <c r="M9" s="212">
        <v>5</v>
      </c>
      <c r="N9" s="212">
        <v>3</v>
      </c>
      <c r="O9" s="212">
        <v>2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</row>
    <row r="10" spans="1:22" ht="24" customHeight="1" thickTop="1" thickBot="1">
      <c r="A10" s="231">
        <v>5</v>
      </c>
      <c r="B10" s="833" t="s">
        <v>602</v>
      </c>
      <c r="C10" s="833"/>
      <c r="D10" s="833"/>
      <c r="E10" s="833" t="s">
        <v>170</v>
      </c>
      <c r="F10" s="834"/>
      <c r="G10" s="217">
        <v>5</v>
      </c>
      <c r="H10" s="217">
        <v>3</v>
      </c>
      <c r="I10" s="217">
        <v>4</v>
      </c>
      <c r="J10" s="217">
        <v>1</v>
      </c>
      <c r="K10" s="217">
        <v>4</v>
      </c>
      <c r="L10" s="158" t="s">
        <v>603</v>
      </c>
      <c r="M10" s="151">
        <v>5</v>
      </c>
      <c r="N10" s="151">
        <v>3</v>
      </c>
      <c r="O10" s="151">
        <v>2</v>
      </c>
      <c r="P10" s="151">
        <v>1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</row>
    <row r="11" spans="1:22" ht="20.25" customHeight="1" thickTop="1" thickBot="1">
      <c r="A11" s="231">
        <v>6</v>
      </c>
      <c r="B11" s="833" t="s">
        <v>604</v>
      </c>
      <c r="C11" s="833"/>
      <c r="D11" s="833"/>
      <c r="E11" s="833" t="s">
        <v>515</v>
      </c>
      <c r="F11" s="834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211" t="s">
        <v>605</v>
      </c>
      <c r="M11" s="212">
        <v>5</v>
      </c>
      <c r="N11" s="212">
        <v>3</v>
      </c>
      <c r="O11" s="212">
        <v>3</v>
      </c>
      <c r="P11" s="212">
        <v>2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</row>
    <row r="12" spans="1:22" ht="19.5" customHeight="1" thickTop="1" thickBot="1">
      <c r="A12" s="231">
        <v>7</v>
      </c>
      <c r="B12" s="833" t="s">
        <v>68</v>
      </c>
      <c r="C12" s="833"/>
      <c r="D12" s="833"/>
      <c r="E12" s="833" t="s">
        <v>170</v>
      </c>
      <c r="F12" s="834"/>
      <c r="G12" s="220">
        <v>7</v>
      </c>
      <c r="H12" s="220">
        <v>5</v>
      </c>
      <c r="I12" s="220">
        <v>5</v>
      </c>
      <c r="J12" s="220">
        <v>2</v>
      </c>
      <c r="K12" s="220">
        <v>5</v>
      </c>
      <c r="L12" s="158" t="s">
        <v>606</v>
      </c>
      <c r="M12" s="151">
        <v>6</v>
      </c>
      <c r="N12" s="151">
        <v>4</v>
      </c>
      <c r="O12" s="151">
        <v>3</v>
      </c>
      <c r="P12" s="151">
        <v>2</v>
      </c>
      <c r="Q12" s="151">
        <v>1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</row>
    <row r="13" spans="1:22" ht="22.5" customHeight="1" thickTop="1" thickBot="1">
      <c r="A13" s="231">
        <v>8</v>
      </c>
      <c r="B13" s="833" t="s">
        <v>607</v>
      </c>
      <c r="C13" s="833"/>
      <c r="D13" s="833"/>
      <c r="E13" s="833" t="s">
        <v>170</v>
      </c>
      <c r="F13" s="834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211" t="s">
        <v>608</v>
      </c>
      <c r="M13" s="212">
        <v>6</v>
      </c>
      <c r="N13" s="212">
        <v>4</v>
      </c>
      <c r="O13" s="212">
        <v>3</v>
      </c>
      <c r="P13" s="212">
        <v>3</v>
      </c>
      <c r="Q13" s="212">
        <v>2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</row>
    <row r="14" spans="1:22" ht="25.5" customHeight="1" thickTop="1" thickBot="1">
      <c r="A14" s="231">
        <v>9</v>
      </c>
      <c r="B14" s="833" t="s">
        <v>574</v>
      </c>
      <c r="C14" s="833"/>
      <c r="D14" s="833"/>
      <c r="E14" s="833" t="s">
        <v>170</v>
      </c>
      <c r="F14" s="834"/>
      <c r="G14" s="220">
        <v>9</v>
      </c>
      <c r="H14" s="220">
        <v>6</v>
      </c>
      <c r="I14" s="220">
        <v>6</v>
      </c>
      <c r="J14" s="220">
        <v>3</v>
      </c>
      <c r="K14" s="220">
        <v>6</v>
      </c>
      <c r="L14" s="158" t="s">
        <v>609</v>
      </c>
      <c r="M14" s="151">
        <v>6</v>
      </c>
      <c r="N14" s="151">
        <v>4</v>
      </c>
      <c r="O14" s="151">
        <v>4</v>
      </c>
      <c r="P14" s="151">
        <v>3</v>
      </c>
      <c r="Q14" s="151">
        <v>2</v>
      </c>
      <c r="R14" s="151">
        <v>1</v>
      </c>
      <c r="S14" s="151" t="s">
        <v>188</v>
      </c>
      <c r="T14" s="151" t="s">
        <v>188</v>
      </c>
      <c r="U14" s="151" t="s">
        <v>188</v>
      </c>
      <c r="V14" s="151" t="s">
        <v>188</v>
      </c>
    </row>
    <row r="15" spans="1:22" ht="30.75" customHeight="1" thickTop="1" thickBot="1">
      <c r="A15" s="231">
        <v>10</v>
      </c>
      <c r="B15" s="833" t="s">
        <v>610</v>
      </c>
      <c r="C15" s="833"/>
      <c r="D15" s="833"/>
      <c r="E15" s="833" t="s">
        <v>170</v>
      </c>
      <c r="F15" s="834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211" t="s">
        <v>611</v>
      </c>
      <c r="M15" s="212">
        <v>6</v>
      </c>
      <c r="N15" s="212">
        <v>4</v>
      </c>
      <c r="O15" s="212">
        <v>4</v>
      </c>
      <c r="P15" s="212">
        <v>3</v>
      </c>
      <c r="Q15" s="212">
        <v>3</v>
      </c>
      <c r="R15" s="212">
        <v>2</v>
      </c>
      <c r="S15" s="212" t="s">
        <v>188</v>
      </c>
      <c r="T15" s="212" t="s">
        <v>188</v>
      </c>
      <c r="U15" s="212" t="s">
        <v>188</v>
      </c>
      <c r="V15" s="212" t="s">
        <v>188</v>
      </c>
    </row>
    <row r="16" spans="1:22" ht="30.75" customHeight="1" thickTop="1" thickBot="1">
      <c r="A16" s="231">
        <v>11</v>
      </c>
      <c r="B16" s="833" t="s">
        <v>76</v>
      </c>
      <c r="C16" s="833"/>
      <c r="D16" s="833"/>
      <c r="E16" s="833" t="s">
        <v>25</v>
      </c>
      <c r="F16" s="834"/>
      <c r="G16" s="220">
        <v>11</v>
      </c>
      <c r="H16" s="220">
        <v>8</v>
      </c>
      <c r="I16" s="220">
        <v>7</v>
      </c>
      <c r="J16" s="220">
        <v>3</v>
      </c>
      <c r="K16" s="220">
        <v>7</v>
      </c>
      <c r="L16" s="158" t="s">
        <v>612</v>
      </c>
      <c r="M16" s="151">
        <v>6</v>
      </c>
      <c r="N16" s="151">
        <v>5</v>
      </c>
      <c r="O16" s="151">
        <v>4</v>
      </c>
      <c r="P16" s="151">
        <v>4</v>
      </c>
      <c r="Q16" s="151">
        <v>3</v>
      </c>
      <c r="R16" s="151">
        <v>2</v>
      </c>
      <c r="S16" s="151">
        <v>1</v>
      </c>
      <c r="T16" s="151" t="s">
        <v>188</v>
      </c>
      <c r="U16" s="151" t="s">
        <v>188</v>
      </c>
      <c r="V16" s="151" t="s">
        <v>188</v>
      </c>
    </row>
    <row r="17" spans="1:22" ht="36" customHeight="1" thickTop="1" thickBot="1">
      <c r="A17" s="231">
        <v>12</v>
      </c>
      <c r="B17" s="833" t="s">
        <v>613</v>
      </c>
      <c r="C17" s="833"/>
      <c r="D17" s="833"/>
      <c r="E17" s="833" t="s">
        <v>507</v>
      </c>
      <c r="F17" s="834"/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211" t="s">
        <v>614</v>
      </c>
      <c r="M17" s="212">
        <v>6</v>
      </c>
      <c r="N17" s="212">
        <v>5</v>
      </c>
      <c r="O17" s="212">
        <v>4</v>
      </c>
      <c r="P17" s="212">
        <v>4</v>
      </c>
      <c r="Q17" s="212">
        <v>3</v>
      </c>
      <c r="R17" s="212">
        <v>3</v>
      </c>
      <c r="S17" s="212">
        <v>2</v>
      </c>
      <c r="T17" s="212" t="s">
        <v>188</v>
      </c>
      <c r="U17" s="212" t="s">
        <v>188</v>
      </c>
      <c r="V17" s="212" t="s">
        <v>188</v>
      </c>
    </row>
    <row r="18" spans="1:22" ht="30.75" customHeight="1" thickTop="1" thickBot="1">
      <c r="A18" s="231">
        <v>13</v>
      </c>
      <c r="B18" s="833" t="s">
        <v>542</v>
      </c>
      <c r="C18" s="833"/>
      <c r="D18" s="833"/>
      <c r="E18" s="833" t="s">
        <v>170</v>
      </c>
      <c r="F18" s="834"/>
      <c r="G18" s="220">
        <v>13</v>
      </c>
      <c r="H18" s="220">
        <v>9</v>
      </c>
      <c r="I18" s="220">
        <v>8</v>
      </c>
      <c r="J18" s="220">
        <v>4</v>
      </c>
      <c r="K18" s="220">
        <v>8</v>
      </c>
      <c r="L18" s="158" t="s">
        <v>615</v>
      </c>
      <c r="M18" s="151">
        <v>6</v>
      </c>
      <c r="N18" s="151">
        <v>5</v>
      </c>
      <c r="O18" s="151">
        <v>5</v>
      </c>
      <c r="P18" s="151">
        <v>4</v>
      </c>
      <c r="Q18" s="151">
        <v>4</v>
      </c>
      <c r="R18" s="151">
        <v>3</v>
      </c>
      <c r="S18" s="151">
        <v>2</v>
      </c>
      <c r="T18" s="151">
        <v>1</v>
      </c>
      <c r="U18" s="151" t="s">
        <v>188</v>
      </c>
      <c r="V18" s="151" t="s">
        <v>188</v>
      </c>
    </row>
    <row r="19" spans="1:22" ht="28.5" customHeight="1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211" t="s">
        <v>616</v>
      </c>
      <c r="M19" s="212">
        <v>6</v>
      </c>
      <c r="N19" s="212">
        <v>5</v>
      </c>
      <c r="O19" s="212">
        <v>5</v>
      </c>
      <c r="P19" s="212">
        <v>4</v>
      </c>
      <c r="Q19" s="212">
        <v>4</v>
      </c>
      <c r="R19" s="212">
        <v>3</v>
      </c>
      <c r="S19" s="212">
        <v>3</v>
      </c>
      <c r="T19" s="212">
        <v>2</v>
      </c>
      <c r="U19" s="212" t="s">
        <v>188</v>
      </c>
      <c r="V19" s="212" t="s">
        <v>188</v>
      </c>
    </row>
    <row r="20" spans="1:22" ht="28.5" customHeight="1" thickTop="1" thickBot="1">
      <c r="G20" s="220">
        <v>15</v>
      </c>
      <c r="H20" s="220">
        <v>11</v>
      </c>
      <c r="I20" s="220">
        <v>9</v>
      </c>
      <c r="J20" s="220">
        <v>5</v>
      </c>
      <c r="K20" s="220">
        <v>9</v>
      </c>
      <c r="L20" s="158" t="s">
        <v>617</v>
      </c>
      <c r="M20" s="151">
        <v>6</v>
      </c>
      <c r="N20" s="151">
        <v>5</v>
      </c>
      <c r="O20" s="151">
        <v>5</v>
      </c>
      <c r="P20" s="151">
        <v>4</v>
      </c>
      <c r="Q20" s="151">
        <v>4</v>
      </c>
      <c r="R20" s="151">
        <v>4</v>
      </c>
      <c r="S20" s="151">
        <v>3</v>
      </c>
      <c r="T20" s="151">
        <v>2</v>
      </c>
      <c r="U20" s="151">
        <v>1</v>
      </c>
      <c r="V20" s="151" t="s">
        <v>188</v>
      </c>
    </row>
    <row r="21" spans="1:22" ht="28.5" customHeight="1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211" t="s">
        <v>618</v>
      </c>
      <c r="M21" s="212">
        <v>6</v>
      </c>
      <c r="N21" s="212">
        <v>5</v>
      </c>
      <c r="O21" s="212">
        <v>5</v>
      </c>
      <c r="P21" s="212">
        <v>5</v>
      </c>
      <c r="Q21" s="212">
        <v>4</v>
      </c>
      <c r="R21" s="212">
        <v>4</v>
      </c>
      <c r="S21" s="212">
        <v>3</v>
      </c>
      <c r="T21" s="212">
        <v>3</v>
      </c>
      <c r="U21" s="212">
        <v>2</v>
      </c>
      <c r="V21" s="212" t="s">
        <v>188</v>
      </c>
    </row>
    <row r="22" spans="1:22" ht="28.5" customHeight="1" thickTop="1" thickBot="1">
      <c r="G22" s="220">
        <v>17</v>
      </c>
      <c r="H22" s="220">
        <v>12</v>
      </c>
      <c r="I22" s="220">
        <v>10</v>
      </c>
      <c r="J22" s="220">
        <v>5</v>
      </c>
      <c r="K22" s="220">
        <v>10</v>
      </c>
      <c r="L22" s="158"/>
      <c r="M22" s="151">
        <v>6</v>
      </c>
      <c r="N22" s="151">
        <v>5</v>
      </c>
      <c r="O22" s="151">
        <v>5</v>
      </c>
      <c r="P22" s="151">
        <v>5</v>
      </c>
      <c r="Q22" s="151">
        <v>5</v>
      </c>
      <c r="R22" s="151">
        <v>4</v>
      </c>
      <c r="S22" s="151">
        <v>4</v>
      </c>
      <c r="T22" s="151">
        <v>3</v>
      </c>
      <c r="U22" s="151">
        <v>2</v>
      </c>
      <c r="V22" s="151">
        <v>1</v>
      </c>
    </row>
    <row r="23" spans="1:22" ht="28.5" customHeight="1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211" t="s">
        <v>619</v>
      </c>
      <c r="M23" s="212">
        <v>6</v>
      </c>
      <c r="N23" s="212">
        <v>5</v>
      </c>
      <c r="O23" s="212">
        <v>5</v>
      </c>
      <c r="P23" s="212">
        <v>5</v>
      </c>
      <c r="Q23" s="212">
        <v>5</v>
      </c>
      <c r="R23" s="212">
        <v>4</v>
      </c>
      <c r="S23" s="212">
        <v>4</v>
      </c>
      <c r="T23" s="212">
        <v>3</v>
      </c>
      <c r="U23" s="212">
        <v>3</v>
      </c>
      <c r="V23" s="212">
        <v>2</v>
      </c>
    </row>
    <row r="24" spans="1:22" ht="28.5" customHeight="1" thickTop="1" thickBot="1">
      <c r="G24" s="220">
        <v>19</v>
      </c>
      <c r="H24" s="220">
        <v>14</v>
      </c>
      <c r="I24" s="220">
        <v>11</v>
      </c>
      <c r="J24" s="220">
        <v>6</v>
      </c>
      <c r="K24" s="220">
        <v>11</v>
      </c>
      <c r="L24" s="158"/>
      <c r="M24" s="151">
        <v>6</v>
      </c>
      <c r="N24" s="151">
        <v>5</v>
      </c>
      <c r="O24" s="151">
        <v>5</v>
      </c>
      <c r="P24" s="151">
        <v>5</v>
      </c>
      <c r="Q24" s="151">
        <v>5</v>
      </c>
      <c r="R24" s="151">
        <v>5</v>
      </c>
      <c r="S24" s="151">
        <v>4</v>
      </c>
      <c r="T24" s="151">
        <v>4</v>
      </c>
      <c r="U24" s="151">
        <v>3</v>
      </c>
      <c r="V24" s="151">
        <v>3</v>
      </c>
    </row>
    <row r="25" spans="1:22" ht="28.5" customHeight="1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211" t="s">
        <v>620</v>
      </c>
      <c r="M25" s="212">
        <v>6</v>
      </c>
      <c r="N25" s="212">
        <v>5</v>
      </c>
      <c r="O25" s="212">
        <v>5</v>
      </c>
      <c r="P25" s="212">
        <v>5</v>
      </c>
      <c r="Q25" s="212">
        <v>5</v>
      </c>
      <c r="R25" s="212">
        <v>5</v>
      </c>
      <c r="S25" s="212">
        <v>4</v>
      </c>
      <c r="T25" s="212">
        <v>4</v>
      </c>
      <c r="U25" s="212">
        <v>4</v>
      </c>
      <c r="V25" s="212">
        <v>4</v>
      </c>
    </row>
    <row r="26" spans="1:22" ht="15.75" thickTop="1">
      <c r="G26" s="826" t="s">
        <v>621</v>
      </c>
      <c r="H26" s="826"/>
      <c r="I26" s="826"/>
      <c r="J26" s="826"/>
      <c r="K26" s="826"/>
      <c r="L26" s="826"/>
    </row>
    <row r="27" spans="1:22">
      <c r="G27" s="827"/>
      <c r="H27" s="827"/>
      <c r="I27" s="827"/>
      <c r="J27" s="827"/>
      <c r="K27" s="827"/>
      <c r="L27" s="827"/>
    </row>
    <row r="28" spans="1:22" ht="45" customHeight="1">
      <c r="G28" s="237" t="s">
        <v>622</v>
      </c>
      <c r="H28" s="237" t="s">
        <v>623</v>
      </c>
      <c r="I28" s="237" t="s">
        <v>624</v>
      </c>
      <c r="J28" s="237" t="s">
        <v>625</v>
      </c>
      <c r="K28" s="237" t="s">
        <v>626</v>
      </c>
      <c r="L28" s="237" t="s">
        <v>479</v>
      </c>
    </row>
    <row r="29" spans="1:22" ht="24" customHeight="1">
      <c r="G29" s="238" t="s">
        <v>627</v>
      </c>
      <c r="H29" s="238">
        <v>0</v>
      </c>
      <c r="I29" s="238">
        <v>0</v>
      </c>
      <c r="J29" s="238">
        <v>0</v>
      </c>
      <c r="K29" s="238">
        <v>1</v>
      </c>
      <c r="L29" s="238" t="s">
        <v>628</v>
      </c>
    </row>
    <row r="30" spans="1:22" ht="24" customHeight="1">
      <c r="G30" s="237" t="s">
        <v>629</v>
      </c>
      <c r="H30" s="237">
        <v>2</v>
      </c>
      <c r="I30" s="237">
        <v>2</v>
      </c>
      <c r="J30" s="237">
        <v>1</v>
      </c>
      <c r="K30" s="237">
        <v>2</v>
      </c>
      <c r="L30" s="237" t="s">
        <v>557</v>
      </c>
    </row>
    <row r="31" spans="1:22" ht="24" customHeight="1">
      <c r="G31" s="238" t="s">
        <v>630</v>
      </c>
      <c r="H31" s="238">
        <v>4</v>
      </c>
      <c r="I31" s="238">
        <v>4</v>
      </c>
      <c r="J31" s="238">
        <v>2</v>
      </c>
      <c r="K31" s="238">
        <v>3</v>
      </c>
      <c r="L31" s="238" t="s">
        <v>631</v>
      </c>
    </row>
    <row r="32" spans="1:22" ht="24" customHeight="1">
      <c r="G32" s="237" t="s">
        <v>632</v>
      </c>
      <c r="H32" s="237">
        <v>6</v>
      </c>
      <c r="I32" s="237">
        <v>6</v>
      </c>
      <c r="J32" s="237">
        <v>3</v>
      </c>
      <c r="K32" s="237">
        <v>4</v>
      </c>
      <c r="L32" s="237" t="s">
        <v>633</v>
      </c>
    </row>
    <row r="33" spans="7:12" ht="24" customHeight="1">
      <c r="G33" s="238" t="s">
        <v>634</v>
      </c>
      <c r="H33" s="238">
        <v>8</v>
      </c>
      <c r="I33" s="238">
        <v>8</v>
      </c>
      <c r="J33" s="238">
        <v>4</v>
      </c>
      <c r="K33" s="238">
        <v>5</v>
      </c>
      <c r="L33" s="238"/>
    </row>
    <row r="34" spans="7:12" ht="24" customHeight="1">
      <c r="G34" s="237" t="s">
        <v>635</v>
      </c>
      <c r="H34" s="237">
        <v>10</v>
      </c>
      <c r="I34" s="237">
        <v>10</v>
      </c>
      <c r="J34" s="237">
        <v>5</v>
      </c>
      <c r="K34" s="237">
        <v>6</v>
      </c>
      <c r="L34" s="237" t="s">
        <v>636</v>
      </c>
    </row>
    <row r="35" spans="7:12" ht="24" customHeight="1">
      <c r="G35" s="238" t="s">
        <v>637</v>
      </c>
      <c r="H35" s="238">
        <v>12</v>
      </c>
      <c r="I35" s="238">
        <v>12</v>
      </c>
      <c r="J35" s="238">
        <v>6</v>
      </c>
      <c r="K35" s="238">
        <v>7</v>
      </c>
      <c r="L35" s="238"/>
    </row>
    <row r="36" spans="7:12">
      <c r="G36" s="142"/>
      <c r="H36" s="142"/>
      <c r="I36" s="142"/>
      <c r="J36" s="142"/>
      <c r="K36" s="142"/>
      <c r="L36" s="142"/>
    </row>
    <row r="37" spans="7:12">
      <c r="G37" s="142"/>
      <c r="H37" s="142"/>
      <c r="I37" s="142"/>
      <c r="J37" s="142"/>
      <c r="K37" s="142"/>
      <c r="L37" s="142"/>
    </row>
    <row r="38" spans="7:12">
      <c r="G38" s="142"/>
      <c r="H38" s="142"/>
      <c r="I38" s="142"/>
      <c r="J38" s="142"/>
      <c r="K38" s="142"/>
      <c r="L38" s="142"/>
    </row>
    <row r="39" spans="7:12">
      <c r="G39" s="142"/>
      <c r="H39" s="142"/>
      <c r="I39" s="142"/>
      <c r="J39" s="142"/>
      <c r="K39" s="142"/>
      <c r="L39" s="142"/>
    </row>
  </sheetData>
  <mergeCells count="37">
    <mergeCell ref="A1:F3"/>
    <mergeCell ref="G1:G2"/>
    <mergeCell ref="H1:H2"/>
    <mergeCell ref="G3:H4"/>
    <mergeCell ref="A4:F5"/>
    <mergeCell ref="B6:D6"/>
    <mergeCell ref="B7:D7"/>
    <mergeCell ref="B8:D8"/>
    <mergeCell ref="B9:D9"/>
    <mergeCell ref="B10:D10"/>
    <mergeCell ref="E18:F18"/>
    <mergeCell ref="B11:D11"/>
    <mergeCell ref="B12:D12"/>
    <mergeCell ref="B13:D13"/>
    <mergeCell ref="B14:D14"/>
    <mergeCell ref="B15:D15"/>
    <mergeCell ref="M3:V4"/>
    <mergeCell ref="B16:D16"/>
    <mergeCell ref="B17:D17"/>
    <mergeCell ref="B18:D18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G26:L27"/>
    <mergeCell ref="I3:I5"/>
    <mergeCell ref="J3:J5"/>
    <mergeCell ref="K3:K5"/>
    <mergeCell ref="L3:L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showRowColHeaders="0" workbookViewId="0">
      <selection activeCell="A4" sqref="A4:F5"/>
    </sheetView>
  </sheetViews>
  <sheetFormatPr defaultRowHeight="15"/>
  <cols>
    <col min="12" max="12" width="28" customWidth="1"/>
    <col min="24" max="24" width="40.85546875" customWidth="1"/>
    <col min="25" max="25" width="15.5703125" customWidth="1"/>
    <col min="26" max="26" width="41.28515625" customWidth="1"/>
    <col min="27" max="27" width="58.7109375" customWidth="1"/>
  </cols>
  <sheetData>
    <row r="1" spans="1:27" ht="16.5" thickTop="1" thickBot="1">
      <c r="A1" s="844" t="s">
        <v>176</v>
      </c>
      <c r="B1" s="844"/>
      <c r="C1" s="844"/>
      <c r="D1" s="844"/>
      <c r="E1" s="844"/>
      <c r="F1" s="844"/>
      <c r="G1" s="845" t="s">
        <v>26</v>
      </c>
      <c r="H1" s="846" t="s">
        <v>593</v>
      </c>
      <c r="X1" s="839" t="s">
        <v>638</v>
      </c>
      <c r="Y1" s="839"/>
      <c r="Z1" s="839"/>
      <c r="AA1" s="839"/>
    </row>
    <row r="2" spans="1:27" ht="22.5" customHeight="1" thickTop="1" thickBot="1">
      <c r="A2" s="844"/>
      <c r="B2" s="844"/>
      <c r="C2" s="844"/>
      <c r="D2" s="844"/>
      <c r="E2" s="844"/>
      <c r="F2" s="844"/>
      <c r="G2" s="845"/>
      <c r="H2" s="846"/>
      <c r="X2" s="839"/>
      <c r="Y2" s="839"/>
      <c r="Z2" s="839"/>
      <c r="AA2" s="839"/>
    </row>
    <row r="3" spans="1:27" ht="30" thickTop="1" thickBot="1">
      <c r="A3" s="844"/>
      <c r="B3" s="844"/>
      <c r="C3" s="844"/>
      <c r="D3" s="844"/>
      <c r="E3" s="844"/>
      <c r="F3" s="844"/>
      <c r="G3" s="841" t="s">
        <v>107</v>
      </c>
      <c r="H3" s="841"/>
      <c r="I3" s="840" t="s">
        <v>594</v>
      </c>
      <c r="J3" s="828" t="s">
        <v>595</v>
      </c>
      <c r="K3" s="828" t="s">
        <v>185</v>
      </c>
      <c r="L3" s="841" t="s">
        <v>479</v>
      </c>
      <c r="M3" s="842" t="s">
        <v>596</v>
      </c>
      <c r="N3" s="843"/>
      <c r="O3" s="843"/>
      <c r="P3" s="843"/>
      <c r="Q3" s="843"/>
      <c r="R3" s="843"/>
      <c r="S3" s="843"/>
      <c r="T3" s="843"/>
      <c r="U3" s="843"/>
      <c r="V3" s="843"/>
      <c r="X3" s="156" t="s">
        <v>639</v>
      </c>
      <c r="Y3" s="156" t="s">
        <v>640</v>
      </c>
      <c r="Z3" s="156" t="s">
        <v>641</v>
      </c>
      <c r="AA3" s="156" t="s">
        <v>642</v>
      </c>
    </row>
    <row r="4" spans="1:27" ht="16.5" thickTop="1" thickBot="1">
      <c r="A4" s="769" t="s">
        <v>44</v>
      </c>
      <c r="B4" s="769"/>
      <c r="C4" s="769"/>
      <c r="D4" s="769"/>
      <c r="E4" s="769"/>
      <c r="F4" s="769"/>
      <c r="G4" s="841"/>
      <c r="H4" s="841"/>
      <c r="I4" s="840"/>
      <c r="J4" s="828"/>
      <c r="K4" s="828"/>
      <c r="L4" s="841"/>
      <c r="M4" s="843"/>
      <c r="N4" s="843"/>
      <c r="O4" s="843"/>
      <c r="P4" s="843"/>
      <c r="Q4" s="843"/>
      <c r="R4" s="843"/>
      <c r="S4" s="843"/>
      <c r="T4" s="843"/>
      <c r="U4" s="843"/>
      <c r="V4" s="843"/>
      <c r="X4" s="157" t="s">
        <v>643</v>
      </c>
      <c r="Y4" s="157" t="s">
        <v>644</v>
      </c>
      <c r="Z4" s="157" t="s">
        <v>645</v>
      </c>
      <c r="AA4" s="157" t="s">
        <v>646</v>
      </c>
    </row>
    <row r="5" spans="1:27" ht="20.25" thickTop="1" thickBot="1">
      <c r="A5" s="769"/>
      <c r="B5" s="769"/>
      <c r="C5" s="769"/>
      <c r="D5" s="769"/>
      <c r="E5" s="769"/>
      <c r="F5" s="769"/>
      <c r="G5" s="394" t="s">
        <v>477</v>
      </c>
      <c r="H5" s="394" t="s">
        <v>478</v>
      </c>
      <c r="I5" s="840"/>
      <c r="J5" s="828"/>
      <c r="K5" s="828"/>
      <c r="L5" s="841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  <c r="X5" s="155" t="s">
        <v>647</v>
      </c>
      <c r="Y5" s="155" t="s">
        <v>644</v>
      </c>
      <c r="Z5" s="155" t="s">
        <v>648</v>
      </c>
      <c r="AA5" s="155" t="s">
        <v>649</v>
      </c>
    </row>
    <row r="6" spans="1:27" ht="24.75" customHeight="1" thickTop="1" thickBot="1">
      <c r="A6" s="231">
        <v>1</v>
      </c>
      <c r="B6" s="833" t="s">
        <v>64</v>
      </c>
      <c r="C6" s="833"/>
      <c r="D6" s="833"/>
      <c r="E6" s="833" t="s">
        <v>598</v>
      </c>
      <c r="F6" s="833"/>
      <c r="G6" s="222">
        <v>1</v>
      </c>
      <c r="H6" s="222">
        <v>0</v>
      </c>
      <c r="I6" s="220">
        <v>2</v>
      </c>
      <c r="J6" s="220">
        <v>0</v>
      </c>
      <c r="K6" s="220">
        <v>2</v>
      </c>
      <c r="L6" s="220" t="s">
        <v>650</v>
      </c>
      <c r="M6" s="151">
        <v>3</v>
      </c>
      <c r="N6" s="151" t="s">
        <v>651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  <c r="X6" s="157" t="s">
        <v>652</v>
      </c>
      <c r="Y6" s="157" t="s">
        <v>644</v>
      </c>
      <c r="Z6" s="157" t="s">
        <v>653</v>
      </c>
      <c r="AA6" s="157" t="s">
        <v>654</v>
      </c>
    </row>
    <row r="7" spans="1:27" ht="20.25" thickTop="1" thickBot="1">
      <c r="A7" s="231">
        <v>2</v>
      </c>
      <c r="B7" s="833" t="s">
        <v>486</v>
      </c>
      <c r="C7" s="833"/>
      <c r="D7" s="833"/>
      <c r="E7" s="833" t="s">
        <v>515</v>
      </c>
      <c r="F7" s="833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392"/>
      <c r="M7" s="212">
        <v>4</v>
      </c>
      <c r="N7" s="212" t="s">
        <v>655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  <c r="X7" s="155" t="s">
        <v>656</v>
      </c>
      <c r="Y7" s="155" t="s">
        <v>657</v>
      </c>
      <c r="Z7" s="155" t="s">
        <v>658</v>
      </c>
      <c r="AA7" s="155" t="s">
        <v>659</v>
      </c>
    </row>
    <row r="8" spans="1:27" ht="31.5" customHeight="1" thickTop="1" thickBot="1">
      <c r="A8" s="231">
        <v>3</v>
      </c>
      <c r="B8" s="833" t="s">
        <v>57</v>
      </c>
      <c r="C8" s="833"/>
      <c r="D8" s="833"/>
      <c r="E8" s="833" t="s">
        <v>507</v>
      </c>
      <c r="F8" s="833"/>
      <c r="G8" s="220">
        <v>3</v>
      </c>
      <c r="H8" s="220">
        <v>2</v>
      </c>
      <c r="I8" s="220">
        <v>3</v>
      </c>
      <c r="J8" s="220">
        <v>1</v>
      </c>
      <c r="K8" s="220">
        <v>3</v>
      </c>
      <c r="L8" s="220"/>
      <c r="M8" s="151">
        <v>4</v>
      </c>
      <c r="N8" s="151" t="s">
        <v>655</v>
      </c>
      <c r="O8" s="151" t="s">
        <v>651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  <c r="X8" s="157" t="s">
        <v>660</v>
      </c>
      <c r="Y8" s="157" t="s">
        <v>657</v>
      </c>
      <c r="Z8" s="157" t="s">
        <v>661</v>
      </c>
      <c r="AA8" s="157" t="s">
        <v>662</v>
      </c>
    </row>
    <row r="9" spans="1:27" ht="20.25" thickTop="1" thickBot="1">
      <c r="A9" s="231">
        <v>4</v>
      </c>
      <c r="B9" s="833" t="s">
        <v>68</v>
      </c>
      <c r="C9" s="833"/>
      <c r="D9" s="833"/>
      <c r="E9" s="833" t="s">
        <v>170</v>
      </c>
      <c r="F9" s="833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392"/>
      <c r="M9" s="212">
        <v>5</v>
      </c>
      <c r="N9" s="212" t="s">
        <v>663</v>
      </c>
      <c r="O9" s="212" t="s">
        <v>655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  <c r="X9" s="155" t="s">
        <v>664</v>
      </c>
      <c r="Y9" s="155" t="s">
        <v>657</v>
      </c>
      <c r="Z9" s="155" t="s">
        <v>665</v>
      </c>
      <c r="AA9" s="155" t="s">
        <v>666</v>
      </c>
    </row>
    <row r="10" spans="1:27" ht="31.5" customHeight="1" thickTop="1" thickBot="1">
      <c r="A10" s="231">
        <v>5</v>
      </c>
      <c r="B10" s="833" t="s">
        <v>667</v>
      </c>
      <c r="C10" s="833"/>
      <c r="D10" s="833"/>
      <c r="E10" s="833" t="s">
        <v>515</v>
      </c>
      <c r="F10" s="833"/>
      <c r="G10" s="217">
        <v>5</v>
      </c>
      <c r="H10" s="220">
        <v>3</v>
      </c>
      <c r="I10" s="220">
        <v>4</v>
      </c>
      <c r="J10" s="220">
        <v>1</v>
      </c>
      <c r="K10" s="220">
        <v>4</v>
      </c>
      <c r="L10" s="220"/>
      <c r="M10" s="151">
        <v>5</v>
      </c>
      <c r="N10" s="151" t="s">
        <v>663</v>
      </c>
      <c r="O10" s="151" t="s">
        <v>655</v>
      </c>
      <c r="P10" s="151" t="s">
        <v>651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  <c r="X10" s="157" t="s">
        <v>668</v>
      </c>
      <c r="Y10" s="157" t="s">
        <v>669</v>
      </c>
      <c r="Z10" s="157" t="s">
        <v>670</v>
      </c>
      <c r="AA10" s="157" t="s">
        <v>671</v>
      </c>
    </row>
    <row r="11" spans="1:27" ht="24" customHeight="1" thickTop="1" thickBot="1">
      <c r="A11" s="231">
        <v>6</v>
      </c>
      <c r="B11" s="833" t="s">
        <v>672</v>
      </c>
      <c r="C11" s="833"/>
      <c r="D11" s="833"/>
      <c r="E11" s="833" t="s">
        <v>515</v>
      </c>
      <c r="F11" s="833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392"/>
      <c r="M11" s="212">
        <v>5</v>
      </c>
      <c r="N11" s="212" t="s">
        <v>663</v>
      </c>
      <c r="O11" s="212" t="s">
        <v>663</v>
      </c>
      <c r="P11" s="212" t="s">
        <v>655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  <c r="X11" s="155" t="s">
        <v>673</v>
      </c>
      <c r="Y11" s="155" t="s">
        <v>669</v>
      </c>
      <c r="Z11" s="155" t="s">
        <v>674</v>
      </c>
      <c r="AA11" s="155" t="s">
        <v>675</v>
      </c>
    </row>
    <row r="12" spans="1:27" ht="31.5" customHeight="1" thickTop="1" thickBot="1">
      <c r="A12" s="231">
        <v>7</v>
      </c>
      <c r="B12" s="833" t="s">
        <v>676</v>
      </c>
      <c r="C12" s="833"/>
      <c r="D12" s="833"/>
      <c r="E12" s="833" t="s">
        <v>515</v>
      </c>
      <c r="F12" s="833"/>
      <c r="G12" s="220">
        <v>7</v>
      </c>
      <c r="H12" s="220">
        <v>5</v>
      </c>
      <c r="I12" s="220">
        <v>5</v>
      </c>
      <c r="J12" s="220">
        <v>2</v>
      </c>
      <c r="K12" s="220">
        <v>5</v>
      </c>
      <c r="L12" s="220"/>
      <c r="M12" s="151">
        <v>6</v>
      </c>
      <c r="N12" s="151" t="s">
        <v>677</v>
      </c>
      <c r="O12" s="151" t="s">
        <v>663</v>
      </c>
      <c r="P12" s="151" t="s">
        <v>655</v>
      </c>
      <c r="Q12" s="151" t="s">
        <v>651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  <c r="X12" s="157" t="s">
        <v>678</v>
      </c>
      <c r="Y12" s="157" t="s">
        <v>679</v>
      </c>
      <c r="Z12" s="157" t="s">
        <v>680</v>
      </c>
      <c r="AA12" s="157" t="s">
        <v>681</v>
      </c>
    </row>
    <row r="13" spans="1:27" ht="20.25" thickTop="1" thickBot="1">
      <c r="A13" s="231">
        <v>8</v>
      </c>
      <c r="B13" s="833" t="s">
        <v>486</v>
      </c>
      <c r="C13" s="833"/>
      <c r="D13" s="833"/>
      <c r="E13" s="833" t="s">
        <v>515</v>
      </c>
      <c r="F13" s="833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392"/>
      <c r="M13" s="212">
        <v>6</v>
      </c>
      <c r="N13" s="212" t="s">
        <v>677</v>
      </c>
      <c r="O13" s="212" t="s">
        <v>663</v>
      </c>
      <c r="P13" s="212" t="s">
        <v>663</v>
      </c>
      <c r="Q13" s="212" t="s">
        <v>655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  <c r="X13" s="155" t="s">
        <v>682</v>
      </c>
      <c r="Y13" s="155" t="s">
        <v>679</v>
      </c>
      <c r="Z13" s="155" t="s">
        <v>683</v>
      </c>
      <c r="AA13" s="155" t="s">
        <v>684</v>
      </c>
    </row>
    <row r="14" spans="1:27" ht="31.5" customHeight="1" thickTop="1" thickBot="1">
      <c r="A14" s="231">
        <v>9</v>
      </c>
      <c r="B14" s="833" t="s">
        <v>610</v>
      </c>
      <c r="C14" s="833"/>
      <c r="D14" s="833"/>
      <c r="E14" s="833" t="s">
        <v>170</v>
      </c>
      <c r="F14" s="833"/>
      <c r="G14" s="220">
        <v>9</v>
      </c>
      <c r="H14" s="220">
        <v>6</v>
      </c>
      <c r="I14" s="220">
        <v>6</v>
      </c>
      <c r="J14" s="220">
        <v>3</v>
      </c>
      <c r="K14" s="220">
        <v>6</v>
      </c>
      <c r="L14" s="220"/>
      <c r="M14" s="151">
        <v>6</v>
      </c>
      <c r="N14" s="151" t="s">
        <v>677</v>
      </c>
      <c r="O14" s="151" t="s">
        <v>677</v>
      </c>
      <c r="P14" s="151" t="s">
        <v>663</v>
      </c>
      <c r="Q14" s="151" t="s">
        <v>655</v>
      </c>
      <c r="R14" s="151" t="s">
        <v>651</v>
      </c>
      <c r="S14" s="151" t="s">
        <v>188</v>
      </c>
      <c r="T14" s="151" t="s">
        <v>188</v>
      </c>
      <c r="U14" s="151" t="s">
        <v>188</v>
      </c>
      <c r="V14" s="151" t="s">
        <v>188</v>
      </c>
      <c r="X14" s="157" t="s">
        <v>685</v>
      </c>
      <c r="Y14" s="157" t="s">
        <v>686</v>
      </c>
      <c r="Z14" s="157" t="s">
        <v>687</v>
      </c>
      <c r="AA14" s="157" t="s">
        <v>688</v>
      </c>
    </row>
    <row r="15" spans="1:27" ht="31.5" customHeight="1" thickTop="1" thickBot="1">
      <c r="A15" s="231">
        <v>10</v>
      </c>
      <c r="B15" s="833" t="s">
        <v>604</v>
      </c>
      <c r="C15" s="833"/>
      <c r="D15" s="833"/>
      <c r="E15" s="833" t="s">
        <v>515</v>
      </c>
      <c r="F15" s="833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392"/>
      <c r="M15" s="212">
        <v>6</v>
      </c>
      <c r="N15" s="212" t="s">
        <v>677</v>
      </c>
      <c r="O15" s="212" t="s">
        <v>677</v>
      </c>
      <c r="P15" s="212" t="s">
        <v>663</v>
      </c>
      <c r="Q15" s="212" t="s">
        <v>663</v>
      </c>
      <c r="R15" s="212" t="s">
        <v>655</v>
      </c>
      <c r="S15" s="212" t="s">
        <v>188</v>
      </c>
      <c r="T15" s="212" t="s">
        <v>188</v>
      </c>
      <c r="U15" s="212" t="s">
        <v>188</v>
      </c>
      <c r="V15" s="212" t="s">
        <v>188</v>
      </c>
      <c r="X15" s="155" t="s">
        <v>689</v>
      </c>
      <c r="Y15" s="155" t="s">
        <v>686</v>
      </c>
      <c r="Z15" s="155" t="s">
        <v>690</v>
      </c>
      <c r="AA15" s="155" t="s">
        <v>691</v>
      </c>
    </row>
    <row r="16" spans="1:27" ht="31.5" thickTop="1" thickBot="1">
      <c r="G16" s="220">
        <v>11</v>
      </c>
      <c r="H16" s="220">
        <v>8</v>
      </c>
      <c r="I16" s="220">
        <v>7</v>
      </c>
      <c r="J16" s="220">
        <v>3</v>
      </c>
      <c r="K16" s="220">
        <v>7</v>
      </c>
      <c r="L16" s="220"/>
      <c r="M16" s="151">
        <v>6</v>
      </c>
      <c r="N16" s="151" t="s">
        <v>692</v>
      </c>
      <c r="O16" s="151" t="s">
        <v>677</v>
      </c>
      <c r="P16" s="151" t="s">
        <v>677</v>
      </c>
      <c r="Q16" s="151" t="s">
        <v>663</v>
      </c>
      <c r="R16" s="151" t="s">
        <v>655</v>
      </c>
      <c r="S16" s="151" t="s">
        <v>651</v>
      </c>
      <c r="T16" s="151" t="s">
        <v>188</v>
      </c>
      <c r="U16" s="151" t="s">
        <v>188</v>
      </c>
      <c r="V16" s="151" t="s">
        <v>188</v>
      </c>
      <c r="X16" s="157" t="s">
        <v>693</v>
      </c>
      <c r="Y16" s="157" t="s">
        <v>686</v>
      </c>
      <c r="Z16" s="157" t="s">
        <v>694</v>
      </c>
      <c r="AA16" s="157" t="s">
        <v>695</v>
      </c>
    </row>
    <row r="17" spans="7:27" ht="20.25" thickTop="1" thickBot="1"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392"/>
      <c r="M17" s="212">
        <v>6</v>
      </c>
      <c r="N17" s="212" t="s">
        <v>692</v>
      </c>
      <c r="O17" s="212" t="s">
        <v>677</v>
      </c>
      <c r="P17" s="212" t="s">
        <v>677</v>
      </c>
      <c r="Q17" s="212" t="s">
        <v>663</v>
      </c>
      <c r="R17" s="212" t="s">
        <v>663</v>
      </c>
      <c r="S17" s="212" t="s">
        <v>655</v>
      </c>
      <c r="T17" s="212" t="s">
        <v>188</v>
      </c>
      <c r="U17" s="212" t="s">
        <v>188</v>
      </c>
      <c r="V17" s="212" t="s">
        <v>188</v>
      </c>
      <c r="X17" s="155" t="s">
        <v>696</v>
      </c>
      <c r="Y17" s="155" t="s">
        <v>697</v>
      </c>
      <c r="Z17" s="155" t="s">
        <v>698</v>
      </c>
      <c r="AA17" s="155" t="s">
        <v>699</v>
      </c>
    </row>
    <row r="18" spans="7:27" ht="20.25" thickTop="1" thickBot="1">
      <c r="G18" s="220">
        <v>13</v>
      </c>
      <c r="H18" s="220">
        <v>9</v>
      </c>
      <c r="I18" s="220">
        <v>8</v>
      </c>
      <c r="J18" s="220">
        <v>4</v>
      </c>
      <c r="K18" s="220">
        <v>8</v>
      </c>
      <c r="L18" s="220"/>
      <c r="M18" s="151">
        <v>6</v>
      </c>
      <c r="N18" s="151" t="s">
        <v>692</v>
      </c>
      <c r="O18" s="151" t="s">
        <v>692</v>
      </c>
      <c r="P18" s="151" t="s">
        <v>677</v>
      </c>
      <c r="Q18" s="151" t="s">
        <v>677</v>
      </c>
      <c r="R18" s="151" t="s">
        <v>663</v>
      </c>
      <c r="S18" s="151" t="s">
        <v>655</v>
      </c>
      <c r="T18" s="151" t="s">
        <v>651</v>
      </c>
      <c r="U18" s="151" t="s">
        <v>188</v>
      </c>
      <c r="V18" s="151" t="s">
        <v>188</v>
      </c>
      <c r="X18" s="157" t="s">
        <v>700</v>
      </c>
      <c r="Y18" s="157" t="s">
        <v>701</v>
      </c>
      <c r="Z18" s="157" t="s">
        <v>702</v>
      </c>
      <c r="AA18" s="157" t="s">
        <v>703</v>
      </c>
    </row>
    <row r="19" spans="7:27" ht="20.25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392"/>
      <c r="M19" s="212">
        <v>6</v>
      </c>
      <c r="N19" s="212" t="s">
        <v>692</v>
      </c>
      <c r="O19" s="212" t="s">
        <v>692</v>
      </c>
      <c r="P19" s="212" t="s">
        <v>677</v>
      </c>
      <c r="Q19" s="212" t="s">
        <v>677</v>
      </c>
      <c r="R19" s="212" t="s">
        <v>663</v>
      </c>
      <c r="S19" s="212" t="s">
        <v>663</v>
      </c>
      <c r="T19" s="212" t="s">
        <v>655</v>
      </c>
      <c r="U19" s="212" t="s">
        <v>188</v>
      </c>
      <c r="V19" s="212" t="s">
        <v>188</v>
      </c>
      <c r="X19" s="155" t="s">
        <v>704</v>
      </c>
      <c r="Y19" s="155" t="s">
        <v>705</v>
      </c>
      <c r="Z19" s="155" t="s">
        <v>706</v>
      </c>
      <c r="AA19" s="155" t="s">
        <v>707</v>
      </c>
    </row>
    <row r="20" spans="7:27" ht="20.25" thickTop="1" thickBot="1">
      <c r="G20" s="220">
        <v>15</v>
      </c>
      <c r="H20" s="220">
        <v>11</v>
      </c>
      <c r="I20" s="220">
        <v>9</v>
      </c>
      <c r="J20" s="220">
        <v>5</v>
      </c>
      <c r="K20" s="220">
        <v>9</v>
      </c>
      <c r="L20" s="220"/>
      <c r="M20" s="151">
        <v>6</v>
      </c>
      <c r="N20" s="151" t="s">
        <v>692</v>
      </c>
      <c r="O20" s="151" t="s">
        <v>692</v>
      </c>
      <c r="P20" s="151" t="s">
        <v>692</v>
      </c>
      <c r="Q20" s="151" t="s">
        <v>677</v>
      </c>
      <c r="R20" s="151" t="s">
        <v>677</v>
      </c>
      <c r="S20" s="151" t="s">
        <v>663</v>
      </c>
      <c r="T20" s="151" t="s">
        <v>655</v>
      </c>
      <c r="U20" s="151" t="s">
        <v>651</v>
      </c>
      <c r="V20" s="151" t="s">
        <v>188</v>
      </c>
      <c r="X20" s="157" t="s">
        <v>708</v>
      </c>
      <c r="Y20" s="157" t="s">
        <v>705</v>
      </c>
      <c r="Z20" s="157" t="s">
        <v>709</v>
      </c>
      <c r="AA20" s="157" t="s">
        <v>710</v>
      </c>
    </row>
    <row r="21" spans="7:27" ht="20.25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392"/>
      <c r="M21" s="212">
        <v>6</v>
      </c>
      <c r="N21" s="212" t="s">
        <v>692</v>
      </c>
      <c r="O21" s="212" t="s">
        <v>692</v>
      </c>
      <c r="P21" s="212" t="s">
        <v>692</v>
      </c>
      <c r="Q21" s="212" t="s">
        <v>677</v>
      </c>
      <c r="R21" s="212" t="s">
        <v>677</v>
      </c>
      <c r="S21" s="212" t="s">
        <v>663</v>
      </c>
      <c r="T21" s="212" t="s">
        <v>663</v>
      </c>
      <c r="U21" s="212" t="s">
        <v>655</v>
      </c>
      <c r="V21" s="212" t="s">
        <v>188</v>
      </c>
      <c r="X21" s="155" t="s">
        <v>711</v>
      </c>
      <c r="Y21" s="155" t="s">
        <v>712</v>
      </c>
      <c r="Z21" s="155" t="s">
        <v>713</v>
      </c>
      <c r="AA21" s="155" t="s">
        <v>714</v>
      </c>
    </row>
    <row r="22" spans="7:27" ht="20.25" thickTop="1" thickBot="1">
      <c r="G22" s="220">
        <v>17</v>
      </c>
      <c r="H22" s="220">
        <v>12</v>
      </c>
      <c r="I22" s="220">
        <v>10</v>
      </c>
      <c r="J22" s="220">
        <v>5</v>
      </c>
      <c r="K22" s="220">
        <v>10</v>
      </c>
      <c r="L22" s="220"/>
      <c r="M22" s="151">
        <v>6</v>
      </c>
      <c r="N22" s="151" t="s">
        <v>692</v>
      </c>
      <c r="O22" s="151" t="s">
        <v>692</v>
      </c>
      <c r="P22" s="151" t="s">
        <v>692</v>
      </c>
      <c r="Q22" s="151" t="s">
        <v>692</v>
      </c>
      <c r="R22" s="151" t="s">
        <v>677</v>
      </c>
      <c r="S22" s="151" t="s">
        <v>677</v>
      </c>
      <c r="T22" s="151" t="s">
        <v>663</v>
      </c>
      <c r="U22" s="151" t="s">
        <v>655</v>
      </c>
      <c r="V22" s="151" t="s">
        <v>651</v>
      </c>
      <c r="X22" s="157" t="s">
        <v>715</v>
      </c>
      <c r="Y22" s="157" t="s">
        <v>712</v>
      </c>
      <c r="Z22" s="157" t="s">
        <v>716</v>
      </c>
      <c r="AA22" s="157" t="s">
        <v>717</v>
      </c>
    </row>
    <row r="23" spans="7:27" ht="20.25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392"/>
      <c r="M23" s="212">
        <v>6</v>
      </c>
      <c r="N23" s="212" t="s">
        <v>692</v>
      </c>
      <c r="O23" s="212" t="s">
        <v>692</v>
      </c>
      <c r="P23" s="212" t="s">
        <v>692</v>
      </c>
      <c r="Q23" s="212" t="s">
        <v>692</v>
      </c>
      <c r="R23" s="212" t="s">
        <v>677</v>
      </c>
      <c r="S23" s="212" t="s">
        <v>677</v>
      </c>
      <c r="T23" s="212" t="s">
        <v>663</v>
      </c>
      <c r="U23" s="212" t="s">
        <v>663</v>
      </c>
      <c r="V23" s="212" t="s">
        <v>655</v>
      </c>
    </row>
    <row r="24" spans="7:27" ht="20.25" thickTop="1" thickBot="1">
      <c r="G24" s="220">
        <v>19</v>
      </c>
      <c r="H24" s="220">
        <v>14</v>
      </c>
      <c r="I24" s="220">
        <v>11</v>
      </c>
      <c r="J24" s="220">
        <v>6</v>
      </c>
      <c r="K24" s="220">
        <v>11</v>
      </c>
      <c r="L24" s="220"/>
      <c r="M24" s="151">
        <v>6</v>
      </c>
      <c r="N24" s="151" t="s">
        <v>692</v>
      </c>
      <c r="O24" s="151" t="s">
        <v>692</v>
      </c>
      <c r="P24" s="151" t="s">
        <v>692</v>
      </c>
      <c r="Q24" s="151" t="s">
        <v>692</v>
      </c>
      <c r="R24" s="151" t="s">
        <v>692</v>
      </c>
      <c r="S24" s="151" t="s">
        <v>677</v>
      </c>
      <c r="T24" s="151" t="s">
        <v>677</v>
      </c>
      <c r="U24" s="151" t="s">
        <v>663</v>
      </c>
      <c r="V24" s="151" t="s">
        <v>663</v>
      </c>
    </row>
    <row r="25" spans="7:27" ht="20.25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392"/>
      <c r="M25" s="212">
        <v>6</v>
      </c>
      <c r="N25" s="212" t="s">
        <v>692</v>
      </c>
      <c r="O25" s="212" t="s">
        <v>692</v>
      </c>
      <c r="P25" s="212" t="s">
        <v>692</v>
      </c>
      <c r="Q25" s="212" t="s">
        <v>692</v>
      </c>
      <c r="R25" s="212" t="s">
        <v>692</v>
      </c>
      <c r="S25" s="212" t="s">
        <v>677</v>
      </c>
      <c r="T25" s="212" t="s">
        <v>677</v>
      </c>
      <c r="U25" s="212" t="s">
        <v>677</v>
      </c>
      <c r="V25" s="212" t="s">
        <v>677</v>
      </c>
    </row>
    <row r="26" spans="7:27" ht="15.75" thickTop="1"/>
  </sheetData>
  <mergeCells count="31">
    <mergeCell ref="X1:AA2"/>
    <mergeCell ref="B6:D6"/>
    <mergeCell ref="B7:D7"/>
    <mergeCell ref="B8:D8"/>
    <mergeCell ref="B9:D9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  <mergeCell ref="B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10:D10"/>
    <mergeCell ref="B11:D11"/>
    <mergeCell ref="B12:D12"/>
    <mergeCell ref="B13:D13"/>
    <mergeCell ref="B14:D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showRowColHeaders="0" topLeftCell="E1" workbookViewId="0">
      <selection activeCell="M13" sqref="M13"/>
    </sheetView>
  </sheetViews>
  <sheetFormatPr defaultRowHeight="15"/>
  <cols>
    <col min="12" max="12" width="38" customWidth="1"/>
    <col min="24" max="24" width="24.28515625" customWidth="1"/>
    <col min="25" max="25" width="38.28515625" customWidth="1"/>
  </cols>
  <sheetData>
    <row r="1" spans="1:25" ht="16.5" thickTop="1" thickBot="1">
      <c r="A1" s="857" t="s">
        <v>179</v>
      </c>
      <c r="B1" s="857"/>
      <c r="C1" s="857"/>
      <c r="D1" s="857"/>
      <c r="E1" s="857"/>
      <c r="F1" s="857"/>
      <c r="G1" s="858" t="s">
        <v>26</v>
      </c>
      <c r="H1" s="859" t="s">
        <v>718</v>
      </c>
    </row>
    <row r="2" spans="1:25" ht="16.5" thickTop="1" thickBot="1">
      <c r="A2" s="857"/>
      <c r="B2" s="857"/>
      <c r="C2" s="857"/>
      <c r="D2" s="857"/>
      <c r="E2" s="857"/>
      <c r="F2" s="857"/>
      <c r="G2" s="858"/>
      <c r="H2" s="859"/>
    </row>
    <row r="3" spans="1:25" ht="16.5" thickTop="1" thickBot="1">
      <c r="A3" s="857"/>
      <c r="B3" s="857"/>
      <c r="C3" s="857"/>
      <c r="D3" s="857"/>
      <c r="E3" s="857"/>
      <c r="F3" s="857"/>
      <c r="G3" s="860" t="s">
        <v>107</v>
      </c>
      <c r="H3" s="861"/>
      <c r="I3" s="850" t="s">
        <v>594</v>
      </c>
      <c r="J3" s="852" t="s">
        <v>595</v>
      </c>
      <c r="K3" s="852" t="s">
        <v>185</v>
      </c>
      <c r="L3" s="852" t="s">
        <v>479</v>
      </c>
      <c r="M3" s="854" t="s">
        <v>186</v>
      </c>
      <c r="N3" s="855"/>
      <c r="O3" s="855"/>
      <c r="P3" s="855"/>
      <c r="Q3" s="855"/>
      <c r="R3" s="855"/>
      <c r="S3" s="855"/>
      <c r="T3" s="855"/>
      <c r="U3" s="855"/>
      <c r="V3" s="855"/>
    </row>
    <row r="4" spans="1:25" ht="16.5" thickTop="1" thickBot="1">
      <c r="A4" s="862" t="s">
        <v>44</v>
      </c>
      <c r="B4" s="862"/>
      <c r="C4" s="862"/>
      <c r="D4" s="862"/>
      <c r="E4" s="862"/>
      <c r="F4" s="862"/>
      <c r="G4" s="860"/>
      <c r="H4" s="861"/>
      <c r="I4" s="850"/>
      <c r="J4" s="852"/>
      <c r="K4" s="852"/>
      <c r="L4" s="852"/>
      <c r="M4" s="856"/>
      <c r="N4" s="856"/>
      <c r="O4" s="856"/>
      <c r="P4" s="856"/>
      <c r="Q4" s="856"/>
      <c r="R4" s="856"/>
      <c r="S4" s="856"/>
      <c r="T4" s="856"/>
      <c r="U4" s="856"/>
      <c r="V4" s="856"/>
    </row>
    <row r="5" spans="1:25" ht="18.75" customHeight="1" thickTop="1" thickBot="1">
      <c r="A5" s="862"/>
      <c r="B5" s="862"/>
      <c r="C5" s="862"/>
      <c r="D5" s="862"/>
      <c r="E5" s="862"/>
      <c r="F5" s="862"/>
      <c r="G5" s="395" t="s">
        <v>477</v>
      </c>
      <c r="H5" s="396" t="s">
        <v>478</v>
      </c>
      <c r="I5" s="851"/>
      <c r="J5" s="853"/>
      <c r="K5" s="853"/>
      <c r="L5" s="853"/>
      <c r="M5" s="213">
        <v>0</v>
      </c>
      <c r="N5" s="213">
        <v>1</v>
      </c>
      <c r="O5" s="213">
        <v>2</v>
      </c>
      <c r="P5" s="213">
        <v>3</v>
      </c>
      <c r="Q5" s="213">
        <v>4</v>
      </c>
      <c r="R5" s="213">
        <v>5</v>
      </c>
      <c r="S5" s="213">
        <v>6</v>
      </c>
      <c r="T5" s="213">
        <v>7</v>
      </c>
      <c r="U5" s="213">
        <v>8</v>
      </c>
      <c r="V5" s="213">
        <v>9</v>
      </c>
      <c r="X5" s="235" t="s">
        <v>719</v>
      </c>
      <c r="Y5" s="235" t="s">
        <v>479</v>
      </c>
    </row>
    <row r="6" spans="1:25" ht="29.25" customHeight="1" thickTop="1" thickBot="1">
      <c r="A6" s="232">
        <v>1</v>
      </c>
      <c r="B6" s="847" t="s">
        <v>720</v>
      </c>
      <c r="C6" s="847"/>
      <c r="D6" s="847" t="s">
        <v>721</v>
      </c>
      <c r="E6" s="847"/>
      <c r="F6" s="847"/>
      <c r="G6" s="223">
        <v>1</v>
      </c>
      <c r="H6" s="224">
        <v>0</v>
      </c>
      <c r="I6" s="223">
        <v>0</v>
      </c>
      <c r="J6" s="223">
        <v>0</v>
      </c>
      <c r="K6" s="223">
        <v>2</v>
      </c>
      <c r="L6" s="223" t="s">
        <v>722</v>
      </c>
      <c r="M6" s="153">
        <v>3</v>
      </c>
      <c r="N6" s="153">
        <v>1</v>
      </c>
      <c r="O6" s="153" t="s">
        <v>188</v>
      </c>
      <c r="P6" s="153" t="s">
        <v>188</v>
      </c>
      <c r="Q6" s="153" t="s">
        <v>188</v>
      </c>
      <c r="R6" s="153" t="s">
        <v>188</v>
      </c>
      <c r="S6" s="153" t="s">
        <v>188</v>
      </c>
      <c r="T6" s="153" t="s">
        <v>188</v>
      </c>
      <c r="U6" s="153" t="s">
        <v>188</v>
      </c>
      <c r="V6" s="153" t="s">
        <v>188</v>
      </c>
      <c r="X6" s="236" t="s">
        <v>723</v>
      </c>
      <c r="Y6" s="236" t="s">
        <v>724</v>
      </c>
    </row>
    <row r="7" spans="1:25" ht="29.25" customHeight="1" thickTop="1" thickBot="1">
      <c r="A7" s="232">
        <v>2</v>
      </c>
      <c r="B7" s="847" t="s">
        <v>604</v>
      </c>
      <c r="C7" s="847"/>
      <c r="D7" s="847" t="s">
        <v>515</v>
      </c>
      <c r="E7" s="847"/>
      <c r="F7" s="847"/>
      <c r="G7" s="200">
        <v>2</v>
      </c>
      <c r="H7" s="201">
        <v>1</v>
      </c>
      <c r="I7" s="200">
        <v>0</v>
      </c>
      <c r="J7" s="200">
        <v>0</v>
      </c>
      <c r="K7" s="200">
        <v>3</v>
      </c>
      <c r="L7" s="200"/>
      <c r="M7" s="214">
        <v>4</v>
      </c>
      <c r="N7" s="214">
        <v>2</v>
      </c>
      <c r="O7" s="214" t="s">
        <v>188</v>
      </c>
      <c r="P7" s="214" t="s">
        <v>188</v>
      </c>
      <c r="Q7" s="214" t="s">
        <v>188</v>
      </c>
      <c r="R7" s="214" t="s">
        <v>188</v>
      </c>
      <c r="S7" s="214" t="s">
        <v>188</v>
      </c>
      <c r="T7" s="214" t="s">
        <v>188</v>
      </c>
      <c r="U7" s="214" t="s">
        <v>188</v>
      </c>
      <c r="V7" s="214" t="s">
        <v>188</v>
      </c>
      <c r="X7" s="236" t="s">
        <v>725</v>
      </c>
      <c r="Y7" s="236" t="s">
        <v>726</v>
      </c>
    </row>
    <row r="8" spans="1:25" ht="22.5" customHeight="1" thickTop="1" thickBot="1">
      <c r="A8" s="232">
        <v>3</v>
      </c>
      <c r="B8" s="847" t="s">
        <v>64</v>
      </c>
      <c r="C8" s="847"/>
      <c r="D8" s="847" t="s">
        <v>598</v>
      </c>
      <c r="E8" s="847"/>
      <c r="F8" s="847"/>
      <c r="G8" s="223">
        <v>3</v>
      </c>
      <c r="H8" s="225">
        <v>1</v>
      </c>
      <c r="I8" s="223">
        <v>1</v>
      </c>
      <c r="J8" s="223">
        <v>1</v>
      </c>
      <c r="K8" s="223">
        <v>3</v>
      </c>
      <c r="L8" s="223"/>
      <c r="M8" s="153">
        <v>4</v>
      </c>
      <c r="N8" s="153">
        <v>2</v>
      </c>
      <c r="O8" s="153">
        <v>1</v>
      </c>
      <c r="P8" s="153" t="s">
        <v>188</v>
      </c>
      <c r="Q8" s="153" t="s">
        <v>188</v>
      </c>
      <c r="R8" s="153" t="s">
        <v>188</v>
      </c>
      <c r="S8" s="153" t="s">
        <v>188</v>
      </c>
      <c r="T8" s="153" t="s">
        <v>188</v>
      </c>
      <c r="U8" s="153" t="s">
        <v>188</v>
      </c>
      <c r="V8" s="153" t="s">
        <v>188</v>
      </c>
      <c r="X8" s="236" t="s">
        <v>727</v>
      </c>
      <c r="Y8" s="236" t="s">
        <v>728</v>
      </c>
    </row>
    <row r="9" spans="1:25" ht="29.25" customHeight="1" thickTop="1" thickBot="1">
      <c r="A9" s="232">
        <v>4</v>
      </c>
      <c r="B9" s="847" t="s">
        <v>610</v>
      </c>
      <c r="C9" s="847"/>
      <c r="D9" s="847" t="s">
        <v>170</v>
      </c>
      <c r="E9" s="847"/>
      <c r="F9" s="847"/>
      <c r="G9" s="200">
        <v>4</v>
      </c>
      <c r="H9" s="201">
        <v>2</v>
      </c>
      <c r="I9" s="200">
        <v>1</v>
      </c>
      <c r="J9" s="200">
        <v>1</v>
      </c>
      <c r="K9" s="200">
        <v>4</v>
      </c>
      <c r="L9" s="200"/>
      <c r="M9" s="214">
        <v>4</v>
      </c>
      <c r="N9" s="214">
        <v>3</v>
      </c>
      <c r="O9" s="214">
        <v>2</v>
      </c>
      <c r="P9" s="214" t="s">
        <v>188</v>
      </c>
      <c r="Q9" s="214" t="s">
        <v>188</v>
      </c>
      <c r="R9" s="214" t="s">
        <v>188</v>
      </c>
      <c r="S9" s="214" t="s">
        <v>188</v>
      </c>
      <c r="T9" s="214" t="s">
        <v>188</v>
      </c>
      <c r="U9" s="214" t="s">
        <v>188</v>
      </c>
      <c r="V9" s="214" t="s">
        <v>188</v>
      </c>
      <c r="X9" s="236" t="s">
        <v>729</v>
      </c>
      <c r="Y9" s="236" t="s">
        <v>730</v>
      </c>
    </row>
    <row r="10" spans="1:25" ht="29.25" customHeight="1" thickTop="1" thickBot="1">
      <c r="A10" s="232">
        <v>5</v>
      </c>
      <c r="B10" s="847" t="s">
        <v>731</v>
      </c>
      <c r="C10" s="847"/>
      <c r="D10" s="847" t="s">
        <v>515</v>
      </c>
      <c r="E10" s="847"/>
      <c r="F10" s="847"/>
      <c r="G10" s="223">
        <v>5</v>
      </c>
      <c r="H10" s="225">
        <v>2</v>
      </c>
      <c r="I10" s="223">
        <v>1</v>
      </c>
      <c r="J10" s="223">
        <v>1</v>
      </c>
      <c r="K10" s="223">
        <v>4</v>
      </c>
      <c r="L10" s="223" t="s">
        <v>732</v>
      </c>
      <c r="M10" s="153">
        <v>4</v>
      </c>
      <c r="N10" s="153">
        <v>3</v>
      </c>
      <c r="O10" s="153">
        <v>2</v>
      </c>
      <c r="P10" s="153">
        <v>1</v>
      </c>
      <c r="Q10" s="153" t="s">
        <v>188</v>
      </c>
      <c r="R10" s="153" t="s">
        <v>188</v>
      </c>
      <c r="S10" s="153" t="s">
        <v>188</v>
      </c>
      <c r="T10" s="153" t="s">
        <v>188</v>
      </c>
      <c r="U10" s="153" t="s">
        <v>188</v>
      </c>
      <c r="V10" s="153" t="s">
        <v>188</v>
      </c>
      <c r="X10" s="236" t="s">
        <v>733</v>
      </c>
      <c r="Y10" s="236" t="s">
        <v>734</v>
      </c>
    </row>
    <row r="11" spans="1:25" ht="29.25" customHeight="1" thickTop="1" thickBot="1">
      <c r="A11" s="232">
        <v>6</v>
      </c>
      <c r="B11" s="847" t="s">
        <v>486</v>
      </c>
      <c r="C11" s="847"/>
      <c r="D11" s="847" t="s">
        <v>515</v>
      </c>
      <c r="E11" s="847"/>
      <c r="F11" s="847"/>
      <c r="G11" s="200">
        <v>6</v>
      </c>
      <c r="H11" s="201">
        <v>3</v>
      </c>
      <c r="I11" s="200">
        <v>2</v>
      </c>
      <c r="J11" s="200">
        <v>2</v>
      </c>
      <c r="K11" s="200">
        <v>5</v>
      </c>
      <c r="L11" s="200"/>
      <c r="M11" s="214">
        <v>4</v>
      </c>
      <c r="N11" s="214">
        <v>3</v>
      </c>
      <c r="O11" s="214">
        <v>3</v>
      </c>
      <c r="P11" s="214">
        <v>2</v>
      </c>
      <c r="Q11" s="214" t="s">
        <v>188</v>
      </c>
      <c r="R11" s="214" t="s">
        <v>188</v>
      </c>
      <c r="S11" s="214" t="s">
        <v>188</v>
      </c>
      <c r="T11" s="214" t="s">
        <v>188</v>
      </c>
      <c r="U11" s="214" t="s">
        <v>188</v>
      </c>
      <c r="V11" s="214" t="s">
        <v>188</v>
      </c>
      <c r="X11" s="236" t="s">
        <v>735</v>
      </c>
      <c r="Y11" s="236" t="s">
        <v>736</v>
      </c>
    </row>
    <row r="12" spans="1:25" ht="21.75" customHeight="1" thickTop="1" thickBot="1">
      <c r="G12" s="225">
        <v>7</v>
      </c>
      <c r="H12" s="225">
        <v>3</v>
      </c>
      <c r="I12" s="223">
        <v>2</v>
      </c>
      <c r="J12" s="223">
        <v>2</v>
      </c>
      <c r="K12" s="223">
        <v>5</v>
      </c>
      <c r="L12" s="223"/>
      <c r="M12" s="153">
        <v>4</v>
      </c>
      <c r="N12" s="153">
        <v>4</v>
      </c>
      <c r="O12" s="153">
        <v>3</v>
      </c>
      <c r="P12" s="153">
        <v>2</v>
      </c>
      <c r="Q12" s="153">
        <v>1</v>
      </c>
      <c r="R12" s="153" t="s">
        <v>188</v>
      </c>
      <c r="S12" s="153" t="s">
        <v>188</v>
      </c>
      <c r="T12" s="153" t="s">
        <v>188</v>
      </c>
      <c r="U12" s="153" t="s">
        <v>188</v>
      </c>
      <c r="V12" s="153" t="s">
        <v>188</v>
      </c>
      <c r="X12" s="236" t="s">
        <v>737</v>
      </c>
      <c r="Y12" s="236" t="s">
        <v>738</v>
      </c>
    </row>
    <row r="13" spans="1:25" ht="29.25" customHeight="1" thickTop="1" thickBot="1">
      <c r="G13" s="201">
        <v>8</v>
      </c>
      <c r="H13" s="201">
        <v>4</v>
      </c>
      <c r="I13" s="200">
        <v>2</v>
      </c>
      <c r="J13" s="200">
        <v>2</v>
      </c>
      <c r="K13" s="200">
        <v>6</v>
      </c>
      <c r="L13" s="200"/>
      <c r="M13" s="214">
        <v>4</v>
      </c>
      <c r="N13" s="214">
        <v>4</v>
      </c>
      <c r="O13" s="214">
        <v>3</v>
      </c>
      <c r="P13" s="214">
        <v>3</v>
      </c>
      <c r="Q13" s="214">
        <v>2</v>
      </c>
      <c r="R13" s="214" t="s">
        <v>188</v>
      </c>
      <c r="S13" s="214" t="s">
        <v>188</v>
      </c>
      <c r="T13" s="214" t="s">
        <v>188</v>
      </c>
      <c r="U13" s="214" t="s">
        <v>188</v>
      </c>
      <c r="V13" s="214" t="s">
        <v>188</v>
      </c>
      <c r="X13" s="236" t="s">
        <v>739</v>
      </c>
      <c r="Y13" s="236" t="s">
        <v>740</v>
      </c>
    </row>
    <row r="14" spans="1:25" ht="33.75" customHeight="1" thickTop="1" thickBot="1">
      <c r="G14" s="225">
        <v>9</v>
      </c>
      <c r="H14" s="225">
        <v>4</v>
      </c>
      <c r="I14" s="223">
        <v>3</v>
      </c>
      <c r="J14" s="223">
        <v>3</v>
      </c>
      <c r="K14" s="223">
        <v>6</v>
      </c>
      <c r="L14" s="223"/>
      <c r="M14" s="153">
        <v>4</v>
      </c>
      <c r="N14" s="153">
        <v>4</v>
      </c>
      <c r="O14" s="153">
        <v>4</v>
      </c>
      <c r="P14" s="153">
        <v>3</v>
      </c>
      <c r="Q14" s="153">
        <v>2</v>
      </c>
      <c r="R14" s="153">
        <v>1</v>
      </c>
      <c r="S14" s="153" t="s">
        <v>188</v>
      </c>
      <c r="T14" s="153" t="s">
        <v>188</v>
      </c>
      <c r="U14" s="153" t="s">
        <v>188</v>
      </c>
      <c r="V14" s="153" t="s">
        <v>188</v>
      </c>
      <c r="X14" s="236" t="s">
        <v>741</v>
      </c>
      <c r="Y14" s="236" t="s">
        <v>742</v>
      </c>
    </row>
    <row r="15" spans="1:25" ht="23.25" customHeight="1" thickTop="1" thickBot="1">
      <c r="G15" s="201">
        <v>10</v>
      </c>
      <c r="H15" s="201">
        <v>5</v>
      </c>
      <c r="I15" s="200">
        <v>3</v>
      </c>
      <c r="J15" s="200">
        <v>3</v>
      </c>
      <c r="K15" s="200">
        <v>7</v>
      </c>
      <c r="L15" s="200" t="s">
        <v>481</v>
      </c>
      <c r="M15" s="214">
        <v>4</v>
      </c>
      <c r="N15" s="214">
        <v>4</v>
      </c>
      <c r="O15" s="214">
        <v>4</v>
      </c>
      <c r="P15" s="214">
        <v>3</v>
      </c>
      <c r="Q15" s="214">
        <v>3</v>
      </c>
      <c r="R15" s="214">
        <v>2</v>
      </c>
      <c r="S15" s="214" t="s">
        <v>188</v>
      </c>
      <c r="T15" s="214" t="s">
        <v>188</v>
      </c>
      <c r="U15" s="214" t="s">
        <v>188</v>
      </c>
      <c r="V15" s="214" t="s">
        <v>188</v>
      </c>
      <c r="X15" s="236" t="s">
        <v>743</v>
      </c>
      <c r="Y15" s="236" t="s">
        <v>744</v>
      </c>
    </row>
    <row r="16" spans="1:25" ht="19.5" customHeight="1" thickBot="1">
      <c r="G16" s="225">
        <v>11</v>
      </c>
      <c r="H16" s="225">
        <v>5</v>
      </c>
      <c r="I16" s="223">
        <v>3</v>
      </c>
      <c r="J16" s="223">
        <v>3</v>
      </c>
      <c r="K16" s="223">
        <v>7</v>
      </c>
      <c r="L16" s="223"/>
      <c r="M16" s="153">
        <v>4</v>
      </c>
      <c r="N16" s="153">
        <v>4</v>
      </c>
      <c r="O16" s="153">
        <v>4</v>
      </c>
      <c r="P16" s="153">
        <v>4</v>
      </c>
      <c r="Q16" s="153">
        <v>3</v>
      </c>
      <c r="R16" s="153">
        <v>2</v>
      </c>
      <c r="S16" s="153">
        <v>1</v>
      </c>
      <c r="T16" s="153" t="s">
        <v>188</v>
      </c>
      <c r="U16" s="153" t="s">
        <v>188</v>
      </c>
      <c r="V16" s="153" t="s">
        <v>188</v>
      </c>
    </row>
    <row r="17" spans="7:22" ht="19.5" customHeight="1" thickBot="1">
      <c r="G17" s="201">
        <v>12</v>
      </c>
      <c r="H17" s="201">
        <v>6</v>
      </c>
      <c r="I17" s="200">
        <v>4</v>
      </c>
      <c r="J17" s="200">
        <v>4</v>
      </c>
      <c r="K17" s="200">
        <v>8</v>
      </c>
      <c r="L17" s="200"/>
      <c r="M17" s="214">
        <v>4</v>
      </c>
      <c r="N17" s="214">
        <v>4</v>
      </c>
      <c r="O17" s="214">
        <v>4</v>
      </c>
      <c r="P17" s="214">
        <v>4</v>
      </c>
      <c r="Q17" s="214">
        <v>3</v>
      </c>
      <c r="R17" s="214">
        <v>3</v>
      </c>
      <c r="S17" s="214">
        <v>2</v>
      </c>
      <c r="T17" s="214" t="s">
        <v>188</v>
      </c>
      <c r="U17" s="214" t="s">
        <v>188</v>
      </c>
      <c r="V17" s="214" t="s">
        <v>188</v>
      </c>
    </row>
    <row r="18" spans="7:22" ht="19.5" customHeight="1" thickBot="1">
      <c r="G18" s="225">
        <v>13</v>
      </c>
      <c r="H18" s="225">
        <v>6</v>
      </c>
      <c r="I18" s="223">
        <v>4</v>
      </c>
      <c r="J18" s="223">
        <v>4</v>
      </c>
      <c r="K18" s="223">
        <v>8</v>
      </c>
      <c r="L18" s="223"/>
      <c r="M18" s="153">
        <v>4</v>
      </c>
      <c r="N18" s="153">
        <v>4</v>
      </c>
      <c r="O18" s="153">
        <v>4</v>
      </c>
      <c r="P18" s="153">
        <v>4</v>
      </c>
      <c r="Q18" s="153">
        <v>4</v>
      </c>
      <c r="R18" s="153">
        <v>3</v>
      </c>
      <c r="S18" s="153">
        <v>2</v>
      </c>
      <c r="T18" s="153">
        <v>1</v>
      </c>
      <c r="U18" s="153" t="s">
        <v>188</v>
      </c>
      <c r="V18" s="153" t="s">
        <v>188</v>
      </c>
    </row>
    <row r="19" spans="7:22" ht="19.5" customHeight="1" thickBot="1">
      <c r="G19" s="201">
        <v>14</v>
      </c>
      <c r="H19" s="201">
        <v>7</v>
      </c>
      <c r="I19" s="200">
        <v>4</v>
      </c>
      <c r="J19" s="200">
        <v>4</v>
      </c>
      <c r="K19" s="200">
        <v>9</v>
      </c>
      <c r="L19" s="200" t="s">
        <v>494</v>
      </c>
      <c r="M19" s="214">
        <v>4</v>
      </c>
      <c r="N19" s="214">
        <v>4</v>
      </c>
      <c r="O19" s="214">
        <v>4</v>
      </c>
      <c r="P19" s="214">
        <v>4</v>
      </c>
      <c r="Q19" s="214">
        <v>4</v>
      </c>
      <c r="R19" s="214">
        <v>3</v>
      </c>
      <c r="S19" s="214">
        <v>3</v>
      </c>
      <c r="T19" s="214">
        <v>2</v>
      </c>
      <c r="U19" s="214" t="s">
        <v>188</v>
      </c>
      <c r="V19" s="214" t="s">
        <v>188</v>
      </c>
    </row>
    <row r="20" spans="7:22" ht="19.5" customHeight="1" thickBot="1">
      <c r="G20" s="225">
        <v>15</v>
      </c>
      <c r="H20" s="225">
        <v>7</v>
      </c>
      <c r="I20" s="223">
        <v>5</v>
      </c>
      <c r="J20" s="223">
        <v>5</v>
      </c>
      <c r="K20" s="223">
        <v>9</v>
      </c>
      <c r="L20" s="223" t="s">
        <v>481</v>
      </c>
      <c r="M20" s="153">
        <v>4</v>
      </c>
      <c r="N20" s="153">
        <v>4</v>
      </c>
      <c r="O20" s="153">
        <v>4</v>
      </c>
      <c r="P20" s="153">
        <v>4</v>
      </c>
      <c r="Q20" s="153">
        <v>4</v>
      </c>
      <c r="R20" s="153">
        <v>4</v>
      </c>
      <c r="S20" s="153">
        <v>3</v>
      </c>
      <c r="T20" s="153">
        <v>2</v>
      </c>
      <c r="U20" s="153">
        <v>1</v>
      </c>
      <c r="V20" s="153" t="s">
        <v>188</v>
      </c>
    </row>
    <row r="21" spans="7:22" ht="19.5" customHeight="1" thickBot="1">
      <c r="G21" s="201">
        <v>16</v>
      </c>
      <c r="H21" s="201">
        <v>8</v>
      </c>
      <c r="I21" s="200">
        <v>5</v>
      </c>
      <c r="J21" s="200">
        <v>5</v>
      </c>
      <c r="K21" s="200">
        <v>10</v>
      </c>
      <c r="L21" s="200"/>
      <c r="M21" s="214">
        <v>4</v>
      </c>
      <c r="N21" s="214">
        <v>4</v>
      </c>
      <c r="O21" s="214">
        <v>4</v>
      </c>
      <c r="P21" s="214">
        <v>4</v>
      </c>
      <c r="Q21" s="214">
        <v>4</v>
      </c>
      <c r="R21" s="214">
        <v>4</v>
      </c>
      <c r="S21" s="214">
        <v>3</v>
      </c>
      <c r="T21" s="214">
        <v>3</v>
      </c>
      <c r="U21" s="214">
        <v>2</v>
      </c>
      <c r="V21" s="214" t="s">
        <v>188</v>
      </c>
    </row>
    <row r="22" spans="7:22" ht="19.5" customHeight="1" thickBot="1">
      <c r="G22" s="225">
        <v>17</v>
      </c>
      <c r="H22" s="225">
        <v>8</v>
      </c>
      <c r="I22" s="223">
        <v>5</v>
      </c>
      <c r="J22" s="223">
        <v>5</v>
      </c>
      <c r="K22" s="223">
        <v>10</v>
      </c>
      <c r="L22" s="223"/>
      <c r="M22" s="153">
        <v>4</v>
      </c>
      <c r="N22" s="153">
        <v>4</v>
      </c>
      <c r="O22" s="153">
        <v>4</v>
      </c>
      <c r="P22" s="153">
        <v>4</v>
      </c>
      <c r="Q22" s="153">
        <v>4</v>
      </c>
      <c r="R22" s="153">
        <v>4</v>
      </c>
      <c r="S22" s="153">
        <v>4</v>
      </c>
      <c r="T22" s="153">
        <v>3</v>
      </c>
      <c r="U22" s="153">
        <v>2</v>
      </c>
      <c r="V22" s="153">
        <v>1</v>
      </c>
    </row>
    <row r="23" spans="7:22" ht="19.5" customHeight="1" thickBot="1">
      <c r="G23" s="201">
        <v>18</v>
      </c>
      <c r="H23" s="201">
        <v>9</v>
      </c>
      <c r="I23" s="200">
        <v>6</v>
      </c>
      <c r="J23" s="200">
        <v>6</v>
      </c>
      <c r="K23" s="200">
        <v>11</v>
      </c>
      <c r="L23" s="200"/>
      <c r="M23" s="214">
        <v>4</v>
      </c>
      <c r="N23" s="214">
        <v>4</v>
      </c>
      <c r="O23" s="214">
        <v>4</v>
      </c>
      <c r="P23" s="214">
        <v>4</v>
      </c>
      <c r="Q23" s="214">
        <v>4</v>
      </c>
      <c r="R23" s="214">
        <v>4</v>
      </c>
      <c r="S23" s="214">
        <v>4</v>
      </c>
      <c r="T23" s="214">
        <v>3</v>
      </c>
      <c r="U23" s="214">
        <v>3</v>
      </c>
      <c r="V23" s="214">
        <v>2</v>
      </c>
    </row>
    <row r="24" spans="7:22" ht="19.5" customHeight="1" thickBot="1">
      <c r="G24" s="225">
        <v>19</v>
      </c>
      <c r="H24" s="225">
        <v>9</v>
      </c>
      <c r="I24" s="223">
        <v>6</v>
      </c>
      <c r="J24" s="223">
        <v>6</v>
      </c>
      <c r="K24" s="223">
        <v>11</v>
      </c>
      <c r="L24" s="223"/>
      <c r="M24" s="153">
        <v>4</v>
      </c>
      <c r="N24" s="153">
        <v>4</v>
      </c>
      <c r="O24" s="153">
        <v>4</v>
      </c>
      <c r="P24" s="153">
        <v>4</v>
      </c>
      <c r="Q24" s="153">
        <v>4</v>
      </c>
      <c r="R24" s="153">
        <v>4</v>
      </c>
      <c r="S24" s="153">
        <v>4</v>
      </c>
      <c r="T24" s="153">
        <v>4</v>
      </c>
      <c r="U24" s="153">
        <v>3</v>
      </c>
      <c r="V24" s="153">
        <v>3</v>
      </c>
    </row>
    <row r="25" spans="7:22" ht="19.5" customHeight="1" thickBot="1">
      <c r="G25" s="201">
        <v>20</v>
      </c>
      <c r="H25" s="201">
        <v>10</v>
      </c>
      <c r="I25" s="200">
        <v>6</v>
      </c>
      <c r="J25" s="200">
        <v>6</v>
      </c>
      <c r="K25" s="200">
        <v>12</v>
      </c>
      <c r="L25" s="200" t="s">
        <v>481</v>
      </c>
      <c r="M25" s="214">
        <v>4</v>
      </c>
      <c r="N25" s="214">
        <v>4</v>
      </c>
      <c r="O25" s="214">
        <v>4</v>
      </c>
      <c r="P25" s="214">
        <v>4</v>
      </c>
      <c r="Q25" s="214">
        <v>4</v>
      </c>
      <c r="R25" s="214">
        <v>4</v>
      </c>
      <c r="S25" s="214">
        <v>4</v>
      </c>
      <c r="T25" s="214">
        <v>4</v>
      </c>
      <c r="U25" s="214">
        <v>4</v>
      </c>
      <c r="V25" s="214">
        <v>4</v>
      </c>
    </row>
    <row r="26" spans="7:22" ht="15.75" thickBot="1"/>
    <row r="27" spans="7:22" ht="16.5" thickTop="1" thickBot="1">
      <c r="I27" s="848" t="s">
        <v>745</v>
      </c>
      <c r="J27" s="849"/>
      <c r="K27" s="849"/>
      <c r="L27" s="849"/>
      <c r="N27" s="196"/>
    </row>
    <row r="28" spans="7:22" ht="23.25" customHeight="1" thickTop="1" thickBot="1">
      <c r="I28" s="849"/>
      <c r="J28" s="849"/>
      <c r="K28" s="849"/>
      <c r="L28" s="849"/>
    </row>
    <row r="29" spans="7:22" ht="24.75" customHeight="1" thickTop="1" thickBot="1">
      <c r="I29" s="849"/>
      <c r="J29" s="849"/>
      <c r="K29" s="849"/>
      <c r="L29" s="849"/>
    </row>
    <row r="30" spans="7:22" ht="61.5" thickTop="1" thickBot="1">
      <c r="I30" s="236" t="s">
        <v>746</v>
      </c>
      <c r="J30" s="236" t="s">
        <v>747</v>
      </c>
      <c r="K30" s="236" t="s">
        <v>515</v>
      </c>
      <c r="L30" s="236" t="s">
        <v>479</v>
      </c>
    </row>
    <row r="31" spans="7:22" ht="46.5" thickTop="1" thickBot="1">
      <c r="I31" s="154" t="s">
        <v>748</v>
      </c>
      <c r="J31" s="154">
        <v>1</v>
      </c>
      <c r="K31" s="154">
        <v>6</v>
      </c>
      <c r="L31" s="154" t="s">
        <v>749</v>
      </c>
    </row>
    <row r="32" spans="7:22" ht="16.5" thickTop="1" thickBot="1">
      <c r="I32" s="236" t="s">
        <v>750</v>
      </c>
      <c r="J32" s="236">
        <v>2</v>
      </c>
      <c r="K32" s="236">
        <v>7</v>
      </c>
      <c r="L32" s="236" t="s">
        <v>751</v>
      </c>
    </row>
    <row r="33" spans="9:12" ht="16.5" thickTop="1" thickBot="1">
      <c r="I33" s="154" t="s">
        <v>752</v>
      </c>
      <c r="J33" s="154">
        <v>3</v>
      </c>
      <c r="K33" s="154">
        <v>8</v>
      </c>
      <c r="L33" s="154" t="s">
        <v>753</v>
      </c>
    </row>
    <row r="34" spans="9:12" ht="16.5" thickTop="1" thickBot="1">
      <c r="I34" s="236" t="s">
        <v>754</v>
      </c>
      <c r="J34" s="236">
        <v>4</v>
      </c>
      <c r="K34" s="236">
        <v>9</v>
      </c>
      <c r="L34" s="236" t="s">
        <v>755</v>
      </c>
    </row>
    <row r="35" spans="9:12" ht="16.5" thickTop="1" thickBot="1">
      <c r="I35" s="154" t="s">
        <v>756</v>
      </c>
      <c r="J35" s="154">
        <v>5</v>
      </c>
      <c r="K35" s="154">
        <v>10</v>
      </c>
      <c r="L35" s="154" t="s">
        <v>188</v>
      </c>
    </row>
    <row r="36" spans="9:12" ht="16.5" thickTop="1" thickBot="1">
      <c r="I36" s="236" t="s">
        <v>757</v>
      </c>
      <c r="J36" s="236">
        <v>6</v>
      </c>
      <c r="K36" s="236">
        <v>11</v>
      </c>
      <c r="L36" s="236" t="s">
        <v>758</v>
      </c>
    </row>
    <row r="37" spans="9:12" ht="16.5" thickTop="1" thickBot="1">
      <c r="I37" s="154" t="s">
        <v>759</v>
      </c>
      <c r="J37" s="154">
        <v>7</v>
      </c>
      <c r="K37" s="154">
        <v>12</v>
      </c>
      <c r="L37" s="154" t="s">
        <v>760</v>
      </c>
    </row>
    <row r="38" spans="9:12" ht="16.5" thickTop="1" thickBot="1">
      <c r="I38" s="236" t="s">
        <v>761</v>
      </c>
      <c r="J38" s="236">
        <v>8</v>
      </c>
      <c r="K38" s="236">
        <v>13</v>
      </c>
      <c r="L38" s="236" t="s">
        <v>188</v>
      </c>
    </row>
    <row r="39" spans="9:12" ht="16.5" thickTop="1" thickBot="1">
      <c r="I39" s="154" t="s">
        <v>762</v>
      </c>
      <c r="J39" s="154">
        <v>9</v>
      </c>
      <c r="K39" s="154">
        <v>14</v>
      </c>
      <c r="L39" s="154" t="s">
        <v>188</v>
      </c>
    </row>
    <row r="40" spans="9:12" ht="16.5" thickTop="1" thickBot="1">
      <c r="I40" s="236" t="s">
        <v>763</v>
      </c>
      <c r="J40" s="236">
        <v>10</v>
      </c>
      <c r="K40" s="236">
        <v>15</v>
      </c>
      <c r="L40" s="236" t="s">
        <v>188</v>
      </c>
    </row>
    <row r="41" spans="9:12" ht="15.75" thickTop="1"/>
  </sheetData>
  <mergeCells count="23">
    <mergeCell ref="A1:F3"/>
    <mergeCell ref="G1:G2"/>
    <mergeCell ref="H1:H2"/>
    <mergeCell ref="G3:H4"/>
    <mergeCell ref="A4:F5"/>
    <mergeCell ref="I3:I5"/>
    <mergeCell ref="J3:J5"/>
    <mergeCell ref="K3:K5"/>
    <mergeCell ref="L3:L5"/>
    <mergeCell ref="M3:V4"/>
    <mergeCell ref="I27:L29"/>
    <mergeCell ref="D6:F6"/>
    <mergeCell ref="D7:F7"/>
    <mergeCell ref="D8:F8"/>
    <mergeCell ref="D9:F9"/>
    <mergeCell ref="D10:F10"/>
    <mergeCell ref="D11:F11"/>
    <mergeCell ref="B11:C11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22"/>
    </sheetView>
  </sheetViews>
  <sheetFormatPr defaultRowHeight="15"/>
  <cols>
    <col min="7" max="11" width="9.42578125" bestFit="1" customWidth="1"/>
    <col min="12" max="12" width="48.5703125" customWidth="1"/>
    <col min="13" max="13" width="15" bestFit="1" customWidth="1"/>
    <col min="14" max="14" width="18.85546875" customWidth="1"/>
    <col min="15" max="15" width="14.7109375" customWidth="1"/>
    <col min="16" max="16" width="16" customWidth="1"/>
  </cols>
  <sheetData>
    <row r="1" spans="1:16" ht="16.5" thickTop="1" thickBot="1">
      <c r="A1" s="864" t="s">
        <v>764</v>
      </c>
      <c r="B1" s="864"/>
      <c r="C1" s="864"/>
      <c r="D1" s="864"/>
      <c r="E1" s="864"/>
      <c r="F1" s="864"/>
      <c r="G1" s="858" t="s">
        <v>26</v>
      </c>
      <c r="H1" s="859" t="s">
        <v>593</v>
      </c>
    </row>
    <row r="2" spans="1:16" ht="16.5" thickTop="1" thickBot="1">
      <c r="A2" s="864"/>
      <c r="B2" s="864"/>
      <c r="C2" s="864"/>
      <c r="D2" s="864"/>
      <c r="E2" s="864"/>
      <c r="F2" s="864"/>
      <c r="G2" s="858"/>
      <c r="H2" s="859"/>
    </row>
    <row r="3" spans="1:16" ht="16.5" customHeight="1" thickTop="1" thickBot="1">
      <c r="A3" s="864"/>
      <c r="B3" s="864"/>
      <c r="C3" s="864"/>
      <c r="D3" s="864"/>
      <c r="E3" s="864"/>
      <c r="F3" s="864"/>
      <c r="G3" s="863" t="s">
        <v>107</v>
      </c>
      <c r="H3" s="770"/>
      <c r="I3" s="770"/>
      <c r="J3" s="770"/>
      <c r="K3" s="770"/>
      <c r="L3" s="770"/>
      <c r="M3" s="770"/>
      <c r="N3" s="770"/>
      <c r="O3" s="770"/>
      <c r="P3" s="770"/>
    </row>
    <row r="4" spans="1:16" ht="16.5" customHeight="1" thickTop="1" thickBot="1">
      <c r="A4" s="862" t="s">
        <v>44</v>
      </c>
      <c r="B4" s="862"/>
      <c r="C4" s="862"/>
      <c r="D4" s="862"/>
      <c r="E4" s="862"/>
      <c r="F4" s="862"/>
      <c r="G4" s="863"/>
      <c r="H4" s="770"/>
      <c r="I4" s="770"/>
      <c r="J4" s="770"/>
      <c r="K4" s="770"/>
      <c r="L4" s="770"/>
      <c r="M4" s="770"/>
      <c r="N4" s="770"/>
      <c r="O4" s="770"/>
      <c r="P4" s="770"/>
    </row>
    <row r="5" spans="1:16" ht="46.5" thickTop="1" thickBot="1">
      <c r="A5" s="862"/>
      <c r="B5" s="862"/>
      <c r="C5" s="862"/>
      <c r="D5" s="862"/>
      <c r="E5" s="862"/>
      <c r="F5" s="862"/>
      <c r="G5" s="202" t="s">
        <v>477</v>
      </c>
      <c r="H5" s="203" t="s">
        <v>478</v>
      </c>
      <c r="I5" s="204" t="s">
        <v>594</v>
      </c>
      <c r="J5" s="204" t="s">
        <v>595</v>
      </c>
      <c r="K5" s="204" t="s">
        <v>185</v>
      </c>
      <c r="L5" s="204" t="s">
        <v>479</v>
      </c>
      <c r="M5" s="204" t="s">
        <v>765</v>
      </c>
      <c r="N5" s="204" t="s">
        <v>766</v>
      </c>
      <c r="O5" s="204" t="s">
        <v>767</v>
      </c>
      <c r="P5" s="204" t="s">
        <v>768</v>
      </c>
    </row>
    <row r="6" spans="1:16" s="145" customFormat="1" ht="36" customHeight="1" thickTop="1" thickBot="1">
      <c r="A6" s="231">
        <v>1</v>
      </c>
      <c r="B6" s="847" t="s">
        <v>769</v>
      </c>
      <c r="C6" s="847"/>
      <c r="D6" s="847"/>
      <c r="E6" s="847" t="s">
        <v>507</v>
      </c>
      <c r="F6" s="847"/>
      <c r="G6" s="226">
        <v>1</v>
      </c>
      <c r="H6" s="227">
        <v>0</v>
      </c>
      <c r="I6" s="226">
        <v>2</v>
      </c>
      <c r="J6" s="226">
        <v>2</v>
      </c>
      <c r="K6" s="226">
        <v>2</v>
      </c>
      <c r="L6" s="226" t="s">
        <v>770</v>
      </c>
      <c r="M6" s="227" t="s">
        <v>771</v>
      </c>
      <c r="N6" s="226" t="s">
        <v>772</v>
      </c>
      <c r="O6" s="226">
        <v>0</v>
      </c>
      <c r="P6" s="226" t="s">
        <v>773</v>
      </c>
    </row>
    <row r="7" spans="1:16" s="145" customFormat="1" ht="36" customHeight="1" thickTop="1" thickBot="1">
      <c r="A7" s="231">
        <v>2</v>
      </c>
      <c r="B7" s="847" t="s">
        <v>53</v>
      </c>
      <c r="C7" s="847"/>
      <c r="D7" s="847"/>
      <c r="E7" s="847" t="s">
        <v>168</v>
      </c>
      <c r="F7" s="847"/>
      <c r="G7" s="205">
        <v>2</v>
      </c>
      <c r="H7" s="206">
        <v>1</v>
      </c>
      <c r="I7" s="207">
        <v>3</v>
      </c>
      <c r="J7" s="207">
        <v>3</v>
      </c>
      <c r="K7" s="207">
        <v>3</v>
      </c>
      <c r="L7" s="207" t="s">
        <v>774</v>
      </c>
      <c r="M7" s="206" t="s">
        <v>775</v>
      </c>
      <c r="N7" s="207" t="s">
        <v>772</v>
      </c>
      <c r="O7" s="207">
        <v>0</v>
      </c>
      <c r="P7" s="207" t="s">
        <v>773</v>
      </c>
    </row>
    <row r="8" spans="1:16" s="145" customFormat="1" ht="36" customHeight="1" thickTop="1" thickBot="1">
      <c r="A8" s="231">
        <v>3</v>
      </c>
      <c r="B8" s="847" t="s">
        <v>558</v>
      </c>
      <c r="C8" s="847"/>
      <c r="D8" s="847"/>
      <c r="E8" s="847" t="s">
        <v>168</v>
      </c>
      <c r="F8" s="847"/>
      <c r="G8" s="228">
        <v>3</v>
      </c>
      <c r="H8" s="229">
        <v>2</v>
      </c>
      <c r="I8" s="226">
        <v>3</v>
      </c>
      <c r="J8" s="226">
        <v>3</v>
      </c>
      <c r="K8" s="226">
        <v>3</v>
      </c>
      <c r="L8" s="226" t="s">
        <v>776</v>
      </c>
      <c r="M8" s="229" t="s">
        <v>777</v>
      </c>
      <c r="N8" s="226" t="s">
        <v>772</v>
      </c>
      <c r="O8" s="226">
        <v>0</v>
      </c>
      <c r="P8" s="226" t="s">
        <v>778</v>
      </c>
    </row>
    <row r="9" spans="1:16" s="145" customFormat="1" ht="36" customHeight="1" thickTop="1" thickBot="1">
      <c r="A9" s="231">
        <v>4</v>
      </c>
      <c r="B9" s="847" t="s">
        <v>480</v>
      </c>
      <c r="C9" s="847"/>
      <c r="D9" s="847"/>
      <c r="E9" s="847" t="s">
        <v>25</v>
      </c>
      <c r="F9" s="847"/>
      <c r="G9" s="205">
        <v>4</v>
      </c>
      <c r="H9" s="206">
        <v>3</v>
      </c>
      <c r="I9" s="207">
        <v>4</v>
      </c>
      <c r="J9" s="207">
        <v>4</v>
      </c>
      <c r="K9" s="207">
        <v>4</v>
      </c>
      <c r="L9" s="207" t="s">
        <v>779</v>
      </c>
      <c r="M9" s="206" t="s">
        <v>780</v>
      </c>
      <c r="N9" s="207" t="s">
        <v>781</v>
      </c>
      <c r="O9" s="207">
        <v>0</v>
      </c>
      <c r="P9" s="207" t="s">
        <v>778</v>
      </c>
    </row>
    <row r="10" spans="1:16" s="145" customFormat="1" ht="36" customHeight="1" thickTop="1" thickBot="1">
      <c r="A10" s="231">
        <v>5</v>
      </c>
      <c r="B10" s="847" t="s">
        <v>57</v>
      </c>
      <c r="C10" s="847"/>
      <c r="D10" s="847"/>
      <c r="E10" s="847" t="s">
        <v>507</v>
      </c>
      <c r="F10" s="847"/>
      <c r="G10" s="228">
        <v>5</v>
      </c>
      <c r="H10" s="229">
        <v>3</v>
      </c>
      <c r="I10" s="226">
        <v>4</v>
      </c>
      <c r="J10" s="226">
        <v>4</v>
      </c>
      <c r="K10" s="226">
        <v>4</v>
      </c>
      <c r="L10" s="226" t="s">
        <v>782</v>
      </c>
      <c r="M10" s="229" t="s">
        <v>783</v>
      </c>
      <c r="N10" s="226" t="s">
        <v>781</v>
      </c>
      <c r="O10" s="226">
        <v>1</v>
      </c>
      <c r="P10" s="226" t="s">
        <v>778</v>
      </c>
    </row>
    <row r="11" spans="1:16" s="145" customFormat="1" ht="36" customHeight="1" thickTop="1" thickBot="1">
      <c r="A11" s="231">
        <v>6</v>
      </c>
      <c r="B11" s="847" t="s">
        <v>667</v>
      </c>
      <c r="C11" s="847"/>
      <c r="D11" s="847"/>
      <c r="E11" s="847" t="s">
        <v>515</v>
      </c>
      <c r="F11" s="847"/>
      <c r="G11" s="205">
        <v>6</v>
      </c>
      <c r="H11" s="206">
        <v>4</v>
      </c>
      <c r="I11" s="207">
        <v>5</v>
      </c>
      <c r="J11" s="207">
        <v>5</v>
      </c>
      <c r="K11" s="207">
        <v>5</v>
      </c>
      <c r="L11" s="207" t="s">
        <v>784</v>
      </c>
      <c r="M11" s="206" t="s">
        <v>785</v>
      </c>
      <c r="N11" s="207" t="s">
        <v>781</v>
      </c>
      <c r="O11" s="207">
        <v>1</v>
      </c>
      <c r="P11" s="207" t="s">
        <v>786</v>
      </c>
    </row>
    <row r="12" spans="1:16" s="145" customFormat="1" ht="36" customHeight="1" thickTop="1" thickBot="1">
      <c r="A12" s="231">
        <v>7</v>
      </c>
      <c r="B12" s="847" t="s">
        <v>672</v>
      </c>
      <c r="C12" s="847"/>
      <c r="D12" s="847"/>
      <c r="E12" s="847" t="s">
        <v>515</v>
      </c>
      <c r="F12" s="847"/>
      <c r="G12" s="228">
        <v>7</v>
      </c>
      <c r="H12" s="229">
        <v>5</v>
      </c>
      <c r="I12" s="226">
        <v>5</v>
      </c>
      <c r="J12" s="226">
        <v>5</v>
      </c>
      <c r="K12" s="226">
        <v>5</v>
      </c>
      <c r="L12" s="226" t="s">
        <v>787</v>
      </c>
      <c r="M12" s="229" t="s">
        <v>788</v>
      </c>
      <c r="N12" s="226" t="s">
        <v>781</v>
      </c>
      <c r="O12" s="226">
        <v>1</v>
      </c>
      <c r="P12" s="226" t="s">
        <v>786</v>
      </c>
    </row>
    <row r="13" spans="1:16" s="145" customFormat="1" ht="36" customHeight="1" thickTop="1" thickBot="1">
      <c r="A13" s="231">
        <v>8</v>
      </c>
      <c r="B13" s="847" t="s">
        <v>789</v>
      </c>
      <c r="C13" s="847"/>
      <c r="D13" s="847"/>
      <c r="E13" s="847" t="s">
        <v>168</v>
      </c>
      <c r="F13" s="847"/>
      <c r="G13" s="205">
        <v>8</v>
      </c>
      <c r="H13" s="206">
        <v>6</v>
      </c>
      <c r="I13" s="207">
        <v>6</v>
      </c>
      <c r="J13" s="207">
        <v>6</v>
      </c>
      <c r="K13" s="207">
        <v>6</v>
      </c>
      <c r="L13" s="207" t="s">
        <v>790</v>
      </c>
      <c r="M13" s="206" t="s">
        <v>791</v>
      </c>
      <c r="N13" s="207" t="s">
        <v>792</v>
      </c>
      <c r="O13" s="207">
        <v>1</v>
      </c>
      <c r="P13" s="207" t="s">
        <v>786</v>
      </c>
    </row>
    <row r="14" spans="1:16" s="145" customFormat="1" ht="36" customHeight="1" thickTop="1" thickBot="1">
      <c r="A14" s="231">
        <v>9</v>
      </c>
      <c r="B14" s="847" t="s">
        <v>64</v>
      </c>
      <c r="C14" s="847"/>
      <c r="D14" s="847"/>
      <c r="E14" s="847" t="s">
        <v>598</v>
      </c>
      <c r="F14" s="847"/>
      <c r="G14" s="228">
        <v>9</v>
      </c>
      <c r="H14" s="229">
        <v>6</v>
      </c>
      <c r="I14" s="226">
        <v>6</v>
      </c>
      <c r="J14" s="226">
        <v>6</v>
      </c>
      <c r="K14" s="226">
        <v>6</v>
      </c>
      <c r="L14" s="226" t="s">
        <v>793</v>
      </c>
      <c r="M14" s="229" t="s">
        <v>794</v>
      </c>
      <c r="N14" s="226" t="s">
        <v>792</v>
      </c>
      <c r="O14" s="226">
        <v>1</v>
      </c>
      <c r="P14" s="226" t="s">
        <v>795</v>
      </c>
    </row>
    <row r="15" spans="1:16" s="145" customFormat="1" ht="36" customHeight="1" thickTop="1" thickBot="1">
      <c r="A15" s="231">
        <v>10</v>
      </c>
      <c r="B15" s="847" t="s">
        <v>574</v>
      </c>
      <c r="C15" s="847"/>
      <c r="D15" s="847"/>
      <c r="E15" s="847" t="s">
        <v>170</v>
      </c>
      <c r="F15" s="847"/>
      <c r="G15" s="205">
        <v>10</v>
      </c>
      <c r="H15" s="206">
        <v>7</v>
      </c>
      <c r="I15" s="207">
        <v>7</v>
      </c>
      <c r="J15" s="207">
        <v>7</v>
      </c>
      <c r="K15" s="207">
        <v>7</v>
      </c>
      <c r="L15" s="207" t="s">
        <v>796</v>
      </c>
      <c r="M15" s="206" t="s">
        <v>797</v>
      </c>
      <c r="N15" s="207" t="s">
        <v>792</v>
      </c>
      <c r="O15" s="207">
        <v>2</v>
      </c>
      <c r="P15" s="207" t="s">
        <v>795</v>
      </c>
    </row>
    <row r="16" spans="1:16" s="145" customFormat="1" ht="36" customHeight="1" thickTop="1" thickBot="1">
      <c r="A16" s="231">
        <v>11</v>
      </c>
      <c r="B16" s="847" t="s">
        <v>76</v>
      </c>
      <c r="C16" s="847"/>
      <c r="D16" s="847"/>
      <c r="E16" s="847" t="s">
        <v>25</v>
      </c>
      <c r="F16" s="847"/>
      <c r="G16" s="228">
        <v>11</v>
      </c>
      <c r="H16" s="229">
        <v>8</v>
      </c>
      <c r="I16" s="226">
        <v>7</v>
      </c>
      <c r="J16" s="226">
        <v>7</v>
      </c>
      <c r="K16" s="226">
        <v>7</v>
      </c>
      <c r="L16" s="226" t="s">
        <v>798</v>
      </c>
      <c r="M16" s="229" t="s">
        <v>799</v>
      </c>
      <c r="N16" s="226" t="s">
        <v>792</v>
      </c>
      <c r="O16" s="226">
        <v>2</v>
      </c>
      <c r="P16" s="226" t="s">
        <v>795</v>
      </c>
    </row>
    <row r="17" spans="1:16" s="145" customFormat="1" ht="36" customHeight="1" thickTop="1" thickBot="1">
      <c r="A17" s="231">
        <v>12</v>
      </c>
      <c r="B17" s="847" t="s">
        <v>542</v>
      </c>
      <c r="C17" s="847"/>
      <c r="D17" s="847"/>
      <c r="E17" s="847" t="s">
        <v>170</v>
      </c>
      <c r="F17" s="847"/>
      <c r="G17" s="205">
        <v>12</v>
      </c>
      <c r="H17" s="206">
        <v>9</v>
      </c>
      <c r="I17" s="207">
        <v>8</v>
      </c>
      <c r="J17" s="207">
        <v>8</v>
      </c>
      <c r="K17" s="207">
        <v>8</v>
      </c>
      <c r="L17" s="207" t="s">
        <v>800</v>
      </c>
      <c r="M17" s="206" t="s">
        <v>801</v>
      </c>
      <c r="N17" s="207" t="s">
        <v>802</v>
      </c>
      <c r="O17" s="207">
        <v>2</v>
      </c>
      <c r="P17" s="207" t="s">
        <v>803</v>
      </c>
    </row>
    <row r="18" spans="1:16" s="145" customFormat="1" ht="36" customHeight="1" thickTop="1" thickBot="1">
      <c r="A18" s="231">
        <v>13</v>
      </c>
      <c r="B18" s="847" t="s">
        <v>610</v>
      </c>
      <c r="C18" s="847"/>
      <c r="D18" s="847"/>
      <c r="E18" s="847" t="s">
        <v>170</v>
      </c>
      <c r="F18" s="847"/>
      <c r="G18" s="228">
        <v>13</v>
      </c>
      <c r="H18" s="229">
        <v>9</v>
      </c>
      <c r="I18" s="226">
        <v>8</v>
      </c>
      <c r="J18" s="226">
        <v>8</v>
      </c>
      <c r="K18" s="226">
        <v>8</v>
      </c>
      <c r="L18" s="226" t="s">
        <v>804</v>
      </c>
      <c r="M18" s="229" t="s">
        <v>801</v>
      </c>
      <c r="N18" s="226" t="s">
        <v>802</v>
      </c>
      <c r="O18" s="226">
        <v>2</v>
      </c>
      <c r="P18" s="226" t="s">
        <v>803</v>
      </c>
    </row>
    <row r="19" spans="1:16" s="145" customFormat="1" ht="36" customHeight="1" thickTop="1" thickBot="1">
      <c r="A19" s="231">
        <v>14</v>
      </c>
      <c r="B19" s="847" t="s">
        <v>484</v>
      </c>
      <c r="C19" s="847"/>
      <c r="D19" s="847"/>
      <c r="E19" s="847" t="s">
        <v>25</v>
      </c>
      <c r="F19" s="847"/>
      <c r="G19" s="205">
        <v>14</v>
      </c>
      <c r="H19" s="206">
        <v>10</v>
      </c>
      <c r="I19" s="207">
        <v>9</v>
      </c>
      <c r="J19" s="207">
        <v>9</v>
      </c>
      <c r="K19" s="207">
        <v>9</v>
      </c>
      <c r="L19" s="207" t="s">
        <v>805</v>
      </c>
      <c r="M19" s="206" t="s">
        <v>806</v>
      </c>
      <c r="N19" s="207" t="s">
        <v>802</v>
      </c>
      <c r="O19" s="207">
        <v>2</v>
      </c>
      <c r="P19" s="207" t="s">
        <v>803</v>
      </c>
    </row>
    <row r="20" spans="1:16" s="145" customFormat="1" ht="36" customHeight="1" thickTop="1" thickBot="1">
      <c r="A20" s="231">
        <v>15</v>
      </c>
      <c r="B20" s="847" t="s">
        <v>486</v>
      </c>
      <c r="C20" s="847"/>
      <c r="D20" s="847"/>
      <c r="E20" s="847" t="s">
        <v>515</v>
      </c>
      <c r="F20" s="847"/>
      <c r="G20" s="228">
        <v>15</v>
      </c>
      <c r="H20" s="229">
        <v>11</v>
      </c>
      <c r="I20" s="226">
        <v>9</v>
      </c>
      <c r="J20" s="226">
        <v>9</v>
      </c>
      <c r="K20" s="226">
        <v>9</v>
      </c>
      <c r="L20" s="226" t="s">
        <v>807</v>
      </c>
      <c r="M20" s="229" t="s">
        <v>808</v>
      </c>
      <c r="N20" s="226" t="s">
        <v>802</v>
      </c>
      <c r="O20" s="226">
        <v>3</v>
      </c>
      <c r="P20" s="226" t="s">
        <v>809</v>
      </c>
    </row>
    <row r="21" spans="1:16" s="145" customFormat="1" ht="36" customHeight="1" thickTop="1" thickBot="1">
      <c r="A21" s="231">
        <v>16</v>
      </c>
      <c r="B21" s="847" t="s">
        <v>810</v>
      </c>
      <c r="C21" s="847"/>
      <c r="D21" s="847"/>
      <c r="E21" s="847" t="s">
        <v>168</v>
      </c>
      <c r="F21" s="847"/>
      <c r="G21" s="205">
        <v>16</v>
      </c>
      <c r="H21" s="206">
        <v>12</v>
      </c>
      <c r="I21" s="207">
        <v>10</v>
      </c>
      <c r="J21" s="207">
        <v>10</v>
      </c>
      <c r="K21" s="207">
        <v>10</v>
      </c>
      <c r="L21" s="207" t="s">
        <v>811</v>
      </c>
      <c r="M21" s="206" t="s">
        <v>812</v>
      </c>
      <c r="N21" s="207" t="s">
        <v>813</v>
      </c>
      <c r="O21" s="207">
        <v>3</v>
      </c>
      <c r="P21" s="207" t="s">
        <v>809</v>
      </c>
    </row>
    <row r="22" spans="1:16" s="145" customFormat="1" ht="36" customHeight="1" thickTop="1" thickBot="1">
      <c r="A22" s="231">
        <v>17</v>
      </c>
      <c r="B22" s="847" t="s">
        <v>814</v>
      </c>
      <c r="C22" s="847"/>
      <c r="D22" s="847"/>
      <c r="E22" s="847" t="s">
        <v>168</v>
      </c>
      <c r="F22" s="847"/>
      <c r="G22" s="228">
        <v>17</v>
      </c>
      <c r="H22" s="229">
        <v>12</v>
      </c>
      <c r="I22" s="226">
        <v>10</v>
      </c>
      <c r="J22" s="226">
        <v>10</v>
      </c>
      <c r="K22" s="226">
        <v>10</v>
      </c>
      <c r="L22" s="226" t="s">
        <v>815</v>
      </c>
      <c r="M22" s="229" t="s">
        <v>812</v>
      </c>
      <c r="N22" s="226" t="s">
        <v>813</v>
      </c>
      <c r="O22" s="226">
        <v>3</v>
      </c>
      <c r="P22" s="226" t="s">
        <v>809</v>
      </c>
    </row>
    <row r="23" spans="1:16" s="145" customFormat="1" ht="36" customHeight="1" thickTop="1" thickBot="1">
      <c r="G23" s="208">
        <v>18</v>
      </c>
      <c r="H23" s="206">
        <v>13</v>
      </c>
      <c r="I23" s="207">
        <v>11</v>
      </c>
      <c r="J23" s="207">
        <v>11</v>
      </c>
      <c r="K23" s="207">
        <v>11</v>
      </c>
      <c r="L23" s="207" t="s">
        <v>816</v>
      </c>
      <c r="M23" s="206" t="s">
        <v>817</v>
      </c>
      <c r="N23" s="207" t="s">
        <v>813</v>
      </c>
      <c r="O23" s="207">
        <v>3</v>
      </c>
      <c r="P23" s="207" t="s">
        <v>818</v>
      </c>
    </row>
    <row r="24" spans="1:16" s="145" customFormat="1" ht="36" customHeight="1" thickBot="1">
      <c r="B24"/>
      <c r="G24" s="230">
        <v>19</v>
      </c>
      <c r="H24" s="229">
        <v>14</v>
      </c>
      <c r="I24" s="226">
        <v>11</v>
      </c>
      <c r="J24" s="226">
        <v>11</v>
      </c>
      <c r="K24" s="226">
        <v>11</v>
      </c>
      <c r="L24" s="226" t="s">
        <v>819</v>
      </c>
      <c r="M24" s="229" t="s">
        <v>820</v>
      </c>
      <c r="N24" s="226" t="s">
        <v>813</v>
      </c>
      <c r="O24" s="226">
        <v>3</v>
      </c>
      <c r="P24" s="226" t="s">
        <v>818</v>
      </c>
    </row>
    <row r="25" spans="1:16" s="145" customFormat="1" ht="36" customHeight="1" thickBot="1">
      <c r="G25" s="208">
        <v>20</v>
      </c>
      <c r="H25" s="206">
        <v>15</v>
      </c>
      <c r="I25" s="207">
        <v>12</v>
      </c>
      <c r="J25" s="207">
        <v>12</v>
      </c>
      <c r="K25" s="207">
        <v>12</v>
      </c>
      <c r="L25" s="207" t="s">
        <v>821</v>
      </c>
      <c r="M25" s="206" t="s">
        <v>822</v>
      </c>
      <c r="N25" s="207" t="s">
        <v>823</v>
      </c>
      <c r="O25" s="207">
        <v>4</v>
      </c>
      <c r="P25" s="207" t="s">
        <v>818</v>
      </c>
    </row>
    <row r="26" spans="1:16" ht="15.75" thickBot="1"/>
    <row r="27" spans="1:16" ht="63" customHeight="1" thickBot="1">
      <c r="M27" s="194" t="s">
        <v>2</v>
      </c>
      <c r="N27" s="209" t="s">
        <v>824</v>
      </c>
      <c r="O27" s="209" t="s">
        <v>825</v>
      </c>
    </row>
    <row r="28" spans="1:16" ht="19.5" thickBot="1">
      <c r="M28" s="229" t="s">
        <v>826</v>
      </c>
      <c r="N28" s="226" t="s">
        <v>827</v>
      </c>
      <c r="O28" s="226" t="s">
        <v>781</v>
      </c>
    </row>
    <row r="29" spans="1:16" ht="19.5" thickBot="1">
      <c r="M29" s="210" t="s">
        <v>828</v>
      </c>
      <c r="N29" s="207" t="s">
        <v>772</v>
      </c>
      <c r="O29" s="207" t="s">
        <v>802</v>
      </c>
    </row>
    <row r="30" spans="1:16" ht="19.5" thickBot="1">
      <c r="M30" s="229" t="s">
        <v>829</v>
      </c>
      <c r="N30" s="226" t="s">
        <v>781</v>
      </c>
      <c r="O30" s="226" t="s">
        <v>813</v>
      </c>
    </row>
    <row r="31" spans="1:16" ht="19.5" thickBot="1">
      <c r="M31" s="206" t="s">
        <v>830</v>
      </c>
      <c r="N31" s="207" t="s">
        <v>792</v>
      </c>
      <c r="O31" s="207" t="s">
        <v>831</v>
      </c>
    </row>
    <row r="32" spans="1:16" ht="19.5" thickBot="1">
      <c r="M32" s="229" t="s">
        <v>832</v>
      </c>
      <c r="N32" s="226" t="s">
        <v>802</v>
      </c>
      <c r="O32" s="226" t="s">
        <v>833</v>
      </c>
    </row>
    <row r="33" spans="13:15" ht="19.5" thickBot="1">
      <c r="M33" s="206">
        <v>20</v>
      </c>
      <c r="N33" s="207" t="s">
        <v>813</v>
      </c>
      <c r="O33" s="207" t="s">
        <v>834</v>
      </c>
    </row>
  </sheetData>
  <mergeCells count="39">
    <mergeCell ref="A1:F3"/>
    <mergeCell ref="G1:G2"/>
    <mergeCell ref="H1:H2"/>
    <mergeCell ref="A4:F5"/>
    <mergeCell ref="E6:F6"/>
    <mergeCell ref="E7:F7"/>
    <mergeCell ref="E8:F8"/>
    <mergeCell ref="E9:F9"/>
    <mergeCell ref="E10:F10"/>
    <mergeCell ref="E20:F20"/>
    <mergeCell ref="E11:F11"/>
    <mergeCell ref="E12:F12"/>
    <mergeCell ref="E13:F13"/>
    <mergeCell ref="E14:F14"/>
    <mergeCell ref="E15:F15"/>
    <mergeCell ref="B16:D16"/>
    <mergeCell ref="B17:D17"/>
    <mergeCell ref="B18:D18"/>
    <mergeCell ref="B19:D19"/>
    <mergeCell ref="E16:F16"/>
    <mergeCell ref="E17:F17"/>
    <mergeCell ref="E18:F18"/>
    <mergeCell ref="E19:F19"/>
    <mergeCell ref="B20:D20"/>
    <mergeCell ref="B21:D21"/>
    <mergeCell ref="B22:D22"/>
    <mergeCell ref="G3:P4"/>
    <mergeCell ref="E21:F21"/>
    <mergeCell ref="E22:F2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15"/>
    </sheetView>
  </sheetViews>
  <sheetFormatPr defaultRowHeight="15"/>
  <cols>
    <col min="7" max="7" width="14" customWidth="1"/>
    <col min="9" max="9" width="12.42578125" customWidth="1"/>
    <col min="12" max="12" width="68.42578125" customWidth="1"/>
    <col min="14" max="14" width="8.85546875" customWidth="1"/>
  </cols>
  <sheetData>
    <row r="1" spans="1:16" ht="16.5" thickTop="1" thickBot="1">
      <c r="A1" s="867" t="s">
        <v>180</v>
      </c>
      <c r="B1" s="868"/>
      <c r="C1" s="868"/>
      <c r="D1" s="868"/>
      <c r="E1" s="868"/>
      <c r="F1" s="869"/>
      <c r="G1" s="870" t="s">
        <v>26</v>
      </c>
      <c r="H1" s="872" t="s">
        <v>476</v>
      </c>
    </row>
    <row r="2" spans="1:16" ht="16.5" thickTop="1" thickBot="1">
      <c r="A2" s="867"/>
      <c r="B2" s="868"/>
      <c r="C2" s="868"/>
      <c r="D2" s="868"/>
      <c r="E2" s="868"/>
      <c r="F2" s="869"/>
      <c r="G2" s="871"/>
      <c r="H2" s="873"/>
    </row>
    <row r="3" spans="1:16" ht="16.5" thickTop="1" thickBot="1">
      <c r="A3" s="867"/>
      <c r="B3" s="868"/>
      <c r="C3" s="868"/>
      <c r="D3" s="868"/>
      <c r="E3" s="868"/>
      <c r="F3" s="869"/>
      <c r="G3" s="825" t="s">
        <v>107</v>
      </c>
      <c r="H3" s="825"/>
      <c r="I3" s="841" t="s">
        <v>835</v>
      </c>
      <c r="J3" s="841" t="s">
        <v>836</v>
      </c>
      <c r="K3" s="841" t="s">
        <v>837</v>
      </c>
      <c r="L3" s="841" t="s">
        <v>479</v>
      </c>
      <c r="M3" s="842" t="s">
        <v>596</v>
      </c>
      <c r="N3" s="843"/>
      <c r="O3" s="843"/>
      <c r="P3" s="843"/>
    </row>
    <row r="4" spans="1:16" ht="16.5" thickTop="1" thickBot="1">
      <c r="A4" s="874" t="s">
        <v>44</v>
      </c>
      <c r="B4" s="875"/>
      <c r="C4" s="875"/>
      <c r="D4" s="875"/>
      <c r="E4" s="875"/>
      <c r="F4" s="876"/>
      <c r="G4" s="825"/>
      <c r="H4" s="825"/>
      <c r="I4" s="841"/>
      <c r="J4" s="841"/>
      <c r="K4" s="841"/>
      <c r="L4" s="841"/>
      <c r="M4" s="843"/>
      <c r="N4" s="843"/>
      <c r="O4" s="843"/>
      <c r="P4" s="843"/>
    </row>
    <row r="5" spans="1:16" ht="52.5" customHeight="1" thickTop="1" thickBot="1">
      <c r="A5" s="874"/>
      <c r="B5" s="875"/>
      <c r="C5" s="875"/>
      <c r="D5" s="875"/>
      <c r="E5" s="875"/>
      <c r="F5" s="876"/>
      <c r="G5" s="394" t="s">
        <v>477</v>
      </c>
      <c r="H5" s="394" t="s">
        <v>478</v>
      </c>
      <c r="I5" s="841"/>
      <c r="J5" s="841"/>
      <c r="K5" s="841"/>
      <c r="L5" s="841"/>
      <c r="M5" s="393">
        <v>1</v>
      </c>
      <c r="N5" s="393">
        <v>2</v>
      </c>
      <c r="O5" s="393">
        <v>3</v>
      </c>
      <c r="P5" s="393">
        <v>4</v>
      </c>
    </row>
    <row r="6" spans="1:16" ht="27" customHeight="1" thickTop="1" thickBot="1">
      <c r="A6" s="233">
        <v>1</v>
      </c>
      <c r="B6" s="866" t="s">
        <v>57</v>
      </c>
      <c r="C6" s="866"/>
      <c r="D6" s="866"/>
      <c r="E6" s="866" t="s">
        <v>507</v>
      </c>
      <c r="F6" s="866"/>
      <c r="G6" s="220">
        <v>1</v>
      </c>
      <c r="H6" s="220">
        <v>1</v>
      </c>
      <c r="I6" s="220">
        <v>2</v>
      </c>
      <c r="J6" s="220">
        <v>0</v>
      </c>
      <c r="K6" s="220">
        <v>0</v>
      </c>
      <c r="L6" s="220" t="s">
        <v>838</v>
      </c>
      <c r="M6" s="151" t="s">
        <v>188</v>
      </c>
      <c r="N6" s="151" t="s">
        <v>188</v>
      </c>
      <c r="O6" s="151" t="s">
        <v>188</v>
      </c>
      <c r="P6" s="151" t="s">
        <v>188</v>
      </c>
    </row>
    <row r="7" spans="1:16" ht="22.5" customHeight="1" thickTop="1" thickBot="1">
      <c r="A7" s="233">
        <v>2</v>
      </c>
      <c r="B7" s="866" t="s">
        <v>482</v>
      </c>
      <c r="C7" s="866"/>
      <c r="D7" s="866"/>
      <c r="E7" s="866" t="s">
        <v>168</v>
      </c>
      <c r="F7" s="866"/>
      <c r="G7" s="392">
        <v>2</v>
      </c>
      <c r="H7" s="392">
        <v>2</v>
      </c>
      <c r="I7" s="392">
        <v>3</v>
      </c>
      <c r="J7" s="392">
        <v>0</v>
      </c>
      <c r="K7" s="392">
        <v>0</v>
      </c>
      <c r="L7" s="392" t="s">
        <v>839</v>
      </c>
      <c r="M7" s="212" t="s">
        <v>188</v>
      </c>
      <c r="N7" s="212" t="s">
        <v>188</v>
      </c>
      <c r="O7" s="212" t="s">
        <v>188</v>
      </c>
      <c r="P7" s="212" t="s">
        <v>188</v>
      </c>
    </row>
    <row r="8" spans="1:16" ht="35.25" customHeight="1" thickTop="1" thickBot="1">
      <c r="A8" s="233">
        <v>3</v>
      </c>
      <c r="B8" s="866" t="s">
        <v>840</v>
      </c>
      <c r="C8" s="866"/>
      <c r="D8" s="866"/>
      <c r="E8" s="866"/>
      <c r="F8" s="866"/>
      <c r="G8" s="220">
        <v>3</v>
      </c>
      <c r="H8" s="220">
        <v>3</v>
      </c>
      <c r="I8" s="220">
        <v>3</v>
      </c>
      <c r="J8" s="220">
        <v>1</v>
      </c>
      <c r="K8" s="220">
        <v>1</v>
      </c>
      <c r="L8" s="220" t="s">
        <v>841</v>
      </c>
      <c r="M8" s="151" t="s">
        <v>188</v>
      </c>
      <c r="N8" s="151" t="s">
        <v>188</v>
      </c>
      <c r="O8" s="151" t="s">
        <v>188</v>
      </c>
      <c r="P8" s="151" t="s">
        <v>188</v>
      </c>
    </row>
    <row r="9" spans="1:16" ht="22.5" customHeight="1" thickTop="1" thickBot="1">
      <c r="A9" s="233">
        <v>4</v>
      </c>
      <c r="B9" s="866" t="s">
        <v>672</v>
      </c>
      <c r="C9" s="866"/>
      <c r="D9" s="866"/>
      <c r="E9" s="866"/>
      <c r="F9" s="866"/>
      <c r="G9" s="392">
        <v>4</v>
      </c>
      <c r="H9" s="392">
        <v>4</v>
      </c>
      <c r="I9" s="392">
        <v>4</v>
      </c>
      <c r="J9" s="392">
        <v>1</v>
      </c>
      <c r="K9" s="392">
        <v>1</v>
      </c>
      <c r="L9" s="392" t="s">
        <v>842</v>
      </c>
      <c r="M9" s="212">
        <v>0</v>
      </c>
      <c r="N9" s="212" t="s">
        <v>188</v>
      </c>
      <c r="O9" s="212" t="s">
        <v>188</v>
      </c>
      <c r="P9" s="212" t="s">
        <v>188</v>
      </c>
    </row>
    <row r="10" spans="1:16" ht="22.5" customHeight="1" thickTop="1" thickBot="1">
      <c r="A10" s="233">
        <v>5</v>
      </c>
      <c r="B10" s="866" t="s">
        <v>64</v>
      </c>
      <c r="C10" s="866"/>
      <c r="D10" s="866"/>
      <c r="E10" s="866" t="s">
        <v>598</v>
      </c>
      <c r="F10" s="866"/>
      <c r="G10" s="220">
        <v>5</v>
      </c>
      <c r="H10" s="220">
        <v>5</v>
      </c>
      <c r="I10" s="220">
        <v>4</v>
      </c>
      <c r="J10" s="220">
        <v>1</v>
      </c>
      <c r="K10" s="220">
        <v>1</v>
      </c>
      <c r="L10" s="220" t="s">
        <v>843</v>
      </c>
      <c r="M10" s="151">
        <v>0</v>
      </c>
      <c r="N10" s="151" t="s">
        <v>188</v>
      </c>
      <c r="O10" s="151" t="s">
        <v>188</v>
      </c>
      <c r="P10" s="151" t="s">
        <v>188</v>
      </c>
    </row>
    <row r="11" spans="1:16" ht="22.5" customHeight="1" thickTop="1" thickBot="1">
      <c r="A11" s="233">
        <v>6</v>
      </c>
      <c r="B11" s="866" t="s">
        <v>68</v>
      </c>
      <c r="C11" s="866"/>
      <c r="D11" s="866"/>
      <c r="E11" s="866" t="s">
        <v>170</v>
      </c>
      <c r="F11" s="866"/>
      <c r="G11" s="392">
        <v>6</v>
      </c>
      <c r="H11" s="392">
        <v>6</v>
      </c>
      <c r="I11" s="392">
        <v>5</v>
      </c>
      <c r="J11" s="392">
        <v>2</v>
      </c>
      <c r="K11" s="392">
        <v>2</v>
      </c>
      <c r="L11" s="392" t="s">
        <v>844</v>
      </c>
      <c r="M11" s="212">
        <v>1</v>
      </c>
      <c r="N11" s="212" t="s">
        <v>188</v>
      </c>
      <c r="O11" s="212" t="s">
        <v>188</v>
      </c>
      <c r="P11" s="212" t="s">
        <v>188</v>
      </c>
    </row>
    <row r="12" spans="1:16" ht="35.25" customHeight="1" thickTop="1" thickBot="1">
      <c r="A12" s="233">
        <v>7</v>
      </c>
      <c r="B12" s="866" t="s">
        <v>613</v>
      </c>
      <c r="C12" s="866"/>
      <c r="D12" s="866"/>
      <c r="E12" s="866" t="s">
        <v>845</v>
      </c>
      <c r="F12" s="866"/>
      <c r="G12" s="220">
        <v>7</v>
      </c>
      <c r="H12" s="220">
        <v>7</v>
      </c>
      <c r="I12" s="220">
        <v>5</v>
      </c>
      <c r="J12" s="220">
        <v>2</v>
      </c>
      <c r="K12" s="220">
        <v>2</v>
      </c>
      <c r="L12" s="220"/>
      <c r="M12" s="151">
        <v>1</v>
      </c>
      <c r="N12" s="151" t="s">
        <v>188</v>
      </c>
      <c r="O12" s="151" t="s">
        <v>188</v>
      </c>
      <c r="P12" s="151" t="s">
        <v>188</v>
      </c>
    </row>
    <row r="13" spans="1:16" ht="22.5" customHeight="1" thickTop="1" thickBot="1">
      <c r="A13" s="233">
        <v>8</v>
      </c>
      <c r="B13" s="866" t="s">
        <v>610</v>
      </c>
      <c r="C13" s="866"/>
      <c r="D13" s="866"/>
      <c r="E13" s="866" t="s">
        <v>170</v>
      </c>
      <c r="F13" s="866"/>
      <c r="G13" s="392">
        <v>8</v>
      </c>
      <c r="H13" s="392">
        <v>8</v>
      </c>
      <c r="I13" s="392">
        <v>6</v>
      </c>
      <c r="J13" s="392">
        <v>2</v>
      </c>
      <c r="K13" s="392">
        <v>2</v>
      </c>
      <c r="L13" s="392"/>
      <c r="M13" s="212">
        <v>1</v>
      </c>
      <c r="N13" s="212">
        <v>0</v>
      </c>
      <c r="O13" s="212" t="s">
        <v>188</v>
      </c>
      <c r="P13" s="212" t="s">
        <v>188</v>
      </c>
    </row>
    <row r="14" spans="1:16" ht="22.5" customHeight="1" thickTop="1" thickBot="1">
      <c r="A14" s="233">
        <v>9</v>
      </c>
      <c r="B14" s="866" t="s">
        <v>486</v>
      </c>
      <c r="C14" s="866"/>
      <c r="D14" s="866"/>
      <c r="E14" s="866" t="s">
        <v>515</v>
      </c>
      <c r="F14" s="866"/>
      <c r="G14" s="220">
        <v>9</v>
      </c>
      <c r="H14" s="220">
        <v>9</v>
      </c>
      <c r="I14" s="220">
        <v>6</v>
      </c>
      <c r="J14" s="220">
        <v>3</v>
      </c>
      <c r="K14" s="220">
        <v>3</v>
      </c>
      <c r="L14" s="220" t="s">
        <v>846</v>
      </c>
      <c r="M14" s="151">
        <v>1</v>
      </c>
      <c r="N14" s="151">
        <v>0</v>
      </c>
      <c r="O14" s="151" t="s">
        <v>188</v>
      </c>
      <c r="P14" s="151" t="s">
        <v>188</v>
      </c>
    </row>
    <row r="15" spans="1:16" ht="22.5" customHeight="1" thickTop="1" thickBot="1">
      <c r="A15" s="233">
        <v>10</v>
      </c>
      <c r="B15" s="866" t="s">
        <v>847</v>
      </c>
      <c r="C15" s="866"/>
      <c r="D15" s="866"/>
      <c r="E15" s="866" t="s">
        <v>170</v>
      </c>
      <c r="F15" s="866"/>
      <c r="G15" s="392">
        <v>10</v>
      </c>
      <c r="H15" s="392">
        <v>10</v>
      </c>
      <c r="I15" s="392">
        <v>7</v>
      </c>
      <c r="J15" s="392">
        <v>3</v>
      </c>
      <c r="K15" s="392">
        <v>3</v>
      </c>
      <c r="L15" s="392" t="s">
        <v>848</v>
      </c>
      <c r="M15" s="212">
        <v>1</v>
      </c>
      <c r="N15" s="212">
        <v>1</v>
      </c>
      <c r="O15" s="212" t="s">
        <v>188</v>
      </c>
      <c r="P15" s="212" t="s">
        <v>188</v>
      </c>
    </row>
    <row r="16" spans="1:16" ht="22.5" customHeight="1" thickTop="1" thickBot="1">
      <c r="G16" s="220">
        <v>11</v>
      </c>
      <c r="H16" s="220">
        <v>11</v>
      </c>
      <c r="I16" s="220">
        <v>7</v>
      </c>
      <c r="J16" s="220">
        <v>3</v>
      </c>
      <c r="K16" s="220">
        <v>3</v>
      </c>
      <c r="L16" s="220" t="s">
        <v>494</v>
      </c>
      <c r="M16" s="151">
        <v>1</v>
      </c>
      <c r="N16" s="151">
        <v>1</v>
      </c>
      <c r="O16" s="151">
        <v>0</v>
      </c>
      <c r="P16" s="151" t="s">
        <v>188</v>
      </c>
    </row>
    <row r="17" spans="7:16" ht="22.5" customHeight="1" thickTop="1" thickBot="1">
      <c r="G17" s="392">
        <v>12</v>
      </c>
      <c r="H17" s="392">
        <v>12</v>
      </c>
      <c r="I17" s="392">
        <v>8</v>
      </c>
      <c r="J17" s="392">
        <v>4</v>
      </c>
      <c r="K17" s="392">
        <v>4</v>
      </c>
      <c r="L17" s="392" t="s">
        <v>849</v>
      </c>
      <c r="M17" s="212">
        <v>1</v>
      </c>
      <c r="N17" s="212">
        <v>1</v>
      </c>
      <c r="O17" s="212">
        <v>1</v>
      </c>
      <c r="P17" s="212" t="s">
        <v>188</v>
      </c>
    </row>
    <row r="18" spans="7:16" ht="22.5" customHeight="1" thickTop="1" thickBot="1">
      <c r="G18" s="220">
        <v>13</v>
      </c>
      <c r="H18" s="220">
        <v>13</v>
      </c>
      <c r="I18" s="220">
        <v>8</v>
      </c>
      <c r="J18" s="220">
        <v>4</v>
      </c>
      <c r="K18" s="220">
        <v>4</v>
      </c>
      <c r="L18" s="220"/>
      <c r="M18" s="151">
        <v>1</v>
      </c>
      <c r="N18" s="151">
        <v>1</v>
      </c>
      <c r="O18" s="151">
        <v>1</v>
      </c>
      <c r="P18" s="151" t="s">
        <v>188</v>
      </c>
    </row>
    <row r="19" spans="7:16" ht="22.5" customHeight="1" thickTop="1" thickBot="1">
      <c r="G19" s="392">
        <v>14</v>
      </c>
      <c r="H19" s="392">
        <v>14</v>
      </c>
      <c r="I19" s="392">
        <v>9</v>
      </c>
      <c r="J19" s="392">
        <v>4</v>
      </c>
      <c r="K19" s="392">
        <v>4</v>
      </c>
      <c r="L19" s="392" t="s">
        <v>494</v>
      </c>
      <c r="M19" s="212">
        <v>2</v>
      </c>
      <c r="N19" s="212">
        <v>1</v>
      </c>
      <c r="O19" s="212">
        <v>1</v>
      </c>
      <c r="P19" s="212">
        <v>0</v>
      </c>
    </row>
    <row r="20" spans="7:16" ht="22.5" customHeight="1" thickTop="1" thickBot="1">
      <c r="G20" s="220">
        <v>15</v>
      </c>
      <c r="H20" s="220">
        <v>15</v>
      </c>
      <c r="I20" s="220">
        <v>9</v>
      </c>
      <c r="J20" s="220">
        <v>5</v>
      </c>
      <c r="K20" s="220">
        <v>5</v>
      </c>
      <c r="L20" s="220" t="s">
        <v>850</v>
      </c>
      <c r="M20" s="151">
        <v>2</v>
      </c>
      <c r="N20" s="151">
        <v>1</v>
      </c>
      <c r="O20" s="151">
        <v>1</v>
      </c>
      <c r="P20" s="151">
        <v>1</v>
      </c>
    </row>
    <row r="21" spans="7:16" ht="22.5" customHeight="1" thickTop="1" thickBot="1">
      <c r="G21" s="392">
        <v>16</v>
      </c>
      <c r="H21" s="392">
        <v>16</v>
      </c>
      <c r="I21" s="392">
        <v>10</v>
      </c>
      <c r="J21" s="392">
        <v>5</v>
      </c>
      <c r="K21" s="392">
        <v>5</v>
      </c>
      <c r="L21" s="392"/>
      <c r="M21" s="212">
        <v>2</v>
      </c>
      <c r="N21" s="212">
        <v>2</v>
      </c>
      <c r="O21" s="212">
        <v>1</v>
      </c>
      <c r="P21" s="212">
        <v>1</v>
      </c>
    </row>
    <row r="22" spans="7:16" ht="22.5" customHeight="1" thickTop="1" thickBot="1">
      <c r="G22" s="220">
        <v>17</v>
      </c>
      <c r="H22" s="220">
        <v>17</v>
      </c>
      <c r="I22" s="220">
        <v>10</v>
      </c>
      <c r="J22" s="220">
        <v>5</v>
      </c>
      <c r="K22" s="220">
        <v>5</v>
      </c>
      <c r="L22" s="220"/>
      <c r="M22" s="151">
        <v>2</v>
      </c>
      <c r="N22" s="151">
        <v>2</v>
      </c>
      <c r="O22" s="151">
        <v>2</v>
      </c>
      <c r="P22" s="151">
        <v>1</v>
      </c>
    </row>
    <row r="23" spans="7:16" ht="22.5" customHeight="1" thickTop="1" thickBot="1">
      <c r="G23" s="392">
        <v>18</v>
      </c>
      <c r="H23" s="392">
        <v>18</v>
      </c>
      <c r="I23" s="392">
        <v>11</v>
      </c>
      <c r="J23" s="392">
        <v>6</v>
      </c>
      <c r="K23" s="392">
        <v>6</v>
      </c>
      <c r="L23" s="392" t="s">
        <v>851</v>
      </c>
      <c r="M23" s="212">
        <v>3</v>
      </c>
      <c r="N23" s="212">
        <v>2</v>
      </c>
      <c r="O23" s="212">
        <v>2</v>
      </c>
      <c r="P23" s="212">
        <v>1</v>
      </c>
    </row>
    <row r="24" spans="7:16" ht="22.5" customHeight="1" thickTop="1" thickBot="1">
      <c r="G24" s="220">
        <v>19</v>
      </c>
      <c r="H24" s="220">
        <v>19</v>
      </c>
      <c r="I24" s="220">
        <v>11</v>
      </c>
      <c r="J24" s="220">
        <v>6</v>
      </c>
      <c r="K24" s="220">
        <v>6</v>
      </c>
      <c r="L24" s="220"/>
      <c r="M24" s="151">
        <v>3</v>
      </c>
      <c r="N24" s="151">
        <v>3</v>
      </c>
      <c r="O24" s="151">
        <v>3</v>
      </c>
      <c r="P24" s="151">
        <v>2</v>
      </c>
    </row>
    <row r="25" spans="7:16" ht="22.5" customHeight="1" thickTop="1" thickBot="1">
      <c r="G25" s="392">
        <v>20</v>
      </c>
      <c r="H25" s="392">
        <v>20</v>
      </c>
      <c r="I25" s="392">
        <v>12</v>
      </c>
      <c r="J25" s="392">
        <v>6</v>
      </c>
      <c r="K25" s="392">
        <v>6</v>
      </c>
      <c r="L25" s="392" t="s">
        <v>852</v>
      </c>
      <c r="M25" s="212">
        <v>3</v>
      </c>
      <c r="N25" s="212">
        <v>3</v>
      </c>
      <c r="O25" s="212">
        <v>3</v>
      </c>
      <c r="P25" s="212">
        <v>3</v>
      </c>
    </row>
    <row r="26" spans="7:16" ht="16.5" thickTop="1" thickBot="1"/>
    <row r="27" spans="7:16" ht="42" customHeight="1" thickTop="1" thickBot="1">
      <c r="G27" s="865" t="s">
        <v>853</v>
      </c>
      <c r="H27" s="865"/>
      <c r="I27" s="865"/>
      <c r="J27" s="865"/>
      <c r="K27" s="865"/>
      <c r="L27" s="865"/>
    </row>
    <row r="28" spans="7:16" ht="57.75" thickTop="1" thickBot="1">
      <c r="G28" s="146" t="s">
        <v>854</v>
      </c>
      <c r="H28" s="146" t="s">
        <v>855</v>
      </c>
      <c r="I28" s="146" t="s">
        <v>856</v>
      </c>
      <c r="J28" s="146" t="s">
        <v>857</v>
      </c>
      <c r="K28" s="146" t="s">
        <v>515</v>
      </c>
      <c r="L28" s="146" t="s">
        <v>479</v>
      </c>
    </row>
    <row r="29" spans="7:16" ht="39" thickTop="1" thickBot="1">
      <c r="G29" s="147" t="s">
        <v>858</v>
      </c>
      <c r="H29" s="147">
        <v>2</v>
      </c>
      <c r="I29" s="147">
        <v>4</v>
      </c>
      <c r="J29" s="147">
        <v>1</v>
      </c>
      <c r="K29" s="147">
        <v>6</v>
      </c>
      <c r="L29" s="147" t="s">
        <v>859</v>
      </c>
    </row>
    <row r="30" spans="7:16" ht="20.25" thickTop="1" thickBot="1">
      <c r="G30" s="147" t="s">
        <v>860</v>
      </c>
      <c r="H30" s="147">
        <v>4</v>
      </c>
      <c r="I30" s="147">
        <v>6</v>
      </c>
      <c r="J30" s="147">
        <v>2</v>
      </c>
      <c r="K30" s="147">
        <v>7</v>
      </c>
      <c r="L30" s="147" t="s">
        <v>861</v>
      </c>
    </row>
    <row r="31" spans="7:16" ht="20.25" thickTop="1" thickBot="1">
      <c r="G31" s="147" t="s">
        <v>862</v>
      </c>
      <c r="H31" s="147">
        <v>6</v>
      </c>
      <c r="I31" s="147">
        <v>8</v>
      </c>
      <c r="J31" s="147">
        <v>3</v>
      </c>
      <c r="K31" s="147">
        <v>8</v>
      </c>
      <c r="L31" s="147" t="s">
        <v>863</v>
      </c>
    </row>
    <row r="32" spans="7:16" ht="20.25" thickTop="1" thickBot="1">
      <c r="G32" s="147" t="s">
        <v>864</v>
      </c>
      <c r="H32" s="147">
        <v>8</v>
      </c>
      <c r="I32" s="147">
        <v>10</v>
      </c>
      <c r="J32" s="147">
        <v>4</v>
      </c>
      <c r="K32" s="147">
        <v>9</v>
      </c>
      <c r="L32" s="147" t="s">
        <v>758</v>
      </c>
    </row>
    <row r="33" ht="15.75" thickTop="1"/>
  </sheetData>
  <mergeCells count="31">
    <mergeCell ref="A1:F3"/>
    <mergeCell ref="G1:G2"/>
    <mergeCell ref="H1:H2"/>
    <mergeCell ref="G3:H4"/>
    <mergeCell ref="A4:F5"/>
    <mergeCell ref="M3:P4"/>
    <mergeCell ref="I3:I5"/>
    <mergeCell ref="J3:J5"/>
    <mergeCell ref="K3:K5"/>
    <mergeCell ref="L3:L5"/>
    <mergeCell ref="E6:F6"/>
    <mergeCell ref="E7:F7"/>
    <mergeCell ref="E8:F8"/>
    <mergeCell ref="E9:F9"/>
    <mergeCell ref="E10:F10"/>
    <mergeCell ref="B6:D6"/>
    <mergeCell ref="B7:D7"/>
    <mergeCell ref="B8:D8"/>
    <mergeCell ref="B9:D9"/>
    <mergeCell ref="B10:D10"/>
    <mergeCell ref="G27:L27"/>
    <mergeCell ref="B11:D11"/>
    <mergeCell ref="B12:D12"/>
    <mergeCell ref="B13:D13"/>
    <mergeCell ref="B14:D14"/>
    <mergeCell ref="B15:D15"/>
    <mergeCell ref="E11:F11"/>
    <mergeCell ref="E12:F12"/>
    <mergeCell ref="E13:F13"/>
    <mergeCell ref="E14:F14"/>
    <mergeCell ref="E15:F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showRowColHeaders="0" workbookViewId="0">
      <selection activeCell="G3" sqref="G3:H4"/>
    </sheetView>
  </sheetViews>
  <sheetFormatPr defaultRowHeight="15"/>
  <cols>
    <col min="9" max="9" width="10.42578125" customWidth="1"/>
    <col min="10" max="10" width="15.85546875" customWidth="1"/>
    <col min="11" max="11" width="9.42578125" customWidth="1"/>
    <col min="12" max="12" width="46.140625" customWidth="1"/>
    <col min="13" max="13" width="6.42578125" customWidth="1"/>
    <col min="14" max="14" width="5.7109375" customWidth="1"/>
    <col min="15" max="15" width="12.85546875" customWidth="1"/>
    <col min="16" max="16" width="11" customWidth="1"/>
    <col min="17" max="17" width="9.7109375" customWidth="1"/>
    <col min="18" max="18" width="32" customWidth="1"/>
    <col min="19" max="19" width="27.7109375" customWidth="1"/>
  </cols>
  <sheetData>
    <row r="1" spans="1:19" ht="16.5" thickTop="1" thickBot="1">
      <c r="A1" s="878" t="s">
        <v>181</v>
      </c>
      <c r="B1" s="879"/>
      <c r="C1" s="879"/>
      <c r="D1" s="879"/>
      <c r="E1" s="879"/>
      <c r="F1" s="880"/>
      <c r="G1" s="881" t="s">
        <v>26</v>
      </c>
      <c r="H1" s="883" t="s">
        <v>593</v>
      </c>
      <c r="R1" s="877" t="s">
        <v>865</v>
      </c>
      <c r="S1" s="877"/>
    </row>
    <row r="2" spans="1:19" ht="16.5" thickTop="1" thickBot="1">
      <c r="A2" s="878"/>
      <c r="B2" s="879"/>
      <c r="C2" s="879"/>
      <c r="D2" s="879"/>
      <c r="E2" s="879"/>
      <c r="F2" s="880"/>
      <c r="G2" s="882"/>
      <c r="H2" s="884"/>
      <c r="R2" s="877"/>
      <c r="S2" s="877"/>
    </row>
    <row r="3" spans="1:19" ht="20.25" thickTop="1" thickBot="1">
      <c r="A3" s="878"/>
      <c r="B3" s="879"/>
      <c r="C3" s="879"/>
      <c r="D3" s="879"/>
      <c r="E3" s="879"/>
      <c r="F3" s="880"/>
      <c r="G3" s="885" t="s">
        <v>107</v>
      </c>
      <c r="H3" s="825"/>
      <c r="I3" s="841" t="s">
        <v>835</v>
      </c>
      <c r="J3" s="841" t="s">
        <v>836</v>
      </c>
      <c r="K3" s="841" t="s">
        <v>837</v>
      </c>
      <c r="L3" s="841" t="s">
        <v>479</v>
      </c>
      <c r="M3" s="842" t="s">
        <v>186</v>
      </c>
      <c r="N3" s="843"/>
      <c r="O3" s="843"/>
      <c r="P3" s="843"/>
      <c r="R3" s="397" t="s">
        <v>866</v>
      </c>
      <c r="S3" s="397" t="s">
        <v>867</v>
      </c>
    </row>
    <row r="4" spans="1:19" ht="20.25" thickTop="1" thickBot="1">
      <c r="A4" s="874" t="s">
        <v>44</v>
      </c>
      <c r="B4" s="875"/>
      <c r="C4" s="875"/>
      <c r="D4" s="875"/>
      <c r="E4" s="875"/>
      <c r="F4" s="876"/>
      <c r="G4" s="885"/>
      <c r="H4" s="825"/>
      <c r="I4" s="841"/>
      <c r="J4" s="841"/>
      <c r="K4" s="841"/>
      <c r="L4" s="841"/>
      <c r="M4" s="843"/>
      <c r="N4" s="843"/>
      <c r="O4" s="843"/>
      <c r="P4" s="843"/>
      <c r="Q4" s="148"/>
      <c r="R4" s="149" t="s">
        <v>868</v>
      </c>
      <c r="S4" s="149" t="s">
        <v>869</v>
      </c>
    </row>
    <row r="5" spans="1:19" ht="20.25" customHeight="1" thickTop="1" thickBot="1">
      <c r="A5" s="874"/>
      <c r="B5" s="875"/>
      <c r="C5" s="875"/>
      <c r="D5" s="875"/>
      <c r="E5" s="875"/>
      <c r="F5" s="876"/>
      <c r="G5" s="398" t="s">
        <v>477</v>
      </c>
      <c r="H5" s="390" t="s">
        <v>478</v>
      </c>
      <c r="I5" s="841"/>
      <c r="J5" s="841"/>
      <c r="K5" s="841"/>
      <c r="L5" s="841"/>
      <c r="M5" s="215">
        <v>1</v>
      </c>
      <c r="N5" s="215">
        <v>2</v>
      </c>
      <c r="O5" s="215">
        <v>3</v>
      </c>
      <c r="P5" s="215">
        <v>4</v>
      </c>
      <c r="R5" s="149" t="s">
        <v>870</v>
      </c>
      <c r="S5" s="149" t="s">
        <v>871</v>
      </c>
    </row>
    <row r="6" spans="1:19" s="145" customFormat="1" ht="32.25" customHeight="1" thickTop="1" thickBot="1">
      <c r="A6" s="391"/>
      <c r="B6" s="866" t="s">
        <v>558</v>
      </c>
      <c r="C6" s="866"/>
      <c r="D6" s="866"/>
      <c r="E6" s="866" t="s">
        <v>168</v>
      </c>
      <c r="F6" s="866"/>
      <c r="G6" s="220">
        <v>1</v>
      </c>
      <c r="H6" s="220">
        <v>1</v>
      </c>
      <c r="I6" s="220">
        <v>2</v>
      </c>
      <c r="J6" s="220">
        <v>2</v>
      </c>
      <c r="K6" s="220">
        <v>0</v>
      </c>
      <c r="L6" s="220" t="s">
        <v>872</v>
      </c>
      <c r="M6" s="152" t="s">
        <v>188</v>
      </c>
      <c r="N6" s="152" t="s">
        <v>188</v>
      </c>
      <c r="O6" s="152" t="s">
        <v>188</v>
      </c>
      <c r="P6" s="152" t="s">
        <v>188</v>
      </c>
      <c r="R6" s="149" t="s">
        <v>873</v>
      </c>
      <c r="S6" s="149" t="s">
        <v>874</v>
      </c>
    </row>
    <row r="7" spans="1:19" s="145" customFormat="1" ht="30" customHeight="1" thickTop="1" thickBot="1">
      <c r="A7" s="391"/>
      <c r="B7" s="866" t="s">
        <v>480</v>
      </c>
      <c r="C7" s="866"/>
      <c r="D7" s="866"/>
      <c r="E7" s="866" t="s">
        <v>25</v>
      </c>
      <c r="F7" s="866"/>
      <c r="G7" s="392">
        <v>2</v>
      </c>
      <c r="H7" s="392">
        <v>2</v>
      </c>
      <c r="I7" s="392">
        <v>3</v>
      </c>
      <c r="J7" s="392">
        <v>3</v>
      </c>
      <c r="K7" s="392">
        <v>0</v>
      </c>
      <c r="L7" s="392" t="s">
        <v>875</v>
      </c>
      <c r="M7" s="216" t="s">
        <v>188</v>
      </c>
      <c r="N7" s="216" t="s">
        <v>188</v>
      </c>
      <c r="O7" s="216" t="s">
        <v>188</v>
      </c>
      <c r="P7" s="216" t="s">
        <v>188</v>
      </c>
      <c r="R7" s="149" t="s">
        <v>876</v>
      </c>
      <c r="S7" s="149" t="s">
        <v>877</v>
      </c>
    </row>
    <row r="8" spans="1:19" s="145" customFormat="1" ht="21" customHeight="1" thickTop="1" thickBot="1">
      <c r="A8" s="391"/>
      <c r="B8" s="866" t="s">
        <v>482</v>
      </c>
      <c r="C8" s="866"/>
      <c r="D8" s="866"/>
      <c r="E8" s="866" t="s">
        <v>168</v>
      </c>
      <c r="F8" s="866"/>
      <c r="G8" s="220">
        <v>3</v>
      </c>
      <c r="H8" s="220">
        <v>3</v>
      </c>
      <c r="I8" s="220">
        <v>3</v>
      </c>
      <c r="J8" s="220">
        <v>3</v>
      </c>
      <c r="K8" s="220">
        <v>1</v>
      </c>
      <c r="L8" s="220" t="s">
        <v>65</v>
      </c>
      <c r="M8" s="152" t="s">
        <v>188</v>
      </c>
      <c r="N8" s="152" t="s">
        <v>188</v>
      </c>
      <c r="O8" s="152" t="s">
        <v>188</v>
      </c>
      <c r="P8" s="152" t="s">
        <v>188</v>
      </c>
      <c r="R8" s="149" t="s">
        <v>878</v>
      </c>
      <c r="S8" s="149" t="s">
        <v>879</v>
      </c>
    </row>
    <row r="9" spans="1:19" s="145" customFormat="1" ht="21" customHeight="1" thickTop="1" thickBot="1">
      <c r="A9" s="391"/>
      <c r="B9" s="866" t="s">
        <v>880</v>
      </c>
      <c r="C9" s="866"/>
      <c r="D9" s="866"/>
      <c r="E9" s="866" t="s">
        <v>515</v>
      </c>
      <c r="F9" s="866"/>
      <c r="G9" s="392">
        <v>4</v>
      </c>
      <c r="H9" s="392">
        <v>4</v>
      </c>
      <c r="I9" s="392">
        <v>4</v>
      </c>
      <c r="J9" s="392">
        <v>3</v>
      </c>
      <c r="K9" s="392">
        <v>1</v>
      </c>
      <c r="L9" s="392" t="s">
        <v>881</v>
      </c>
      <c r="M9" s="212">
        <v>0</v>
      </c>
      <c r="N9" s="216" t="s">
        <v>188</v>
      </c>
      <c r="O9" s="216" t="s">
        <v>188</v>
      </c>
      <c r="P9" s="216" t="s">
        <v>188</v>
      </c>
      <c r="R9" s="149" t="s">
        <v>882</v>
      </c>
      <c r="S9" s="149" t="s">
        <v>883</v>
      </c>
    </row>
    <row r="10" spans="1:19" s="145" customFormat="1" ht="31.5" customHeight="1" thickTop="1" thickBot="1">
      <c r="A10" s="391"/>
      <c r="B10" s="866" t="s">
        <v>607</v>
      </c>
      <c r="C10" s="866"/>
      <c r="D10" s="866"/>
      <c r="E10" s="866" t="s">
        <v>515</v>
      </c>
      <c r="F10" s="866"/>
      <c r="G10" s="220">
        <v>5</v>
      </c>
      <c r="H10" s="220">
        <v>5</v>
      </c>
      <c r="I10" s="220">
        <v>4</v>
      </c>
      <c r="J10" s="220">
        <v>4</v>
      </c>
      <c r="K10" s="220">
        <v>1</v>
      </c>
      <c r="L10" s="220" t="s">
        <v>884</v>
      </c>
      <c r="M10" s="151">
        <v>0</v>
      </c>
      <c r="N10" s="152" t="s">
        <v>188</v>
      </c>
      <c r="O10" s="152" t="s">
        <v>188</v>
      </c>
      <c r="P10" s="152" t="s">
        <v>188</v>
      </c>
      <c r="R10" s="149" t="s">
        <v>885</v>
      </c>
      <c r="S10" s="149" t="s">
        <v>886</v>
      </c>
    </row>
    <row r="11" spans="1:19" s="145" customFormat="1" ht="38.25" customHeight="1" thickTop="1" thickBot="1">
      <c r="A11" s="391"/>
      <c r="B11" s="866" t="s">
        <v>887</v>
      </c>
      <c r="C11" s="866"/>
      <c r="D11" s="866"/>
      <c r="E11" s="866" t="s">
        <v>515</v>
      </c>
      <c r="F11" s="866"/>
      <c r="G11" s="392">
        <v>6</v>
      </c>
      <c r="H11" s="392">
        <v>6</v>
      </c>
      <c r="I11" s="392">
        <v>5</v>
      </c>
      <c r="J11" s="392">
        <v>4</v>
      </c>
      <c r="K11" s="392">
        <v>2</v>
      </c>
      <c r="L11" s="392" t="s">
        <v>888</v>
      </c>
      <c r="M11" s="212">
        <v>1</v>
      </c>
      <c r="N11" s="216" t="s">
        <v>188</v>
      </c>
      <c r="O11" s="216" t="s">
        <v>188</v>
      </c>
      <c r="P11" s="216" t="s">
        <v>188</v>
      </c>
      <c r="R11" s="149" t="s">
        <v>889</v>
      </c>
      <c r="S11" s="149" t="s">
        <v>890</v>
      </c>
    </row>
    <row r="12" spans="1:19" s="145" customFormat="1" ht="21" customHeight="1" thickTop="1" thickBot="1">
      <c r="A12" s="391"/>
      <c r="B12" s="866" t="s">
        <v>602</v>
      </c>
      <c r="C12" s="866"/>
      <c r="D12" s="866"/>
      <c r="E12" s="866" t="s">
        <v>170</v>
      </c>
      <c r="F12" s="866"/>
      <c r="G12" s="220">
        <v>7</v>
      </c>
      <c r="H12" s="220">
        <v>7</v>
      </c>
      <c r="I12" s="220">
        <v>5</v>
      </c>
      <c r="J12" s="220">
        <v>5</v>
      </c>
      <c r="K12" s="220">
        <v>2</v>
      </c>
      <c r="L12" s="220" t="s">
        <v>891</v>
      </c>
      <c r="M12" s="151">
        <v>1</v>
      </c>
      <c r="N12" s="152" t="s">
        <v>188</v>
      </c>
      <c r="O12" s="152" t="s">
        <v>188</v>
      </c>
      <c r="P12" s="152" t="s">
        <v>188</v>
      </c>
      <c r="R12" s="149" t="s">
        <v>892</v>
      </c>
      <c r="S12" s="149" t="s">
        <v>893</v>
      </c>
    </row>
    <row r="13" spans="1:19" s="145" customFormat="1" ht="33" customHeight="1" thickTop="1" thickBot="1">
      <c r="A13" s="391"/>
      <c r="B13" s="866" t="s">
        <v>894</v>
      </c>
      <c r="C13" s="866"/>
      <c r="D13" s="866"/>
      <c r="E13" s="866" t="s">
        <v>168</v>
      </c>
      <c r="F13" s="866"/>
      <c r="G13" s="392">
        <v>8</v>
      </c>
      <c r="H13" s="392">
        <v>8</v>
      </c>
      <c r="I13" s="392">
        <v>6</v>
      </c>
      <c r="J13" s="392">
        <v>6</v>
      </c>
      <c r="K13" s="392">
        <v>2</v>
      </c>
      <c r="L13" s="392" t="s">
        <v>895</v>
      </c>
      <c r="M13" s="212">
        <v>1</v>
      </c>
      <c r="N13" s="212">
        <v>0</v>
      </c>
      <c r="O13" s="216" t="s">
        <v>188</v>
      </c>
      <c r="P13" s="216" t="s">
        <v>188</v>
      </c>
      <c r="R13" s="149" t="s">
        <v>896</v>
      </c>
      <c r="S13" s="149" t="s">
        <v>897</v>
      </c>
    </row>
    <row r="14" spans="1:19" s="145" customFormat="1" ht="21" customHeight="1" thickTop="1" thickBot="1">
      <c r="A14" s="391"/>
      <c r="B14" s="866" t="s">
        <v>64</v>
      </c>
      <c r="C14" s="866"/>
      <c r="D14" s="866"/>
      <c r="E14" s="866" t="s">
        <v>598</v>
      </c>
      <c r="F14" s="866"/>
      <c r="G14" s="220">
        <v>9</v>
      </c>
      <c r="H14" s="220">
        <v>9</v>
      </c>
      <c r="I14" s="220">
        <v>6</v>
      </c>
      <c r="J14" s="220">
        <v>6</v>
      </c>
      <c r="K14" s="220">
        <v>3</v>
      </c>
      <c r="L14" s="220" t="s">
        <v>898</v>
      </c>
      <c r="M14" s="151">
        <v>1</v>
      </c>
      <c r="N14" s="151">
        <v>0</v>
      </c>
      <c r="O14" s="152" t="s">
        <v>188</v>
      </c>
      <c r="P14" s="152" t="s">
        <v>188</v>
      </c>
      <c r="R14" s="149" t="s">
        <v>899</v>
      </c>
      <c r="S14" s="149" t="s">
        <v>900</v>
      </c>
    </row>
    <row r="15" spans="1:19" s="145" customFormat="1" ht="21" customHeight="1" thickTop="1" thickBot="1">
      <c r="A15" s="391"/>
      <c r="B15" s="866" t="s">
        <v>68</v>
      </c>
      <c r="C15" s="866"/>
      <c r="D15" s="866"/>
      <c r="E15" s="866" t="s">
        <v>170</v>
      </c>
      <c r="F15" s="866"/>
      <c r="G15" s="392">
        <v>10</v>
      </c>
      <c r="H15" s="392">
        <v>10</v>
      </c>
      <c r="I15" s="392">
        <v>7</v>
      </c>
      <c r="J15" s="392">
        <v>7</v>
      </c>
      <c r="K15" s="392">
        <v>3</v>
      </c>
      <c r="L15" s="392" t="s">
        <v>901</v>
      </c>
      <c r="M15" s="212">
        <v>1</v>
      </c>
      <c r="N15" s="212">
        <v>1</v>
      </c>
      <c r="O15" s="216" t="s">
        <v>188</v>
      </c>
      <c r="P15" s="216" t="s">
        <v>188</v>
      </c>
      <c r="R15" s="149" t="s">
        <v>902</v>
      </c>
      <c r="S15" s="149" t="s">
        <v>903</v>
      </c>
    </row>
    <row r="16" spans="1:19" s="145" customFormat="1" ht="21" customHeight="1" thickTop="1" thickBot="1">
      <c r="A16" s="391"/>
      <c r="B16" s="866" t="s">
        <v>574</v>
      </c>
      <c r="C16" s="866"/>
      <c r="D16" s="866"/>
      <c r="E16" s="866" t="s">
        <v>170</v>
      </c>
      <c r="F16" s="866"/>
      <c r="G16" s="220">
        <v>11</v>
      </c>
      <c r="H16" s="220">
        <v>11</v>
      </c>
      <c r="I16" s="220">
        <v>7</v>
      </c>
      <c r="J16" s="220">
        <v>7</v>
      </c>
      <c r="K16" s="220">
        <v>3</v>
      </c>
      <c r="L16" s="220" t="s">
        <v>904</v>
      </c>
      <c r="M16" s="151">
        <v>1</v>
      </c>
      <c r="N16" s="151">
        <v>1</v>
      </c>
      <c r="O16" s="151">
        <v>0</v>
      </c>
      <c r="P16" s="152" t="s">
        <v>188</v>
      </c>
      <c r="R16" s="149" t="s">
        <v>905</v>
      </c>
      <c r="S16" s="149" t="s">
        <v>906</v>
      </c>
    </row>
    <row r="17" spans="1:19" s="145" customFormat="1" ht="21" customHeight="1" thickTop="1" thickBot="1">
      <c r="A17" s="391"/>
      <c r="B17" s="866" t="s">
        <v>76</v>
      </c>
      <c r="C17" s="866"/>
      <c r="D17" s="866"/>
      <c r="E17" s="866" t="s">
        <v>25</v>
      </c>
      <c r="F17" s="866"/>
      <c r="G17" s="392">
        <v>12</v>
      </c>
      <c r="H17" s="392">
        <v>12</v>
      </c>
      <c r="I17" s="392">
        <v>8</v>
      </c>
      <c r="J17" s="392">
        <v>8</v>
      </c>
      <c r="K17" s="392">
        <v>4</v>
      </c>
      <c r="L17" s="392"/>
      <c r="M17" s="212">
        <v>1</v>
      </c>
      <c r="N17" s="212">
        <v>1</v>
      </c>
      <c r="O17" s="212">
        <v>1</v>
      </c>
      <c r="P17" s="216" t="s">
        <v>188</v>
      </c>
      <c r="R17" s="149" t="s">
        <v>907</v>
      </c>
      <c r="S17" s="149" t="s">
        <v>908</v>
      </c>
    </row>
    <row r="18" spans="1:19" s="145" customFormat="1" ht="21" customHeight="1" thickTop="1" thickBot="1">
      <c r="A18" s="391"/>
      <c r="B18" s="866" t="s">
        <v>78</v>
      </c>
      <c r="C18" s="866"/>
      <c r="D18" s="866"/>
      <c r="E18" s="866" t="s">
        <v>515</v>
      </c>
      <c r="F18" s="866"/>
      <c r="G18" s="220">
        <v>13</v>
      </c>
      <c r="H18" s="220">
        <v>13</v>
      </c>
      <c r="I18" s="220">
        <v>8</v>
      </c>
      <c r="J18" s="220">
        <v>8</v>
      </c>
      <c r="K18" s="220">
        <v>4</v>
      </c>
      <c r="L18" s="220" t="s">
        <v>909</v>
      </c>
      <c r="M18" s="151">
        <v>1</v>
      </c>
      <c r="N18" s="151">
        <v>1</v>
      </c>
      <c r="O18" s="151">
        <v>1</v>
      </c>
      <c r="P18" s="152" t="s">
        <v>188</v>
      </c>
      <c r="R18" s="149" t="s">
        <v>910</v>
      </c>
      <c r="S18" s="149" t="s">
        <v>911</v>
      </c>
    </row>
    <row r="19" spans="1:19" s="145" customFormat="1" ht="34.5" customHeight="1" thickTop="1" thickBot="1">
      <c r="A19" s="391"/>
      <c r="B19" s="866" t="s">
        <v>613</v>
      </c>
      <c r="C19" s="866"/>
      <c r="D19" s="866"/>
      <c r="E19" s="866" t="s">
        <v>507</v>
      </c>
      <c r="F19" s="866"/>
      <c r="G19" s="392">
        <v>14</v>
      </c>
      <c r="H19" s="392">
        <v>14</v>
      </c>
      <c r="I19" s="392">
        <v>9</v>
      </c>
      <c r="J19" s="392">
        <v>9</v>
      </c>
      <c r="K19" s="392">
        <v>4</v>
      </c>
      <c r="L19" s="392"/>
      <c r="M19" s="212">
        <v>2</v>
      </c>
      <c r="N19" s="212">
        <v>1</v>
      </c>
      <c r="O19" s="212">
        <v>1</v>
      </c>
      <c r="P19" s="212">
        <v>0</v>
      </c>
      <c r="R19" s="149" t="s">
        <v>912</v>
      </c>
      <c r="S19" s="149" t="s">
        <v>913</v>
      </c>
    </row>
    <row r="20" spans="1:19" s="145" customFormat="1" ht="40.5" customHeight="1" thickTop="1" thickBot="1">
      <c r="A20" s="391"/>
      <c r="B20" s="866" t="s">
        <v>542</v>
      </c>
      <c r="C20" s="866"/>
      <c r="D20" s="866"/>
      <c r="E20" s="866" t="s">
        <v>170</v>
      </c>
      <c r="F20" s="866"/>
      <c r="G20" s="220">
        <v>15</v>
      </c>
      <c r="H20" s="220">
        <v>15</v>
      </c>
      <c r="I20" s="220">
        <v>9</v>
      </c>
      <c r="J20" s="220">
        <v>9</v>
      </c>
      <c r="K20" s="220">
        <v>5</v>
      </c>
      <c r="L20" s="220" t="s">
        <v>914</v>
      </c>
      <c r="M20" s="151">
        <v>2</v>
      </c>
      <c r="N20" s="151">
        <v>1</v>
      </c>
      <c r="O20" s="151">
        <v>1</v>
      </c>
      <c r="P20" s="151">
        <v>1</v>
      </c>
      <c r="R20" s="149" t="s">
        <v>915</v>
      </c>
      <c r="S20" s="149" t="s">
        <v>916</v>
      </c>
    </row>
    <row r="21" spans="1:19" s="145" customFormat="1" ht="21" customHeight="1" thickTop="1" thickBot="1">
      <c r="A21" s="391"/>
      <c r="B21" s="866" t="s">
        <v>610</v>
      </c>
      <c r="C21" s="866"/>
      <c r="D21" s="866"/>
      <c r="E21" s="866" t="s">
        <v>170</v>
      </c>
      <c r="F21" s="866"/>
      <c r="G21" s="392">
        <v>16</v>
      </c>
      <c r="H21" s="392">
        <v>16</v>
      </c>
      <c r="I21" s="392">
        <v>10</v>
      </c>
      <c r="J21" s="392">
        <v>10</v>
      </c>
      <c r="K21" s="392">
        <v>5</v>
      </c>
      <c r="L21" s="392"/>
      <c r="M21" s="212">
        <v>2</v>
      </c>
      <c r="N21" s="212">
        <v>2</v>
      </c>
      <c r="O21" s="212">
        <v>1</v>
      </c>
      <c r="P21" s="212">
        <v>1</v>
      </c>
      <c r="R21" s="149" t="s">
        <v>917</v>
      </c>
      <c r="S21" s="149" t="s">
        <v>918</v>
      </c>
    </row>
    <row r="22" spans="1:19" s="145" customFormat="1" ht="21" customHeight="1" thickTop="1" thickBot="1">
      <c r="A22" s="391"/>
      <c r="B22" s="866" t="s">
        <v>484</v>
      </c>
      <c r="C22" s="866"/>
      <c r="D22" s="866"/>
      <c r="E22" s="866" t="s">
        <v>25</v>
      </c>
      <c r="F22" s="866"/>
      <c r="G22" s="220">
        <v>17</v>
      </c>
      <c r="H22" s="220">
        <v>17</v>
      </c>
      <c r="I22" s="220">
        <v>10</v>
      </c>
      <c r="J22" s="220">
        <v>10</v>
      </c>
      <c r="K22" s="220">
        <v>5</v>
      </c>
      <c r="L22" s="220" t="s">
        <v>919</v>
      </c>
      <c r="M22" s="151">
        <v>2</v>
      </c>
      <c r="N22" s="151">
        <v>2</v>
      </c>
      <c r="O22" s="151">
        <v>2</v>
      </c>
      <c r="P22" s="151">
        <v>1</v>
      </c>
      <c r="R22" s="149" t="s">
        <v>920</v>
      </c>
      <c r="S22" s="149" t="s">
        <v>921</v>
      </c>
    </row>
    <row r="23" spans="1:19" s="145" customFormat="1" ht="21" customHeight="1" thickTop="1" thickBot="1">
      <c r="A23" s="391"/>
      <c r="B23" s="866" t="s">
        <v>486</v>
      </c>
      <c r="C23" s="866"/>
      <c r="D23" s="866"/>
      <c r="E23" s="866" t="s">
        <v>515</v>
      </c>
      <c r="F23" s="866"/>
      <c r="G23" s="392">
        <v>18</v>
      </c>
      <c r="H23" s="392">
        <v>18</v>
      </c>
      <c r="I23" s="392">
        <v>11</v>
      </c>
      <c r="J23" s="392">
        <v>11</v>
      </c>
      <c r="K23" s="392">
        <v>6</v>
      </c>
      <c r="L23" s="392"/>
      <c r="M23" s="212">
        <v>3</v>
      </c>
      <c r="N23" s="212">
        <v>2</v>
      </c>
      <c r="O23" s="212">
        <v>2</v>
      </c>
      <c r="P23" s="212">
        <v>1</v>
      </c>
      <c r="R23" s="149" t="s">
        <v>922</v>
      </c>
      <c r="S23" s="149" t="s">
        <v>923</v>
      </c>
    </row>
    <row r="24" spans="1:19" s="145" customFormat="1" ht="21" customHeight="1" thickTop="1" thickBot="1">
      <c r="A24" s="391"/>
      <c r="B24" s="866" t="s">
        <v>814</v>
      </c>
      <c r="C24" s="866"/>
      <c r="D24" s="866"/>
      <c r="E24" s="866" t="s">
        <v>168</v>
      </c>
      <c r="F24" s="866"/>
      <c r="G24" s="220">
        <v>19</v>
      </c>
      <c r="H24" s="220">
        <v>19</v>
      </c>
      <c r="I24" s="220">
        <v>11</v>
      </c>
      <c r="J24" s="220">
        <v>11</v>
      </c>
      <c r="K24" s="220">
        <v>6</v>
      </c>
      <c r="L24" s="220"/>
      <c r="M24" s="151">
        <v>3</v>
      </c>
      <c r="N24" s="151">
        <v>3</v>
      </c>
      <c r="O24" s="151">
        <v>3</v>
      </c>
      <c r="P24" s="151">
        <v>2</v>
      </c>
      <c r="R24" s="149" t="s">
        <v>924</v>
      </c>
      <c r="S24" s="149" t="s">
        <v>925</v>
      </c>
    </row>
    <row r="25" spans="1:19" s="145" customFormat="1" ht="21" customHeight="1" thickTop="1" thickBot="1">
      <c r="A25" s="150"/>
      <c r="B25" s="150"/>
      <c r="C25" s="150"/>
      <c r="D25" s="150"/>
      <c r="E25" s="150"/>
      <c r="F25" s="150"/>
      <c r="G25" s="392">
        <v>20</v>
      </c>
      <c r="H25" s="392">
        <v>20</v>
      </c>
      <c r="I25" s="392">
        <v>12</v>
      </c>
      <c r="J25" s="392">
        <v>12</v>
      </c>
      <c r="K25" s="392">
        <v>6</v>
      </c>
      <c r="L25" s="392" t="s">
        <v>926</v>
      </c>
      <c r="M25" s="212">
        <v>3</v>
      </c>
      <c r="N25" s="212">
        <v>3</v>
      </c>
      <c r="O25" s="212">
        <v>3</v>
      </c>
      <c r="P25" s="212">
        <v>3</v>
      </c>
      <c r="R25" s="149" t="s">
        <v>927</v>
      </c>
      <c r="S25" s="149" t="s">
        <v>928</v>
      </c>
    </row>
    <row r="26" spans="1:19" ht="20.25" thickTop="1" thickBot="1">
      <c r="R26" s="149" t="s">
        <v>929</v>
      </c>
      <c r="S26" s="149" t="s">
        <v>930</v>
      </c>
    </row>
    <row r="27" spans="1:19" ht="20.25" thickTop="1" thickBot="1">
      <c r="R27" s="149" t="s">
        <v>931</v>
      </c>
      <c r="S27" s="149" t="s">
        <v>932</v>
      </c>
    </row>
    <row r="28" spans="1:19" ht="20.25" thickTop="1" thickBot="1">
      <c r="R28" s="149" t="s">
        <v>933</v>
      </c>
      <c r="S28" s="149" t="s">
        <v>934</v>
      </c>
    </row>
    <row r="29" spans="1:19" ht="20.25" thickTop="1" thickBot="1">
      <c r="R29" s="149" t="s">
        <v>935</v>
      </c>
      <c r="S29" s="149" t="s">
        <v>936</v>
      </c>
    </row>
    <row r="30" spans="1:19" ht="20.25" thickTop="1" thickBot="1">
      <c r="R30" s="149" t="s">
        <v>937</v>
      </c>
      <c r="S30" s="149" t="s">
        <v>938</v>
      </c>
    </row>
    <row r="31" spans="1:19" ht="20.25" thickTop="1" thickBot="1">
      <c r="R31" s="149" t="s">
        <v>939</v>
      </c>
      <c r="S31" s="149" t="s">
        <v>940</v>
      </c>
    </row>
    <row r="32" spans="1:19" ht="20.25" thickTop="1" thickBot="1">
      <c r="R32" s="149" t="s">
        <v>941</v>
      </c>
      <c r="S32" s="149" t="s">
        <v>942</v>
      </c>
    </row>
    <row r="33" spans="18:19" ht="20.25" thickTop="1" thickBot="1">
      <c r="R33" s="149" t="s">
        <v>943</v>
      </c>
      <c r="S33" s="149" t="s">
        <v>944</v>
      </c>
    </row>
    <row r="34" spans="18:19" ht="39" thickTop="1" thickBot="1">
      <c r="R34" s="149" t="s">
        <v>945</v>
      </c>
      <c r="S34" s="149" t="s">
        <v>946</v>
      </c>
    </row>
    <row r="35" spans="18:19" ht="15.75" thickTop="1"/>
  </sheetData>
  <mergeCells count="49">
    <mergeCell ref="R1:S2"/>
    <mergeCell ref="E6:F6"/>
    <mergeCell ref="E7:F7"/>
    <mergeCell ref="E8:F8"/>
    <mergeCell ref="E9:F9"/>
    <mergeCell ref="I3:I5"/>
    <mergeCell ref="J3:J5"/>
    <mergeCell ref="K3:K5"/>
    <mergeCell ref="L3:L5"/>
    <mergeCell ref="M3:P4"/>
    <mergeCell ref="A1:F3"/>
    <mergeCell ref="G1:G2"/>
    <mergeCell ref="H1:H2"/>
    <mergeCell ref="G3:H4"/>
    <mergeCell ref="A4:F5"/>
    <mergeCell ref="B6:D6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1:D21"/>
    <mergeCell ref="B22:D22"/>
    <mergeCell ref="B23:D23"/>
    <mergeCell ref="B24:D24"/>
    <mergeCell ref="B16:D16"/>
    <mergeCell ref="B17:D17"/>
    <mergeCell ref="B18:D18"/>
    <mergeCell ref="B19:D19"/>
    <mergeCell ref="B20:D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showRowColHeaders="0" workbookViewId="0">
      <selection activeCell="Y7" sqref="Y7"/>
    </sheetView>
  </sheetViews>
  <sheetFormatPr defaultRowHeight="15"/>
  <cols>
    <col min="9" max="9" width="10.42578125" customWidth="1"/>
    <col min="12" max="12" width="19.140625" customWidth="1"/>
  </cols>
  <sheetData>
    <row r="1" spans="1:22">
      <c r="A1" s="888" t="s">
        <v>182</v>
      </c>
      <c r="B1" s="888"/>
      <c r="C1" s="888"/>
      <c r="D1" s="888"/>
      <c r="E1" s="888"/>
      <c r="F1" s="888"/>
      <c r="G1" s="891" t="s">
        <v>26</v>
      </c>
      <c r="H1" s="859" t="s">
        <v>718</v>
      </c>
    </row>
    <row r="2" spans="1:22" ht="15.75" thickBot="1">
      <c r="A2" s="888"/>
      <c r="B2" s="888"/>
      <c r="C2" s="888"/>
      <c r="D2" s="888"/>
      <c r="E2" s="888"/>
      <c r="F2" s="888"/>
      <c r="G2" s="892"/>
      <c r="H2" s="893"/>
    </row>
    <row r="3" spans="1:22" ht="15" customHeight="1" thickTop="1" thickBot="1">
      <c r="A3" s="889"/>
      <c r="B3" s="889"/>
      <c r="C3" s="889"/>
      <c r="D3" s="889"/>
      <c r="E3" s="889"/>
      <c r="F3" s="890"/>
      <c r="G3" s="894" t="s">
        <v>107</v>
      </c>
      <c r="H3" s="894"/>
      <c r="I3" s="887" t="s">
        <v>835</v>
      </c>
      <c r="J3" s="887" t="s">
        <v>836</v>
      </c>
      <c r="K3" s="887" t="s">
        <v>837</v>
      </c>
      <c r="L3" s="887" t="s">
        <v>479</v>
      </c>
      <c r="M3" s="842" t="s">
        <v>947</v>
      </c>
      <c r="N3" s="843"/>
      <c r="O3" s="843"/>
      <c r="P3" s="843"/>
      <c r="Q3" s="843"/>
      <c r="R3" s="843"/>
      <c r="S3" s="843"/>
      <c r="T3" s="843"/>
      <c r="U3" s="843"/>
      <c r="V3" s="843"/>
    </row>
    <row r="4" spans="1:22" ht="15" customHeight="1" thickTop="1" thickBot="1">
      <c r="A4" s="769" t="s">
        <v>44</v>
      </c>
      <c r="B4" s="769"/>
      <c r="C4" s="769"/>
      <c r="D4" s="769"/>
      <c r="E4" s="769"/>
      <c r="F4" s="769"/>
      <c r="G4" s="894"/>
      <c r="H4" s="894"/>
      <c r="I4" s="887"/>
      <c r="J4" s="887"/>
      <c r="K4" s="887"/>
      <c r="L4" s="887"/>
      <c r="M4" s="843"/>
      <c r="N4" s="843"/>
      <c r="O4" s="843"/>
      <c r="P4" s="843"/>
      <c r="Q4" s="843"/>
      <c r="R4" s="843"/>
      <c r="S4" s="843"/>
      <c r="T4" s="843"/>
      <c r="U4" s="843"/>
      <c r="V4" s="843"/>
    </row>
    <row r="5" spans="1:22" ht="45" customHeight="1" thickTop="1" thickBot="1">
      <c r="A5" s="769"/>
      <c r="B5" s="769"/>
      <c r="C5" s="769"/>
      <c r="D5" s="769"/>
      <c r="E5" s="769"/>
      <c r="F5" s="769"/>
      <c r="G5" s="399" t="s">
        <v>477</v>
      </c>
      <c r="H5" s="399" t="s">
        <v>478</v>
      </c>
      <c r="I5" s="887"/>
      <c r="J5" s="887"/>
      <c r="K5" s="887"/>
      <c r="L5" s="887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9" thickTop="1" thickBot="1">
      <c r="A6" s="234">
        <v>1</v>
      </c>
      <c r="B6" s="886" t="s">
        <v>948</v>
      </c>
      <c r="C6" s="886"/>
      <c r="D6" s="886"/>
      <c r="E6" s="886" t="s">
        <v>507</v>
      </c>
      <c r="F6" s="886"/>
      <c r="G6" s="220">
        <v>1</v>
      </c>
      <c r="H6" s="220">
        <v>0</v>
      </c>
      <c r="I6" s="220">
        <v>0</v>
      </c>
      <c r="J6" s="220">
        <v>0</v>
      </c>
      <c r="K6" s="220">
        <v>2</v>
      </c>
      <c r="L6" s="220" t="s">
        <v>949</v>
      </c>
      <c r="M6" s="151">
        <v>5</v>
      </c>
      <c r="N6" s="151">
        <v>3</v>
      </c>
      <c r="O6" s="151" t="s">
        <v>188</v>
      </c>
      <c r="P6" s="151" t="s">
        <v>188</v>
      </c>
      <c r="Q6" s="151" t="s">
        <v>188</v>
      </c>
      <c r="R6" s="151" t="s">
        <v>188</v>
      </c>
      <c r="S6" s="151" t="s">
        <v>188</v>
      </c>
      <c r="T6" s="151" t="s">
        <v>188</v>
      </c>
      <c r="U6" s="151" t="s">
        <v>188</v>
      </c>
      <c r="V6" s="151" t="s">
        <v>188</v>
      </c>
    </row>
    <row r="7" spans="1:22" ht="31.5" customHeight="1" thickTop="1" thickBot="1">
      <c r="A7" s="234">
        <v>2</v>
      </c>
      <c r="B7" s="886" t="s">
        <v>667</v>
      </c>
      <c r="C7" s="886"/>
      <c r="D7" s="886"/>
      <c r="E7" s="886" t="s">
        <v>515</v>
      </c>
      <c r="F7" s="886"/>
      <c r="G7" s="392">
        <v>2</v>
      </c>
      <c r="H7" s="392">
        <v>1</v>
      </c>
      <c r="I7" s="392">
        <v>0</v>
      </c>
      <c r="J7" s="392">
        <v>0</v>
      </c>
      <c r="K7" s="392">
        <v>3</v>
      </c>
      <c r="L7" s="392"/>
      <c r="M7" s="212">
        <v>6</v>
      </c>
      <c r="N7" s="212">
        <v>4</v>
      </c>
      <c r="O7" s="212" t="s">
        <v>188</v>
      </c>
      <c r="P7" s="212" t="s">
        <v>188</v>
      </c>
      <c r="Q7" s="212" t="s">
        <v>188</v>
      </c>
      <c r="R7" s="212" t="s">
        <v>188</v>
      </c>
      <c r="S7" s="212" t="s">
        <v>188</v>
      </c>
      <c r="T7" s="212" t="s">
        <v>188</v>
      </c>
      <c r="U7" s="212" t="s">
        <v>188</v>
      </c>
      <c r="V7" s="212" t="s">
        <v>188</v>
      </c>
    </row>
    <row r="8" spans="1:22" ht="31.5" customHeight="1" thickTop="1" thickBot="1">
      <c r="A8" s="234">
        <v>3</v>
      </c>
      <c r="B8" s="886" t="s">
        <v>604</v>
      </c>
      <c r="C8" s="886"/>
      <c r="D8" s="886"/>
      <c r="E8" s="886" t="s">
        <v>515</v>
      </c>
      <c r="F8" s="886"/>
      <c r="G8" s="220">
        <v>3</v>
      </c>
      <c r="H8" s="220">
        <v>1</v>
      </c>
      <c r="I8" s="220">
        <v>1</v>
      </c>
      <c r="J8" s="220">
        <v>1</v>
      </c>
      <c r="K8" s="220">
        <v>3</v>
      </c>
      <c r="L8" s="220"/>
      <c r="M8" s="151">
        <v>6</v>
      </c>
      <c r="N8" s="151">
        <v>5</v>
      </c>
      <c r="O8" s="151" t="s">
        <v>188</v>
      </c>
      <c r="P8" s="151" t="s">
        <v>188</v>
      </c>
      <c r="Q8" s="151" t="s">
        <v>188</v>
      </c>
      <c r="R8" s="151" t="s">
        <v>188</v>
      </c>
      <c r="S8" s="151" t="s">
        <v>188</v>
      </c>
      <c r="T8" s="151" t="s">
        <v>188</v>
      </c>
      <c r="U8" s="151" t="s">
        <v>188</v>
      </c>
      <c r="V8" s="151" t="s">
        <v>188</v>
      </c>
    </row>
    <row r="9" spans="1:22" ht="31.5" customHeight="1" thickTop="1" thickBot="1">
      <c r="A9" s="234">
        <v>4</v>
      </c>
      <c r="B9" s="886" t="s">
        <v>64</v>
      </c>
      <c r="C9" s="886"/>
      <c r="D9" s="886"/>
      <c r="E9" s="886" t="s">
        <v>598</v>
      </c>
      <c r="F9" s="886"/>
      <c r="G9" s="392">
        <v>4</v>
      </c>
      <c r="H9" s="392">
        <v>2</v>
      </c>
      <c r="I9" s="392">
        <v>1</v>
      </c>
      <c r="J9" s="392">
        <v>1</v>
      </c>
      <c r="K9" s="392">
        <v>4</v>
      </c>
      <c r="L9" s="392"/>
      <c r="M9" s="212">
        <v>6</v>
      </c>
      <c r="N9" s="212">
        <v>6</v>
      </c>
      <c r="O9" s="212">
        <v>3</v>
      </c>
      <c r="P9" s="212" t="s">
        <v>188</v>
      </c>
      <c r="Q9" s="212" t="s">
        <v>188</v>
      </c>
      <c r="R9" s="212" t="s">
        <v>188</v>
      </c>
      <c r="S9" s="212" t="s">
        <v>188</v>
      </c>
      <c r="T9" s="212" t="s">
        <v>188</v>
      </c>
      <c r="U9" s="212" t="s">
        <v>188</v>
      </c>
      <c r="V9" s="212" t="s">
        <v>188</v>
      </c>
    </row>
    <row r="10" spans="1:22" ht="31.5" customHeight="1" thickTop="1" thickBot="1">
      <c r="A10" s="234">
        <v>5</v>
      </c>
      <c r="B10" s="886" t="s">
        <v>610</v>
      </c>
      <c r="C10" s="886"/>
      <c r="D10" s="886"/>
      <c r="E10" s="886" t="s">
        <v>170</v>
      </c>
      <c r="F10" s="886"/>
      <c r="G10" s="220">
        <v>5</v>
      </c>
      <c r="H10" s="220">
        <v>2</v>
      </c>
      <c r="I10" s="220">
        <v>1</v>
      </c>
      <c r="J10" s="220">
        <v>1</v>
      </c>
      <c r="K10" s="220">
        <v>4</v>
      </c>
      <c r="L10" s="220"/>
      <c r="M10" s="151">
        <v>6</v>
      </c>
      <c r="N10" s="151">
        <v>6</v>
      </c>
      <c r="O10" s="151">
        <v>4</v>
      </c>
      <c r="P10" s="151" t="s">
        <v>188</v>
      </c>
      <c r="Q10" s="151" t="s">
        <v>188</v>
      </c>
      <c r="R10" s="151" t="s">
        <v>188</v>
      </c>
      <c r="S10" s="151" t="s">
        <v>188</v>
      </c>
      <c r="T10" s="151" t="s">
        <v>188</v>
      </c>
      <c r="U10" s="151" t="s">
        <v>188</v>
      </c>
      <c r="V10" s="151" t="s">
        <v>188</v>
      </c>
    </row>
    <row r="11" spans="1:22" ht="20.25" thickTop="1" thickBot="1">
      <c r="A11" s="234">
        <v>6</v>
      </c>
      <c r="B11" s="886" t="s">
        <v>486</v>
      </c>
      <c r="C11" s="886"/>
      <c r="D11" s="886"/>
      <c r="E11" s="886" t="s">
        <v>515</v>
      </c>
      <c r="F11" s="886"/>
      <c r="G11" s="392">
        <v>6</v>
      </c>
      <c r="H11" s="392">
        <v>3</v>
      </c>
      <c r="I11" s="392">
        <v>2</v>
      </c>
      <c r="J11" s="392">
        <v>2</v>
      </c>
      <c r="K11" s="392">
        <v>5</v>
      </c>
      <c r="L11" s="392"/>
      <c r="M11" s="212">
        <v>6</v>
      </c>
      <c r="N11" s="212">
        <v>6</v>
      </c>
      <c r="O11" s="212">
        <v>5</v>
      </c>
      <c r="P11" s="212">
        <v>3</v>
      </c>
      <c r="Q11" s="212" t="s">
        <v>188</v>
      </c>
      <c r="R11" s="212" t="s">
        <v>188</v>
      </c>
      <c r="S11" s="212" t="s">
        <v>188</v>
      </c>
      <c r="T11" s="212" t="s">
        <v>188</v>
      </c>
      <c r="U11" s="212" t="s">
        <v>188</v>
      </c>
      <c r="V11" s="212" t="s">
        <v>188</v>
      </c>
    </row>
    <row r="12" spans="1:22" ht="20.25" thickTop="1" thickBot="1">
      <c r="G12" s="220">
        <v>7</v>
      </c>
      <c r="H12" s="220">
        <v>3</v>
      </c>
      <c r="I12" s="220">
        <v>2</v>
      </c>
      <c r="J12" s="220">
        <v>2</v>
      </c>
      <c r="K12" s="220">
        <v>5</v>
      </c>
      <c r="L12" s="220"/>
      <c r="M12" s="151">
        <v>6</v>
      </c>
      <c r="N12" s="151">
        <v>6</v>
      </c>
      <c r="O12" s="151">
        <v>6</v>
      </c>
      <c r="P12" s="151">
        <v>4</v>
      </c>
      <c r="Q12" s="151" t="s">
        <v>188</v>
      </c>
      <c r="R12" s="151" t="s">
        <v>188</v>
      </c>
      <c r="S12" s="151" t="s">
        <v>188</v>
      </c>
      <c r="T12" s="151" t="s">
        <v>188</v>
      </c>
      <c r="U12" s="151" t="s">
        <v>188</v>
      </c>
      <c r="V12" s="151" t="s">
        <v>188</v>
      </c>
    </row>
    <row r="13" spans="1:22" ht="20.25" thickTop="1" thickBot="1">
      <c r="G13" s="392">
        <v>8</v>
      </c>
      <c r="H13" s="392">
        <v>4</v>
      </c>
      <c r="I13" s="392">
        <v>2</v>
      </c>
      <c r="J13" s="392">
        <v>2</v>
      </c>
      <c r="K13" s="392">
        <v>6</v>
      </c>
      <c r="L13" s="392"/>
      <c r="M13" s="212">
        <v>6</v>
      </c>
      <c r="N13" s="212">
        <v>6</v>
      </c>
      <c r="O13" s="212">
        <v>6</v>
      </c>
      <c r="P13" s="212">
        <v>5</v>
      </c>
      <c r="Q13" s="212">
        <v>3</v>
      </c>
      <c r="R13" s="212" t="s">
        <v>188</v>
      </c>
      <c r="S13" s="212" t="s">
        <v>188</v>
      </c>
      <c r="T13" s="212" t="s">
        <v>188</v>
      </c>
      <c r="U13" s="212" t="s">
        <v>188</v>
      </c>
      <c r="V13" s="212" t="s">
        <v>188</v>
      </c>
    </row>
    <row r="14" spans="1:22" ht="20.25" thickTop="1" thickBot="1">
      <c r="G14" s="220">
        <v>9</v>
      </c>
      <c r="H14" s="220">
        <v>4</v>
      </c>
      <c r="I14" s="220">
        <v>3</v>
      </c>
      <c r="J14" s="220">
        <v>3</v>
      </c>
      <c r="K14" s="220">
        <v>6</v>
      </c>
      <c r="L14" s="220"/>
      <c r="M14" s="151">
        <v>6</v>
      </c>
      <c r="N14" s="151">
        <v>6</v>
      </c>
      <c r="O14" s="151">
        <v>6</v>
      </c>
      <c r="P14" s="151">
        <v>6</v>
      </c>
      <c r="Q14" s="151">
        <v>4</v>
      </c>
      <c r="R14" s="151" t="s">
        <v>188</v>
      </c>
      <c r="S14" s="151" t="s">
        <v>188</v>
      </c>
      <c r="T14" s="151" t="s">
        <v>188</v>
      </c>
      <c r="U14" s="151" t="s">
        <v>188</v>
      </c>
      <c r="V14" s="151" t="s">
        <v>188</v>
      </c>
    </row>
    <row r="15" spans="1:22" ht="20.25" thickTop="1" thickBot="1">
      <c r="G15" s="392">
        <v>10</v>
      </c>
      <c r="H15" s="392">
        <v>5</v>
      </c>
      <c r="I15" s="392">
        <v>3</v>
      </c>
      <c r="J15" s="392">
        <v>3</v>
      </c>
      <c r="K15" s="392">
        <v>7</v>
      </c>
      <c r="L15" s="392"/>
      <c r="M15" s="212">
        <v>6</v>
      </c>
      <c r="N15" s="212">
        <v>6</v>
      </c>
      <c r="O15" s="212">
        <v>6</v>
      </c>
      <c r="P15" s="212">
        <v>6</v>
      </c>
      <c r="Q15" s="212">
        <v>5</v>
      </c>
      <c r="R15" s="212">
        <v>3</v>
      </c>
      <c r="S15" s="212" t="s">
        <v>188</v>
      </c>
      <c r="T15" s="212" t="s">
        <v>188</v>
      </c>
      <c r="U15" s="212" t="s">
        <v>188</v>
      </c>
      <c r="V15" s="212" t="s">
        <v>188</v>
      </c>
    </row>
    <row r="16" spans="1:22" ht="20.25" thickTop="1" thickBot="1">
      <c r="G16" s="220">
        <v>11</v>
      </c>
      <c r="H16" s="220">
        <v>5</v>
      </c>
      <c r="I16" s="220">
        <v>3</v>
      </c>
      <c r="J16" s="220">
        <v>3</v>
      </c>
      <c r="K16" s="220">
        <v>7</v>
      </c>
      <c r="L16" s="220"/>
      <c r="M16" s="151">
        <v>6</v>
      </c>
      <c r="N16" s="151">
        <v>6</v>
      </c>
      <c r="O16" s="151">
        <v>6</v>
      </c>
      <c r="P16" s="151">
        <v>6</v>
      </c>
      <c r="Q16" s="151">
        <v>6</v>
      </c>
      <c r="R16" s="151">
        <v>4</v>
      </c>
      <c r="S16" s="151" t="s">
        <v>188</v>
      </c>
      <c r="T16" s="151" t="s">
        <v>188</v>
      </c>
      <c r="U16" s="151" t="s">
        <v>188</v>
      </c>
      <c r="V16" s="151" t="s">
        <v>188</v>
      </c>
    </row>
    <row r="17" spans="7:24" ht="20.25" thickTop="1" thickBot="1">
      <c r="G17" s="392">
        <v>12</v>
      </c>
      <c r="H17" s="392">
        <v>6</v>
      </c>
      <c r="I17" s="392">
        <v>4</v>
      </c>
      <c r="J17" s="392">
        <v>4</v>
      </c>
      <c r="K17" s="392">
        <v>8</v>
      </c>
      <c r="L17" s="392"/>
      <c r="M17" s="212">
        <v>6</v>
      </c>
      <c r="N17" s="212">
        <v>6</v>
      </c>
      <c r="O17" s="212">
        <v>6</v>
      </c>
      <c r="P17" s="212">
        <v>6</v>
      </c>
      <c r="Q17" s="212">
        <v>6</v>
      </c>
      <c r="R17" s="212">
        <v>5</v>
      </c>
      <c r="S17" s="212">
        <v>3</v>
      </c>
      <c r="T17" s="212" t="s">
        <v>188</v>
      </c>
      <c r="U17" s="212" t="s">
        <v>188</v>
      </c>
      <c r="V17" s="212" t="s">
        <v>188</v>
      </c>
    </row>
    <row r="18" spans="7:24" ht="20.25" thickTop="1" thickBot="1">
      <c r="G18" s="220">
        <v>13</v>
      </c>
      <c r="H18" s="220">
        <v>6</v>
      </c>
      <c r="I18" s="220">
        <v>4</v>
      </c>
      <c r="J18" s="220">
        <v>4</v>
      </c>
      <c r="K18" s="220">
        <v>8</v>
      </c>
      <c r="L18" s="220"/>
      <c r="M18" s="151">
        <v>6</v>
      </c>
      <c r="N18" s="151">
        <v>6</v>
      </c>
      <c r="O18" s="151">
        <v>6</v>
      </c>
      <c r="P18" s="151">
        <v>6</v>
      </c>
      <c r="Q18" s="151">
        <v>6</v>
      </c>
      <c r="R18" s="151">
        <v>6</v>
      </c>
      <c r="S18" s="151">
        <v>4</v>
      </c>
      <c r="T18" s="151" t="s">
        <v>188</v>
      </c>
      <c r="U18" s="151" t="s">
        <v>188</v>
      </c>
      <c r="V18" s="151" t="s">
        <v>188</v>
      </c>
    </row>
    <row r="19" spans="7:24" ht="20.25" thickTop="1" thickBot="1">
      <c r="G19" s="392">
        <v>14</v>
      </c>
      <c r="H19" s="392">
        <v>7</v>
      </c>
      <c r="I19" s="392">
        <v>4</v>
      </c>
      <c r="J19" s="392">
        <v>4</v>
      </c>
      <c r="K19" s="392">
        <v>9</v>
      </c>
      <c r="L19" s="392"/>
      <c r="M19" s="212">
        <v>6</v>
      </c>
      <c r="N19" s="212">
        <v>6</v>
      </c>
      <c r="O19" s="212">
        <v>6</v>
      </c>
      <c r="P19" s="212">
        <v>6</v>
      </c>
      <c r="Q19" s="212">
        <v>6</v>
      </c>
      <c r="R19" s="212">
        <v>6</v>
      </c>
      <c r="S19" s="212">
        <v>5</v>
      </c>
      <c r="T19" s="212">
        <v>3</v>
      </c>
      <c r="U19" s="212" t="s">
        <v>188</v>
      </c>
      <c r="V19" s="212" t="s">
        <v>188</v>
      </c>
    </row>
    <row r="20" spans="7:24" ht="20.25" thickTop="1" thickBot="1">
      <c r="G20" s="220">
        <v>15</v>
      </c>
      <c r="H20" s="220">
        <v>7</v>
      </c>
      <c r="I20" s="220">
        <v>5</v>
      </c>
      <c r="J20" s="220">
        <v>5</v>
      </c>
      <c r="K20" s="220">
        <v>9</v>
      </c>
      <c r="L20" s="220"/>
      <c r="M20" s="151">
        <v>6</v>
      </c>
      <c r="N20" s="151">
        <v>6</v>
      </c>
      <c r="O20" s="151">
        <v>6</v>
      </c>
      <c r="P20" s="151">
        <v>6</v>
      </c>
      <c r="Q20" s="151">
        <v>6</v>
      </c>
      <c r="R20" s="151">
        <v>6</v>
      </c>
      <c r="S20" s="151">
        <v>6</v>
      </c>
      <c r="T20" s="151">
        <v>4</v>
      </c>
      <c r="U20" s="151" t="s">
        <v>188</v>
      </c>
      <c r="V20" s="151" t="s">
        <v>188</v>
      </c>
    </row>
    <row r="21" spans="7:24" ht="20.25" thickTop="1" thickBot="1">
      <c r="G21" s="392">
        <v>16</v>
      </c>
      <c r="H21" s="392">
        <v>8</v>
      </c>
      <c r="I21" s="392">
        <v>5</v>
      </c>
      <c r="J21" s="392">
        <v>5</v>
      </c>
      <c r="K21" s="392">
        <v>10</v>
      </c>
      <c r="L21" s="392"/>
      <c r="M21" s="212">
        <v>6</v>
      </c>
      <c r="N21" s="212">
        <v>6</v>
      </c>
      <c r="O21" s="212">
        <v>6</v>
      </c>
      <c r="P21" s="212">
        <v>6</v>
      </c>
      <c r="Q21" s="212">
        <v>6</v>
      </c>
      <c r="R21" s="212">
        <v>6</v>
      </c>
      <c r="S21" s="212">
        <v>6</v>
      </c>
      <c r="T21" s="212">
        <v>5</v>
      </c>
      <c r="U21" s="212">
        <v>3</v>
      </c>
      <c r="V21" s="212" t="s">
        <v>188</v>
      </c>
      <c r="X21" s="142"/>
    </row>
    <row r="22" spans="7:24" ht="20.25" thickTop="1" thickBot="1">
      <c r="G22" s="220">
        <v>17</v>
      </c>
      <c r="H22" s="220">
        <v>8</v>
      </c>
      <c r="I22" s="220">
        <v>5</v>
      </c>
      <c r="J22" s="220">
        <v>5</v>
      </c>
      <c r="K22" s="220">
        <v>10</v>
      </c>
      <c r="L22" s="220"/>
      <c r="M22" s="151">
        <v>6</v>
      </c>
      <c r="N22" s="151">
        <v>6</v>
      </c>
      <c r="O22" s="151">
        <v>6</v>
      </c>
      <c r="P22" s="151">
        <v>6</v>
      </c>
      <c r="Q22" s="151">
        <v>6</v>
      </c>
      <c r="R22" s="151">
        <v>6</v>
      </c>
      <c r="S22" s="151">
        <v>6</v>
      </c>
      <c r="T22" s="151">
        <v>6</v>
      </c>
      <c r="U22" s="151">
        <v>4</v>
      </c>
      <c r="V22" s="151" t="s">
        <v>188</v>
      </c>
    </row>
    <row r="23" spans="7:24" ht="20.25" thickTop="1" thickBot="1">
      <c r="G23" s="392">
        <v>18</v>
      </c>
      <c r="H23" s="392">
        <v>9</v>
      </c>
      <c r="I23" s="392">
        <v>6</v>
      </c>
      <c r="J23" s="392">
        <v>6</v>
      </c>
      <c r="K23" s="392">
        <v>11</v>
      </c>
      <c r="L23" s="392"/>
      <c r="M23" s="212">
        <v>6</v>
      </c>
      <c r="N23" s="212">
        <v>6</v>
      </c>
      <c r="O23" s="212">
        <v>6</v>
      </c>
      <c r="P23" s="212">
        <v>6</v>
      </c>
      <c r="Q23" s="212">
        <v>6</v>
      </c>
      <c r="R23" s="212">
        <v>6</v>
      </c>
      <c r="S23" s="212">
        <v>6</v>
      </c>
      <c r="T23" s="212">
        <v>6</v>
      </c>
      <c r="U23" s="212">
        <v>5</v>
      </c>
      <c r="V23" s="212">
        <v>3</v>
      </c>
    </row>
    <row r="24" spans="7:24" ht="20.25" thickTop="1" thickBot="1">
      <c r="G24" s="220">
        <v>19</v>
      </c>
      <c r="H24" s="220">
        <v>9</v>
      </c>
      <c r="I24" s="220">
        <v>6</v>
      </c>
      <c r="J24" s="220">
        <v>6</v>
      </c>
      <c r="K24" s="220">
        <v>11</v>
      </c>
      <c r="L24" s="220"/>
      <c r="M24" s="151">
        <v>6</v>
      </c>
      <c r="N24" s="151">
        <v>6</v>
      </c>
      <c r="O24" s="151">
        <v>6</v>
      </c>
      <c r="P24" s="151">
        <v>6</v>
      </c>
      <c r="Q24" s="151">
        <v>6</v>
      </c>
      <c r="R24" s="151">
        <v>6</v>
      </c>
      <c r="S24" s="151">
        <v>6</v>
      </c>
      <c r="T24" s="151">
        <v>6</v>
      </c>
      <c r="U24" s="151">
        <v>6</v>
      </c>
      <c r="V24" s="151">
        <v>4</v>
      </c>
    </row>
    <row r="25" spans="7:24" ht="20.25" thickTop="1" thickBot="1">
      <c r="G25" s="392">
        <v>20</v>
      </c>
      <c r="H25" s="392">
        <v>10</v>
      </c>
      <c r="I25" s="392">
        <v>6</v>
      </c>
      <c r="J25" s="392">
        <v>6</v>
      </c>
      <c r="K25" s="392">
        <v>12</v>
      </c>
      <c r="L25" s="392"/>
      <c r="M25" s="212">
        <v>6</v>
      </c>
      <c r="N25" s="212">
        <v>6</v>
      </c>
      <c r="O25" s="212">
        <v>6</v>
      </c>
      <c r="P25" s="212">
        <v>6</v>
      </c>
      <c r="Q25" s="212">
        <v>6</v>
      </c>
      <c r="R25" s="212">
        <v>6</v>
      </c>
      <c r="S25" s="212">
        <v>6</v>
      </c>
      <c r="T25" s="212">
        <v>6</v>
      </c>
      <c r="U25" s="212">
        <v>6</v>
      </c>
      <c r="V25" s="212">
        <v>6</v>
      </c>
    </row>
    <row r="26" spans="7:24" ht="16.5" thickTop="1" thickBot="1"/>
    <row r="27" spans="7:24" ht="16.5" thickTop="1" thickBot="1">
      <c r="L27" s="829" t="s">
        <v>2</v>
      </c>
      <c r="M27" s="842" t="s">
        <v>950</v>
      </c>
      <c r="N27" s="843"/>
      <c r="O27" s="843"/>
      <c r="P27" s="843"/>
      <c r="Q27" s="843"/>
      <c r="R27" s="843"/>
      <c r="S27" s="843"/>
      <c r="T27" s="843"/>
      <c r="U27" s="843"/>
      <c r="V27" s="843"/>
    </row>
    <row r="28" spans="7:24" ht="16.5" thickTop="1" thickBot="1">
      <c r="L28" s="830"/>
      <c r="M28" s="843"/>
      <c r="N28" s="843"/>
      <c r="O28" s="843"/>
      <c r="P28" s="843"/>
      <c r="Q28" s="843"/>
      <c r="R28" s="843"/>
      <c r="S28" s="843"/>
      <c r="T28" s="843"/>
      <c r="U28" s="843"/>
      <c r="V28" s="843"/>
    </row>
    <row r="29" spans="7:24" ht="20.25" thickTop="1" thickBot="1">
      <c r="L29" s="830"/>
      <c r="M29" s="393">
        <v>0</v>
      </c>
      <c r="N29" s="393">
        <v>1</v>
      </c>
      <c r="O29" s="393">
        <v>2</v>
      </c>
      <c r="P29" s="393">
        <v>3</v>
      </c>
      <c r="Q29" s="393">
        <v>4</v>
      </c>
      <c r="R29" s="393">
        <v>5</v>
      </c>
      <c r="S29" s="393">
        <v>6</v>
      </c>
      <c r="T29" s="393">
        <v>7</v>
      </c>
      <c r="U29" s="393">
        <v>8</v>
      </c>
      <c r="V29" s="393">
        <v>9</v>
      </c>
    </row>
    <row r="30" spans="7:24" ht="20.25" thickTop="1" thickBot="1">
      <c r="L30" s="163">
        <v>1</v>
      </c>
      <c r="M30" s="163">
        <v>4</v>
      </c>
      <c r="N30" s="163">
        <v>2</v>
      </c>
      <c r="O30" s="163" t="s">
        <v>188</v>
      </c>
      <c r="P30" s="163" t="s">
        <v>188</v>
      </c>
      <c r="Q30" s="163" t="s">
        <v>188</v>
      </c>
      <c r="R30" s="163" t="s">
        <v>188</v>
      </c>
      <c r="S30" s="163" t="s">
        <v>188</v>
      </c>
      <c r="T30" s="163" t="s">
        <v>188</v>
      </c>
      <c r="U30" s="163" t="s">
        <v>188</v>
      </c>
      <c r="V30" s="163" t="s">
        <v>188</v>
      </c>
    </row>
    <row r="31" spans="7:24" ht="20.25" thickTop="1" thickBot="1">
      <c r="L31" s="393">
        <v>2</v>
      </c>
      <c r="M31" s="393">
        <v>5</v>
      </c>
      <c r="N31" s="393">
        <v>2</v>
      </c>
      <c r="O31" s="393" t="s">
        <v>188</v>
      </c>
      <c r="P31" s="393" t="s">
        <v>188</v>
      </c>
      <c r="Q31" s="393" t="s">
        <v>188</v>
      </c>
      <c r="R31" s="393" t="s">
        <v>188</v>
      </c>
      <c r="S31" s="393" t="s">
        <v>188</v>
      </c>
      <c r="T31" s="393" t="s">
        <v>188</v>
      </c>
      <c r="U31" s="393" t="s">
        <v>188</v>
      </c>
      <c r="V31" s="393" t="s">
        <v>188</v>
      </c>
    </row>
    <row r="32" spans="7:24" ht="20.25" thickTop="1" thickBot="1">
      <c r="L32" s="163">
        <v>3</v>
      </c>
      <c r="M32" s="163">
        <v>5</v>
      </c>
      <c r="N32" s="163">
        <v>3</v>
      </c>
      <c r="O32" s="163" t="s">
        <v>188</v>
      </c>
      <c r="P32" s="163" t="s">
        <v>188</v>
      </c>
      <c r="Q32" s="163" t="s">
        <v>188</v>
      </c>
      <c r="R32" s="163" t="s">
        <v>188</v>
      </c>
      <c r="S32" s="163" t="s">
        <v>188</v>
      </c>
      <c r="T32" s="163" t="s">
        <v>188</v>
      </c>
      <c r="U32" s="163" t="s">
        <v>188</v>
      </c>
      <c r="V32" s="163" t="s">
        <v>188</v>
      </c>
    </row>
    <row r="33" spans="12:22" ht="20.25" thickTop="1" thickBot="1">
      <c r="L33" s="393">
        <v>4</v>
      </c>
      <c r="M33" s="393">
        <v>6</v>
      </c>
      <c r="N33" s="393">
        <v>3</v>
      </c>
      <c r="O33" s="393">
        <v>1</v>
      </c>
      <c r="P33" s="393" t="s">
        <v>188</v>
      </c>
      <c r="Q33" s="393" t="s">
        <v>188</v>
      </c>
      <c r="R33" s="393" t="s">
        <v>188</v>
      </c>
      <c r="S33" s="393" t="s">
        <v>188</v>
      </c>
      <c r="T33" s="393" t="s">
        <v>188</v>
      </c>
      <c r="U33" s="393" t="s">
        <v>188</v>
      </c>
      <c r="V33" s="393" t="s">
        <v>188</v>
      </c>
    </row>
    <row r="34" spans="12:22" ht="20.25" thickTop="1" thickBot="1">
      <c r="L34" s="163">
        <v>5</v>
      </c>
      <c r="M34" s="163">
        <v>6</v>
      </c>
      <c r="N34" s="163">
        <v>4</v>
      </c>
      <c r="O34" s="163">
        <v>2</v>
      </c>
      <c r="P34" s="163" t="s">
        <v>188</v>
      </c>
      <c r="Q34" s="163" t="s">
        <v>188</v>
      </c>
      <c r="R34" s="163" t="s">
        <v>188</v>
      </c>
      <c r="S34" s="163" t="s">
        <v>188</v>
      </c>
      <c r="T34" s="163" t="s">
        <v>188</v>
      </c>
      <c r="U34" s="163" t="s">
        <v>188</v>
      </c>
      <c r="V34" s="163" t="s">
        <v>188</v>
      </c>
    </row>
    <row r="35" spans="12:22" ht="20.25" thickTop="1" thickBot="1">
      <c r="L35" s="393">
        <v>6</v>
      </c>
      <c r="M35" s="393">
        <v>7</v>
      </c>
      <c r="N35" s="393">
        <v>4</v>
      </c>
      <c r="O35" s="393">
        <v>2</v>
      </c>
      <c r="P35" s="393">
        <v>1</v>
      </c>
      <c r="Q35" s="393" t="s">
        <v>188</v>
      </c>
      <c r="R35" s="393" t="s">
        <v>188</v>
      </c>
      <c r="S35" s="393" t="s">
        <v>188</v>
      </c>
      <c r="T35" s="393" t="s">
        <v>188</v>
      </c>
      <c r="U35" s="393" t="s">
        <v>188</v>
      </c>
      <c r="V35" s="393" t="s">
        <v>188</v>
      </c>
    </row>
    <row r="36" spans="12:22" ht="20.25" thickTop="1" thickBot="1">
      <c r="L36" s="163">
        <v>7</v>
      </c>
      <c r="M36" s="163">
        <v>7</v>
      </c>
      <c r="N36" s="163">
        <v>5</v>
      </c>
      <c r="O36" s="163">
        <v>3</v>
      </c>
      <c r="P36" s="163">
        <v>2</v>
      </c>
      <c r="Q36" s="163" t="s">
        <v>188</v>
      </c>
      <c r="R36" s="163" t="s">
        <v>188</v>
      </c>
      <c r="S36" s="163" t="s">
        <v>188</v>
      </c>
      <c r="T36" s="163" t="s">
        <v>188</v>
      </c>
      <c r="U36" s="163" t="s">
        <v>188</v>
      </c>
      <c r="V36" s="163" t="s">
        <v>188</v>
      </c>
    </row>
    <row r="37" spans="12:22" ht="20.25" thickTop="1" thickBot="1">
      <c r="L37" s="393">
        <v>8</v>
      </c>
      <c r="M37" s="393">
        <v>8</v>
      </c>
      <c r="N37" s="393">
        <v>5</v>
      </c>
      <c r="O37" s="393">
        <v>3</v>
      </c>
      <c r="P37" s="393">
        <v>2</v>
      </c>
      <c r="Q37" s="393">
        <v>1</v>
      </c>
      <c r="R37" s="393" t="s">
        <v>188</v>
      </c>
      <c r="S37" s="393" t="s">
        <v>188</v>
      </c>
      <c r="T37" s="393" t="s">
        <v>188</v>
      </c>
      <c r="U37" s="393" t="s">
        <v>188</v>
      </c>
      <c r="V37" s="393" t="s">
        <v>188</v>
      </c>
    </row>
    <row r="38" spans="12:22" ht="20.25" thickTop="1" thickBot="1">
      <c r="L38" s="163">
        <v>9</v>
      </c>
      <c r="M38" s="163">
        <v>8</v>
      </c>
      <c r="N38" s="163">
        <v>5</v>
      </c>
      <c r="O38" s="163">
        <v>4</v>
      </c>
      <c r="P38" s="163">
        <v>3</v>
      </c>
      <c r="Q38" s="163">
        <v>2</v>
      </c>
      <c r="R38" s="163" t="s">
        <v>188</v>
      </c>
      <c r="S38" s="163" t="s">
        <v>188</v>
      </c>
      <c r="T38" s="163" t="s">
        <v>188</v>
      </c>
      <c r="U38" s="163" t="s">
        <v>188</v>
      </c>
      <c r="V38" s="163" t="s">
        <v>188</v>
      </c>
    </row>
    <row r="39" spans="12:22" ht="20.25" thickTop="1" thickBot="1">
      <c r="L39" s="393">
        <v>10</v>
      </c>
      <c r="M39" s="393">
        <v>9</v>
      </c>
      <c r="N39" s="393">
        <v>5</v>
      </c>
      <c r="O39" s="393">
        <v>4</v>
      </c>
      <c r="P39" s="393">
        <v>3</v>
      </c>
      <c r="Q39" s="393">
        <v>2</v>
      </c>
      <c r="R39" s="393">
        <v>1</v>
      </c>
      <c r="S39" s="393" t="s">
        <v>188</v>
      </c>
      <c r="T39" s="393" t="s">
        <v>188</v>
      </c>
      <c r="U39" s="393" t="s">
        <v>188</v>
      </c>
      <c r="V39" s="393" t="s">
        <v>188</v>
      </c>
    </row>
    <row r="40" spans="12:22" ht="20.25" thickTop="1" thickBot="1">
      <c r="L40" s="163">
        <v>11</v>
      </c>
      <c r="M40" s="163">
        <v>9</v>
      </c>
      <c r="N40" s="163">
        <v>5</v>
      </c>
      <c r="O40" s="163">
        <v>5</v>
      </c>
      <c r="P40" s="163">
        <v>4</v>
      </c>
      <c r="Q40" s="163">
        <v>3</v>
      </c>
      <c r="R40" s="163">
        <v>2</v>
      </c>
      <c r="S40" s="163" t="s">
        <v>188</v>
      </c>
      <c r="T40" s="163" t="s">
        <v>188</v>
      </c>
      <c r="U40" s="163" t="s">
        <v>188</v>
      </c>
      <c r="V40" s="163" t="s">
        <v>188</v>
      </c>
    </row>
    <row r="41" spans="12:22" ht="20.25" thickTop="1" thickBot="1">
      <c r="L41" s="393">
        <v>12</v>
      </c>
      <c r="M41" s="393">
        <v>9</v>
      </c>
      <c r="N41" s="393">
        <v>5</v>
      </c>
      <c r="O41" s="393">
        <v>5</v>
      </c>
      <c r="P41" s="393">
        <v>4</v>
      </c>
      <c r="Q41" s="393">
        <v>3</v>
      </c>
      <c r="R41" s="393">
        <v>2</v>
      </c>
      <c r="S41" s="393">
        <v>1</v>
      </c>
      <c r="T41" s="393" t="s">
        <v>188</v>
      </c>
      <c r="U41" s="393" t="s">
        <v>188</v>
      </c>
      <c r="V41" s="393" t="s">
        <v>188</v>
      </c>
    </row>
    <row r="42" spans="12:22" ht="20.25" thickTop="1" thickBot="1">
      <c r="L42" s="163">
        <v>13</v>
      </c>
      <c r="M42" s="163">
        <v>9</v>
      </c>
      <c r="N42" s="163">
        <v>5</v>
      </c>
      <c r="O42" s="163">
        <v>5</v>
      </c>
      <c r="P42" s="163">
        <v>4</v>
      </c>
      <c r="Q42" s="163">
        <v>4</v>
      </c>
      <c r="R42" s="163">
        <v>3</v>
      </c>
      <c r="S42" s="163">
        <v>2</v>
      </c>
      <c r="T42" s="163" t="s">
        <v>188</v>
      </c>
      <c r="U42" s="163" t="s">
        <v>188</v>
      </c>
      <c r="V42" s="163" t="s">
        <v>188</v>
      </c>
    </row>
    <row r="43" spans="12:22" ht="20.25" thickTop="1" thickBot="1">
      <c r="L43" s="393">
        <v>14</v>
      </c>
      <c r="M43" s="393">
        <v>9</v>
      </c>
      <c r="N43" s="393">
        <v>5</v>
      </c>
      <c r="O43" s="393">
        <v>5</v>
      </c>
      <c r="P43" s="393">
        <v>4</v>
      </c>
      <c r="Q43" s="393">
        <v>4</v>
      </c>
      <c r="R43" s="393">
        <v>3</v>
      </c>
      <c r="S43" s="393">
        <v>2</v>
      </c>
      <c r="T43" s="393">
        <v>1</v>
      </c>
      <c r="U43" s="393" t="s">
        <v>188</v>
      </c>
      <c r="V43" s="393" t="s">
        <v>188</v>
      </c>
    </row>
    <row r="44" spans="12:22" ht="20.25" thickTop="1" thickBot="1">
      <c r="L44" s="163">
        <v>15</v>
      </c>
      <c r="M44" s="163">
        <v>9</v>
      </c>
      <c r="N44" s="163">
        <v>5</v>
      </c>
      <c r="O44" s="163">
        <v>5</v>
      </c>
      <c r="P44" s="163">
        <v>4</v>
      </c>
      <c r="Q44" s="163">
        <v>4</v>
      </c>
      <c r="R44" s="163">
        <v>4</v>
      </c>
      <c r="S44" s="163">
        <v>3</v>
      </c>
      <c r="T44" s="163">
        <v>2</v>
      </c>
      <c r="U44" s="163" t="s">
        <v>188</v>
      </c>
      <c r="V44" s="163" t="s">
        <v>188</v>
      </c>
    </row>
    <row r="45" spans="12:22" ht="20.25" thickTop="1" thickBot="1">
      <c r="L45" s="393">
        <v>16</v>
      </c>
      <c r="M45" s="393">
        <v>9</v>
      </c>
      <c r="N45" s="393">
        <v>5</v>
      </c>
      <c r="O45" s="393">
        <v>5</v>
      </c>
      <c r="P45" s="393">
        <v>4</v>
      </c>
      <c r="Q45" s="393">
        <v>4</v>
      </c>
      <c r="R45" s="393">
        <v>4</v>
      </c>
      <c r="S45" s="393">
        <v>3</v>
      </c>
      <c r="T45" s="393">
        <v>2</v>
      </c>
      <c r="U45" s="393">
        <v>1</v>
      </c>
      <c r="V45" s="393" t="s">
        <v>188</v>
      </c>
    </row>
    <row r="46" spans="12:22" ht="20.25" thickTop="1" thickBot="1">
      <c r="L46" s="163">
        <v>17</v>
      </c>
      <c r="M46" s="163">
        <v>9</v>
      </c>
      <c r="N46" s="163">
        <v>5</v>
      </c>
      <c r="O46" s="163">
        <v>5</v>
      </c>
      <c r="P46" s="163">
        <v>4</v>
      </c>
      <c r="Q46" s="163">
        <v>4</v>
      </c>
      <c r="R46" s="163">
        <v>4</v>
      </c>
      <c r="S46" s="163">
        <v>3</v>
      </c>
      <c r="T46" s="163">
        <v>3</v>
      </c>
      <c r="U46" s="163">
        <v>2</v>
      </c>
      <c r="V46" s="163" t="s">
        <v>188</v>
      </c>
    </row>
    <row r="47" spans="12:22" ht="20.25" thickTop="1" thickBot="1">
      <c r="L47" s="393">
        <v>18</v>
      </c>
      <c r="M47" s="393">
        <v>9</v>
      </c>
      <c r="N47" s="393">
        <v>5</v>
      </c>
      <c r="O47" s="393">
        <v>5</v>
      </c>
      <c r="P47" s="393">
        <v>4</v>
      </c>
      <c r="Q47" s="393">
        <v>4</v>
      </c>
      <c r="R47" s="393">
        <v>4</v>
      </c>
      <c r="S47" s="393">
        <v>3</v>
      </c>
      <c r="T47" s="393">
        <v>3</v>
      </c>
      <c r="U47" s="393">
        <v>2</v>
      </c>
      <c r="V47" s="393">
        <v>1</v>
      </c>
    </row>
    <row r="48" spans="12:22" ht="20.25" thickTop="1" thickBot="1">
      <c r="L48" s="163">
        <v>19</v>
      </c>
      <c r="M48" s="163">
        <v>9</v>
      </c>
      <c r="N48" s="163">
        <v>5</v>
      </c>
      <c r="O48" s="163">
        <v>5</v>
      </c>
      <c r="P48" s="163">
        <v>4</v>
      </c>
      <c r="Q48" s="163">
        <v>4</v>
      </c>
      <c r="R48" s="163">
        <v>4</v>
      </c>
      <c r="S48" s="163">
        <v>3</v>
      </c>
      <c r="T48" s="163">
        <v>3</v>
      </c>
      <c r="U48" s="163">
        <v>3</v>
      </c>
      <c r="V48" s="163">
        <v>2</v>
      </c>
    </row>
    <row r="49" spans="12:22" ht="20.25" thickTop="1" thickBot="1">
      <c r="L49" s="393">
        <v>20</v>
      </c>
      <c r="M49" s="393">
        <v>9</v>
      </c>
      <c r="N49" s="393">
        <v>5</v>
      </c>
      <c r="O49" s="393">
        <v>5</v>
      </c>
      <c r="P49" s="393">
        <v>4</v>
      </c>
      <c r="Q49" s="393">
        <v>4</v>
      </c>
      <c r="R49" s="393">
        <v>4</v>
      </c>
      <c r="S49" s="393">
        <v>3</v>
      </c>
      <c r="T49" s="393">
        <v>3</v>
      </c>
      <c r="U49" s="393">
        <v>3</v>
      </c>
      <c r="V49" s="393">
        <v>3</v>
      </c>
    </row>
    <row r="50" spans="12:22" ht="15.75" thickTop="1"/>
  </sheetData>
  <mergeCells count="24">
    <mergeCell ref="A1:F3"/>
    <mergeCell ref="G1:G2"/>
    <mergeCell ref="H1:H2"/>
    <mergeCell ref="G3:H4"/>
    <mergeCell ref="A4:F5"/>
    <mergeCell ref="L27:L29"/>
    <mergeCell ref="M27:V28"/>
    <mergeCell ref="I3:I5"/>
    <mergeCell ref="J3:J5"/>
    <mergeCell ref="K3:K5"/>
    <mergeCell ref="L3:L5"/>
    <mergeCell ref="M3:V4"/>
    <mergeCell ref="E9:F9"/>
    <mergeCell ref="E10:F10"/>
    <mergeCell ref="B11:D11"/>
    <mergeCell ref="B6:D6"/>
    <mergeCell ref="B7:D7"/>
    <mergeCell ref="B8:D8"/>
    <mergeCell ref="B9:D9"/>
    <mergeCell ref="B10:D10"/>
    <mergeCell ref="E11:F11"/>
    <mergeCell ref="E6:F6"/>
    <mergeCell ref="E7:F7"/>
    <mergeCell ref="E8:F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" zoomScale="70" zoomScaleNormal="70" workbookViewId="0">
      <selection activeCell="A12" sqref="A12:I18"/>
    </sheetView>
  </sheetViews>
  <sheetFormatPr defaultRowHeight="15"/>
  <sheetData>
    <row r="1" spans="1:18">
      <c r="A1" s="896" t="s">
        <v>908</v>
      </c>
      <c r="B1" s="896"/>
      <c r="C1" s="896"/>
      <c r="D1" s="896"/>
      <c r="E1" s="896"/>
      <c r="F1" s="896"/>
      <c r="G1" s="896"/>
      <c r="H1" s="896"/>
      <c r="I1" s="896"/>
      <c r="J1" s="896" t="s">
        <v>911</v>
      </c>
      <c r="K1" s="896"/>
      <c r="L1" s="896"/>
      <c r="M1" s="896"/>
      <c r="N1" s="896"/>
      <c r="O1" s="896"/>
      <c r="P1" s="896"/>
      <c r="Q1" s="896"/>
      <c r="R1" s="896"/>
    </row>
    <row r="2" spans="1:18">
      <c r="A2" s="896"/>
      <c r="B2" s="896"/>
      <c r="C2" s="896"/>
      <c r="D2" s="896"/>
      <c r="E2" s="896"/>
      <c r="F2" s="896"/>
      <c r="G2" s="896"/>
      <c r="H2" s="896"/>
      <c r="I2" s="896"/>
      <c r="J2" s="896"/>
      <c r="K2" s="896"/>
      <c r="L2" s="896"/>
      <c r="M2" s="896"/>
      <c r="N2" s="896"/>
      <c r="O2" s="896"/>
      <c r="P2" s="896"/>
      <c r="Q2" s="896"/>
      <c r="R2" s="896"/>
    </row>
    <row r="3" spans="1:18">
      <c r="A3" s="897" t="s">
        <v>951</v>
      </c>
      <c r="B3" s="897"/>
      <c r="C3" s="897"/>
      <c r="D3" s="897"/>
      <c r="E3" s="897"/>
      <c r="F3" s="897"/>
      <c r="G3" s="897"/>
      <c r="H3" s="897"/>
      <c r="I3" s="897"/>
      <c r="J3" s="897" t="s">
        <v>951</v>
      </c>
      <c r="K3" s="897"/>
      <c r="L3" s="897"/>
      <c r="M3" s="897"/>
      <c r="N3" s="897"/>
      <c r="O3" s="897"/>
      <c r="P3" s="897"/>
      <c r="Q3" s="897"/>
      <c r="R3" s="897"/>
    </row>
    <row r="4" spans="1:18">
      <c r="A4" s="897"/>
      <c r="B4" s="897"/>
      <c r="C4" s="897"/>
      <c r="D4" s="897"/>
      <c r="E4" s="897"/>
      <c r="F4" s="897"/>
      <c r="G4" s="897"/>
      <c r="H4" s="897"/>
      <c r="I4" s="897"/>
      <c r="J4" s="897"/>
      <c r="K4" s="897"/>
      <c r="L4" s="897"/>
      <c r="M4" s="897"/>
      <c r="N4" s="897"/>
      <c r="O4" s="897"/>
      <c r="P4" s="897"/>
      <c r="Q4" s="897"/>
      <c r="R4" s="897"/>
    </row>
    <row r="5" spans="1:18">
      <c r="A5" s="895" t="s">
        <v>952</v>
      </c>
      <c r="B5" s="895"/>
      <c r="C5" s="895"/>
      <c r="D5" s="895"/>
      <c r="E5" s="895"/>
      <c r="F5" s="895"/>
      <c r="G5" s="895"/>
      <c r="H5" s="895"/>
      <c r="I5" s="895"/>
      <c r="J5" s="895" t="s">
        <v>953</v>
      </c>
      <c r="K5" s="895"/>
      <c r="L5" s="895"/>
      <c r="M5" s="895"/>
      <c r="N5" s="895"/>
      <c r="O5" s="895"/>
      <c r="P5" s="895"/>
      <c r="Q5" s="895"/>
      <c r="R5" s="895"/>
    </row>
    <row r="6" spans="1:18">
      <c r="A6" s="895"/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895"/>
      <c r="N6" s="895"/>
      <c r="O6" s="895"/>
      <c r="P6" s="895"/>
      <c r="Q6" s="895"/>
      <c r="R6" s="895"/>
    </row>
    <row r="7" spans="1:18">
      <c r="A7" s="895"/>
      <c r="B7" s="895"/>
      <c r="C7" s="895"/>
      <c r="D7" s="895"/>
      <c r="E7" s="895"/>
      <c r="F7" s="895"/>
      <c r="G7" s="895"/>
      <c r="H7" s="895"/>
      <c r="I7" s="895"/>
      <c r="J7" s="895"/>
      <c r="K7" s="895"/>
      <c r="L7" s="895"/>
      <c r="M7" s="895"/>
      <c r="N7" s="895"/>
      <c r="O7" s="895"/>
      <c r="P7" s="895"/>
      <c r="Q7" s="895"/>
      <c r="R7" s="895"/>
    </row>
    <row r="8" spans="1:18">
      <c r="A8" s="895"/>
      <c r="B8" s="895"/>
      <c r="C8" s="895"/>
      <c r="D8" s="895"/>
      <c r="E8" s="895"/>
      <c r="F8" s="895"/>
      <c r="G8" s="895"/>
      <c r="H8" s="895"/>
      <c r="I8" s="895"/>
      <c r="J8" s="895"/>
      <c r="K8" s="895"/>
      <c r="L8" s="895"/>
      <c r="M8" s="895"/>
      <c r="N8" s="895"/>
      <c r="O8" s="895"/>
      <c r="P8" s="895"/>
      <c r="Q8" s="895"/>
      <c r="R8" s="895"/>
    </row>
    <row r="9" spans="1:18">
      <c r="A9" s="895"/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</row>
    <row r="10" spans="1:18">
      <c r="A10" s="895"/>
      <c r="B10" s="895"/>
      <c r="C10" s="895"/>
      <c r="D10" s="895"/>
      <c r="E10" s="895"/>
      <c r="F10" s="895"/>
      <c r="G10" s="895"/>
      <c r="H10" s="895"/>
      <c r="I10" s="895"/>
      <c r="J10" s="895"/>
      <c r="K10" s="895"/>
      <c r="L10" s="895"/>
      <c r="M10" s="895"/>
      <c r="N10" s="895"/>
      <c r="O10" s="895"/>
      <c r="P10" s="895"/>
      <c r="Q10" s="895"/>
      <c r="R10" s="895"/>
    </row>
    <row r="11" spans="1:18">
      <c r="A11" s="895"/>
      <c r="B11" s="895"/>
      <c r="C11" s="895"/>
      <c r="D11" s="895"/>
      <c r="E11" s="895"/>
      <c r="F11" s="895"/>
      <c r="G11" s="895"/>
      <c r="H11" s="895"/>
      <c r="I11" s="895"/>
      <c r="J11" s="895"/>
      <c r="K11" s="895"/>
      <c r="L11" s="895"/>
      <c r="M11" s="895"/>
      <c r="N11" s="895"/>
      <c r="O11" s="895"/>
      <c r="P11" s="895"/>
      <c r="Q11" s="895"/>
      <c r="R11" s="895"/>
    </row>
    <row r="12" spans="1:18">
      <c r="A12" s="895" t="s">
        <v>954</v>
      </c>
      <c r="B12" s="895"/>
      <c r="C12" s="895"/>
      <c r="D12" s="895"/>
      <c r="E12" s="895"/>
      <c r="F12" s="895"/>
      <c r="G12" s="895"/>
      <c r="H12" s="895"/>
      <c r="I12" s="895"/>
      <c r="J12" s="895" t="s">
        <v>955</v>
      </c>
      <c r="K12" s="895"/>
      <c r="L12" s="895"/>
      <c r="M12" s="895"/>
      <c r="N12" s="895"/>
      <c r="O12" s="895"/>
      <c r="P12" s="895"/>
      <c r="Q12" s="895"/>
      <c r="R12" s="895"/>
    </row>
    <row r="13" spans="1:18">
      <c r="A13" s="895"/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5"/>
      <c r="N13" s="895"/>
      <c r="O13" s="895"/>
      <c r="P13" s="895"/>
      <c r="Q13" s="895"/>
      <c r="R13" s="895"/>
    </row>
    <row r="14" spans="1:18">
      <c r="A14" s="895"/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5"/>
      <c r="N14" s="895"/>
      <c r="O14" s="895"/>
      <c r="P14" s="895"/>
      <c r="Q14" s="895"/>
      <c r="R14" s="895"/>
    </row>
    <row r="15" spans="1:18">
      <c r="A15" s="895"/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5"/>
      <c r="N15" s="895"/>
      <c r="O15" s="895"/>
      <c r="P15" s="895"/>
      <c r="Q15" s="895"/>
      <c r="R15" s="895"/>
    </row>
    <row r="16" spans="1:18">
      <c r="A16" s="895"/>
      <c r="B16" s="895"/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895"/>
      <c r="P16" s="895"/>
      <c r="Q16" s="895"/>
      <c r="R16" s="895"/>
    </row>
    <row r="17" spans="1:18">
      <c r="A17" s="895"/>
      <c r="B17" s="895"/>
      <c r="C17" s="895"/>
      <c r="D17" s="895"/>
      <c r="E17" s="895"/>
      <c r="F17" s="895"/>
      <c r="G17" s="895"/>
      <c r="H17" s="895"/>
      <c r="I17" s="895"/>
      <c r="J17" s="895"/>
      <c r="K17" s="895"/>
      <c r="L17" s="895"/>
      <c r="M17" s="895"/>
      <c r="N17" s="895"/>
      <c r="O17" s="895"/>
      <c r="P17" s="895"/>
      <c r="Q17" s="895"/>
      <c r="R17" s="895"/>
    </row>
    <row r="18" spans="1:18">
      <c r="A18" s="895"/>
      <c r="B18" s="895"/>
      <c r="C18" s="895"/>
      <c r="D18" s="895"/>
      <c r="E18" s="895"/>
      <c r="F18" s="895"/>
      <c r="G18" s="895"/>
      <c r="H18" s="895"/>
      <c r="I18" s="895"/>
      <c r="J18" s="895"/>
      <c r="K18" s="895"/>
      <c r="L18" s="895"/>
      <c r="M18" s="895"/>
      <c r="N18" s="895"/>
      <c r="O18" s="895"/>
      <c r="P18" s="895"/>
      <c r="Q18" s="895"/>
      <c r="R18" s="895"/>
    </row>
    <row r="19" spans="1:18">
      <c r="A19" s="895" t="s">
        <v>956</v>
      </c>
      <c r="B19" s="895"/>
      <c r="C19" s="895"/>
      <c r="D19" s="895"/>
      <c r="E19" s="895"/>
      <c r="F19" s="895"/>
      <c r="G19" s="895"/>
      <c r="H19" s="895"/>
      <c r="I19" s="895"/>
      <c r="J19" s="895" t="s">
        <v>957</v>
      </c>
      <c r="K19" s="895"/>
      <c r="L19" s="895"/>
      <c r="M19" s="895"/>
      <c r="N19" s="895"/>
      <c r="O19" s="895"/>
      <c r="P19" s="895"/>
      <c r="Q19" s="895"/>
      <c r="R19" s="895"/>
    </row>
    <row r="20" spans="1:18">
      <c r="A20" s="895"/>
      <c r="B20" s="895"/>
      <c r="C20" s="895"/>
      <c r="D20" s="895"/>
      <c r="E20" s="895"/>
      <c r="F20" s="895"/>
      <c r="G20" s="895"/>
      <c r="H20" s="895"/>
      <c r="I20" s="895"/>
      <c r="J20" s="895"/>
      <c r="K20" s="895"/>
      <c r="L20" s="895"/>
      <c r="M20" s="895"/>
      <c r="N20" s="895"/>
      <c r="O20" s="895"/>
      <c r="P20" s="895"/>
      <c r="Q20" s="895"/>
      <c r="R20" s="895"/>
    </row>
    <row r="21" spans="1:18">
      <c r="A21" s="895"/>
      <c r="B21" s="895"/>
      <c r="C21" s="895"/>
      <c r="D21" s="895"/>
      <c r="E21" s="895"/>
      <c r="F21" s="895"/>
      <c r="G21" s="895"/>
      <c r="H21" s="895"/>
      <c r="I21" s="895"/>
      <c r="J21" s="895"/>
      <c r="K21" s="895"/>
      <c r="L21" s="895"/>
      <c r="M21" s="895"/>
      <c r="N21" s="895"/>
      <c r="O21" s="895"/>
      <c r="P21" s="895"/>
      <c r="Q21" s="895"/>
      <c r="R21" s="895"/>
    </row>
    <row r="22" spans="1:18">
      <c r="A22" s="895"/>
      <c r="B22" s="895"/>
      <c r="C22" s="895"/>
      <c r="D22" s="895"/>
      <c r="E22" s="895"/>
      <c r="F22" s="895"/>
      <c r="G22" s="895"/>
      <c r="H22" s="895"/>
      <c r="I22" s="895"/>
      <c r="J22" s="895"/>
      <c r="K22" s="895"/>
      <c r="L22" s="895"/>
      <c r="M22" s="895"/>
      <c r="N22" s="895"/>
      <c r="O22" s="895"/>
      <c r="P22" s="895"/>
      <c r="Q22" s="895"/>
      <c r="R22" s="895"/>
    </row>
    <row r="23" spans="1:18">
      <c r="A23" s="895"/>
      <c r="B23" s="895"/>
      <c r="C23" s="895"/>
      <c r="D23" s="895"/>
      <c r="E23" s="895"/>
      <c r="F23" s="895"/>
      <c r="G23" s="895"/>
      <c r="H23" s="895"/>
      <c r="I23" s="895"/>
      <c r="J23" s="895"/>
      <c r="K23" s="895"/>
      <c r="L23" s="895"/>
      <c r="M23" s="895"/>
      <c r="N23" s="895"/>
      <c r="O23" s="895"/>
      <c r="P23" s="895"/>
      <c r="Q23" s="895"/>
      <c r="R23" s="895"/>
    </row>
    <row r="24" spans="1:18">
      <c r="A24" s="895"/>
      <c r="B24" s="895"/>
      <c r="C24" s="895"/>
      <c r="D24" s="895"/>
      <c r="E24" s="895"/>
      <c r="F24" s="895"/>
      <c r="G24" s="895"/>
      <c r="H24" s="895"/>
      <c r="I24" s="895"/>
      <c r="J24" s="895"/>
      <c r="K24" s="895"/>
      <c r="L24" s="895"/>
      <c r="M24" s="895"/>
      <c r="N24" s="895"/>
      <c r="O24" s="895"/>
      <c r="P24" s="895"/>
      <c r="Q24" s="895"/>
      <c r="R24" s="895"/>
    </row>
    <row r="25" spans="1:18" ht="43.5" customHeight="1">
      <c r="A25" s="895"/>
      <c r="B25" s="895"/>
      <c r="C25" s="895"/>
      <c r="D25" s="895"/>
      <c r="E25" s="895"/>
      <c r="F25" s="895"/>
      <c r="G25" s="895"/>
      <c r="H25" s="895"/>
      <c r="I25" s="895"/>
      <c r="J25" s="895"/>
      <c r="K25" s="895"/>
      <c r="L25" s="895"/>
      <c r="M25" s="895"/>
      <c r="N25" s="895"/>
      <c r="O25" s="895"/>
      <c r="P25" s="895"/>
      <c r="Q25" s="895"/>
      <c r="R25" s="895"/>
    </row>
    <row r="26" spans="1:18" ht="15" customHeight="1">
      <c r="A26" s="895" t="s">
        <v>958</v>
      </c>
      <c r="B26" s="895"/>
      <c r="C26" s="895"/>
      <c r="D26" s="895"/>
      <c r="E26" s="895"/>
      <c r="F26" s="895"/>
      <c r="G26" s="895"/>
      <c r="H26" s="895"/>
      <c r="I26" s="895"/>
      <c r="J26" s="895" t="s">
        <v>959</v>
      </c>
      <c r="K26" s="895"/>
      <c r="L26" s="895"/>
      <c r="M26" s="895"/>
      <c r="N26" s="895"/>
      <c r="O26" s="895"/>
      <c r="P26" s="895"/>
      <c r="Q26" s="895"/>
      <c r="R26" s="895"/>
    </row>
    <row r="27" spans="1:18" ht="15" customHeight="1">
      <c r="A27" s="895"/>
      <c r="B27" s="895"/>
      <c r="C27" s="895"/>
      <c r="D27" s="895"/>
      <c r="E27" s="895"/>
      <c r="F27" s="895"/>
      <c r="G27" s="895"/>
      <c r="H27" s="895"/>
      <c r="I27" s="895"/>
      <c r="J27" s="895"/>
      <c r="K27" s="895"/>
      <c r="L27" s="895"/>
      <c r="M27" s="895"/>
      <c r="N27" s="895"/>
      <c r="O27" s="895"/>
      <c r="P27" s="895"/>
      <c r="Q27" s="895"/>
      <c r="R27" s="895"/>
    </row>
    <row r="28" spans="1:18" ht="15" customHeight="1">
      <c r="A28" s="895"/>
      <c r="B28" s="895"/>
      <c r="C28" s="895"/>
      <c r="D28" s="895"/>
      <c r="E28" s="895"/>
      <c r="F28" s="895"/>
      <c r="G28" s="895"/>
      <c r="H28" s="895"/>
      <c r="I28" s="895"/>
      <c r="J28" s="895"/>
      <c r="K28" s="895"/>
      <c r="L28" s="895"/>
      <c r="M28" s="895"/>
      <c r="N28" s="895"/>
      <c r="O28" s="895"/>
      <c r="P28" s="895"/>
      <c r="Q28" s="895"/>
      <c r="R28" s="895"/>
    </row>
    <row r="29" spans="1:18" ht="15" customHeight="1">
      <c r="A29" s="895"/>
      <c r="B29" s="895"/>
      <c r="C29" s="895"/>
      <c r="D29" s="895"/>
      <c r="E29" s="895"/>
      <c r="F29" s="895"/>
      <c r="G29" s="895"/>
      <c r="H29" s="895"/>
      <c r="I29" s="895"/>
      <c r="J29" s="895"/>
      <c r="K29" s="895"/>
      <c r="L29" s="895"/>
      <c r="M29" s="895"/>
      <c r="N29" s="895"/>
      <c r="O29" s="895"/>
      <c r="P29" s="895"/>
      <c r="Q29" s="895"/>
      <c r="R29" s="895"/>
    </row>
    <row r="30" spans="1:18" ht="15" customHeight="1">
      <c r="A30" s="895"/>
      <c r="B30" s="895"/>
      <c r="C30" s="895"/>
      <c r="D30" s="895"/>
      <c r="E30" s="895"/>
      <c r="F30" s="895"/>
      <c r="G30" s="895"/>
      <c r="H30" s="895"/>
      <c r="I30" s="895"/>
      <c r="J30" s="895"/>
      <c r="K30" s="895"/>
      <c r="L30" s="895"/>
      <c r="M30" s="895"/>
      <c r="N30" s="895"/>
      <c r="O30" s="895"/>
      <c r="P30" s="895"/>
      <c r="Q30" s="895"/>
      <c r="R30" s="895"/>
    </row>
    <row r="31" spans="1:18" ht="15" customHeight="1">
      <c r="A31" s="895"/>
      <c r="B31" s="895"/>
      <c r="C31" s="895"/>
      <c r="D31" s="895"/>
      <c r="E31" s="895"/>
      <c r="F31" s="895"/>
      <c r="G31" s="895"/>
      <c r="H31" s="895"/>
      <c r="I31" s="895"/>
      <c r="J31" s="895"/>
      <c r="K31" s="895"/>
      <c r="L31" s="895"/>
      <c r="M31" s="895"/>
      <c r="N31" s="895"/>
      <c r="O31" s="895"/>
      <c r="P31" s="895"/>
      <c r="Q31" s="895"/>
      <c r="R31" s="895"/>
    </row>
    <row r="32" spans="1:18" ht="14.25" customHeight="1">
      <c r="A32" s="895"/>
      <c r="B32" s="895"/>
      <c r="C32" s="895"/>
      <c r="D32" s="895"/>
      <c r="E32" s="895"/>
      <c r="F32" s="895"/>
      <c r="G32" s="895"/>
      <c r="H32" s="895"/>
      <c r="I32" s="895"/>
      <c r="J32" s="895"/>
      <c r="K32" s="895"/>
      <c r="L32" s="895"/>
      <c r="M32" s="895"/>
      <c r="N32" s="895"/>
      <c r="O32" s="895"/>
      <c r="P32" s="895"/>
      <c r="Q32" s="895"/>
      <c r="R32" s="895"/>
    </row>
    <row r="33" spans="1:18" ht="15" customHeight="1">
      <c r="A33" s="895" t="s">
        <v>960</v>
      </c>
      <c r="B33" s="895"/>
      <c r="C33" s="895"/>
      <c r="D33" s="895"/>
      <c r="E33" s="895"/>
      <c r="F33" s="895"/>
      <c r="G33" s="895"/>
      <c r="H33" s="895"/>
      <c r="I33" s="895"/>
      <c r="J33" s="895" t="s">
        <v>961</v>
      </c>
      <c r="K33" s="895"/>
      <c r="L33" s="895"/>
      <c r="M33" s="895"/>
      <c r="N33" s="895"/>
      <c r="O33" s="895"/>
      <c r="P33" s="895"/>
      <c r="Q33" s="895"/>
      <c r="R33" s="895"/>
    </row>
    <row r="34" spans="1:18" ht="15" customHeight="1">
      <c r="A34" s="895"/>
      <c r="B34" s="895"/>
      <c r="C34" s="895"/>
      <c r="D34" s="895"/>
      <c r="E34" s="895"/>
      <c r="F34" s="895"/>
      <c r="G34" s="895"/>
      <c r="H34" s="895"/>
      <c r="I34" s="895"/>
      <c r="J34" s="895"/>
      <c r="K34" s="895"/>
      <c r="L34" s="895"/>
      <c r="M34" s="895"/>
      <c r="N34" s="895"/>
      <c r="O34" s="895"/>
      <c r="P34" s="895"/>
      <c r="Q34" s="895"/>
      <c r="R34" s="895"/>
    </row>
    <row r="35" spans="1:18" ht="15" customHeight="1">
      <c r="A35" s="895"/>
      <c r="B35" s="895"/>
      <c r="C35" s="895"/>
      <c r="D35" s="895"/>
      <c r="E35" s="895"/>
      <c r="F35" s="895"/>
      <c r="G35" s="895"/>
      <c r="H35" s="895"/>
      <c r="I35" s="895"/>
      <c r="J35" s="895"/>
      <c r="K35" s="895"/>
      <c r="L35" s="895"/>
      <c r="M35" s="895"/>
      <c r="N35" s="895"/>
      <c r="O35" s="895"/>
      <c r="P35" s="895"/>
      <c r="Q35" s="895"/>
      <c r="R35" s="895"/>
    </row>
    <row r="36" spans="1:18" ht="15" customHeight="1">
      <c r="A36" s="895"/>
      <c r="B36" s="895"/>
      <c r="C36" s="895"/>
      <c r="D36" s="895"/>
      <c r="E36" s="895"/>
      <c r="F36" s="895"/>
      <c r="G36" s="895"/>
      <c r="H36" s="895"/>
      <c r="I36" s="895"/>
      <c r="J36" s="895"/>
      <c r="K36" s="895"/>
      <c r="L36" s="895"/>
      <c r="M36" s="895"/>
      <c r="N36" s="895"/>
      <c r="O36" s="895"/>
      <c r="P36" s="895"/>
      <c r="Q36" s="895"/>
      <c r="R36" s="895"/>
    </row>
    <row r="37" spans="1:18" ht="15" customHeight="1">
      <c r="A37" s="895"/>
      <c r="B37" s="895"/>
      <c r="C37" s="895"/>
      <c r="D37" s="895"/>
      <c r="E37" s="895"/>
      <c r="F37" s="895"/>
      <c r="G37" s="895"/>
      <c r="H37" s="895"/>
      <c r="I37" s="895"/>
      <c r="J37" s="895"/>
      <c r="K37" s="895"/>
      <c r="L37" s="895"/>
      <c r="M37" s="895"/>
      <c r="N37" s="895"/>
      <c r="O37" s="895"/>
      <c r="P37" s="895"/>
      <c r="Q37" s="895"/>
      <c r="R37" s="895"/>
    </row>
    <row r="38" spans="1:18" ht="15" customHeight="1">
      <c r="A38" s="895"/>
      <c r="B38" s="895"/>
      <c r="C38" s="895"/>
      <c r="D38" s="895"/>
      <c r="E38" s="895"/>
      <c r="F38" s="895"/>
      <c r="G38" s="895"/>
      <c r="H38" s="895"/>
      <c r="I38" s="895"/>
      <c r="J38" s="895"/>
      <c r="K38" s="895"/>
      <c r="L38" s="895"/>
      <c r="M38" s="895"/>
      <c r="N38" s="895"/>
      <c r="O38" s="895"/>
      <c r="P38" s="895"/>
      <c r="Q38" s="895"/>
      <c r="R38" s="895"/>
    </row>
    <row r="39" spans="1:18" ht="15" customHeight="1">
      <c r="A39" s="895"/>
      <c r="B39" s="895"/>
      <c r="C39" s="895"/>
      <c r="D39" s="895"/>
      <c r="E39" s="895"/>
      <c r="F39" s="895"/>
      <c r="G39" s="895"/>
      <c r="H39" s="895"/>
      <c r="I39" s="895"/>
      <c r="J39" s="895"/>
      <c r="K39" s="895"/>
      <c r="L39" s="895"/>
      <c r="M39" s="895"/>
      <c r="N39" s="895"/>
      <c r="O39" s="895"/>
      <c r="P39" s="895"/>
      <c r="Q39" s="895"/>
      <c r="R39" s="895"/>
    </row>
    <row r="40" spans="1:18">
      <c r="J40" s="895" t="s">
        <v>962</v>
      </c>
      <c r="K40" s="895"/>
      <c r="L40" s="895"/>
      <c r="M40" s="895"/>
      <c r="N40" s="895"/>
      <c r="O40" s="895"/>
      <c r="P40" s="895"/>
      <c r="Q40" s="895"/>
      <c r="R40" s="895"/>
    </row>
    <row r="41" spans="1:18">
      <c r="J41" s="895"/>
      <c r="K41" s="895"/>
      <c r="L41" s="895"/>
      <c r="M41" s="895"/>
      <c r="N41" s="895"/>
      <c r="O41" s="895"/>
      <c r="P41" s="895"/>
      <c r="Q41" s="895"/>
      <c r="R41" s="895"/>
    </row>
    <row r="42" spans="1:18">
      <c r="J42" s="895"/>
      <c r="K42" s="895"/>
      <c r="L42" s="895"/>
      <c r="M42" s="895"/>
      <c r="N42" s="895"/>
      <c r="O42" s="895"/>
      <c r="P42" s="895"/>
      <c r="Q42" s="895"/>
      <c r="R42" s="895"/>
    </row>
    <row r="43" spans="1:18">
      <c r="J43" s="895"/>
      <c r="K43" s="895"/>
      <c r="L43" s="895"/>
      <c r="M43" s="895"/>
      <c r="N43" s="895"/>
      <c r="O43" s="895"/>
      <c r="P43" s="895"/>
      <c r="Q43" s="895"/>
      <c r="R43" s="895"/>
    </row>
    <row r="44" spans="1:18">
      <c r="J44" s="895"/>
      <c r="K44" s="895"/>
      <c r="L44" s="895"/>
      <c r="M44" s="895"/>
      <c r="N44" s="895"/>
      <c r="O44" s="895"/>
      <c r="P44" s="895"/>
      <c r="Q44" s="895"/>
      <c r="R44" s="895"/>
    </row>
    <row r="45" spans="1:18">
      <c r="J45" s="895"/>
      <c r="K45" s="895"/>
      <c r="L45" s="895"/>
      <c r="M45" s="895"/>
      <c r="N45" s="895"/>
      <c r="O45" s="895"/>
      <c r="P45" s="895"/>
      <c r="Q45" s="895"/>
      <c r="R45" s="895"/>
    </row>
    <row r="46" spans="1:18">
      <c r="J46" s="895"/>
      <c r="K46" s="895"/>
      <c r="L46" s="895"/>
      <c r="M46" s="895"/>
      <c r="N46" s="895"/>
      <c r="O46" s="895"/>
      <c r="P46" s="895"/>
      <c r="Q46" s="895"/>
      <c r="R46" s="895"/>
    </row>
    <row r="47" spans="1:18">
      <c r="J47" s="895" t="s">
        <v>963</v>
      </c>
      <c r="K47" s="895"/>
      <c r="L47" s="895"/>
      <c r="M47" s="895"/>
      <c r="N47" s="895"/>
      <c r="O47" s="895"/>
      <c r="P47" s="895"/>
      <c r="Q47" s="895"/>
      <c r="R47" s="895"/>
    </row>
    <row r="48" spans="1:18">
      <c r="J48" s="895"/>
      <c r="K48" s="895"/>
      <c r="L48" s="895"/>
      <c r="M48" s="895"/>
      <c r="N48" s="895"/>
      <c r="O48" s="895"/>
      <c r="P48" s="895"/>
      <c r="Q48" s="895"/>
      <c r="R48" s="895"/>
    </row>
    <row r="49" spans="10:18">
      <c r="J49" s="895"/>
      <c r="K49" s="895"/>
      <c r="L49" s="895"/>
      <c r="M49" s="895"/>
      <c r="N49" s="895"/>
      <c r="O49" s="895"/>
      <c r="P49" s="895"/>
      <c r="Q49" s="895"/>
      <c r="R49" s="895"/>
    </row>
    <row r="50" spans="10:18">
      <c r="J50" s="895"/>
      <c r="K50" s="895"/>
      <c r="L50" s="895"/>
      <c r="M50" s="895"/>
      <c r="N50" s="895"/>
      <c r="O50" s="895"/>
      <c r="P50" s="895"/>
      <c r="Q50" s="895"/>
      <c r="R50" s="895"/>
    </row>
    <row r="51" spans="10:18">
      <c r="J51" s="895"/>
      <c r="K51" s="895"/>
      <c r="L51" s="895"/>
      <c r="M51" s="895"/>
      <c r="N51" s="895"/>
      <c r="O51" s="895"/>
      <c r="P51" s="895"/>
      <c r="Q51" s="895"/>
      <c r="R51" s="895"/>
    </row>
    <row r="52" spans="10:18">
      <c r="J52" s="895"/>
      <c r="K52" s="895"/>
      <c r="L52" s="895"/>
      <c r="M52" s="895"/>
      <c r="N52" s="895"/>
      <c r="O52" s="895"/>
      <c r="P52" s="895"/>
      <c r="Q52" s="895"/>
      <c r="R52" s="895"/>
    </row>
    <row r="53" spans="10:18">
      <c r="J53" s="895"/>
      <c r="K53" s="895"/>
      <c r="L53" s="895"/>
      <c r="M53" s="895"/>
      <c r="N53" s="895"/>
      <c r="O53" s="895"/>
      <c r="P53" s="895"/>
      <c r="Q53" s="895"/>
      <c r="R53" s="895"/>
    </row>
    <row r="54" spans="10:18">
      <c r="J54" s="895" t="s">
        <v>964</v>
      </c>
      <c r="K54" s="895"/>
      <c r="L54" s="895"/>
      <c r="M54" s="895"/>
      <c r="N54" s="895"/>
      <c r="O54" s="895"/>
      <c r="P54" s="895"/>
      <c r="Q54" s="895"/>
      <c r="R54" s="895"/>
    </row>
    <row r="55" spans="10:18">
      <c r="J55" s="895"/>
      <c r="K55" s="895"/>
      <c r="L55" s="895"/>
      <c r="M55" s="895"/>
      <c r="N55" s="895"/>
      <c r="O55" s="895"/>
      <c r="P55" s="895"/>
      <c r="Q55" s="895"/>
      <c r="R55" s="895"/>
    </row>
    <row r="56" spans="10:18">
      <c r="J56" s="895"/>
      <c r="K56" s="895"/>
      <c r="L56" s="895"/>
      <c r="M56" s="895"/>
      <c r="N56" s="895"/>
      <c r="O56" s="895"/>
      <c r="P56" s="895"/>
      <c r="Q56" s="895"/>
      <c r="R56" s="895"/>
    </row>
    <row r="57" spans="10:18">
      <c r="J57" s="895"/>
      <c r="K57" s="895"/>
      <c r="L57" s="895"/>
      <c r="M57" s="895"/>
      <c r="N57" s="895"/>
      <c r="O57" s="895"/>
      <c r="P57" s="895"/>
      <c r="Q57" s="895"/>
      <c r="R57" s="895"/>
    </row>
    <row r="58" spans="10:18">
      <c r="J58" s="895"/>
      <c r="K58" s="895"/>
      <c r="L58" s="895"/>
      <c r="M58" s="895"/>
      <c r="N58" s="895"/>
      <c r="O58" s="895"/>
      <c r="P58" s="895"/>
      <c r="Q58" s="895"/>
      <c r="R58" s="895"/>
    </row>
    <row r="59" spans="10:18">
      <c r="J59" s="895"/>
      <c r="K59" s="895"/>
      <c r="L59" s="895"/>
      <c r="M59" s="895"/>
      <c r="N59" s="895"/>
      <c r="O59" s="895"/>
      <c r="P59" s="895"/>
      <c r="Q59" s="895"/>
      <c r="R59" s="895"/>
    </row>
    <row r="60" spans="10:18">
      <c r="J60" s="895"/>
      <c r="K60" s="895"/>
      <c r="L60" s="895"/>
      <c r="M60" s="895"/>
      <c r="N60" s="895"/>
      <c r="O60" s="895"/>
      <c r="P60" s="895"/>
      <c r="Q60" s="895"/>
      <c r="R60" s="895"/>
    </row>
    <row r="61" spans="10:18">
      <c r="J61" s="895" t="s">
        <v>965</v>
      </c>
      <c r="K61" s="895"/>
      <c r="L61" s="895"/>
      <c r="M61" s="895"/>
      <c r="N61" s="895"/>
      <c r="O61" s="895"/>
      <c r="P61" s="895"/>
      <c r="Q61" s="895"/>
      <c r="R61" s="895"/>
    </row>
    <row r="62" spans="10:18">
      <c r="J62" s="895"/>
      <c r="K62" s="895"/>
      <c r="L62" s="895"/>
      <c r="M62" s="895"/>
      <c r="N62" s="895"/>
      <c r="O62" s="895"/>
      <c r="P62" s="895"/>
      <c r="Q62" s="895"/>
      <c r="R62" s="895"/>
    </row>
    <row r="63" spans="10:18">
      <c r="J63" s="895"/>
      <c r="K63" s="895"/>
      <c r="L63" s="895"/>
      <c r="M63" s="895"/>
      <c r="N63" s="895"/>
      <c r="O63" s="895"/>
      <c r="P63" s="895"/>
      <c r="Q63" s="895"/>
      <c r="R63" s="895"/>
    </row>
    <row r="64" spans="10:18">
      <c r="J64" s="895"/>
      <c r="K64" s="895"/>
      <c r="L64" s="895"/>
      <c r="M64" s="895"/>
      <c r="N64" s="895"/>
      <c r="O64" s="895"/>
      <c r="P64" s="895"/>
      <c r="Q64" s="895"/>
      <c r="R64" s="895"/>
    </row>
    <row r="65" spans="10:18">
      <c r="J65" s="895"/>
      <c r="K65" s="895"/>
      <c r="L65" s="895"/>
      <c r="M65" s="895"/>
      <c r="N65" s="895"/>
      <c r="O65" s="895"/>
      <c r="P65" s="895"/>
      <c r="Q65" s="895"/>
      <c r="R65" s="895"/>
    </row>
    <row r="66" spans="10:18">
      <c r="J66" s="895"/>
      <c r="K66" s="895"/>
      <c r="L66" s="895"/>
      <c r="M66" s="895"/>
      <c r="N66" s="895"/>
      <c r="O66" s="895"/>
      <c r="P66" s="895"/>
      <c r="Q66" s="895"/>
      <c r="R66" s="895"/>
    </row>
    <row r="67" spans="10:18">
      <c r="J67" s="895"/>
      <c r="K67" s="895"/>
      <c r="L67" s="895"/>
      <c r="M67" s="895"/>
      <c r="N67" s="895"/>
      <c r="O67" s="895"/>
      <c r="P67" s="895"/>
      <c r="Q67" s="895"/>
      <c r="R67" s="895"/>
    </row>
  </sheetData>
  <mergeCells count="18">
    <mergeCell ref="J40:R46"/>
    <mergeCell ref="J47:R53"/>
    <mergeCell ref="J54:R60"/>
    <mergeCell ref="J61:R67"/>
    <mergeCell ref="A33:I39"/>
    <mergeCell ref="J26:R32"/>
    <mergeCell ref="J33:R39"/>
    <mergeCell ref="A1:I2"/>
    <mergeCell ref="A3:I4"/>
    <mergeCell ref="A5:I11"/>
    <mergeCell ref="A12:I18"/>
    <mergeCell ref="A19:I25"/>
    <mergeCell ref="A26:I32"/>
    <mergeCell ref="J1:R2"/>
    <mergeCell ref="J3:R4"/>
    <mergeCell ref="J5:R11"/>
    <mergeCell ref="J12:R18"/>
    <mergeCell ref="J19:R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9"/>
  <sheetViews>
    <sheetView showGridLines="0" showRowColHeaders="0" tabSelected="1" topLeftCell="A5" zoomScale="75" zoomScaleNormal="75" workbookViewId="0">
      <selection activeCell="N58" sqref="N58"/>
    </sheetView>
  </sheetViews>
  <sheetFormatPr defaultColWidth="15.140625" defaultRowHeight="137.25" customHeight="1"/>
  <cols>
    <col min="1" max="1" width="4.42578125" style="24" customWidth="1"/>
    <col min="2" max="2" width="3.28515625" customWidth="1"/>
    <col min="3" max="3" width="6.28515625" style="24" customWidth="1"/>
    <col min="4" max="4" width="22.5703125" style="24" customWidth="1"/>
    <col min="5" max="5" width="16.28515625" style="24" customWidth="1"/>
    <col min="6" max="6" width="19.28515625" style="24" customWidth="1"/>
    <col min="7" max="7" width="18.7109375" style="24" customWidth="1"/>
    <col min="8" max="8" width="12.140625" style="24" customWidth="1"/>
    <col min="9" max="9" width="16" style="24" customWidth="1"/>
    <col min="10" max="10" width="18.5703125" style="24" customWidth="1"/>
    <col min="11" max="11" width="10.7109375" style="24" customWidth="1"/>
    <col min="12" max="12" width="26" style="24" customWidth="1"/>
    <col min="13" max="13" width="25.5703125" style="24" customWidth="1"/>
    <col min="14" max="14" width="15.42578125" style="24" customWidth="1"/>
    <col min="15" max="15" width="18.28515625" style="24" customWidth="1"/>
    <col min="16" max="16" width="13.7109375" style="24" customWidth="1"/>
    <col min="17" max="17" width="20.140625" style="24" customWidth="1"/>
    <col min="18" max="18" width="13.42578125" style="24" customWidth="1"/>
    <col min="19" max="19" width="14.5703125" style="24" customWidth="1"/>
    <col min="20" max="20" width="16.7109375" style="24" customWidth="1"/>
    <col min="21" max="21" width="17.7109375" style="24" customWidth="1"/>
    <col min="22" max="22" width="15.42578125" style="24" customWidth="1"/>
    <col min="23" max="23" width="4.7109375" style="24" customWidth="1"/>
    <col min="24" max="24" width="5.5703125" style="24" customWidth="1"/>
    <col min="25" max="25" width="5.85546875" style="24" customWidth="1"/>
    <col min="27" max="28" width="15.140625" style="24"/>
    <col min="30" max="32" width="15.140625" style="24"/>
    <col min="33" max="33" width="16.7109375" style="24" customWidth="1"/>
    <col min="34" max="34" width="15.5703125" style="24" customWidth="1"/>
    <col min="35" max="16384" width="15.140625" style="24"/>
  </cols>
  <sheetData>
    <row r="1" spans="1:44" ht="24" customHeight="1" thickTop="1">
      <c r="A1" s="241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40"/>
    </row>
    <row r="2" spans="1:44" ht="44.25" customHeight="1" thickBot="1">
      <c r="A2" s="241"/>
      <c r="B2" s="312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1"/>
    </row>
    <row r="3" spans="1:44" ht="24" customHeight="1" thickTop="1" thickBot="1">
      <c r="A3" s="241"/>
      <c r="B3" s="242"/>
      <c r="C3" s="569" t="s">
        <v>157</v>
      </c>
      <c r="D3" s="570"/>
      <c r="E3" s="571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1"/>
    </row>
    <row r="4" spans="1:44" ht="30" customHeight="1" thickBot="1">
      <c r="A4" s="241"/>
      <c r="B4" s="242"/>
      <c r="C4" s="572"/>
      <c r="D4" s="573"/>
      <c r="E4" s="574"/>
      <c r="F4" s="243"/>
      <c r="G4" s="587"/>
      <c r="H4" s="588"/>
      <c r="I4" s="589"/>
      <c r="J4" s="242"/>
      <c r="K4" s="242"/>
      <c r="L4" s="242"/>
      <c r="M4" s="242"/>
      <c r="N4" s="242"/>
      <c r="O4" s="242"/>
      <c r="P4" s="304"/>
      <c r="Q4" s="304"/>
      <c r="R4" s="242"/>
      <c r="S4" s="242"/>
      <c r="T4" s="242"/>
      <c r="U4" s="242"/>
      <c r="V4" s="242"/>
      <c r="W4" s="242"/>
      <c r="X4" s="242"/>
      <c r="Y4" s="241"/>
    </row>
    <row r="5" spans="1:44" ht="25.5" customHeight="1" thickTop="1" thickBot="1">
      <c r="A5" s="241"/>
      <c r="B5" s="242"/>
      <c r="C5" s="572"/>
      <c r="D5" s="573"/>
      <c r="E5" s="574"/>
      <c r="F5" s="243"/>
      <c r="G5" s="566" t="s">
        <v>0</v>
      </c>
      <c r="H5" s="567"/>
      <c r="I5" s="568"/>
      <c r="J5" s="590"/>
      <c r="K5" s="243"/>
      <c r="L5" s="382"/>
      <c r="M5" s="303"/>
      <c r="N5" s="303"/>
      <c r="O5" s="303"/>
      <c r="P5" s="305"/>
      <c r="Q5" s="305"/>
      <c r="R5" s="303"/>
      <c r="S5" s="303"/>
      <c r="T5" s="303"/>
      <c r="U5" s="303"/>
      <c r="V5" s="242"/>
      <c r="W5" s="242"/>
      <c r="X5" s="242"/>
      <c r="Y5" s="241"/>
    </row>
    <row r="6" spans="1:44" ht="45.75" customHeight="1" thickTop="1" thickBot="1">
      <c r="A6" s="241"/>
      <c r="B6" s="242"/>
      <c r="C6" s="572"/>
      <c r="D6" s="573"/>
      <c r="E6" s="574"/>
      <c r="F6" s="243"/>
      <c r="G6" s="578"/>
      <c r="H6" s="579"/>
      <c r="I6" s="580"/>
      <c r="J6" s="590"/>
      <c r="K6" s="585" t="s">
        <v>1</v>
      </c>
      <c r="L6" s="586"/>
      <c r="M6" s="347" t="s">
        <v>2</v>
      </c>
      <c r="N6" s="347" t="s">
        <v>3</v>
      </c>
      <c r="O6" s="348" t="s">
        <v>107</v>
      </c>
      <c r="P6" s="243"/>
      <c r="Q6" s="244">
        <f>IF(R6&lt;1000,1,IF(R6&lt;3000,2,IF(R6&lt;6000,3, IF(R6&lt;10000, 4,IF(R6&lt;15000, 5,IF(R6&lt;21000, 6,IF(R6&lt;28000, 7,IF(R6&lt;36000, 8,IF(R6&lt;45000, 9,IF(R6&lt;55000, 10,IF(R6&lt;66000, 11,IF(R6&lt;78000, 12,IF(R6&lt;91000, 13,IF(R6&lt;105000, 14,IF(R6&lt;120000, 15,IF(R6&lt;136000, 16,IF(R6&lt;153000, 17,IF(R6&lt;171000, 18,IF(R6&lt;190000, 19, 20)))))))))))))))))))</f>
        <v>5</v>
      </c>
      <c r="R6" s="604">
        <v>10000</v>
      </c>
      <c r="S6" s="605"/>
      <c r="T6" s="616">
        <f>IF(Q6=1,1000-R6,IF(Q6=2,3000-R6,IF(Q6=3,6000-R6,IF(Q6=4,10000-R6,IF(Q6=5,15000-R6,IF(Q6=6,21000-R6,IF(Q6=7,28000-R6,IF(Q6=8,36000-R6,IF(Q6=9,45000-R6,IF(Q6=10,55000-R6,IF(Q6=11,66000-R6,IF(Q6=12,78000-R6,IF(Q6=13,91000-R6,IF(Q6=14,105000-R6,IF(Q6=15,120000-R6,IF(Q6=16,136000-R6,IF(Q6=17,153000-R6,IF(Q6=18,171000-R6,IF(Q6=19,190000-R6,IF(Q6=20,"МАКС",))))))))))))))))))))</f>
        <v>5000</v>
      </c>
      <c r="U6" s="617"/>
      <c r="V6" s="307">
        <f>IF(L7="Бард",6+G17,IF(L7="Воин",2+G17,IF(L7="Варвар",4+G17,IF(L7="Вор",8+G17,IF(L7="Друид",4+G17,IF(L7="Жрец",2+G17,IF(L7="Волшебник",2+G17,IF(L7="Монах",4+G17,IF(L7="Паладин",2+G17,IF(L7="Рейнджер",6+G17,IF(L7="Чародей",2+G17,0)))))))))))</f>
        <v>1</v>
      </c>
      <c r="W6" s="306">
        <f>IF(L7="Воин",(2+G17)*4,IF(L7="Варвар",(4+G17)*4,IF(L7="Вор",(8+G17)*4,IF(L7="Друид",(4+G17)*4,IF(L7="Жрец",(2+G17)*4,IF(L7="Волшебник",(2+G17)*4,IF(L7="Монах",(4+G17)*4,IF(L7="Паладин",(2+G17)*4,IF(L7="Рейнджер",(6+G17)*4,IF(L7="Чародей",(2+G17)*4,IF(L7="Бард",(6+G17)*4)))))))))))+IF(G8="Человек",Q6,0)</f>
        <v>4</v>
      </c>
      <c r="X6" s="242"/>
      <c r="Y6" s="241"/>
      <c r="AR6" s="28"/>
    </row>
    <row r="7" spans="1:44" ht="42" customHeight="1" thickTop="1" thickBot="1">
      <c r="A7" s="241"/>
      <c r="B7" s="242"/>
      <c r="C7" s="572"/>
      <c r="D7" s="573"/>
      <c r="E7" s="574"/>
      <c r="F7" s="243"/>
      <c r="G7" s="566" t="s">
        <v>4</v>
      </c>
      <c r="H7" s="567"/>
      <c r="I7" s="568"/>
      <c r="J7" s="590"/>
      <c r="K7" s="358">
        <v>1</v>
      </c>
      <c r="L7" s="322" t="s">
        <v>5</v>
      </c>
      <c r="M7" s="323">
        <v>5</v>
      </c>
      <c r="N7" s="601">
        <f>IF(L11&lt;&gt;"Невыбрано",V10,IF(L10&lt;&gt;"Невыбрано",V9,IF(L9&lt;&gt;"Невыбрано",V8,IF(L8&lt;&gt;"Невыбрано",V7,IF(L7&lt;&gt;"Невыбрано",V6,)))))</f>
        <v>1</v>
      </c>
      <c r="O7" s="324">
        <f>IF(L7="Воин",VLOOKUP(M7,Воин!G5:L25,2,0),IF(L7="Варвар",VLOOKUP(M7,Варвар!G5:K25,2,0),IF(L7="Вор",VLOOKUP(M7,Вор!G5:K25,2,0),IF(L7="Бард",VLOOKUP(M7,Бард!G1:K22,2,0),IF(L7="Жрец",VLOOKUP(M7,Жрец!G6:H25,2,0),IF(L7="Друид",VLOOKUP(M7,Друид!G6:H25,2,0),IF(L7="Маг",VLOOKUP(M7,Маг!G6:H25,2,0),IF(L7="Монах",VLOOKUP(M7,Монах!G6:H25,2,0),IF(L7="Паладин",VLOOKUP(M7,Паладин!G6:H25,2,0),IF(L7="Рейнджер",VLOOKUP(M7,Рейнджер!G6:H25,2,0),IF(L7="Чародей",VLOOKUP(M7,Чародей!G6:H25,2,0),0)))))))))))</f>
        <v>5</v>
      </c>
      <c r="P7" s="243"/>
      <c r="Q7" s="346" t="s">
        <v>2</v>
      </c>
      <c r="R7" s="606" t="s">
        <v>7</v>
      </c>
      <c r="S7" s="606"/>
      <c r="T7" s="606" t="s">
        <v>8</v>
      </c>
      <c r="U7" s="615"/>
      <c r="V7" s="307">
        <f>IF(L8="Бард",6+G17,IF(L8="Воин",2+G17,IF(L8="Варвар",4+G17,IF(L8="Вор",8+G17,IF(L8="Друид",4+G17,IF(L8="Жрец",2+G17,IF(L8="Волшебник",2+G17,IF(L8="Монах",4+G17,IF(L8="Паладин",2+G17,IF(L8="Рейнджер",6+G17,IF(L8="Чародей",2+G17,0)))))))))))</f>
        <v>0</v>
      </c>
      <c r="W7" s="307">
        <f>IF(L7="Бард",(6+G17)*4+(6+G17)*(M7-1),IF(L7="Воин",(2+G17)*4+(2+G17)*(M7-1),IF(L7="Варвар",(4+G17)*4+(4+G17)*(M7-1),IF(L7="Вор",(8+G17)*4+(8+G17)*(M7-1),IF(L7="Друид",(4+G17)*4+(4+G17)*(M7-1),IF(L7="Жрец",(2+G17)*4+(2+G17)*(M7-1),IF(L7="Маг",(2+G17)*4+(2+G17)*(M7-1),IF(L7="Монах",(4+G17)*4+(4+G17)*(M7-1),IF(L7="Паладин",(2+G17)*4+(2+G17)*(M7-1),IF(L7="Рейнджер",(6+G17)*4+(6+G17)*(M7-1),IF(L7="Чародей",(2+G17)*4+(2+G17)*(M7-1))))))))))))</f>
        <v>8</v>
      </c>
      <c r="X7" s="242"/>
      <c r="Y7" s="241"/>
      <c r="AR7" s="28"/>
    </row>
    <row r="8" spans="1:44" ht="27.75" customHeight="1" thickTop="1" thickBot="1">
      <c r="A8" s="241"/>
      <c r="B8" s="242"/>
      <c r="C8" s="572"/>
      <c r="D8" s="573"/>
      <c r="E8" s="574"/>
      <c r="F8" s="243"/>
      <c r="G8" s="578" t="s">
        <v>9</v>
      </c>
      <c r="H8" s="579"/>
      <c r="I8" s="580"/>
      <c r="J8" s="590"/>
      <c r="K8" s="359">
        <v>2</v>
      </c>
      <c r="L8" s="322" t="s">
        <v>10</v>
      </c>
      <c r="M8" s="325">
        <v>0</v>
      </c>
      <c r="N8" s="602"/>
      <c r="O8" s="326">
        <f>IF(L8="Воин",VLOOKUP(M8,Воин!G5:L25,2,0),IF(L8="Варвар",VLOOKUP(M8,Варвар!G5:K25,2,0),IF(L8="Вор",VLOOKUP(M8,Вор!G5:K25,2,0),IF(L8="Бард",VLOOKUP(M8,Бард!G1:K22,2,0),IF(L8="Жрец",VLOOKUP(M8,Жрец!G6:H25,2,0),IF(L8="Друид",VLOOKUP(M8,Друид!G6:H25,2,0),IF(L8="Маг",VLOOKUP(M8,Маг!G6:H25,2,0),IF(L8="Монах",VLOOKUP(M8,Монах!G6:H25,2,0),IF(L8="Паладин",VLOOKUP(M8,Паладин!G6:H25,2,0),IF(L8="Рейнджер",VLOOKUP(M8,Рейнджер!G6:H25,2,0),IF(L8="Чародей",VLOOKUP(M8,Чародей!G6:H25,2,0),0)))))))))))</f>
        <v>0</v>
      </c>
      <c r="P8" s="243"/>
      <c r="Q8" s="611"/>
      <c r="R8" s="612"/>
      <c r="S8" s="607"/>
      <c r="T8" s="607"/>
      <c r="U8" s="608"/>
      <c r="V8" s="307">
        <f>IF(L9="Бард",6+G17,IF(L9="Воин",2+G17,IF(L9="Варвар",4+G17,IF(L9="Вор",8+G17,IF(L9="Друид",4+G17,IF(L9="Жрец",2+G17,IF(L9="Волшебник",2+G17,IF(L9="Монах",4+G17,IF(L9="Паладин",2+G17,IF(L9="Рейнджер",6+G17,IF(L9="Чародей",2+G17,0)))))))))))</f>
        <v>0</v>
      </c>
      <c r="W8" s="307">
        <f>IF(L8="Бард",(6+G17)+(6+G17)*(M8-1),IF(L8="Воин",(2+G17)+(2+G17)*(M8-1),IF(L8="Варвар",(4+G17)+(4+G17)*(M8-1),IF(L8="Вор",(8+G17)+(8+G17)*(M8-1),IF(L8="Друид",(4+G17)+(4+G17)*(M8-1),IF(L8="Жрец",(2+G17)+(2+G17)*(M8-1),IF(L8="Маг",(2+G17)+(2+G17)*(M8-1),IF(L8="Монах",(4+G17)+(4+G17)*(M8-1),IF(L8="Паладин",(2+G17)+(2+G17)*(M8-1),IF(L8="Рейнджер",(6+G17)+(6+G17)*(M8-1),IF(L8="Чародей",(2+G17)+(2+G17)*(M8-1),0)))))))))))</f>
        <v>0</v>
      </c>
      <c r="X8" s="242"/>
      <c r="Y8" s="241"/>
      <c r="AR8" s="28"/>
    </row>
    <row r="9" spans="1:44" ht="27.75" customHeight="1" thickTop="1" thickBot="1">
      <c r="A9" s="241"/>
      <c r="B9" s="242"/>
      <c r="C9" s="572"/>
      <c r="D9" s="573"/>
      <c r="E9" s="574"/>
      <c r="F9" s="243"/>
      <c r="G9" s="566" t="s">
        <v>11</v>
      </c>
      <c r="H9" s="567"/>
      <c r="I9" s="568"/>
      <c r="J9" s="590"/>
      <c r="K9" s="359">
        <v>3</v>
      </c>
      <c r="L9" s="322" t="s">
        <v>10</v>
      </c>
      <c r="M9" s="325">
        <v>0</v>
      </c>
      <c r="N9" s="602"/>
      <c r="O9" s="326">
        <f>IF(L9="Воин",VLOOKUP(M9,Воин!G5:L25,2,0),IF(L9="Варвар",VLOOKUP(M9,Варвар!G5:K25,2,0),IF(L9="Вор",VLOOKUP(M9,Вор!G5:K25,2,0),IF(L9="Бард",VLOOKUP(M9,Бард!G1:K22,2,0),IF(L9="Жрец",VLOOKUP(M9,Жрец!G6:H25,2,0),IF(L9="Друид",VLOOKUP(M9,Друид!G6:H25,2,0),IF(L9="Маг",VLOOKUP(M9,Маг!G6:H25,2,0),IF(L9="Монах",VLOOKUP(M9,Монах!G6:H25,2,0),IF(L9="Паладин",VLOOKUP(M9,Паладин!G6:H25,2,0),IF(L9="Рейнджер",VLOOKUP(M9,Рейнджер!G6:H25,2,0),IF(L9="Чародей",VLOOKUP(M9,Чародей!G6:H25,2,0),0)))))))))))</f>
        <v>0</v>
      </c>
      <c r="P9" s="243"/>
      <c r="Q9" s="613" t="s">
        <v>12</v>
      </c>
      <c r="R9" s="614"/>
      <c r="S9" s="609" t="s">
        <v>13</v>
      </c>
      <c r="T9" s="609"/>
      <c r="U9" s="610"/>
      <c r="V9" s="307">
        <f>IF(L10="Бард",6+G17,IF(L10="Воин",2+G17,IF(L10="Варвар",4+G17,IF(L10="Вор",8+G17,IF(L10="Друид",4+G17,IF(L10="Жрец",2+G17,IF(L10="Волшебник",2+G17,IF(L10="Монах",4+G17,IF(L10="Паладин",2+G17,IF(L10="Рейнджер",6+G17,IF(L10="Чародей",2+G17,0)))))))))))</f>
        <v>0</v>
      </c>
      <c r="W9" s="307">
        <f>IF(L9="Бард",(6+G17)+(6+G17)*(M9-1),IF(L9="Воин",(2+G17)+(2+G17)*(M9-1),IF(L9="Варвар",(4+G17)+(4+G17)*(M9-1),IF(L9="Вор",(8+G17)+(8+G17)*(M9-1),IF(L9="Друид",(4+G17)+(4+G17)*(M9-1),IF(L9="Жрец",(2+G17)+(2+G17)*(M9-1),IF(L9="Маг",(2+G17)+(2+G17)*(M9-1),IF(L9="Монах",(4+G17)+(4+G17)*(M9-1),IF(L9="Паладин",(2+G17)+(2+G17)*(M9-1),IF(L9="Рейнджер",(6+G17)+(6+G17)*(M9-1),IF(L9="Чародей",(2+G17)+(2+G17)*(M9-1),0)))))))))))</f>
        <v>0</v>
      </c>
      <c r="X9" s="242"/>
      <c r="Y9" s="241"/>
      <c r="AR9" s="28"/>
    </row>
    <row r="10" spans="1:44" ht="31.5" customHeight="1" thickTop="1" thickBot="1">
      <c r="A10" s="241"/>
      <c r="B10" s="242"/>
      <c r="C10" s="572"/>
      <c r="D10" s="573"/>
      <c r="E10" s="574"/>
      <c r="F10" s="243"/>
      <c r="G10" s="356" t="str">
        <f>IF(OR(G8="Гном",G8="Хафлинг",G8="Кобольд",),"Маленький","Средний")</f>
        <v>Средний</v>
      </c>
      <c r="H10" s="581"/>
      <c r="I10" s="357">
        <v>33</v>
      </c>
      <c r="J10" s="590"/>
      <c r="K10" s="359">
        <v>4</v>
      </c>
      <c r="L10" s="322" t="s">
        <v>10</v>
      </c>
      <c r="M10" s="325">
        <v>0</v>
      </c>
      <c r="N10" s="602"/>
      <c r="O10" s="326">
        <f>IF(L10="Воин",VLOOKUP(M10,Воин!G5:L25,2,0),IF(L10="Варвар",VLOOKUP(M10,Варвар!G5:K25,2,0),IF(L10="Вор",VLOOKUP(M10,Вор!G5:K25,2,0),IF(L10="Бард",VLOOKUP(M10,Бард!G1:K22,2,0),IF(L10="Жрец",VLOOKUP(M10,Жрец!G6:H25,2,0),IF(L10="Друид",VLOOKUP(M10,Друид!G6:H25,2,0),IF(L10="Маг",VLOOKUP(M10,Маг!G6:H25,2,0),IF(L10="Монах",VLOOKUP(M10,Монах!G6:H25,2,0),IF(L10="Паладин",VLOOKUP(M10,Паладин!G6:H25,2,0),IF(L10="Рейнджер",VLOOKUP(M10,Рейнджер!G6:H25,2,0),IF(L10="Чародей",VLOOKUP(M10,Чародей!G6:H25,2,0),0)))))))))))</f>
        <v>0</v>
      </c>
      <c r="P10" s="243"/>
      <c r="Q10" s="243"/>
      <c r="R10" s="242"/>
      <c r="S10" s="242"/>
      <c r="T10" s="242"/>
      <c r="U10" s="242"/>
      <c r="V10" s="307">
        <f>IF(L11="Бард",6+G17,IF(L11="Воин",2+G17,IF(L11="Варвар",4+G17,IF(L11="Вор",8+G17,IF(L11="Друид",4+G17,IF(L11="Жрец",2+G17,IF(L11="Волшебник",2+G17,IF(L11="Монах",4+G17,IF(L11="Паладин",2+G17,IF(L11="Рейнджер",6+G17,IF(L11="Чародей",2+G17,0)))))))))))</f>
        <v>0</v>
      </c>
      <c r="W10" s="307">
        <f>IF(L10="Бард",(6+G17)+(6+G17)*(M10-1),IF(L10="Воин",(2+G17)+(2+G17)*(M10-1),IF(L10="Варвар",(4+G17)+(4+G17)*(M10-1),IF(L10="Вор",(8+G17)+(8+G17)*(M10-1),IF(L10="Друид",(4+G17)+(4+G17)*(M10-1),IF(L10="Жрец",(2+G17)+(2+G17)*(M10-1),IF(L10="Маг",(2+G17)+(2+G17)*(M10-1),IF(L10="Монах",(4+G17)+(4+G17)*(M10-1),IF(L10="Паладин",(2+G17)+(2+G17)*(M10-1),IF(L10="Рейнджер",(6+G17)+(6+G17)*(M10-1),IF(L10="Чародей",(2+G17)+(2+G17)*(M10-1),0)))))))))))</f>
        <v>0</v>
      </c>
      <c r="X10" s="242"/>
      <c r="Y10" s="241"/>
      <c r="AR10" s="28"/>
    </row>
    <row r="11" spans="1:44" ht="27.75" customHeight="1" thickTop="1" thickBot="1">
      <c r="A11" s="241"/>
      <c r="B11" s="242"/>
      <c r="C11" s="575"/>
      <c r="D11" s="576"/>
      <c r="E11" s="577"/>
      <c r="F11" s="243"/>
      <c r="G11" s="327" t="s">
        <v>14</v>
      </c>
      <c r="H11" s="581"/>
      <c r="I11" s="327" t="s">
        <v>15</v>
      </c>
      <c r="J11" s="590"/>
      <c r="K11" s="360">
        <v>5</v>
      </c>
      <c r="L11" s="322" t="s">
        <v>10</v>
      </c>
      <c r="M11" s="328">
        <v>0</v>
      </c>
      <c r="N11" s="603"/>
      <c r="O11" s="329">
        <f>IF(L11="Воин",VLOOKUP(M11,Воин!G5:L25,2,0),IF(L11="Варвар",VLOOKUP(M11,Варвар!G5:K25,2,0),IF(L11="Вор",VLOOKUP(M11,Вор!G5:K25,2,0),IF(L11="Бард",VLOOKUP(M11,Бард!G1:K22,2,0),IF(L11="Жрец",VLOOKUP(M11,Жрец!G6:H25,2,0),IF(L11="Друид",VLOOKUP(M11,Друид!G6:H25,2,0),IF(L11="Маг",VLOOKUP(M11,Маг!G6:H25,2,0),IF(L11="Монах",VLOOKUP(M11,Монах!G6:H25,2,0),IF(L11="Паладин",VLOOKUP(M11,Паладин!G6:H25,2,0),IF(L11="Рейнджер",VLOOKUP(M11,Рейнджер!G6:H25,2,0),IF(L11="Чародей",VLOOKUP(M11,Чародей!G6:H25,2,0),0)))))))))))</f>
        <v>0</v>
      </c>
      <c r="P11" s="243"/>
      <c r="Q11" s="243"/>
      <c r="R11" s="242"/>
      <c r="S11" s="242"/>
      <c r="T11" s="242"/>
      <c r="U11" s="242"/>
      <c r="V11" s="242"/>
      <c r="W11" s="307">
        <f>IF(L11="Бард",(6+G17)+(6+G17)*(M11-1),IF(L11="Воин",(2+G17)+(2+G17)*(M11-1),IF(L11="Варвар",(4+G17)+(4+G17)*(M11-1),IF(L11="Вор",(8+G17)+(8+G17)*(M11-1),IF(L11="Друид",(4+G17)+(4+G17)*(M11-1),IF(L11="Жрец",(2+G17)+(2+G17)*(M11-1),IF(L11="Маг",(2+G17)+(2+G17)*(M11-1),IF(L11="Монах",(4+G17)+(4+G17)*(M11-1),IF(L11="Паладин",(2+G17)+(2+G17)*(M11-1),IF(L11="Рейнджер",(6+G17)+(6+G17)*(M11-1),IF(L11="Чародей",(2+G17)+(2+G17)*(M11-1),0)))))))))))</f>
        <v>0</v>
      </c>
      <c r="X11" s="242"/>
      <c r="Y11" s="241"/>
    </row>
    <row r="12" spans="1:44" ht="27.75" customHeight="1" thickTop="1" thickBot="1">
      <c r="A12" s="241"/>
      <c r="B12" s="242"/>
      <c r="C12" s="242"/>
      <c r="D12" s="582"/>
      <c r="E12" s="582"/>
      <c r="F12" s="582"/>
      <c r="G12" s="582"/>
      <c r="H12" s="582"/>
      <c r="I12" s="242"/>
      <c r="J12" s="242"/>
      <c r="K12" s="303"/>
      <c r="L12" s="242"/>
      <c r="M12" s="242"/>
      <c r="N12" s="242"/>
      <c r="O12" s="242"/>
      <c r="P12" s="304"/>
      <c r="Q12" s="304"/>
      <c r="R12" s="242"/>
      <c r="S12" s="242"/>
      <c r="T12" s="242"/>
      <c r="U12" s="242"/>
      <c r="V12" s="242"/>
      <c r="W12" s="242"/>
      <c r="X12" s="242"/>
      <c r="Y12" s="241"/>
    </row>
    <row r="13" spans="1:44" ht="42" customHeight="1" thickTop="1" thickBot="1">
      <c r="A13" s="241"/>
      <c r="B13" s="242"/>
      <c r="C13" s="311"/>
      <c r="D13" s="344"/>
      <c r="E13" s="345" t="s">
        <v>16</v>
      </c>
      <c r="F13" s="345" t="s">
        <v>158</v>
      </c>
      <c r="G13" s="345" t="s">
        <v>159</v>
      </c>
      <c r="H13" s="345" t="s">
        <v>160</v>
      </c>
      <c r="I13" s="345" t="s">
        <v>161</v>
      </c>
      <c r="J13" s="345" t="s">
        <v>21</v>
      </c>
      <c r="K13" s="243"/>
      <c r="L13" s="242"/>
      <c r="M13" s="303"/>
      <c r="N13" s="242"/>
      <c r="O13" s="403" t="s">
        <v>22</v>
      </c>
      <c r="P13" s="242"/>
      <c r="Q13" s="597" t="s">
        <v>162</v>
      </c>
      <c r="R13" s="598"/>
      <c r="S13" s="242"/>
      <c r="T13" s="349" t="s">
        <v>24</v>
      </c>
      <c r="U13" s="242"/>
      <c r="V13" s="242"/>
      <c r="W13" s="242"/>
      <c r="X13" s="243"/>
      <c r="Y13" s="241"/>
    </row>
    <row r="14" spans="1:44" ht="38.25" customHeight="1" thickTop="1" thickBot="1">
      <c r="A14" s="241"/>
      <c r="B14" s="242"/>
      <c r="C14" s="311"/>
      <c r="D14" s="330" t="s">
        <v>25</v>
      </c>
      <c r="E14" s="331">
        <v>16</v>
      </c>
      <c r="F14" s="332">
        <f>E14+J14</f>
        <v>16</v>
      </c>
      <c r="G14" s="332" t="str">
        <f>IF(F14=9,-1,IF(F14&lt;10,-1,"+"&amp;(1)*FLOOR(ABS((F14-10))/2,1)))</f>
        <v>+3</v>
      </c>
      <c r="H14" s="333"/>
      <c r="I14" s="333"/>
      <c r="J14" s="334">
        <f>IF(G8="Гном",-2,IF(G8="Полуорк",2,IF(G8="Хафлинг",-2,IF(G8="Кобольд",-4,0))))</f>
        <v>0</v>
      </c>
      <c r="K14" s="243"/>
      <c r="L14" s="246" t="s">
        <v>26</v>
      </c>
      <c r="M14" s="247" t="str">
        <f>IF(L11="Воин",Воин!H1,IF(L11="Бард",Бард!F1,IF(L11="Варвар",Варвар!H1,IF(L11="Вор",Вор!H1,IF(L11="Друид",Друид!H1,IF(L11="Жрец",Жрец!H1,IF(L11="Маг",Маг!H1,IF(L11="Монах",Монах!H1,IF(L11="Паладин",Паладин!H1,IF(L11="Рейнджер",Рейнджер!H1,IF(L11="Чародей",Чародей!H1,IF(L11="Невыбрано",IF(L10="Воин",Воин!H1,IF(L10="Бард",Бард!F1,IF(L10="Варвар",Варвар!H1,IF(L10="Вор",Вор!H1,IF(L10="Друид",Друид!H1,IF(L10="Жрец",Жрец!H1,IF(L10="Маг",Маг!H1,IF(L10="Монах",Монах!H1,IF(L10="Паладин",Паладин!H1,IF(L10="Рейнджер",Рейнджер!H1,IF(L10="Чародей",Чародей!H1,IF(L10="Невыбрано",IF(L9="Воин",Воин!H1,IF(L9="Бард",Бард!F1,IF(L9="Варвар",Варвар!H1,IF(L9="Вор",Вор!H1,IF(L9="Друид",Друид!H1,IF(L9="Жрец",Жрец!H1,IF(L9="Маг",Маг!H1,IF(L9="Монах",Монах!H1,IF(L9="Паладин",Паладин!H1,IF(L9="Рейнджер",Рейнджер!H1,IF(L9="Чародей",Чародей!H1,IF(L9="Невыбрано",IF(L8="Воин",Воин!H1,IF(L8="Бард",Бард!F1,IF(L8="Варвар",Варвар!H1,IF(L8="Вор",Вор!H1,IF(L8="Друид",Друид!H1,IF(L8="Жрец",Жрец!H1,IF(L8="Маг",Маг!H1,IF(L8="Монах",Монах!H1,IF(L8="Паладин",Паладин!H1,IF(L8="Рейнджер",Рейнджер!H1,IF(L8="Чародей",Чародей!H1,IF(L8="Невыбрано",IF(L7="Воин",Воин!H1,IF(L7="Бард",Бард!F1,IF(L7="Варвар",Варвар!H1,IF(L7="Вор",Вор!H1,IF(L7="Друид",Друид!H1,IF(L7="Жрец",Жрец!H1,IF(L7="Маг",Маг!H1,IF(L7="Монах",Монах!H1,IF(L7="Паладин",Паладин!H1,IF(L7="Рейнджер",Рейнджер!H1,IF(L7="Чародей",Чародей!H1,0)))))))))))))))))))))))))))))))))))))))))))))))))))))))))))</f>
        <v>d10</v>
      </c>
      <c r="N14" s="242"/>
      <c r="O14" s="404">
        <v>31</v>
      </c>
      <c r="P14" s="242"/>
      <c r="Q14" s="599"/>
      <c r="R14" s="600"/>
      <c r="S14" s="242"/>
      <c r="T14" s="245">
        <v>30</v>
      </c>
      <c r="U14" s="242"/>
      <c r="V14" s="242"/>
      <c r="W14" s="242"/>
      <c r="X14" s="243"/>
      <c r="Y14" s="241"/>
    </row>
    <row r="15" spans="1:44" ht="33.75" customHeight="1" thickTop="1" thickBot="1">
      <c r="A15" s="241"/>
      <c r="B15" s="242"/>
      <c r="C15" s="311"/>
      <c r="D15" s="335" t="s">
        <v>27</v>
      </c>
      <c r="E15" s="336">
        <v>13</v>
      </c>
      <c r="F15" s="337">
        <f t="shared" ref="F15:F19" si="0">E15+J15</f>
        <v>13</v>
      </c>
      <c r="G15" s="337" t="str">
        <f>IF(F15=9,-1,IF(F15&lt;10,-1,"+"&amp;(1)*FLOOR(ABS((F15-10))/2,1)))</f>
        <v>+1</v>
      </c>
      <c r="H15" s="280"/>
      <c r="I15" s="280"/>
      <c r="J15" s="338">
        <f>IF(G8="Хафлинг", 2,IF(G8="Эльф",2,IF(G8="Тобакси",4,IF(G8="Кобольд",2,0))))</f>
        <v>0</v>
      </c>
      <c r="K15" s="243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3"/>
      <c r="Y15" s="241"/>
    </row>
    <row r="16" spans="1:44" ht="42.75" customHeight="1" thickTop="1" thickBot="1">
      <c r="A16" s="241"/>
      <c r="B16" s="242"/>
      <c r="C16" s="311"/>
      <c r="D16" s="335" t="s">
        <v>28</v>
      </c>
      <c r="E16" s="336">
        <v>12</v>
      </c>
      <c r="F16" s="337">
        <f t="shared" si="0"/>
        <v>12</v>
      </c>
      <c r="G16" s="337" t="str">
        <f>IF(F16=9,-1,IF(F16&lt;10,-1,"+"&amp;(1)*FLOOR(ABS((F16-10))/2,1)))</f>
        <v>+1</v>
      </c>
      <c r="H16" s="280"/>
      <c r="I16" s="280"/>
      <c r="J16" s="338">
        <f>IF(G8="Гном",2,IF(G8="Дварф",2,IF(G8="Эльф",-2,IF(G8="Кобольд",-2,0))))</f>
        <v>0</v>
      </c>
      <c r="K16" s="243"/>
      <c r="L16" s="248" t="s">
        <v>29</v>
      </c>
      <c r="M16" s="249">
        <f>O16+P16+Q16+R16+S16+T16+U16+V16</f>
        <v>21</v>
      </c>
      <c r="N16" s="250" t="s">
        <v>30</v>
      </c>
      <c r="O16" s="250">
        <v>10</v>
      </c>
      <c r="P16" s="253">
        <v>8</v>
      </c>
      <c r="Q16" s="253">
        <v>2</v>
      </c>
      <c r="R16" s="253" t="str">
        <f>G15</f>
        <v>+1</v>
      </c>
      <c r="S16" s="253">
        <f>IF(G10 = "Маленький", 1, IF(G10 = "Средний", 0, IF(G10 = "Большой", 2, "ERROR")))</f>
        <v>0</v>
      </c>
      <c r="T16" s="253">
        <f>IF(G8="Тобакси",1,IF(G8="Кобольд",1,0))</f>
        <v>0</v>
      </c>
      <c r="U16" s="253"/>
      <c r="V16" s="254"/>
      <c r="W16" s="242"/>
      <c r="X16" s="243"/>
      <c r="Y16" s="241"/>
    </row>
    <row r="17" spans="1:32" ht="38.25" customHeight="1" thickTop="1" thickBot="1">
      <c r="A17" s="241"/>
      <c r="B17" s="242"/>
      <c r="C17" s="311"/>
      <c r="D17" s="335" t="s">
        <v>31</v>
      </c>
      <c r="E17" s="336">
        <v>8</v>
      </c>
      <c r="F17" s="337">
        <f t="shared" si="0"/>
        <v>8</v>
      </c>
      <c r="G17" s="337">
        <f>IF(F17=9,-1,IF(F17&lt;10,-1,"+"&amp;(1)*FLOOR(ABS((F17-10))/2,1)))</f>
        <v>-1</v>
      </c>
      <c r="H17" s="280"/>
      <c r="I17" s="280"/>
      <c r="J17" s="338">
        <f>IF(G8="Полуорк",-2,)</f>
        <v>0</v>
      </c>
      <c r="K17" s="243"/>
      <c r="L17" s="242"/>
      <c r="M17" s="242"/>
      <c r="N17" s="242"/>
      <c r="O17" s="242"/>
      <c r="P17" s="319" t="s">
        <v>32</v>
      </c>
      <c r="Q17" s="320" t="s">
        <v>33</v>
      </c>
      <c r="R17" s="320" t="s">
        <v>163</v>
      </c>
      <c r="S17" s="320" t="s">
        <v>164</v>
      </c>
      <c r="T17" s="320" t="s">
        <v>36</v>
      </c>
      <c r="U17" s="320" t="s">
        <v>165</v>
      </c>
      <c r="V17" s="321" t="s">
        <v>166</v>
      </c>
      <c r="W17" s="242"/>
      <c r="X17" s="243"/>
      <c r="Y17" s="241"/>
    </row>
    <row r="18" spans="1:32" ht="38.25" customHeight="1" thickTop="1" thickBot="1">
      <c r="A18" s="241"/>
      <c r="B18" s="242"/>
      <c r="C18" s="311"/>
      <c r="D18" s="335" t="s">
        <v>39</v>
      </c>
      <c r="E18" s="336">
        <v>9</v>
      </c>
      <c r="F18" s="337">
        <f t="shared" si="0"/>
        <v>9</v>
      </c>
      <c r="G18" s="337">
        <f>IF(F18=9,-1,IF(F18&lt;10,-1,"+"&amp;(1)*FLOOR(ABS((F18-10))/2,1)))</f>
        <v>-1</v>
      </c>
      <c r="H18" s="280"/>
      <c r="I18" s="280"/>
      <c r="J18" s="338">
        <v>0</v>
      </c>
      <c r="K18" s="243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3"/>
      <c r="Y18" s="241"/>
    </row>
    <row r="19" spans="1:32" ht="38.25" customHeight="1" thickTop="1" thickBot="1">
      <c r="A19" s="241"/>
      <c r="B19" s="242"/>
      <c r="C19" s="311"/>
      <c r="D19" s="339" t="s">
        <v>40</v>
      </c>
      <c r="E19" s="340">
        <v>12</v>
      </c>
      <c r="F19" s="341">
        <f t="shared" si="0"/>
        <v>12</v>
      </c>
      <c r="G19" s="341" t="str">
        <f>IF(F19=9,-1,IF(F19&lt;10,-1,"+"&amp;(1)*FLOOR(ABS((F19-10))/2,1)))</f>
        <v>+1</v>
      </c>
      <c r="H19" s="342"/>
      <c r="I19" s="342"/>
      <c r="J19" s="343">
        <f>IF(G8="Дварф",-2,IF(G8="Полуорк",-2,IF(G8="Тобакси",2,0)))</f>
        <v>0</v>
      </c>
      <c r="K19" s="243"/>
      <c r="L19" s="251" t="s">
        <v>41</v>
      </c>
      <c r="M19" s="252">
        <f>O19+P19</f>
        <v>1</v>
      </c>
      <c r="N19" s="252" t="s">
        <v>42</v>
      </c>
      <c r="O19" s="255" t="str">
        <f>G15</f>
        <v>+1</v>
      </c>
      <c r="P19" s="256">
        <v>0</v>
      </c>
      <c r="Q19" s="242"/>
      <c r="R19" s="242"/>
      <c r="S19" s="242"/>
      <c r="T19" s="242"/>
      <c r="U19" s="242"/>
      <c r="V19" s="242"/>
      <c r="W19" s="242"/>
      <c r="X19" s="243"/>
      <c r="Y19" s="241"/>
    </row>
    <row r="20" spans="1:32" ht="40.5" customHeight="1" thickTop="1" thickBot="1">
      <c r="A20" s="241"/>
      <c r="B20" s="242"/>
      <c r="C20" s="242"/>
      <c r="D20" s="242"/>
      <c r="E20" s="242"/>
      <c r="F20" s="242"/>
      <c r="G20" s="242"/>
      <c r="H20" s="242"/>
      <c r="I20" s="242"/>
      <c r="J20" s="243"/>
      <c r="K20" s="243"/>
      <c r="L20" s="242"/>
      <c r="M20" s="242"/>
      <c r="N20" s="242"/>
      <c r="O20" s="317" t="s">
        <v>163</v>
      </c>
      <c r="P20" s="318" t="s">
        <v>166</v>
      </c>
      <c r="Q20" s="242"/>
      <c r="R20" s="242"/>
      <c r="S20" s="242"/>
      <c r="T20" s="242"/>
      <c r="U20" s="242"/>
      <c r="V20" s="242"/>
      <c r="W20" s="242"/>
      <c r="X20" s="242"/>
      <c r="Y20" s="241"/>
    </row>
    <row r="21" spans="1:32" ht="18.75" customHeight="1" thickBot="1">
      <c r="A21" s="241"/>
      <c r="B21" s="242"/>
      <c r="C21" s="242"/>
      <c r="D21" s="242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2"/>
      <c r="P21" s="243"/>
      <c r="Q21" s="243"/>
      <c r="R21" s="243"/>
      <c r="S21" s="243"/>
      <c r="T21" s="243"/>
      <c r="U21" s="243"/>
      <c r="V21" s="243"/>
      <c r="W21" s="242"/>
      <c r="X21" s="242"/>
      <c r="Y21" s="241"/>
    </row>
    <row r="22" spans="1:32" ht="36.75" customHeight="1" thickBot="1">
      <c r="A22" s="241"/>
      <c r="B22" s="242"/>
      <c r="C22" s="310"/>
      <c r="D22" s="591" t="s">
        <v>43</v>
      </c>
      <c r="E22" s="591"/>
      <c r="F22" s="591"/>
      <c r="G22" s="591"/>
      <c r="H22" s="591"/>
      <c r="I22" s="591"/>
      <c r="J22" s="592"/>
      <c r="K22" s="243"/>
      <c r="L22" s="583" t="s">
        <v>44</v>
      </c>
      <c r="M22" s="584"/>
      <c r="N22" s="381"/>
      <c r="O22" s="381"/>
      <c r="P22" s="314" t="s">
        <v>45</v>
      </c>
      <c r="Q22" s="315">
        <f>S22-Q24-Q25-Q26-Q27-Q28-Q29-Q30-Q31-Q32-Q33-Q34-Q35-Q36-Q37-Q38-Q39-Q40-Q41-Q42-Q43-Q44-Q45-Q46-Q47-Q48-Q49-Q50-Q51-Q52-Q53-Q54-Q55-Q56-Q57-Q58-Q59-Q60-Q61-Q62-Q63-Q64-Q65-Q66-Q67</f>
        <v>0</v>
      </c>
      <c r="R22" s="315" t="s">
        <v>46</v>
      </c>
      <c r="S22" s="316">
        <f>W7+W8+W9+W10+W11+IF(G8="Человек",(Q6-1)+4,0)</f>
        <v>8</v>
      </c>
      <c r="T22" s="243"/>
      <c r="U22" s="243"/>
      <c r="V22" s="308"/>
      <c r="W22" s="242"/>
      <c r="X22" s="242"/>
      <c r="Y22" s="241"/>
    </row>
    <row r="23" spans="1:32" ht="48.75" customHeight="1" thickTop="1">
      <c r="A23" s="241"/>
      <c r="B23" s="242"/>
      <c r="C23" s="310"/>
      <c r="D23" s="560" t="s">
        <v>167</v>
      </c>
      <c r="E23" s="560"/>
      <c r="F23" s="560"/>
      <c r="G23" s="560"/>
      <c r="H23" s="560"/>
      <c r="I23" s="560"/>
      <c r="J23" s="561"/>
      <c r="K23" s="243"/>
      <c r="L23" s="595" t="s">
        <v>47</v>
      </c>
      <c r="M23" s="596"/>
      <c r="N23" s="313" t="s">
        <v>48</v>
      </c>
      <c r="O23" s="313" t="s">
        <v>49</v>
      </c>
      <c r="P23" s="313" t="s">
        <v>1</v>
      </c>
      <c r="Q23" s="313" t="s">
        <v>50</v>
      </c>
      <c r="R23" s="313" t="s">
        <v>51</v>
      </c>
      <c r="S23" s="313" t="s">
        <v>52</v>
      </c>
      <c r="T23" s="243"/>
      <c r="U23" s="243"/>
      <c r="V23" s="243"/>
      <c r="W23" s="243"/>
      <c r="X23" s="243"/>
      <c r="Y23" s="241"/>
    </row>
    <row r="24" spans="1:32" ht="32.25" customHeight="1">
      <c r="A24" s="241"/>
      <c r="B24" s="242"/>
      <c r="C24" s="310"/>
      <c r="D24" s="562"/>
      <c r="E24" s="562"/>
      <c r="F24" s="562"/>
      <c r="G24" s="562"/>
      <c r="H24" s="562"/>
      <c r="I24" s="562"/>
      <c r="J24" s="563"/>
      <c r="K24" s="243"/>
      <c r="L24" s="593" t="s">
        <v>53</v>
      </c>
      <c r="M24" s="594"/>
      <c r="N24" s="262">
        <f>IF(P24=1,Q24+R24+S24+G15,FLOOR(Q24/2,1)+R24+S24+G15)</f>
        <v>1</v>
      </c>
      <c r="O24" s="268" t="s">
        <v>168</v>
      </c>
      <c r="P24" s="263">
        <f>IF(OR(L11="Вор",L10="Вор",L9="Вор",L8="Вор",L7="Вор",L11="Монах",L10="Монах",L9="Монах",L8="Монах",L7="Монах"), 1,2)</f>
        <v>2</v>
      </c>
      <c r="Q24" s="264">
        <v>0</v>
      </c>
      <c r="R24" s="265"/>
      <c r="S24" s="266"/>
      <c r="T24" s="243"/>
      <c r="U24" s="243"/>
      <c r="V24" s="243"/>
      <c r="W24" s="243"/>
      <c r="X24" s="243"/>
      <c r="Y24" s="241"/>
    </row>
    <row r="25" spans="1:32" ht="32.25" customHeight="1">
      <c r="A25" s="241"/>
      <c r="B25" s="242"/>
      <c r="C25" s="310"/>
      <c r="D25" s="562"/>
      <c r="E25" s="562"/>
      <c r="F25" s="562"/>
      <c r="G25" s="562"/>
      <c r="H25" s="562"/>
      <c r="I25" s="562"/>
      <c r="J25" s="563"/>
      <c r="K25" s="243"/>
      <c r="L25" s="593" t="s">
        <v>169</v>
      </c>
      <c r="M25" s="594"/>
      <c r="N25" s="262">
        <f>IF(P25=1,Q25+R25+S25+G15,FLOOR(Q25/2,1)+R25+S25+G15)</f>
        <v>1</v>
      </c>
      <c r="O25" s="268" t="s">
        <v>168</v>
      </c>
      <c r="P25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25" s="267">
        <v>0</v>
      </c>
      <c r="R25" s="265">
        <f>IF(G8="Хафлинг", 2,IF(G8="Тобакси",2,0))</f>
        <v>0</v>
      </c>
      <c r="S25" s="268"/>
      <c r="T25" s="243"/>
      <c r="U25" s="243"/>
      <c r="V25" s="243"/>
      <c r="W25" s="243"/>
      <c r="X25" s="243"/>
      <c r="Y25" s="241"/>
    </row>
    <row r="26" spans="1:32" ht="32.25" customHeight="1">
      <c r="A26" s="241"/>
      <c r="B26" s="242"/>
      <c r="C26" s="310"/>
      <c r="D26" s="562"/>
      <c r="E26" s="562"/>
      <c r="F26" s="562"/>
      <c r="G26" s="562"/>
      <c r="H26" s="562"/>
      <c r="I26" s="562"/>
      <c r="J26" s="563"/>
      <c r="K26" s="243"/>
      <c r="L26" s="593" t="s">
        <v>55</v>
      </c>
      <c r="M26" s="594"/>
      <c r="N26" s="262">
        <f>IF(P26=1,Q26+R26+S26+G15,FLOOR(Q26/2,1)+R26+S26+G15)</f>
        <v>2</v>
      </c>
      <c r="O26" s="268" t="s">
        <v>168</v>
      </c>
      <c r="P26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6" s="267">
        <v>1</v>
      </c>
      <c r="R26" s="265"/>
      <c r="S26" s="268"/>
      <c r="T26" s="243"/>
      <c r="U26" s="243"/>
      <c r="V26" s="243"/>
      <c r="W26" s="243"/>
      <c r="X26" s="243"/>
      <c r="Y26" s="241"/>
    </row>
    <row r="27" spans="1:32" ht="32.25" customHeight="1">
      <c r="A27" s="241"/>
      <c r="B27" s="242"/>
      <c r="C27" s="310"/>
      <c r="D27" s="562"/>
      <c r="E27" s="562"/>
      <c r="F27" s="562"/>
      <c r="G27" s="562"/>
      <c r="H27" s="562"/>
      <c r="I27" s="562"/>
      <c r="J27" s="563"/>
      <c r="K27" s="243"/>
      <c r="L27" s="593" t="s">
        <v>56</v>
      </c>
      <c r="M27" s="594"/>
      <c r="N27" s="262">
        <f>IF(P27=1,Q27+R27+S27+G18,FLOOR(Q27/2,1)+R27+S27+G18)</f>
        <v>-1</v>
      </c>
      <c r="O27" s="268" t="s">
        <v>170</v>
      </c>
      <c r="P27" s="263">
        <f>IF(OR(L11="Варвар",L10="Варвар",L9="Варвар",L8="Варвар",L7="Варвар",L11="Друид",L10="Друид",L9="Друид",L8="Друид",L7="Друид",L11="Рейнджер",L10="Рейнджер",L9="Рейнджер",L8="Рейнджер",L7="Рейнджер"),1,2)</f>
        <v>2</v>
      </c>
      <c r="Q27" s="267">
        <v>0</v>
      </c>
      <c r="R27" s="265"/>
      <c r="S27" s="268"/>
      <c r="T27" s="243"/>
      <c r="U27" s="243"/>
      <c r="V27" s="243"/>
      <c r="W27" s="243"/>
      <c r="X27" s="243"/>
      <c r="Y27" s="241"/>
      <c r="AF27" s="55"/>
    </row>
    <row r="28" spans="1:32" ht="32.25" customHeight="1">
      <c r="A28" s="241"/>
      <c r="B28" s="242"/>
      <c r="C28" s="310"/>
      <c r="D28" s="562"/>
      <c r="E28" s="562"/>
      <c r="F28" s="562"/>
      <c r="G28" s="562"/>
      <c r="H28" s="562"/>
      <c r="I28" s="562"/>
      <c r="J28" s="563"/>
      <c r="K28" s="243"/>
      <c r="L28" s="593" t="s">
        <v>57</v>
      </c>
      <c r="M28" s="594"/>
      <c r="N28" s="262">
        <f>IF(P28=1,Q28+R28+S28+G19,FLOOR(Q28/2,1)+R28+S28+G19)</f>
        <v>3</v>
      </c>
      <c r="O28" s="268" t="s">
        <v>171</v>
      </c>
      <c r="P28" s="263">
        <f>IF(OR(L11="Бард",L10="Бард",L9="Бард",L8="Бард",L7="Бард",L11="Вор",L10="Вор",L9="Вор",L8="Вор",L7="Вор",L11="Друид",L10="Друид",L9="Друид",L8="Друид",L7="Друид",L11="Жрец",L10="Жрец",L9="Жрец",L8="Жрец",L7="Жрец",L11="Монах",L10="Монах",L9="Монах",L8="Монах",L7="Монах",L11="Паладин",L10="Паладин",L9="Паладин",L8="Паладин",L7="Паладин"), 1,2)</f>
        <v>2</v>
      </c>
      <c r="Q28" s="267">
        <v>0</v>
      </c>
      <c r="R28" s="265">
        <f>IF(G8="Полуэльф", 2,0)</f>
        <v>2</v>
      </c>
      <c r="S28" s="268"/>
      <c r="T28" s="243"/>
      <c r="U28" s="243"/>
      <c r="V28" s="243"/>
      <c r="W28" s="243"/>
      <c r="X28" s="243"/>
      <c r="Y28" s="241"/>
      <c r="AB28" s="55"/>
      <c r="AF28" s="55"/>
    </row>
    <row r="29" spans="1:32" ht="32.25" customHeight="1">
      <c r="A29" s="241"/>
      <c r="B29" s="242"/>
      <c r="C29" s="310"/>
      <c r="D29" s="562"/>
      <c r="E29" s="562"/>
      <c r="F29" s="562"/>
      <c r="G29" s="562"/>
      <c r="H29" s="562"/>
      <c r="I29" s="562"/>
      <c r="J29" s="563"/>
      <c r="K29" s="243"/>
      <c r="L29" s="593" t="s">
        <v>58</v>
      </c>
      <c r="M29" s="594"/>
      <c r="N29" s="262">
        <f>IF(P29=1,Q29+R29+S29+G19,FLOOR(Q29/2,1)+R29+S29+G19)</f>
        <v>2</v>
      </c>
      <c r="O29" s="268" t="s">
        <v>171</v>
      </c>
      <c r="P29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9" s="267">
        <v>1</v>
      </c>
      <c r="R29" s="265"/>
      <c r="S29" s="268"/>
      <c r="T29" s="243"/>
      <c r="U29" s="243"/>
      <c r="V29" s="243"/>
      <c r="W29" s="243"/>
      <c r="X29" s="243"/>
      <c r="Y29" s="241"/>
      <c r="AB29" s="55"/>
      <c r="AF29" s="55"/>
    </row>
    <row r="30" spans="1:32" ht="32.25" customHeight="1">
      <c r="A30" s="241"/>
      <c r="B30" s="242"/>
      <c r="C30" s="310"/>
      <c r="D30" s="562"/>
      <c r="E30" s="562"/>
      <c r="F30" s="562"/>
      <c r="G30" s="562"/>
      <c r="H30" s="562"/>
      <c r="I30" s="562"/>
      <c r="J30" s="563"/>
      <c r="K30" s="243"/>
      <c r="L30" s="593" t="s">
        <v>59</v>
      </c>
      <c r="M30" s="594"/>
      <c r="N30" s="262">
        <f>IF(P30=1,Q30+R30+S30+G19,FLOOR(Q30/2,1)+R30+S30+G19)</f>
        <v>3</v>
      </c>
      <c r="O30" s="268" t="s">
        <v>171</v>
      </c>
      <c r="P30" s="263">
        <f>IF(OR(L11="Воин",L10="Воин",L9="Воин",L8="Воин",L7="Воин",L11="Варвар",L10="Варвар",L9="Варвар",L8="Варвар",L7="Варвар",L11="Вор",L10="Вор",L9="Вор",L8="Вор",L7="Вор"), 1,2)</f>
        <v>1</v>
      </c>
      <c r="Q30" s="267">
        <v>2</v>
      </c>
      <c r="R30" s="265"/>
      <c r="S30" s="268"/>
      <c r="T30" s="243"/>
      <c r="U30" s="243"/>
      <c r="V30" s="243"/>
      <c r="W30" s="243"/>
      <c r="X30" s="243"/>
      <c r="Y30" s="241"/>
      <c r="AB30" s="55"/>
      <c r="AF30" s="55"/>
    </row>
    <row r="31" spans="1:32" ht="32.25" customHeight="1">
      <c r="A31" s="241"/>
      <c r="B31" s="242"/>
      <c r="C31" s="310"/>
      <c r="D31" s="562"/>
      <c r="E31" s="562"/>
      <c r="F31" s="562"/>
      <c r="G31" s="562"/>
      <c r="H31" s="562"/>
      <c r="I31" s="562"/>
      <c r="J31" s="563"/>
      <c r="K31" s="243"/>
      <c r="L31" s="593" t="s">
        <v>60</v>
      </c>
      <c r="M31" s="594"/>
      <c r="N31" s="262">
        <f>IF(P31=1,Q31+R31+S31+G15,FLOOR(Q31/2,1)+R31+S31+G15)</f>
        <v>1</v>
      </c>
      <c r="O31" s="268" t="s">
        <v>168</v>
      </c>
      <c r="P31" s="263">
        <f>IF(OR(L11="Вор",L10="Вор",L9="Вор",L8="Вор",L7="Вор",L11="Монах",L10="Монах",L9="Монах",L8="Монах",L7="Монах"), 1,2)</f>
        <v>2</v>
      </c>
      <c r="Q31" s="267">
        <v>0</v>
      </c>
      <c r="R31" s="265"/>
      <c r="S31" s="268"/>
      <c r="T31" s="243"/>
      <c r="U31" s="243"/>
      <c r="V31" s="243"/>
      <c r="W31" s="243"/>
      <c r="X31" s="243"/>
      <c r="Y31" s="241"/>
      <c r="AB31" s="55"/>
      <c r="AF31" s="55"/>
    </row>
    <row r="32" spans="1:32" ht="32.25" customHeight="1">
      <c r="A32" s="241"/>
      <c r="B32" s="242"/>
      <c r="C32" s="310"/>
      <c r="D32" s="562"/>
      <c r="E32" s="562"/>
      <c r="F32" s="562"/>
      <c r="G32" s="562"/>
      <c r="H32" s="562"/>
      <c r="I32" s="562"/>
      <c r="J32" s="563"/>
      <c r="K32" s="243"/>
      <c r="L32" s="593" t="s">
        <v>61</v>
      </c>
      <c r="M32" s="594"/>
      <c r="N32" s="262">
        <f>IF(P32=1,Q32+R32+S32+G16,FLOOR(Q32/2,1)+R32+S32+G16)</f>
        <v>1</v>
      </c>
      <c r="O32" s="268" t="s">
        <v>168</v>
      </c>
      <c r="P32" s="263">
        <f>IF(OR(L11="Вор",L10="Вор",L9="Вор",L8="Вор",L7="Вор",L11="Рейнджер",L10="Рейнджер",L9="Рейнджер",L8="Рейнджер",L7="Рейнджер"), 1,2)</f>
        <v>2</v>
      </c>
      <c r="Q32" s="267">
        <v>0</v>
      </c>
      <c r="R32" s="265"/>
      <c r="S32" s="268"/>
      <c r="T32" s="243"/>
      <c r="U32" s="243"/>
      <c r="V32" s="243"/>
      <c r="W32" s="243"/>
      <c r="X32" s="243"/>
      <c r="Y32" s="241"/>
      <c r="AB32" s="55"/>
      <c r="AF32" s="55"/>
    </row>
    <row r="33" spans="1:32" ht="32.25" customHeight="1">
      <c r="A33" s="241"/>
      <c r="B33" s="242"/>
      <c r="C33" s="310"/>
      <c r="D33" s="562"/>
      <c r="E33" s="562"/>
      <c r="F33" s="562"/>
      <c r="G33" s="562"/>
      <c r="H33" s="562"/>
      <c r="I33" s="562"/>
      <c r="J33" s="563"/>
      <c r="K33" s="243"/>
      <c r="L33" s="593" t="s">
        <v>172</v>
      </c>
      <c r="M33" s="594"/>
      <c r="N33" s="262">
        <f>IF(P33=1,Q33+R33+S33+G19,FLOOR(Q33/2,1)+R33+S33+G19)</f>
        <v>1</v>
      </c>
      <c r="O33" s="268" t="s">
        <v>171</v>
      </c>
      <c r="P33" s="263">
        <f>IF(OR(L11="Вор",L10="Вор",L9="Вор",L8="Вор",L7="Вор"), 1,2)</f>
        <v>2</v>
      </c>
      <c r="Q33" s="267">
        <v>0</v>
      </c>
      <c r="R33" s="265"/>
      <c r="S33" s="268"/>
      <c r="T33" s="243"/>
      <c r="U33" s="243"/>
      <c r="V33" s="243"/>
      <c r="W33" s="243"/>
      <c r="X33" s="243"/>
      <c r="Y33" s="241"/>
      <c r="AB33" s="55"/>
      <c r="AF33" s="55"/>
    </row>
    <row r="34" spans="1:32" ht="32.25" customHeight="1">
      <c r="A34" s="241"/>
      <c r="B34" s="242"/>
      <c r="C34" s="310"/>
      <c r="D34" s="562"/>
      <c r="E34" s="562"/>
      <c r="F34" s="562"/>
      <c r="G34" s="562"/>
      <c r="H34" s="562"/>
      <c r="I34" s="562"/>
      <c r="J34" s="563"/>
      <c r="K34" s="243"/>
      <c r="L34" s="593" t="s">
        <v>63</v>
      </c>
      <c r="M34" s="594"/>
      <c r="N34" s="262">
        <f>IF(P34=1,Q34+R34+S34+G17,FLOOR(Q34/2,1)+R34+S34+G17)</f>
        <v>-1</v>
      </c>
      <c r="O34" s="268" t="s">
        <v>173</v>
      </c>
      <c r="P34" s="263">
        <f>IF(OR(L11="Друид",L10="Друид",L9="Друид",L8="Друид",L7="Друид",L11="Жрец",L10="Жрец",L9="Жрец",L8="Жрец",L7="Жрец",L11="Маг",L10="Маг",L9="Маг",L8="Маг",L7="Маг",L11="Чародей",L10="Чародей",L9="Чародей",L8="Чародей",L7="Чародей"), 1,2)</f>
        <v>2</v>
      </c>
      <c r="Q34" s="267">
        <v>0</v>
      </c>
      <c r="R34" s="265"/>
      <c r="S34" s="268"/>
      <c r="T34" s="243"/>
      <c r="U34" s="243"/>
      <c r="V34" s="243"/>
      <c r="W34" s="243"/>
      <c r="X34" s="243"/>
      <c r="Y34" s="241"/>
      <c r="AB34" s="55"/>
    </row>
    <row r="35" spans="1:32" ht="32.25" customHeight="1">
      <c r="A35" s="241"/>
      <c r="B35" s="242"/>
      <c r="C35" s="310"/>
      <c r="D35" s="562"/>
      <c r="E35" s="562"/>
      <c r="F35" s="562"/>
      <c r="G35" s="562"/>
      <c r="H35" s="562"/>
      <c r="I35" s="562"/>
      <c r="J35" s="563"/>
      <c r="K35" s="243"/>
      <c r="L35" s="593" t="s">
        <v>64</v>
      </c>
      <c r="M35" s="594"/>
      <c r="N35" s="262">
        <f>IF(P34=1,Q34+R34+S34+G16,FLOOR(Q34/2,1)+R34+S34+G16)</f>
        <v>1</v>
      </c>
      <c r="O35" s="268" t="s">
        <v>174</v>
      </c>
      <c r="P35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35" s="267">
        <v>0</v>
      </c>
      <c r="R35" s="265"/>
      <c r="S35" s="268"/>
      <c r="T35" s="243"/>
      <c r="U35" s="243"/>
      <c r="V35" s="243"/>
      <c r="W35" s="243"/>
      <c r="X35" s="243"/>
      <c r="Y35" s="241"/>
      <c r="AB35" s="55"/>
    </row>
    <row r="36" spans="1:32" ht="32.25" customHeight="1">
      <c r="A36" s="241"/>
      <c r="B36" s="242"/>
      <c r="C36" s="310"/>
      <c r="D36" s="562"/>
      <c r="E36" s="562"/>
      <c r="F36" s="562"/>
      <c r="G36" s="562"/>
      <c r="H36" s="562"/>
      <c r="I36" s="562"/>
      <c r="J36" s="563"/>
      <c r="K36" s="243"/>
      <c r="L36" s="593" t="s">
        <v>66</v>
      </c>
      <c r="M36" s="594"/>
      <c r="N36" s="262">
        <f>IF(P36=1,Q36+R36+S36+G15,FLOOR(Q36/2,1)+R36+S36+G15)</f>
        <v>1</v>
      </c>
      <c r="O36" s="268" t="s">
        <v>168</v>
      </c>
      <c r="P36" s="263">
        <f>IF(OR(L11="Вор",L10="Вор",L9="Вор",L8="Вор",L7="Вор",L11="Монах",L10="Монах",L9="Монах",L8="Монах",L7="Монах"), 1,2)</f>
        <v>2</v>
      </c>
      <c r="Q36" s="267">
        <v>0</v>
      </c>
      <c r="R36" s="265"/>
      <c r="S36" s="268"/>
      <c r="T36" s="243"/>
      <c r="U36" s="243"/>
      <c r="V36" s="243"/>
      <c r="W36" s="243"/>
      <c r="X36" s="243"/>
      <c r="Y36" s="241"/>
      <c r="AB36" s="55"/>
    </row>
    <row r="37" spans="1:32" ht="32.25" customHeight="1">
      <c r="A37" s="241"/>
      <c r="B37" s="242"/>
      <c r="C37" s="310"/>
      <c r="D37" s="562"/>
      <c r="E37" s="562"/>
      <c r="F37" s="562"/>
      <c r="G37" s="562"/>
      <c r="H37" s="562"/>
      <c r="I37" s="562"/>
      <c r="J37" s="563"/>
      <c r="K37" s="243"/>
      <c r="L37" s="593" t="s">
        <v>67</v>
      </c>
      <c r="M37" s="594"/>
      <c r="N37" s="262">
        <f>IF(P37=1,Q37+R37+S37+G14,FLOOR(Q37/2,1)+R37+S37+G14)</f>
        <v>3</v>
      </c>
      <c r="O37" s="268" t="s">
        <v>25</v>
      </c>
      <c r="P37" s="263">
        <f>IF(OR(L11="Воин",L10="Воин",L9="Воин",L8="Воин",L7="Воин",L11="Варвар",L10="Варвар",L9="Варвар",L8="Варвар",L7="Варвар",L11="Вор",L10="Вор",L9="Вор",L8="Вор",L7="Вор",L11="Монах",L10="Монах",L9="Монах",L8="Монах",L7="Монах",L11="Рейнджер",L10="Рейнджер",L9="Рейнджер",L8="Рейнджер",L7="Рейнджер"), 1,2)</f>
        <v>1</v>
      </c>
      <c r="Q37" s="267">
        <v>0</v>
      </c>
      <c r="R37" s="265">
        <f>IF(G8="Хафлинг", 2,0)</f>
        <v>0</v>
      </c>
      <c r="S37" s="268"/>
      <c r="T37" s="243"/>
      <c r="U37" s="243"/>
      <c r="V37" s="243"/>
      <c r="W37" s="243"/>
      <c r="X37" s="243"/>
      <c r="Y37" s="241"/>
      <c r="AB37" s="55"/>
    </row>
    <row r="38" spans="1:32" ht="32.25" customHeight="1">
      <c r="A38" s="241"/>
      <c r="B38" s="242"/>
      <c r="C38" s="310"/>
      <c r="D38" s="562"/>
      <c r="E38" s="562"/>
      <c r="F38" s="562"/>
      <c r="G38" s="562"/>
      <c r="H38" s="562"/>
      <c r="I38" s="562"/>
      <c r="J38" s="563"/>
      <c r="K38" s="243"/>
      <c r="L38" s="593" t="s">
        <v>68</v>
      </c>
      <c r="M38" s="594"/>
      <c r="N38" s="262">
        <f>IF(P38=1,Q38+R38+S38+G18,FLOOR(Q38/2,1)+R38+S38+G18)</f>
        <v>-1</v>
      </c>
      <c r="O38" s="268" t="s">
        <v>170</v>
      </c>
      <c r="P38" s="263">
        <f>IF(OR(L11="Друид",L10="Друид",L9="Друид",L8="Друид",L7="Друид",L11="Жрец",L10="Жрец",L9="Жрец",L8="Жрец",L7="Жрец",L11="Паладин",L10="Паладин",L9="Паладин",L8="Паладин",L7="Паладин",L11="Рейнджер",L10="Рейнджер",L9="Рейнджер",L8="Рейнджер",L7="Рейнджер"), 1,2)</f>
        <v>2</v>
      </c>
      <c r="Q38" s="267">
        <v>0</v>
      </c>
      <c r="R38" s="265"/>
      <c r="S38" s="268"/>
      <c r="T38" s="243"/>
      <c r="U38" s="243"/>
      <c r="V38" s="243"/>
      <c r="W38" s="243"/>
      <c r="X38" s="243"/>
      <c r="Y38" s="241"/>
      <c r="AB38" s="55"/>
    </row>
    <row r="39" spans="1:32" ht="32.25" customHeight="1">
      <c r="A39" s="241"/>
      <c r="B39" s="242"/>
      <c r="C39" s="310"/>
      <c r="D39" s="562"/>
      <c r="E39" s="562"/>
      <c r="F39" s="562"/>
      <c r="G39" s="562"/>
      <c r="H39" s="562"/>
      <c r="I39" s="562"/>
      <c r="J39" s="563"/>
      <c r="K39" s="243"/>
      <c r="L39" s="593" t="s">
        <v>69</v>
      </c>
      <c r="M39" s="594"/>
      <c r="N39" s="262">
        <f>IF(P39=1,Q39+R39+S39+G15,FLOOR(Q39/2,1)+R39+S39+G15)</f>
        <v>1</v>
      </c>
      <c r="O39" s="268" t="s">
        <v>168</v>
      </c>
      <c r="P39" s="263">
        <f>IF(OR(L11="Вор",L10="Вор",L9="Вор",L8="Вор",L7="Вор"), 1,2)</f>
        <v>2</v>
      </c>
      <c r="Q39" s="267">
        <v>0</v>
      </c>
      <c r="R39" s="265"/>
      <c r="S39" s="268"/>
      <c r="T39" s="243"/>
      <c r="U39" s="243"/>
      <c r="V39" s="243"/>
      <c r="W39" s="243"/>
      <c r="X39" s="243"/>
      <c r="Y39" s="241"/>
      <c r="AB39" s="55"/>
    </row>
    <row r="40" spans="1:32" ht="32.25" customHeight="1">
      <c r="A40" s="241"/>
      <c r="B40" s="242"/>
      <c r="C40" s="310"/>
      <c r="D40" s="562"/>
      <c r="E40" s="562"/>
      <c r="F40" s="562"/>
      <c r="G40" s="562"/>
      <c r="H40" s="562"/>
      <c r="I40" s="562"/>
      <c r="J40" s="563"/>
      <c r="K40" s="243"/>
      <c r="L40" s="593" t="s">
        <v>70</v>
      </c>
      <c r="M40" s="594"/>
      <c r="N40" s="262">
        <f>IF(P40=1,Q40+R40+S40+G19,FLOOR(Q40/2,1)+R40+S40+G19)</f>
        <v>1</v>
      </c>
      <c r="O40" s="268" t="s">
        <v>171</v>
      </c>
      <c r="P40" s="263">
        <f>IF(OR(L11="Вор",L10="Вор",L9="Вор",L8="Вор",L7="Вор"), 1,2)</f>
        <v>2</v>
      </c>
      <c r="Q40" s="267">
        <v>0</v>
      </c>
      <c r="R40" s="265"/>
      <c r="S40" s="268"/>
      <c r="T40" s="243"/>
      <c r="U40" s="243"/>
      <c r="V40" s="243"/>
      <c r="W40" s="243"/>
      <c r="X40" s="243"/>
      <c r="Y40" s="241"/>
      <c r="AB40" s="55"/>
    </row>
    <row r="41" spans="1:32" ht="32.25" customHeight="1">
      <c r="A41" s="241"/>
      <c r="B41" s="242"/>
      <c r="C41" s="310"/>
      <c r="D41" s="562"/>
      <c r="E41" s="562"/>
      <c r="F41" s="562"/>
      <c r="G41" s="562"/>
      <c r="H41" s="562"/>
      <c r="I41" s="562"/>
      <c r="J41" s="563"/>
      <c r="K41" s="243"/>
      <c r="L41" s="593" t="s">
        <v>71</v>
      </c>
      <c r="M41" s="594"/>
      <c r="N41" s="262">
        <f>IF(P41=1,Q41+R41+S41+G17,FLOOR(Q41/2,1)+R41+S41+G17)</f>
        <v>-1</v>
      </c>
      <c r="O41" s="268" t="s">
        <v>173</v>
      </c>
      <c r="P41" s="263">
        <f>IF(OR(L11="Вор",L10="Вор",L9="Вор",L8="Вор",L7="Вор"), 1,2)</f>
        <v>2</v>
      </c>
      <c r="Q41" s="267">
        <v>0</v>
      </c>
      <c r="R41" s="265"/>
      <c r="S41" s="268"/>
      <c r="T41" s="243"/>
      <c r="U41" s="243"/>
      <c r="V41" s="243"/>
      <c r="W41" s="243"/>
      <c r="X41" s="243"/>
      <c r="Y41" s="241"/>
      <c r="AB41" s="55"/>
    </row>
    <row r="42" spans="1:32" ht="32.25" customHeight="1">
      <c r="A42" s="241"/>
      <c r="B42" s="242"/>
      <c r="C42" s="310"/>
      <c r="D42" s="562"/>
      <c r="E42" s="562"/>
      <c r="F42" s="562"/>
      <c r="G42" s="562"/>
      <c r="H42" s="562"/>
      <c r="I42" s="562"/>
      <c r="J42" s="563"/>
      <c r="K42" s="243"/>
      <c r="L42" s="593" t="s">
        <v>72</v>
      </c>
      <c r="M42" s="594"/>
      <c r="N42" s="262">
        <f>IF(P42=1,Q42+R42+S42+G19,FLOOR(Q42/2,1)+R42+S42+G19)</f>
        <v>1</v>
      </c>
      <c r="O42" s="268" t="s">
        <v>171</v>
      </c>
      <c r="P42" s="263">
        <f>IF(OR(L11="Вор",L10="Вор",L9="Вор",L8="Вор",L7="Вор",L11="Чародей",L10="Чародей",L9="Чародей",L8="Чародей",L7="Чародей"), 1,2)</f>
        <v>2</v>
      </c>
      <c r="Q42" s="267">
        <v>0</v>
      </c>
      <c r="R42" s="265"/>
      <c r="S42" s="268"/>
      <c r="T42" s="243"/>
      <c r="U42" s="243"/>
      <c r="V42" s="243"/>
      <c r="W42" s="243"/>
      <c r="X42" s="243"/>
      <c r="Y42" s="241"/>
      <c r="AB42" s="55"/>
    </row>
    <row r="43" spans="1:32" ht="32.25" customHeight="1">
      <c r="A43" s="241"/>
      <c r="B43" s="242"/>
      <c r="C43" s="310"/>
      <c r="D43" s="562"/>
      <c r="E43" s="562"/>
      <c r="F43" s="562"/>
      <c r="G43" s="562"/>
      <c r="H43" s="562"/>
      <c r="I43" s="562"/>
      <c r="J43" s="563"/>
      <c r="K43" s="243"/>
      <c r="L43" s="593" t="s">
        <v>73</v>
      </c>
      <c r="M43" s="594"/>
      <c r="N43" s="262">
        <f>IF(P43=1,Q43+R43+S43+G18,FLOOR(Q43/2,1)+R43+S43+G18)</f>
        <v>0</v>
      </c>
      <c r="O43" s="268" t="s">
        <v>170</v>
      </c>
      <c r="P43" s="263">
        <f>IF(OR(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2</v>
      </c>
      <c r="Q43" s="267">
        <v>0</v>
      </c>
      <c r="R43" s="265">
        <f>IF(G8="Полуэльф", 1,IF(G8="Эльф", 2,0))</f>
        <v>1</v>
      </c>
      <c r="S43" s="269"/>
      <c r="T43" s="243"/>
      <c r="U43" s="243"/>
      <c r="V43" s="243"/>
      <c r="W43" s="243"/>
      <c r="X43" s="243"/>
      <c r="Y43" s="241"/>
      <c r="AB43" s="55"/>
    </row>
    <row r="44" spans="1:32" ht="32.25" customHeight="1">
      <c r="A44" s="241"/>
      <c r="B44" s="242"/>
      <c r="C44" s="310"/>
      <c r="D44" s="562"/>
      <c r="E44" s="562"/>
      <c r="F44" s="562"/>
      <c r="G44" s="562"/>
      <c r="H44" s="562"/>
      <c r="I44" s="562"/>
      <c r="J44" s="563"/>
      <c r="K44" s="243"/>
      <c r="L44" s="593" t="s">
        <v>74</v>
      </c>
      <c r="M44" s="594"/>
      <c r="N44" s="262">
        <f>IF(P44=1,Q44+R44+S44+G15,FLOOR(Q44/2,1)+R44+S44+G15)</f>
        <v>1</v>
      </c>
      <c r="O44" s="268" t="s">
        <v>168</v>
      </c>
      <c r="P44" s="263">
        <f>IF(OR(L11="Вор",L10="Вор",L9="Вор",L8="Вор",L7="Вор"), 1,2)</f>
        <v>2</v>
      </c>
      <c r="Q44" s="267">
        <v>0</v>
      </c>
      <c r="R44" s="265"/>
      <c r="S44" s="268"/>
      <c r="T44" s="243"/>
      <c r="U44" s="243"/>
      <c r="V44" s="243"/>
      <c r="W44" s="243"/>
      <c r="X44" s="243"/>
      <c r="Y44" s="241"/>
      <c r="AB44" s="55"/>
    </row>
    <row r="45" spans="1:32" ht="32.25" customHeight="1">
      <c r="A45" s="241"/>
      <c r="B45" s="242"/>
      <c r="C45" s="310"/>
      <c r="D45" s="562"/>
      <c r="E45" s="562"/>
      <c r="F45" s="562"/>
      <c r="G45" s="562"/>
      <c r="H45" s="562"/>
      <c r="I45" s="562"/>
      <c r="J45" s="563"/>
      <c r="K45" s="243"/>
      <c r="L45" s="593" t="s">
        <v>75</v>
      </c>
      <c r="M45" s="594"/>
      <c r="N45" s="262">
        <f>IF(P45=1,Q45+R45+S45+G17,FLOOR(Q45/2,1)+R45+S45+G17)</f>
        <v>-1</v>
      </c>
      <c r="O45" s="268" t="s">
        <v>173</v>
      </c>
      <c r="P45" s="263">
        <f>IF(OR(L11="Вор",L10="Вор",L9="Вор",L8="Вор",L7="Вор"), 1,2)</f>
        <v>2</v>
      </c>
      <c r="Q45" s="267">
        <v>0</v>
      </c>
      <c r="R45" s="265">
        <f>IF(G8="Дварф", 2,0)</f>
        <v>0</v>
      </c>
      <c r="S45" s="268"/>
      <c r="T45" s="243"/>
      <c r="U45" s="243"/>
      <c r="V45" s="243"/>
      <c r="W45" s="243"/>
      <c r="X45" s="243"/>
      <c r="Y45" s="241"/>
    </row>
    <row r="46" spans="1:32" ht="32.25" customHeight="1">
      <c r="A46" s="241"/>
      <c r="B46" s="242"/>
      <c r="C46" s="310"/>
      <c r="D46" s="562"/>
      <c r="E46" s="562"/>
      <c r="F46" s="562"/>
      <c r="G46" s="562"/>
      <c r="H46" s="562"/>
      <c r="I46" s="562"/>
      <c r="J46" s="563"/>
      <c r="K46" s="243"/>
      <c r="L46" s="593" t="s">
        <v>76</v>
      </c>
      <c r="M46" s="594"/>
      <c r="N46" s="262">
        <f>IF(P46=1,Q46+R46+S46+G14,FLOOR(Q46/2,1)+R46+S46+G14)</f>
        <v>3</v>
      </c>
      <c r="O46" s="268" t="s">
        <v>25</v>
      </c>
      <c r="P46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1</v>
      </c>
      <c r="Q46" s="267">
        <v>0</v>
      </c>
      <c r="R46" s="265"/>
      <c r="S46" s="268"/>
      <c r="T46" s="243"/>
      <c r="U46" s="243"/>
      <c r="V46" s="243"/>
      <c r="W46" s="243"/>
      <c r="X46" s="243"/>
      <c r="Y46" s="241"/>
    </row>
    <row r="47" spans="1:32" ht="32.25" customHeight="1">
      <c r="A47" s="241"/>
      <c r="B47" s="242"/>
      <c r="C47" s="310"/>
      <c r="D47" s="562"/>
      <c r="E47" s="562"/>
      <c r="F47" s="562"/>
      <c r="G47" s="562"/>
      <c r="H47" s="562"/>
      <c r="I47" s="562"/>
      <c r="J47" s="563"/>
      <c r="K47" s="243"/>
      <c r="L47" s="593" t="s">
        <v>77</v>
      </c>
      <c r="M47" s="594"/>
      <c r="N47" s="262">
        <f>IF(P47=1,Q47+R47+S47+G17,FLOOR(Q47/2,1)+R47+S47+G17)</f>
        <v>-1</v>
      </c>
      <c r="O47" s="268" t="s">
        <v>173</v>
      </c>
      <c r="P47" s="263">
        <f>IF(OR(L11="Вор",L10="Вор",L9="Вор",L8="Вор",L7="Вор"), 1,2)</f>
        <v>2</v>
      </c>
      <c r="Q47" s="267">
        <v>0</v>
      </c>
      <c r="R47" s="265"/>
      <c r="S47" s="268"/>
      <c r="T47" s="243"/>
      <c r="U47" s="243"/>
      <c r="V47" s="243"/>
      <c r="W47" s="243"/>
      <c r="X47" s="243"/>
      <c r="Y47" s="241"/>
    </row>
    <row r="48" spans="1:32" ht="32.25" customHeight="1">
      <c r="A48" s="241"/>
      <c r="B48" s="242"/>
      <c r="C48" s="310"/>
      <c r="D48" s="562"/>
      <c r="E48" s="562"/>
      <c r="F48" s="562"/>
      <c r="G48" s="562"/>
      <c r="H48" s="562"/>
      <c r="I48" s="562"/>
      <c r="J48" s="563"/>
      <c r="K48" s="243"/>
      <c r="L48" s="593" t="s">
        <v>78</v>
      </c>
      <c r="M48" s="594"/>
      <c r="N48" s="262">
        <f>IF(P48=1,Q48+R48+S48+G17,FLOOR(Q48/2,1)+R48+S48+G17)</f>
        <v>0</v>
      </c>
      <c r="O48" s="268" t="s">
        <v>173</v>
      </c>
      <c r="P48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48" s="267">
        <v>0</v>
      </c>
      <c r="R48" s="265">
        <f>IF(G8="Полуэльф", 1,IF(G8="Эльф", 2,0))</f>
        <v>1</v>
      </c>
      <c r="S48" s="268"/>
      <c r="T48" s="243"/>
      <c r="U48" s="243"/>
      <c r="V48" s="243"/>
      <c r="W48" s="243"/>
      <c r="X48" s="243"/>
      <c r="Y48" s="241"/>
    </row>
    <row r="49" spans="1:25" ht="32.25" customHeight="1">
      <c r="A49" s="241"/>
      <c r="B49" s="242"/>
      <c r="C49" s="310"/>
      <c r="D49" s="562"/>
      <c r="E49" s="562"/>
      <c r="F49" s="562"/>
      <c r="G49" s="562"/>
      <c r="H49" s="562"/>
      <c r="I49" s="562"/>
      <c r="J49" s="563"/>
      <c r="K49" s="243"/>
      <c r="L49" s="593" t="s">
        <v>79</v>
      </c>
      <c r="M49" s="594"/>
      <c r="N49" s="262">
        <f>IF(P49=1,Q49+R49+S49+G18,FLOOR(Q49/2,1)+R49+S49+G18)</f>
        <v>0</v>
      </c>
      <c r="O49" s="268" t="s">
        <v>170</v>
      </c>
      <c r="P49" s="263">
        <f>IF(OR(L11="Вор",L10="Вор",L9="Вор",L8="Вор",L7="Вор",L11="Паладин",L10="Паладин",L9="Паладин",L8="Паладин",L7="Паладин"), 1,2)</f>
        <v>2</v>
      </c>
      <c r="Q49" s="267">
        <v>2</v>
      </c>
      <c r="R49" s="265"/>
      <c r="S49" s="268"/>
      <c r="T49" s="243"/>
      <c r="U49" s="243"/>
      <c r="V49" s="243"/>
      <c r="W49" s="243"/>
      <c r="X49" s="243"/>
      <c r="Y49" s="241"/>
    </row>
    <row r="50" spans="1:25" ht="32.25" customHeight="1">
      <c r="A50" s="241"/>
      <c r="B50" s="242"/>
      <c r="C50" s="310"/>
      <c r="D50" s="562"/>
      <c r="E50" s="562"/>
      <c r="F50" s="562"/>
      <c r="G50" s="562"/>
      <c r="H50" s="562"/>
      <c r="I50" s="562"/>
      <c r="J50" s="563"/>
      <c r="K50" s="243"/>
      <c r="L50" s="593" t="s">
        <v>80</v>
      </c>
      <c r="M50" s="594"/>
      <c r="N50" s="262">
        <f>IF(P50=1,Q50+R50+S50+G14,FLOOR(Q50/2,1)+R50+S50+G14)</f>
        <v>3</v>
      </c>
      <c r="O50" s="268" t="s">
        <v>25</v>
      </c>
      <c r="P50" s="263">
        <f>IF(OR(L11="Варвар",L10="Варвар",L9="Варвар",L8="Варвар",L7="Варвар",L11="Вор",L10="Вор",L9="Вор",L8="Вор",L7="Вор",L11="Рейнджер",L10="Рейнджер",L9="Рейнджер",L8="Рейнджер",L7="Рейнджер"),1,2)</f>
        <v>2</v>
      </c>
      <c r="Q50" s="267">
        <v>0</v>
      </c>
      <c r="R50" s="265">
        <f>IF(G8="Хафлинг", 2,0)</f>
        <v>0</v>
      </c>
      <c r="S50" s="268"/>
      <c r="T50" s="243"/>
      <c r="U50" s="243"/>
      <c r="V50" s="243"/>
      <c r="W50" s="243"/>
      <c r="X50" s="243"/>
      <c r="Y50" s="241"/>
    </row>
    <row r="51" spans="1:25" ht="32.25" customHeight="1">
      <c r="A51" s="241"/>
      <c r="B51" s="242"/>
      <c r="C51" s="310"/>
      <c r="D51" s="562"/>
      <c r="E51" s="562"/>
      <c r="F51" s="562"/>
      <c r="G51" s="562"/>
      <c r="H51" s="562"/>
      <c r="I51" s="562"/>
      <c r="J51" s="563"/>
      <c r="K51" s="243"/>
      <c r="L51" s="593" t="s">
        <v>81</v>
      </c>
      <c r="M51" s="594"/>
      <c r="N51" s="262">
        <f>IF(P51=1,Q51+R51+S51+G17,FLOOR(Q51/2,1)+R51+S51+G17)</f>
        <v>-1</v>
      </c>
      <c r="O51" s="268" t="s">
        <v>173</v>
      </c>
      <c r="P51" s="263">
        <f>IF(OR(L11="Вор",L10="Вор",L9="Вор",L8="Вор",L7="Вор",L11="Маг",L10="Маг",L9="Маг",L8="Маг",L7="Маг"), 1,2)</f>
        <v>2</v>
      </c>
      <c r="Q51" s="267">
        <v>0</v>
      </c>
      <c r="R51" s="265"/>
      <c r="S51" s="268"/>
      <c r="T51" s="243"/>
      <c r="U51" s="243"/>
      <c r="V51" s="243"/>
      <c r="W51" s="243"/>
      <c r="X51" s="243"/>
      <c r="Y51" s="241"/>
    </row>
    <row r="52" spans="1:25" ht="32.25" customHeight="1">
      <c r="A52" s="241"/>
      <c r="B52" s="242"/>
      <c r="C52" s="310"/>
      <c r="D52" s="562"/>
      <c r="E52" s="562"/>
      <c r="F52" s="562"/>
      <c r="G52" s="562"/>
      <c r="H52" s="562"/>
      <c r="I52" s="562"/>
      <c r="J52" s="563"/>
      <c r="K52" s="243"/>
      <c r="L52" s="593" t="s">
        <v>82</v>
      </c>
      <c r="M52" s="594"/>
      <c r="N52" s="262">
        <f>IF(P52=1,Q52+R52+S52+G19,FLOOR(Q52/2,1)+R52+S52+G19)</f>
        <v>3</v>
      </c>
      <c r="O52" s="268" t="s">
        <v>171</v>
      </c>
      <c r="P52" s="263">
        <f>IF(OR(L11="Вор",L10="Вор",L9="Вор",L8="Вор",L7="Вор"), 1,2)</f>
        <v>2</v>
      </c>
      <c r="Q52" s="267">
        <v>0</v>
      </c>
      <c r="R52" s="265">
        <f>IF(G8="Полуэльф", 2,0)</f>
        <v>2</v>
      </c>
      <c r="S52" s="268"/>
      <c r="T52" s="243"/>
      <c r="U52" s="243"/>
      <c r="V52" s="243"/>
      <c r="W52" s="243"/>
      <c r="X52" s="243"/>
      <c r="Y52" s="241"/>
    </row>
    <row r="53" spans="1:25" ht="32.25" customHeight="1">
      <c r="A53" s="241"/>
      <c r="B53" s="242"/>
      <c r="C53" s="310"/>
      <c r="D53" s="562"/>
      <c r="E53" s="562"/>
      <c r="F53" s="562"/>
      <c r="G53" s="562"/>
      <c r="H53" s="562"/>
      <c r="I53" s="562"/>
      <c r="J53" s="563"/>
      <c r="K53" s="243"/>
      <c r="L53" s="593" t="s">
        <v>83</v>
      </c>
      <c r="M53" s="594"/>
      <c r="N53" s="262">
        <f>IF(P53=1,Q53+R53+S53+G18,FLOOR(Q53/2,1)+R53+S53+G18)</f>
        <v>1</v>
      </c>
      <c r="O53" s="268" t="s">
        <v>170</v>
      </c>
      <c r="P53" s="263">
        <f>IF(OR(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1,2)</f>
        <v>2</v>
      </c>
      <c r="Q53" s="267">
        <v>2</v>
      </c>
      <c r="R53" s="265">
        <f>IF(G8="Полуэльф", 1,IF(G8="Гном", 2,IF(G8="Хафлинг", 2,IF(G8="Эльф", 2,IF(G8="Тобакси",2,0)))))</f>
        <v>1</v>
      </c>
      <c r="S53" s="268"/>
      <c r="T53" s="243"/>
      <c r="U53" s="243"/>
      <c r="V53" s="243"/>
      <c r="W53" s="243"/>
      <c r="X53" s="243"/>
      <c r="Y53" s="241"/>
    </row>
    <row r="54" spans="1:25" ht="32.25" customHeight="1">
      <c r="A54" s="241"/>
      <c r="B54" s="242"/>
      <c r="C54" s="310"/>
      <c r="D54" s="562"/>
      <c r="E54" s="562"/>
      <c r="F54" s="562"/>
      <c r="G54" s="562"/>
      <c r="H54" s="562"/>
      <c r="I54" s="562"/>
      <c r="J54" s="563"/>
      <c r="K54" s="243"/>
      <c r="L54" s="593" t="s">
        <v>84</v>
      </c>
      <c r="M54" s="594"/>
      <c r="N54" s="262">
        <f>IF(P54=1,Q54+R54+S54+G15,FLOOR(Q54/2,1)+R54+S54+G15)</f>
        <v>1</v>
      </c>
      <c r="O54" s="268" t="s">
        <v>168</v>
      </c>
      <c r="P54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54" s="267">
        <v>0</v>
      </c>
      <c r="R54" s="265">
        <f>IF(G8="Гном",4,IF(G8="Хафлинг",4,IF(G8="Кобольд",4,0)))</f>
        <v>0</v>
      </c>
      <c r="S54" s="268"/>
      <c r="T54" s="243"/>
      <c r="U54" s="243"/>
      <c r="V54" s="243"/>
      <c r="W54" s="243"/>
      <c r="X54" s="243"/>
      <c r="Y54" s="241"/>
    </row>
    <row r="55" spans="1:25" ht="32.25" customHeight="1">
      <c r="A55" s="241"/>
      <c r="B55" s="242"/>
      <c r="C55" s="310"/>
      <c r="D55" s="562"/>
      <c r="E55" s="562"/>
      <c r="F55" s="562"/>
      <c r="G55" s="562"/>
      <c r="H55" s="562"/>
      <c r="I55" s="562"/>
      <c r="J55" s="563"/>
      <c r="K55" s="243"/>
      <c r="L55" s="593" t="s">
        <v>85</v>
      </c>
      <c r="M55" s="594"/>
      <c r="N55" s="262">
        <f>IF(P55=1,Q55+R55+S55+G17,FLOOR(Q55/2,1)+R55+S55+G17)</f>
        <v>-1</v>
      </c>
      <c r="O55" s="268" t="s">
        <v>173</v>
      </c>
      <c r="P55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1</v>
      </c>
      <c r="Q55" s="267">
        <v>0</v>
      </c>
      <c r="R55" s="265">
        <f>IF(G8="Кобольд",2,0)</f>
        <v>0</v>
      </c>
      <c r="S55" s="268"/>
      <c r="T55" s="243"/>
      <c r="U55" s="243"/>
      <c r="V55" s="243"/>
      <c r="W55" s="243"/>
      <c r="X55" s="243"/>
      <c r="Y55" s="241"/>
    </row>
    <row r="56" spans="1:25" ht="32.25" customHeight="1">
      <c r="A56" s="241"/>
      <c r="B56" s="242"/>
      <c r="C56" s="310"/>
      <c r="D56" s="562"/>
      <c r="E56" s="562"/>
      <c r="F56" s="562"/>
      <c r="G56" s="562"/>
      <c r="H56" s="562"/>
      <c r="I56" s="562"/>
      <c r="J56" s="563"/>
      <c r="K56" s="243"/>
      <c r="L56" s="593" t="s">
        <v>85</v>
      </c>
      <c r="M56" s="594"/>
      <c r="N56" s="262">
        <f>IF(P56=1,Q56+R56+S56+G17,FLOOR(Q56/2,1)+R56+S56+G17)</f>
        <v>-1</v>
      </c>
      <c r="O56" s="268" t="s">
        <v>173</v>
      </c>
      <c r="P56" s="263">
        <f>IF(OR(L11="Жрец",L10="Жрец",L9="Жрец",L8="Жрец",L7="Жрец"), 1,2)</f>
        <v>2</v>
      </c>
      <c r="Q56" s="267">
        <v>0</v>
      </c>
      <c r="R56" s="265"/>
      <c r="S56" s="268"/>
      <c r="T56" s="243"/>
      <c r="U56" s="243"/>
      <c r="V56" s="243"/>
      <c r="W56" s="243"/>
      <c r="X56" s="243"/>
      <c r="Y56" s="241"/>
    </row>
    <row r="57" spans="1:25" ht="32.25" customHeight="1">
      <c r="A57" s="241"/>
      <c r="B57" s="242"/>
      <c r="C57" s="310"/>
      <c r="D57" s="562"/>
      <c r="E57" s="562"/>
      <c r="F57" s="562"/>
      <c r="G57" s="562"/>
      <c r="H57" s="562"/>
      <c r="I57" s="562"/>
      <c r="J57" s="563"/>
      <c r="K57" s="243"/>
      <c r="L57" s="593" t="s">
        <v>85</v>
      </c>
      <c r="M57" s="594"/>
      <c r="N57" s="262">
        <f>IF(P57=1,Q57+R57+S57+G17,FLOOR(Q57/2,1)+R57+S57+G17)</f>
        <v>-1</v>
      </c>
      <c r="O57" s="268" t="s">
        <v>173</v>
      </c>
      <c r="P57" s="263"/>
      <c r="Q57" s="267">
        <v>0</v>
      </c>
      <c r="R57" s="265"/>
      <c r="S57" s="268"/>
      <c r="T57" s="243"/>
      <c r="U57" s="243"/>
      <c r="V57" s="243"/>
      <c r="W57" s="243"/>
      <c r="X57" s="243"/>
      <c r="Y57" s="241"/>
    </row>
    <row r="58" spans="1:25" ht="32.25" customHeight="1">
      <c r="A58" s="241"/>
      <c r="B58" s="242"/>
      <c r="C58" s="310"/>
      <c r="D58" s="562"/>
      <c r="E58" s="562"/>
      <c r="F58" s="562"/>
      <c r="G58" s="562"/>
      <c r="H58" s="562"/>
      <c r="I58" s="562"/>
      <c r="J58" s="563"/>
      <c r="K58" s="243"/>
      <c r="L58" s="593" t="s">
        <v>86</v>
      </c>
      <c r="M58" s="594"/>
      <c r="N58" s="262">
        <f>IF(P58=1,Q58+R58+S58+G19,FLOOR(Q58/2,1)+R58+S58+G19)</f>
        <v>1</v>
      </c>
      <c r="O58" s="268" t="s">
        <v>171</v>
      </c>
      <c r="P58" s="263">
        <f>IF(OR(L11="Бард",L11="Вор",L10="Бард",L10="Вор",L9="Бард",L9="Вор",L8="Бард",L8="Вор",L7="Бард",L7="Вор",L11="Монах",L10="Монах",L9="Монах",L8="Монах",L7="Монах"),1,2)</f>
        <v>2</v>
      </c>
      <c r="Q58" s="267">
        <v>0</v>
      </c>
      <c r="R58" s="265"/>
      <c r="S58" s="268"/>
      <c r="T58" s="243"/>
      <c r="U58" s="243"/>
      <c r="V58" s="243"/>
      <c r="W58" s="243"/>
      <c r="X58" s="243"/>
      <c r="Y58" s="241"/>
    </row>
    <row r="59" spans="1:25" ht="32.25" customHeight="1">
      <c r="A59" s="241"/>
      <c r="B59" s="242"/>
      <c r="C59" s="310"/>
      <c r="D59" s="562"/>
      <c r="E59" s="562"/>
      <c r="F59" s="562"/>
      <c r="G59" s="562"/>
      <c r="H59" s="562"/>
      <c r="I59" s="562"/>
      <c r="J59" s="563"/>
      <c r="K59" s="243"/>
      <c r="L59" s="593" t="s">
        <v>86</v>
      </c>
      <c r="M59" s="594"/>
      <c r="N59" s="262">
        <f>IF(P59=1,Q59+R59+S59+G19,FLOOR(Q59/2,1)+R59+S59+G19)</f>
        <v>1</v>
      </c>
      <c r="O59" s="268" t="s">
        <v>171</v>
      </c>
      <c r="P59" s="263"/>
      <c r="Q59" s="267">
        <v>0</v>
      </c>
      <c r="R59" s="265"/>
      <c r="S59" s="268"/>
      <c r="T59" s="243"/>
      <c r="U59" s="243"/>
      <c r="V59" s="243"/>
      <c r="W59" s="243"/>
      <c r="X59" s="243"/>
      <c r="Y59" s="241"/>
    </row>
    <row r="60" spans="1:25" ht="32.25" customHeight="1">
      <c r="A60" s="241"/>
      <c r="B60" s="242"/>
      <c r="C60" s="310"/>
      <c r="D60" s="562"/>
      <c r="E60" s="562"/>
      <c r="F60" s="562"/>
      <c r="G60" s="562"/>
      <c r="H60" s="562"/>
      <c r="I60" s="562"/>
      <c r="J60" s="563"/>
      <c r="K60" s="243"/>
      <c r="L60" s="593" t="s">
        <v>86</v>
      </c>
      <c r="M60" s="594"/>
      <c r="N60" s="262">
        <f>IF(P60=1,Q60+R60+S60+G19,FLOOR(Q60/2,1)+R60+S60+G19)</f>
        <v>1</v>
      </c>
      <c r="O60" s="268" t="s">
        <v>171</v>
      </c>
      <c r="P60" s="263"/>
      <c r="Q60" s="267">
        <v>0</v>
      </c>
      <c r="R60" s="265"/>
      <c r="S60" s="268"/>
      <c r="T60" s="243"/>
      <c r="U60" s="243"/>
      <c r="V60" s="243"/>
      <c r="W60" s="243"/>
      <c r="X60" s="243"/>
      <c r="Y60" s="241"/>
    </row>
    <row r="61" spans="1:25" ht="32.25" customHeight="1">
      <c r="A61" s="241"/>
      <c r="B61" s="242"/>
      <c r="C61" s="310"/>
      <c r="D61" s="562"/>
      <c r="E61" s="562"/>
      <c r="F61" s="562"/>
      <c r="G61" s="562"/>
      <c r="H61" s="562"/>
      <c r="I61" s="562"/>
      <c r="J61" s="563"/>
      <c r="K61" s="243"/>
      <c r="L61" s="593" t="s">
        <v>88</v>
      </c>
      <c r="M61" s="594"/>
      <c r="N61" s="262">
        <f>IF(P61=1,Q61+R61+S61+G18,FLOOR(Q61/2,1)+R61+S61+G18)</f>
        <v>-1</v>
      </c>
      <c r="O61" s="268" t="s">
        <v>170</v>
      </c>
      <c r="P61" s="263">
        <f>IF(OR(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1" s="267">
        <v>0</v>
      </c>
      <c r="R61" s="265">
        <f>IF(G8="Кобольд",2,0)</f>
        <v>0</v>
      </c>
      <c r="S61" s="268"/>
      <c r="T61" s="243"/>
      <c r="U61" s="243"/>
      <c r="V61" s="243"/>
      <c r="W61" s="243"/>
      <c r="X61" s="243"/>
      <c r="Y61" s="241"/>
    </row>
    <row r="62" spans="1:25" ht="32.25" customHeight="1">
      <c r="A62" s="241"/>
      <c r="B62" s="242"/>
      <c r="C62" s="310"/>
      <c r="D62" s="562"/>
      <c r="E62" s="562"/>
      <c r="F62" s="562"/>
      <c r="G62" s="562"/>
      <c r="H62" s="562"/>
      <c r="I62" s="562"/>
      <c r="J62" s="563"/>
      <c r="K62" s="243"/>
      <c r="L62" s="593" t="s">
        <v>88</v>
      </c>
      <c r="M62" s="594"/>
      <c r="N62" s="262">
        <f>IF(P62=1,Q62+R62+S62+G18,FLOOR(Q62/2,1)+R62+S62+G18)</f>
        <v>-1</v>
      </c>
      <c r="O62" s="268" t="s">
        <v>170</v>
      </c>
      <c r="P62" s="263"/>
      <c r="Q62" s="267">
        <v>0</v>
      </c>
      <c r="R62" s="265"/>
      <c r="S62" s="268"/>
      <c r="T62" s="243"/>
      <c r="U62" s="243"/>
      <c r="V62" s="243"/>
      <c r="W62" s="243"/>
      <c r="X62" s="243"/>
      <c r="Y62" s="241"/>
    </row>
    <row r="63" spans="1:25" ht="32.25" customHeight="1">
      <c r="A63" s="241"/>
      <c r="B63" s="242"/>
      <c r="C63" s="310"/>
      <c r="D63" s="562"/>
      <c r="E63" s="562"/>
      <c r="F63" s="562"/>
      <c r="G63" s="562"/>
      <c r="H63" s="562"/>
      <c r="I63" s="562"/>
      <c r="J63" s="563"/>
      <c r="K63" s="243"/>
      <c r="L63" s="593" t="s">
        <v>89</v>
      </c>
      <c r="M63" s="594"/>
      <c r="N63" s="262">
        <f>IF(P63=1,Q63+R63+S63+G17,FLOOR(Q63/2,1)+R63+S63+G17)</f>
        <v>-1</v>
      </c>
      <c r="O63" s="268" t="s">
        <v>173</v>
      </c>
      <c r="P63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3" s="267">
        <v>0</v>
      </c>
      <c r="R63" s="265"/>
      <c r="S63" s="268"/>
      <c r="T63" s="243"/>
      <c r="U63" s="243"/>
      <c r="V63" s="243"/>
      <c r="W63" s="243"/>
      <c r="X63" s="243"/>
      <c r="Y63" s="241"/>
    </row>
    <row r="64" spans="1:25" ht="32.25" customHeight="1">
      <c r="A64" s="241"/>
      <c r="B64" s="242"/>
      <c r="C64" s="310"/>
      <c r="D64" s="562"/>
      <c r="E64" s="562"/>
      <c r="F64" s="562"/>
      <c r="G64" s="562"/>
      <c r="H64" s="562"/>
      <c r="I64" s="562"/>
      <c r="J64" s="563"/>
      <c r="K64" s="243"/>
      <c r="L64" s="593" t="s">
        <v>89</v>
      </c>
      <c r="M64" s="594"/>
      <c r="N64" s="262">
        <f>IF(P64=1,Q64+R64+S64+G17,FLOOR(Q64/2,1)+R64+S64+G17)</f>
        <v>-1</v>
      </c>
      <c r="O64" s="268" t="s">
        <v>173</v>
      </c>
      <c r="P64" s="263">
        <f>IF(OR(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), 1,2)</f>
        <v>2</v>
      </c>
      <c r="Q64" s="267">
        <v>0</v>
      </c>
      <c r="R64" s="265"/>
      <c r="S64" s="268"/>
      <c r="T64" s="243"/>
      <c r="U64" s="243"/>
      <c r="V64" s="243"/>
      <c r="W64" s="243"/>
      <c r="X64" s="243"/>
      <c r="Y64" s="241"/>
    </row>
    <row r="65" spans="1:25" ht="32.25" customHeight="1">
      <c r="A65" s="241"/>
      <c r="B65" s="242"/>
      <c r="C65" s="310"/>
      <c r="D65" s="562"/>
      <c r="E65" s="562"/>
      <c r="F65" s="562"/>
      <c r="G65" s="562"/>
      <c r="H65" s="562"/>
      <c r="I65" s="562"/>
      <c r="J65" s="563"/>
      <c r="K65" s="243"/>
      <c r="L65" s="593" t="s">
        <v>89</v>
      </c>
      <c r="M65" s="594"/>
      <c r="N65" s="262">
        <f>IF(P65=1,Q65+R65+S65+G17,FLOOR(Q65/2,1)+R65+S65+G17)</f>
        <v>-1</v>
      </c>
      <c r="O65" s="268" t="s">
        <v>173</v>
      </c>
      <c r="P65" s="263">
        <f>IF(OR(L11="Жрец",L10="Жрец",L9="Жрец",L8="Жрец",L7="Жрец",L11="Маг",L10="Маг",L9="Маг",L8="Маг",L7="Маг",L11="Рейнджер",L10="Рейнджер",L9="Рейнджер",L8="Рейнджер",L7="Рейнджер"), 1,2)</f>
        <v>2</v>
      </c>
      <c r="Q65" s="267">
        <v>0</v>
      </c>
      <c r="R65" s="265"/>
      <c r="S65" s="268"/>
      <c r="T65" s="243"/>
      <c r="U65" s="243"/>
      <c r="V65" s="243"/>
      <c r="W65" s="243"/>
      <c r="X65" s="243"/>
      <c r="Y65" s="241"/>
    </row>
    <row r="66" spans="1:25" ht="32.25" customHeight="1">
      <c r="A66" s="241"/>
      <c r="B66" s="242"/>
      <c r="C66" s="310"/>
      <c r="D66" s="562"/>
      <c r="E66" s="562"/>
      <c r="F66" s="562"/>
      <c r="G66" s="562"/>
      <c r="H66" s="562"/>
      <c r="I66" s="562"/>
      <c r="J66" s="563"/>
      <c r="K66" s="243"/>
      <c r="L66" s="593" t="s">
        <v>89</v>
      </c>
      <c r="M66" s="594"/>
      <c r="N66" s="262">
        <f>IF(P66=1,Q66+R66+S66+G17,FLOOR(Q66/2,1)+R66+S66+G17)</f>
        <v>-1</v>
      </c>
      <c r="O66" s="268" t="s">
        <v>173</v>
      </c>
      <c r="P66" s="263">
        <f>IF(OR(L11="Маг",L10="Маг",L9="Маг",L8="Маг",L7="Маг"), 1,2)</f>
        <v>2</v>
      </c>
      <c r="Q66" s="267">
        <v>0</v>
      </c>
      <c r="R66" s="265"/>
      <c r="S66" s="268"/>
      <c r="T66" s="243"/>
      <c r="U66" s="243"/>
      <c r="V66" s="243"/>
      <c r="W66" s="243"/>
      <c r="X66" s="243"/>
      <c r="Y66" s="241"/>
    </row>
    <row r="67" spans="1:25" ht="32.25" customHeight="1" thickBot="1">
      <c r="A67" s="241"/>
      <c r="B67" s="242"/>
      <c r="C67" s="310"/>
      <c r="D67" s="564"/>
      <c r="E67" s="564"/>
      <c r="F67" s="564"/>
      <c r="G67" s="564"/>
      <c r="H67" s="564"/>
      <c r="I67" s="564"/>
      <c r="J67" s="565"/>
      <c r="K67" s="242"/>
      <c r="L67" s="593" t="s">
        <v>89</v>
      </c>
      <c r="M67" s="594"/>
      <c r="N67" s="262">
        <f>IF(P67=1,Q67+R67+S67+G17,FLOOR(Q67/2,1)+R67+S67+G17)</f>
        <v>-1</v>
      </c>
      <c r="O67" s="268" t="s">
        <v>173</v>
      </c>
      <c r="P67" s="263">
        <f>IF(OR(L11="Маг",L10="Маг",L9="Маг",L8="Маг",L7="Маг"), 1,2)</f>
        <v>2</v>
      </c>
      <c r="Q67" s="267">
        <v>0</v>
      </c>
      <c r="R67" s="265"/>
      <c r="S67" s="268"/>
      <c r="T67" s="243"/>
      <c r="U67" s="243"/>
      <c r="V67" s="242"/>
      <c r="W67" s="242"/>
      <c r="X67" s="243"/>
      <c r="Y67" s="241"/>
    </row>
    <row r="68" spans="1:25" ht="27.75" customHeight="1">
      <c r="A68" s="241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1"/>
    </row>
    <row r="69" spans="1:25" ht="27.75" customHeight="1">
      <c r="A69" s="241"/>
      <c r="B69" s="242"/>
      <c r="C69" s="242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1"/>
    </row>
    <row r="70" spans="1:25" ht="27.75" customHeight="1">
      <c r="A70" s="241"/>
      <c r="B70" s="309"/>
      <c r="C70" s="309"/>
      <c r="D70" s="309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</row>
    <row r="71" spans="1:25" ht="47.25" customHeight="1"/>
    <row r="72" spans="1:25" ht="27.75" customHeight="1"/>
    <row r="73" spans="1:25" ht="34.5" customHeight="1"/>
    <row r="74" spans="1:25" ht="27.75" customHeight="1"/>
    <row r="75" spans="1:25" ht="27.75" customHeight="1"/>
    <row r="76" spans="1:25" ht="27.75" customHeight="1"/>
    <row r="77" spans="1:25" ht="27.75" customHeight="1"/>
    <row r="78" spans="1:25" ht="27.75" customHeight="1"/>
    <row r="79" spans="1:25" ht="27.75" customHeight="1"/>
    <row r="80" spans="1:25" ht="27.75" customHeight="1"/>
    <row r="81" ht="27.75" customHeight="1"/>
    <row r="82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spans="1:28" ht="27.75" customHeight="1"/>
    <row r="114" spans="1:28" ht="30" customHeight="1"/>
    <row r="115" spans="1:28" ht="27.75" customHeight="1"/>
    <row r="116" spans="1:28" ht="27.75" customHeight="1"/>
    <row r="117" spans="1:28" ht="27.75" customHeight="1"/>
    <row r="118" spans="1:28" ht="27.75" customHeight="1"/>
    <row r="119" spans="1:28" ht="27.75" customHeight="1"/>
    <row r="120" spans="1:28" ht="27.75" customHeight="1"/>
    <row r="121" spans="1:28" ht="27.75" customHeight="1"/>
    <row r="122" spans="1:28" ht="27.75" customHeight="1"/>
    <row r="123" spans="1:28" ht="27.75" customHeight="1"/>
    <row r="124" spans="1:28" ht="27.75" customHeight="1"/>
    <row r="125" spans="1:28" ht="27.75" customHeight="1"/>
    <row r="126" spans="1:28" ht="27.75" customHeight="1"/>
    <row r="127" spans="1:28" ht="27.75" customHeight="1"/>
    <row r="128" spans="1:28" ht="27.75" customHeight="1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54"/>
      <c r="AA128" s="28"/>
      <c r="AB128" s="35"/>
    </row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70">
    <mergeCell ref="N7:N11"/>
    <mergeCell ref="R6:S6"/>
    <mergeCell ref="R7:S7"/>
    <mergeCell ref="S8:U8"/>
    <mergeCell ref="S9:U9"/>
    <mergeCell ref="Q8:R8"/>
    <mergeCell ref="Q9:R9"/>
    <mergeCell ref="T7:U7"/>
    <mergeCell ref="T6:U6"/>
    <mergeCell ref="Q13:R13"/>
    <mergeCell ref="Q14:R14"/>
    <mergeCell ref="L54:M54"/>
    <mergeCell ref="L55:M55"/>
    <mergeCell ref="L61:M61"/>
    <mergeCell ref="L56:M56"/>
    <mergeCell ref="L57:M57"/>
    <mergeCell ref="L58:M58"/>
    <mergeCell ref="L59:M59"/>
    <mergeCell ref="L60:M60"/>
    <mergeCell ref="L38:M38"/>
    <mergeCell ref="L27:M27"/>
    <mergeCell ref="L28:M28"/>
    <mergeCell ref="L29:M29"/>
    <mergeCell ref="L30:M30"/>
    <mergeCell ref="L31:M31"/>
    <mergeCell ref="L63:M63"/>
    <mergeCell ref="L64:M64"/>
    <mergeCell ref="L65:M65"/>
    <mergeCell ref="L66:M66"/>
    <mergeCell ref="L67:M67"/>
    <mergeCell ref="L62:M62"/>
    <mergeCell ref="L50:M50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1:M51"/>
    <mergeCell ref="L52:M52"/>
    <mergeCell ref="L53:M53"/>
    <mergeCell ref="L37:M37"/>
    <mergeCell ref="L23:M23"/>
    <mergeCell ref="L24:M24"/>
    <mergeCell ref="L25:M25"/>
    <mergeCell ref="L26:M26"/>
    <mergeCell ref="L32:M32"/>
    <mergeCell ref="L33:M33"/>
    <mergeCell ref="L34:M34"/>
    <mergeCell ref="L35:M35"/>
    <mergeCell ref="L36:M36"/>
    <mergeCell ref="L22:M22"/>
    <mergeCell ref="K6:L6"/>
    <mergeCell ref="G4:I4"/>
    <mergeCell ref="G5:I5"/>
    <mergeCell ref="J5:J11"/>
    <mergeCell ref="G6:I6"/>
    <mergeCell ref="D22:J22"/>
    <mergeCell ref="D23:J67"/>
    <mergeCell ref="G9:I9"/>
    <mergeCell ref="C3:E11"/>
    <mergeCell ref="G8:I8"/>
    <mergeCell ref="G7:I7"/>
    <mergeCell ref="H10:H11"/>
    <mergeCell ref="D12:H12"/>
  </mergeCells>
  <dataValidations count="4">
    <dataValidation type="whole" allowBlank="1" showInputMessage="1" showErrorMessage="1" sqref="Q24">
      <formula1>0</formula1>
      <formula2>S22</formula2>
    </dataValidation>
    <dataValidation type="whole" allowBlank="1" showInputMessage="1" showErrorMessage="1" sqref="Q22">
      <formula1>0</formula1>
      <formula2>S22</formula2>
    </dataValidation>
    <dataValidation type="list" allowBlank="1" showInputMessage="1" showErrorMessage="1" sqref="G8:I8">
      <formula1>"Полуэльф,Человек,Гном,Дварф,Полуорк,Хафлинг,Эльф,Тобакси,Кобольд"</formula1>
    </dataValidation>
    <dataValidation type="list" showInputMessage="1" showErrorMessage="1" sqref="L7:L11">
      <formula1>"Невыбрано,Воин,Варвар,Паладин,Вор,Жрец,Друид,Маг,Бард,Монах,Рейнджер,Чародей"</formula1>
    </dataValidation>
  </dataValidations>
  <pageMargins left="0.7" right="0.7" top="0.75" bottom="0.75" header="0.3" footer="0.3"/>
  <pageSetup paperSize="9" orientation="portrait" r:id="rId1"/>
  <ignoredErrors>
    <ignoredError sqref="N55 N40 N5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23" r:id="rId4" name="Spinner 31">
              <controlPr defaultSize="0" autoPict="0">
                <anchor moveWithCells="1" sizeWithCells="1">
                  <from>
                    <xdr:col>16</xdr:col>
                    <xdr:colOff>1019175</xdr:colOff>
                    <xdr:row>23</xdr:row>
                    <xdr:rowOff>28575</xdr:rowOff>
                  </from>
                  <to>
                    <xdr:col>16</xdr:col>
                    <xdr:colOff>1333500</xdr:colOff>
                    <xdr:row>23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" name="Spinner 32">
              <controlPr defaultSize="0" autoPict="0">
                <anchor moveWithCells="1" sizeWithCells="1">
                  <from>
                    <xdr:col>16</xdr:col>
                    <xdr:colOff>1019175</xdr:colOff>
                    <xdr:row>24</xdr:row>
                    <xdr:rowOff>28575</xdr:rowOff>
                  </from>
                  <to>
                    <xdr:col>16</xdr:col>
                    <xdr:colOff>1333500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6" name="Spinner 33">
              <controlPr defaultSize="0" autoPict="0">
                <anchor moveWithCells="1" sizeWithCells="1">
                  <from>
                    <xdr:col>16</xdr:col>
                    <xdr:colOff>1019175</xdr:colOff>
                    <xdr:row>25</xdr:row>
                    <xdr:rowOff>19050</xdr:rowOff>
                  </from>
                  <to>
                    <xdr:col>16</xdr:col>
                    <xdr:colOff>1333500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7" name="Spinner 34">
              <controlPr defaultSize="0" autoPict="0">
                <anchor moveWithCells="1" sizeWithCells="1">
                  <from>
                    <xdr:col>16</xdr:col>
                    <xdr:colOff>1019175</xdr:colOff>
                    <xdr:row>26</xdr:row>
                    <xdr:rowOff>28575</xdr:rowOff>
                  </from>
                  <to>
                    <xdr:col>16</xdr:col>
                    <xdr:colOff>1333500</xdr:colOff>
                    <xdr:row>26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8" name="Spinner 35">
              <controlPr defaultSize="0" autoPict="0">
                <anchor moveWithCells="1" sizeWithCells="1">
                  <from>
                    <xdr:col>16</xdr:col>
                    <xdr:colOff>1019175</xdr:colOff>
                    <xdr:row>27</xdr:row>
                    <xdr:rowOff>28575</xdr:rowOff>
                  </from>
                  <to>
                    <xdr:col>16</xdr:col>
                    <xdr:colOff>1333500</xdr:colOff>
                    <xdr:row>27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9" name="Spinner 36">
              <controlPr defaultSize="0" autoPict="0">
                <anchor moveWithCells="1" sizeWithCells="1">
                  <from>
                    <xdr:col>16</xdr:col>
                    <xdr:colOff>1019175</xdr:colOff>
                    <xdr:row>28</xdr:row>
                    <xdr:rowOff>19050</xdr:rowOff>
                  </from>
                  <to>
                    <xdr:col>16</xdr:col>
                    <xdr:colOff>1333500</xdr:colOff>
                    <xdr:row>28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10" name="Spinner 74">
              <controlPr defaultSize="0" autoPict="0">
                <anchor moveWithCells="1" sizeWithCells="1">
                  <from>
                    <xdr:col>4</xdr:col>
                    <xdr:colOff>742950</xdr:colOff>
                    <xdr:row>15</xdr:row>
                    <xdr:rowOff>95250</xdr:rowOff>
                  </from>
                  <to>
                    <xdr:col>4</xdr:col>
                    <xdr:colOff>1057275</xdr:colOff>
                    <xdr:row>15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11" name="Spinner 75">
              <controlPr defaultSize="0" autoPict="0">
                <anchor moveWithCells="1" sizeWithCells="1">
                  <from>
                    <xdr:col>4</xdr:col>
                    <xdr:colOff>742950</xdr:colOff>
                    <xdr:row>14</xdr:row>
                    <xdr:rowOff>57150</xdr:rowOff>
                  </from>
                  <to>
                    <xdr:col>4</xdr:col>
                    <xdr:colOff>1057275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12" name="Spinner 76">
              <controlPr defaultSize="0" autoPict="0">
                <anchor moveWithCells="1" sizeWithCells="1">
                  <from>
                    <xdr:col>4</xdr:col>
                    <xdr:colOff>742950</xdr:colOff>
                    <xdr:row>13</xdr:row>
                    <xdr:rowOff>76200</xdr:rowOff>
                  </from>
                  <to>
                    <xdr:col>4</xdr:col>
                    <xdr:colOff>1057275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13" name="Spinner 77">
              <controlPr defaultSize="0" autoPict="0">
                <anchor moveWithCells="1" sizeWithCells="1">
                  <from>
                    <xdr:col>4</xdr:col>
                    <xdr:colOff>742950</xdr:colOff>
                    <xdr:row>16</xdr:row>
                    <xdr:rowOff>66675</xdr:rowOff>
                  </from>
                  <to>
                    <xdr:col>4</xdr:col>
                    <xdr:colOff>1057275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14" name="Spinner 78">
              <controlPr defaultSize="0" autoPict="0">
                <anchor moveWithCells="1" sizeWithCells="1">
                  <from>
                    <xdr:col>4</xdr:col>
                    <xdr:colOff>742950</xdr:colOff>
                    <xdr:row>17</xdr:row>
                    <xdr:rowOff>85725</xdr:rowOff>
                  </from>
                  <to>
                    <xdr:col>4</xdr:col>
                    <xdr:colOff>1057275</xdr:colOff>
                    <xdr:row>17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15" name="Spinner 79">
              <controlPr defaultSize="0" autoPict="0">
                <anchor moveWithCells="1" sizeWithCells="1">
                  <from>
                    <xdr:col>4</xdr:col>
                    <xdr:colOff>742950</xdr:colOff>
                    <xdr:row>18</xdr:row>
                    <xdr:rowOff>76200</xdr:rowOff>
                  </from>
                  <to>
                    <xdr:col>4</xdr:col>
                    <xdr:colOff>1057275</xdr:colOff>
                    <xdr:row>18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16" name="Spinner 92">
              <controlPr defaultSize="0" autoPict="0">
                <anchor moveWithCells="1" sizeWithCells="1">
                  <from>
                    <xdr:col>12</xdr:col>
                    <xdr:colOff>1343025</xdr:colOff>
                    <xdr:row>7</xdr:row>
                    <xdr:rowOff>19050</xdr:rowOff>
                  </from>
                  <to>
                    <xdr:col>12</xdr:col>
                    <xdr:colOff>1619250</xdr:colOff>
                    <xdr:row>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17" name="Spinner 93">
              <controlPr defaultSize="0" autoPict="0">
                <anchor moveWithCells="1" sizeWithCells="1">
                  <from>
                    <xdr:col>12</xdr:col>
                    <xdr:colOff>1343025</xdr:colOff>
                    <xdr:row>8</xdr:row>
                    <xdr:rowOff>19050</xdr:rowOff>
                  </from>
                  <to>
                    <xdr:col>12</xdr:col>
                    <xdr:colOff>1619250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18" name="Spinner 95">
              <controlPr defaultSize="0" autoPict="0">
                <anchor moveWithCells="1" sizeWithCells="1">
                  <from>
                    <xdr:col>12</xdr:col>
                    <xdr:colOff>1343025</xdr:colOff>
                    <xdr:row>10</xdr:row>
                    <xdr:rowOff>9525</xdr:rowOff>
                  </from>
                  <to>
                    <xdr:col>12</xdr:col>
                    <xdr:colOff>1619250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19" name="Spinner 96">
              <controlPr defaultSize="0" autoPict="0">
                <anchor moveWithCells="1" sizeWithCells="1">
                  <from>
                    <xdr:col>12</xdr:col>
                    <xdr:colOff>1343025</xdr:colOff>
                    <xdr:row>9</xdr:row>
                    <xdr:rowOff>38100</xdr:rowOff>
                  </from>
                  <to>
                    <xdr:col>12</xdr:col>
                    <xdr:colOff>1619250</xdr:colOff>
                    <xdr:row>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20" name="Spinner 97">
              <controlPr defaultSize="0" autoPict="0">
                <anchor moveWithCells="1" sizeWithCells="1">
                  <from>
                    <xdr:col>12</xdr:col>
                    <xdr:colOff>1343025</xdr:colOff>
                    <xdr:row>6</xdr:row>
                    <xdr:rowOff>104775</xdr:rowOff>
                  </from>
                  <to>
                    <xdr:col>12</xdr:col>
                    <xdr:colOff>1619250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21" name="Spinner 101">
              <controlPr defaultSize="0" autoPict="0">
                <anchor moveWithCells="1" sizeWithCells="1">
                  <from>
                    <xdr:col>16</xdr:col>
                    <xdr:colOff>1019175</xdr:colOff>
                    <xdr:row>29</xdr:row>
                    <xdr:rowOff>28575</xdr:rowOff>
                  </from>
                  <to>
                    <xdr:col>16</xdr:col>
                    <xdr:colOff>1333500</xdr:colOff>
                    <xdr:row>29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22" name="Spinner 102">
              <controlPr defaultSize="0" autoPict="0">
                <anchor moveWithCells="1" sizeWithCells="1">
                  <from>
                    <xdr:col>16</xdr:col>
                    <xdr:colOff>1019175</xdr:colOff>
                    <xdr:row>30</xdr:row>
                    <xdr:rowOff>28575</xdr:rowOff>
                  </from>
                  <to>
                    <xdr:col>16</xdr:col>
                    <xdr:colOff>1333500</xdr:colOff>
                    <xdr:row>30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23" name="Spinner 103">
              <controlPr defaultSize="0" autoPict="0">
                <anchor moveWithCells="1" sizeWithCells="1">
                  <from>
                    <xdr:col>16</xdr:col>
                    <xdr:colOff>1019175</xdr:colOff>
                    <xdr:row>31</xdr:row>
                    <xdr:rowOff>28575</xdr:rowOff>
                  </from>
                  <to>
                    <xdr:col>16</xdr:col>
                    <xdr:colOff>1333500</xdr:colOff>
                    <xdr:row>31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24" name="Spinner 104">
              <controlPr defaultSize="0" autoPict="0">
                <anchor moveWithCells="1" sizeWithCells="1">
                  <from>
                    <xdr:col>16</xdr:col>
                    <xdr:colOff>1019175</xdr:colOff>
                    <xdr:row>32</xdr:row>
                    <xdr:rowOff>28575</xdr:rowOff>
                  </from>
                  <to>
                    <xdr:col>16</xdr:col>
                    <xdr:colOff>1333500</xdr:colOff>
                    <xdr:row>32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25" name="Spinner 105">
              <controlPr defaultSize="0" autoPict="0">
                <anchor moveWithCells="1" sizeWithCells="1">
                  <from>
                    <xdr:col>16</xdr:col>
                    <xdr:colOff>1019175</xdr:colOff>
                    <xdr:row>33</xdr:row>
                    <xdr:rowOff>28575</xdr:rowOff>
                  </from>
                  <to>
                    <xdr:col>16</xdr:col>
                    <xdr:colOff>1333500</xdr:colOff>
                    <xdr:row>33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26" name="Spinner 106">
              <controlPr defaultSize="0" autoPict="0">
                <anchor moveWithCells="1" sizeWithCells="1">
                  <from>
                    <xdr:col>16</xdr:col>
                    <xdr:colOff>1019175</xdr:colOff>
                    <xdr:row>34</xdr:row>
                    <xdr:rowOff>28575</xdr:rowOff>
                  </from>
                  <to>
                    <xdr:col>16</xdr:col>
                    <xdr:colOff>1333500</xdr:colOff>
                    <xdr:row>34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27" name="Spinner 107">
              <controlPr defaultSize="0" autoPict="0">
                <anchor moveWithCells="1" sizeWithCells="1">
                  <from>
                    <xdr:col>16</xdr:col>
                    <xdr:colOff>1019175</xdr:colOff>
                    <xdr:row>35</xdr:row>
                    <xdr:rowOff>28575</xdr:rowOff>
                  </from>
                  <to>
                    <xdr:col>16</xdr:col>
                    <xdr:colOff>1333500</xdr:colOff>
                    <xdr:row>35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28" name="Spinner 108">
              <controlPr defaultSize="0" autoPict="0">
                <anchor moveWithCells="1" sizeWithCells="1">
                  <from>
                    <xdr:col>16</xdr:col>
                    <xdr:colOff>1019175</xdr:colOff>
                    <xdr:row>36</xdr:row>
                    <xdr:rowOff>28575</xdr:rowOff>
                  </from>
                  <to>
                    <xdr:col>16</xdr:col>
                    <xdr:colOff>1333500</xdr:colOff>
                    <xdr:row>36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29" name="Spinner 109">
              <controlPr defaultSize="0" autoPict="0">
                <anchor moveWithCells="1" sizeWithCells="1">
                  <from>
                    <xdr:col>16</xdr:col>
                    <xdr:colOff>1019175</xdr:colOff>
                    <xdr:row>37</xdr:row>
                    <xdr:rowOff>28575</xdr:rowOff>
                  </from>
                  <to>
                    <xdr:col>16</xdr:col>
                    <xdr:colOff>1333500</xdr:colOff>
                    <xdr:row>37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30" name="Spinner 110">
              <controlPr defaultSize="0" autoPict="0">
                <anchor moveWithCells="1" sizeWithCells="1">
                  <from>
                    <xdr:col>16</xdr:col>
                    <xdr:colOff>1019175</xdr:colOff>
                    <xdr:row>38</xdr:row>
                    <xdr:rowOff>28575</xdr:rowOff>
                  </from>
                  <to>
                    <xdr:col>16</xdr:col>
                    <xdr:colOff>1333500</xdr:colOff>
                    <xdr:row>38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31" name="Spinner 111">
              <controlPr defaultSize="0" autoPict="0">
                <anchor moveWithCells="1" sizeWithCells="1">
                  <from>
                    <xdr:col>16</xdr:col>
                    <xdr:colOff>1019175</xdr:colOff>
                    <xdr:row>39</xdr:row>
                    <xdr:rowOff>28575</xdr:rowOff>
                  </from>
                  <to>
                    <xdr:col>16</xdr:col>
                    <xdr:colOff>1333500</xdr:colOff>
                    <xdr:row>39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32" name="Spinner 112">
              <controlPr defaultSize="0" autoPict="0">
                <anchor moveWithCells="1" sizeWithCells="1">
                  <from>
                    <xdr:col>16</xdr:col>
                    <xdr:colOff>1019175</xdr:colOff>
                    <xdr:row>40</xdr:row>
                    <xdr:rowOff>28575</xdr:rowOff>
                  </from>
                  <to>
                    <xdr:col>16</xdr:col>
                    <xdr:colOff>1333500</xdr:colOff>
                    <xdr:row>40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33" name="Spinner 113">
              <controlPr defaultSize="0" autoPict="0">
                <anchor moveWithCells="1" sizeWithCells="1">
                  <from>
                    <xdr:col>16</xdr:col>
                    <xdr:colOff>1019175</xdr:colOff>
                    <xdr:row>41</xdr:row>
                    <xdr:rowOff>28575</xdr:rowOff>
                  </from>
                  <to>
                    <xdr:col>16</xdr:col>
                    <xdr:colOff>1333500</xdr:colOff>
                    <xdr:row>41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34" name="Spinner 114">
              <controlPr defaultSize="0" autoPict="0">
                <anchor moveWithCells="1" sizeWithCells="1">
                  <from>
                    <xdr:col>16</xdr:col>
                    <xdr:colOff>1019175</xdr:colOff>
                    <xdr:row>42</xdr:row>
                    <xdr:rowOff>28575</xdr:rowOff>
                  </from>
                  <to>
                    <xdr:col>16</xdr:col>
                    <xdr:colOff>1333500</xdr:colOff>
                    <xdr:row>42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35" name="Spinner 115">
              <controlPr defaultSize="0" autoPict="0">
                <anchor moveWithCells="1" sizeWithCells="1">
                  <from>
                    <xdr:col>16</xdr:col>
                    <xdr:colOff>1019175</xdr:colOff>
                    <xdr:row>43</xdr:row>
                    <xdr:rowOff>28575</xdr:rowOff>
                  </from>
                  <to>
                    <xdr:col>16</xdr:col>
                    <xdr:colOff>1333500</xdr:colOff>
                    <xdr:row>43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36" name="Spinner 116">
              <controlPr defaultSize="0" autoPict="0">
                <anchor moveWithCells="1" sizeWithCells="1">
                  <from>
                    <xdr:col>16</xdr:col>
                    <xdr:colOff>1019175</xdr:colOff>
                    <xdr:row>44</xdr:row>
                    <xdr:rowOff>28575</xdr:rowOff>
                  </from>
                  <to>
                    <xdr:col>16</xdr:col>
                    <xdr:colOff>1333500</xdr:colOff>
                    <xdr:row>44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37" name="Spinner 117">
              <controlPr defaultSize="0" autoPict="0">
                <anchor moveWithCells="1" sizeWithCells="1">
                  <from>
                    <xdr:col>16</xdr:col>
                    <xdr:colOff>1019175</xdr:colOff>
                    <xdr:row>45</xdr:row>
                    <xdr:rowOff>28575</xdr:rowOff>
                  </from>
                  <to>
                    <xdr:col>16</xdr:col>
                    <xdr:colOff>1333500</xdr:colOff>
                    <xdr:row>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38" name="Spinner 118">
              <controlPr defaultSize="0" autoPict="0">
                <anchor moveWithCells="1" sizeWithCells="1">
                  <from>
                    <xdr:col>16</xdr:col>
                    <xdr:colOff>1019175</xdr:colOff>
                    <xdr:row>46</xdr:row>
                    <xdr:rowOff>28575</xdr:rowOff>
                  </from>
                  <to>
                    <xdr:col>16</xdr:col>
                    <xdr:colOff>1333500</xdr:colOff>
                    <xdr:row>46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39" name="Spinner 119">
              <controlPr defaultSize="0" autoPict="0">
                <anchor moveWithCells="1" sizeWithCells="1">
                  <from>
                    <xdr:col>16</xdr:col>
                    <xdr:colOff>1019175</xdr:colOff>
                    <xdr:row>47</xdr:row>
                    <xdr:rowOff>28575</xdr:rowOff>
                  </from>
                  <to>
                    <xdr:col>16</xdr:col>
                    <xdr:colOff>1333500</xdr:colOff>
                    <xdr:row>47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40" name="Spinner 120">
              <controlPr defaultSize="0" autoPict="0">
                <anchor moveWithCells="1" sizeWithCells="1">
                  <from>
                    <xdr:col>16</xdr:col>
                    <xdr:colOff>1019175</xdr:colOff>
                    <xdr:row>48</xdr:row>
                    <xdr:rowOff>28575</xdr:rowOff>
                  </from>
                  <to>
                    <xdr:col>16</xdr:col>
                    <xdr:colOff>1333500</xdr:colOff>
                    <xdr:row>48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41" name="Spinner 121">
              <controlPr defaultSize="0" autoPict="0">
                <anchor moveWithCells="1" sizeWithCells="1">
                  <from>
                    <xdr:col>16</xdr:col>
                    <xdr:colOff>1019175</xdr:colOff>
                    <xdr:row>49</xdr:row>
                    <xdr:rowOff>28575</xdr:rowOff>
                  </from>
                  <to>
                    <xdr:col>16</xdr:col>
                    <xdr:colOff>1333500</xdr:colOff>
                    <xdr:row>49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42" name="Spinner 123">
              <controlPr defaultSize="0" autoPict="0">
                <anchor moveWithCells="1" sizeWithCells="1">
                  <from>
                    <xdr:col>16</xdr:col>
                    <xdr:colOff>1019175</xdr:colOff>
                    <xdr:row>50</xdr:row>
                    <xdr:rowOff>28575</xdr:rowOff>
                  </from>
                  <to>
                    <xdr:col>16</xdr:col>
                    <xdr:colOff>1333500</xdr:colOff>
                    <xdr:row>50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43" name="Spinner 124">
              <controlPr defaultSize="0" autoPict="0">
                <anchor moveWithCells="1" sizeWithCells="1">
                  <from>
                    <xdr:col>16</xdr:col>
                    <xdr:colOff>1019175</xdr:colOff>
                    <xdr:row>51</xdr:row>
                    <xdr:rowOff>28575</xdr:rowOff>
                  </from>
                  <to>
                    <xdr:col>16</xdr:col>
                    <xdr:colOff>1333500</xdr:colOff>
                    <xdr:row>51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44" name="Spinner 125">
              <controlPr defaultSize="0" autoPict="0">
                <anchor moveWithCells="1" sizeWithCells="1">
                  <from>
                    <xdr:col>16</xdr:col>
                    <xdr:colOff>1019175</xdr:colOff>
                    <xdr:row>52</xdr:row>
                    <xdr:rowOff>28575</xdr:rowOff>
                  </from>
                  <to>
                    <xdr:col>16</xdr:col>
                    <xdr:colOff>1333500</xdr:colOff>
                    <xdr:row>52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45" name="Spinner 126">
              <controlPr defaultSize="0" autoPict="0">
                <anchor moveWithCells="1" sizeWithCells="1">
                  <from>
                    <xdr:col>16</xdr:col>
                    <xdr:colOff>1019175</xdr:colOff>
                    <xdr:row>53</xdr:row>
                    <xdr:rowOff>28575</xdr:rowOff>
                  </from>
                  <to>
                    <xdr:col>16</xdr:col>
                    <xdr:colOff>1333500</xdr:colOff>
                    <xdr:row>53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46" name="Spinner 127">
              <controlPr defaultSize="0" autoPict="0">
                <anchor moveWithCells="1" sizeWithCells="1">
                  <from>
                    <xdr:col>16</xdr:col>
                    <xdr:colOff>1019175</xdr:colOff>
                    <xdr:row>54</xdr:row>
                    <xdr:rowOff>28575</xdr:rowOff>
                  </from>
                  <to>
                    <xdr:col>16</xdr:col>
                    <xdr:colOff>1333500</xdr:colOff>
                    <xdr:row>54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47" name="Spinner 128">
              <controlPr defaultSize="0" autoPict="0">
                <anchor moveWithCells="1" sizeWithCells="1">
                  <from>
                    <xdr:col>16</xdr:col>
                    <xdr:colOff>1019175</xdr:colOff>
                    <xdr:row>55</xdr:row>
                    <xdr:rowOff>28575</xdr:rowOff>
                  </from>
                  <to>
                    <xdr:col>16</xdr:col>
                    <xdr:colOff>1333500</xdr:colOff>
                    <xdr:row>55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48" name="Spinner 129">
              <controlPr defaultSize="0" autoPict="0">
                <anchor moveWithCells="1" sizeWithCells="1">
                  <from>
                    <xdr:col>16</xdr:col>
                    <xdr:colOff>1019175</xdr:colOff>
                    <xdr:row>56</xdr:row>
                    <xdr:rowOff>38100</xdr:rowOff>
                  </from>
                  <to>
                    <xdr:col>16</xdr:col>
                    <xdr:colOff>1333500</xdr:colOff>
                    <xdr:row>56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49" name="Spinner 130">
              <controlPr defaultSize="0" autoPict="0">
                <anchor moveWithCells="1" sizeWithCells="1">
                  <from>
                    <xdr:col>16</xdr:col>
                    <xdr:colOff>1019175</xdr:colOff>
                    <xdr:row>57</xdr:row>
                    <xdr:rowOff>38100</xdr:rowOff>
                  </from>
                  <to>
                    <xdr:col>16</xdr:col>
                    <xdr:colOff>1333500</xdr:colOff>
                    <xdr:row>57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50" name="Spinner 131">
              <controlPr defaultSize="0" autoPict="0">
                <anchor moveWithCells="1" sizeWithCells="1">
                  <from>
                    <xdr:col>16</xdr:col>
                    <xdr:colOff>1019175</xdr:colOff>
                    <xdr:row>58</xdr:row>
                    <xdr:rowOff>38100</xdr:rowOff>
                  </from>
                  <to>
                    <xdr:col>16</xdr:col>
                    <xdr:colOff>1333500</xdr:colOff>
                    <xdr:row>58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51" name="Spinner 132">
              <controlPr defaultSize="0" autoPict="0">
                <anchor moveWithCells="1" sizeWithCells="1">
                  <from>
                    <xdr:col>16</xdr:col>
                    <xdr:colOff>1019175</xdr:colOff>
                    <xdr:row>59</xdr:row>
                    <xdr:rowOff>38100</xdr:rowOff>
                  </from>
                  <to>
                    <xdr:col>16</xdr:col>
                    <xdr:colOff>1333500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52" name="Spinner 133">
              <controlPr defaultSize="0" autoPict="0">
                <anchor moveWithCells="1" sizeWithCells="1">
                  <from>
                    <xdr:col>16</xdr:col>
                    <xdr:colOff>1019175</xdr:colOff>
                    <xdr:row>60</xdr:row>
                    <xdr:rowOff>38100</xdr:rowOff>
                  </from>
                  <to>
                    <xdr:col>16</xdr:col>
                    <xdr:colOff>1333500</xdr:colOff>
                    <xdr:row>60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53" name="Spinner 134">
              <controlPr defaultSize="0" autoPict="0">
                <anchor moveWithCells="1" sizeWithCells="1">
                  <from>
                    <xdr:col>16</xdr:col>
                    <xdr:colOff>1019175</xdr:colOff>
                    <xdr:row>61</xdr:row>
                    <xdr:rowOff>38100</xdr:rowOff>
                  </from>
                  <to>
                    <xdr:col>16</xdr:col>
                    <xdr:colOff>1333500</xdr:colOff>
                    <xdr:row>61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54" name="Spinner 135">
              <controlPr defaultSize="0" autoPict="0">
                <anchor moveWithCells="1" sizeWithCells="1">
                  <from>
                    <xdr:col>16</xdr:col>
                    <xdr:colOff>1019175</xdr:colOff>
                    <xdr:row>62</xdr:row>
                    <xdr:rowOff>38100</xdr:rowOff>
                  </from>
                  <to>
                    <xdr:col>16</xdr:col>
                    <xdr:colOff>1333500</xdr:colOff>
                    <xdr:row>62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55" name="Spinner 136">
              <controlPr defaultSize="0" autoPict="0">
                <anchor moveWithCells="1" sizeWithCells="1">
                  <from>
                    <xdr:col>16</xdr:col>
                    <xdr:colOff>1019175</xdr:colOff>
                    <xdr:row>63</xdr:row>
                    <xdr:rowOff>38100</xdr:rowOff>
                  </from>
                  <to>
                    <xdr:col>16</xdr:col>
                    <xdr:colOff>1333500</xdr:colOff>
                    <xdr:row>63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56" name="Spinner 137">
              <controlPr defaultSize="0" autoPict="0">
                <anchor moveWithCells="1" sizeWithCells="1">
                  <from>
                    <xdr:col>16</xdr:col>
                    <xdr:colOff>1019175</xdr:colOff>
                    <xdr:row>64</xdr:row>
                    <xdr:rowOff>38100</xdr:rowOff>
                  </from>
                  <to>
                    <xdr:col>16</xdr:col>
                    <xdr:colOff>1333500</xdr:colOff>
                    <xdr:row>64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57" name="Spinner 138">
              <controlPr defaultSize="0" autoPict="0">
                <anchor moveWithCells="1" sizeWithCells="1">
                  <from>
                    <xdr:col>16</xdr:col>
                    <xdr:colOff>1019175</xdr:colOff>
                    <xdr:row>65</xdr:row>
                    <xdr:rowOff>38100</xdr:rowOff>
                  </from>
                  <to>
                    <xdr:col>16</xdr:col>
                    <xdr:colOff>1333500</xdr:colOff>
                    <xdr:row>65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58" name="Spinner 139">
              <controlPr defaultSize="0" autoPict="0">
                <anchor moveWithCells="1" sizeWithCells="1">
                  <from>
                    <xdr:col>16</xdr:col>
                    <xdr:colOff>1019175</xdr:colOff>
                    <xdr:row>66</xdr:row>
                    <xdr:rowOff>38100</xdr:rowOff>
                  </from>
                  <to>
                    <xdr:col>16</xdr:col>
                    <xdr:colOff>1333500</xdr:colOff>
                    <xdr:row>66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67"/>
  <sheetViews>
    <sheetView showGridLines="0" zoomScale="75" zoomScaleNormal="75" workbookViewId="0">
      <selection activeCell="G10" sqref="G10"/>
    </sheetView>
  </sheetViews>
  <sheetFormatPr defaultColWidth="15.140625" defaultRowHeight="137.25" customHeight="1"/>
  <cols>
    <col min="1" max="1" width="4.42578125" style="24" customWidth="1"/>
    <col min="2" max="2" width="4.7109375" style="24" customWidth="1"/>
    <col min="3" max="3" width="22.5703125" style="24" customWidth="1"/>
    <col min="4" max="4" width="15.140625" style="24"/>
    <col min="5" max="5" width="18.5703125" style="24" customWidth="1"/>
    <col min="6" max="6" width="12.5703125" style="24" customWidth="1"/>
    <col min="7" max="7" width="12" style="24" customWidth="1"/>
    <col min="8" max="8" width="12.7109375" style="24" customWidth="1"/>
    <col min="9" max="9" width="18.5703125" style="24" customWidth="1"/>
    <col min="10" max="10" width="17.85546875" style="24" customWidth="1"/>
    <col min="11" max="11" width="18" style="24" customWidth="1"/>
    <col min="12" max="12" width="16.140625" style="24" customWidth="1"/>
    <col min="13" max="13" width="16" style="24" customWidth="1"/>
    <col min="14" max="14" width="15.28515625" style="24" customWidth="1"/>
    <col min="15" max="15" width="18.28515625" style="24" customWidth="1"/>
    <col min="16" max="16" width="19.28515625" style="24" customWidth="1"/>
    <col min="17" max="17" width="18.28515625" style="24" customWidth="1"/>
    <col min="18" max="18" width="16.5703125" style="24" customWidth="1"/>
    <col min="19" max="19" width="18.7109375" style="24" customWidth="1"/>
    <col min="20" max="20" width="15.7109375" style="24" customWidth="1"/>
    <col min="21" max="21" width="17.42578125" style="24" customWidth="1"/>
    <col min="22" max="22" width="15.7109375" style="24" customWidth="1"/>
    <col min="23" max="23" width="8.140625" style="24" customWidth="1"/>
    <col min="24" max="24" width="5.28515625" style="24" customWidth="1"/>
    <col min="25" max="25" width="17.140625" style="24" customWidth="1"/>
    <col min="26" max="26" width="19.140625" style="24" customWidth="1"/>
    <col min="27" max="27" width="17.140625" style="24" customWidth="1"/>
    <col min="28" max="28" width="18.7109375" style="24" customWidth="1"/>
    <col min="29" max="29" width="16.28515625" style="24" customWidth="1"/>
    <col min="30" max="30" width="15.140625" style="24"/>
    <col min="31" max="31" width="6.85546875" style="24" customWidth="1"/>
    <col min="32" max="16384" width="15.140625" style="24"/>
  </cols>
  <sheetData>
    <row r="1" spans="1:42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4"/>
    </row>
    <row r="2" spans="1:42" ht="27.75" customHeight="1" thickBot="1">
      <c r="A2" s="54"/>
      <c r="B2" s="299"/>
      <c r="C2" s="242"/>
      <c r="D2" s="242"/>
      <c r="E2" s="242"/>
      <c r="F2" s="242"/>
      <c r="G2" s="243"/>
      <c r="H2" s="243"/>
      <c r="I2" s="243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54"/>
    </row>
    <row r="3" spans="1:42" ht="39.75" customHeight="1" thickTop="1" thickBot="1">
      <c r="A3" s="54"/>
      <c r="B3" s="299"/>
      <c r="C3" s="243"/>
      <c r="D3" s="243"/>
      <c r="E3" s="243"/>
      <c r="F3" s="242"/>
      <c r="G3" s="242"/>
      <c r="H3" s="242"/>
      <c r="I3" s="242"/>
      <c r="J3" s="242"/>
      <c r="K3" s="242"/>
      <c r="L3" s="242"/>
      <c r="M3" s="242"/>
      <c r="N3" s="300"/>
      <c r="O3" s="300"/>
      <c r="P3" s="367" t="s">
        <v>189</v>
      </c>
      <c r="Q3" s="367" t="s">
        <v>190</v>
      </c>
      <c r="R3" s="367" t="s">
        <v>191</v>
      </c>
      <c r="S3" s="367" t="s">
        <v>192</v>
      </c>
      <c r="T3" s="367" t="s">
        <v>193</v>
      </c>
      <c r="U3" s="243"/>
      <c r="V3" s="242"/>
      <c r="W3" s="242"/>
      <c r="X3" s="54"/>
    </row>
    <row r="4" spans="1:42" ht="41.25" customHeight="1" thickTop="1" thickBot="1">
      <c r="A4" s="54"/>
      <c r="B4" s="299"/>
      <c r="C4" s="672" t="s">
        <v>90</v>
      </c>
      <c r="D4" s="672"/>
      <c r="E4" s="673"/>
      <c r="F4" s="668"/>
      <c r="G4" s="668"/>
      <c r="H4" s="668"/>
      <c r="I4" s="301"/>
      <c r="J4" s="301"/>
      <c r="K4" s="301"/>
      <c r="L4" s="301"/>
      <c r="M4" s="243"/>
      <c r="N4" s="671" t="s">
        <v>98</v>
      </c>
      <c r="O4" s="671"/>
      <c r="P4" s="291">
        <f>'Лист персонажа 1'!O7+'Лист персонажа 1'!O8+'Лист персонажа 1'!O9+'Лист персонажа 1'!O10+'Лист персонажа 1'!O11+IF('Лист персонажа 1'!G10="Маленький",1,0)</f>
        <v>5</v>
      </c>
      <c r="Q4" s="291">
        <f>IF(P4&gt;5,P4-5,)</f>
        <v>0</v>
      </c>
      <c r="R4" s="291">
        <f>IF(P4&gt;5,IF(Q4-5&gt;0,Q4-5,),)</f>
        <v>0</v>
      </c>
      <c r="S4" s="291">
        <f>IF(P4&gt;5,IF(R4-5&gt;0,R4-5,),)</f>
        <v>0</v>
      </c>
      <c r="T4" s="291">
        <f>IF(P4&gt;5,IF(S4-5&gt;0,S4-5,),)</f>
        <v>0</v>
      </c>
      <c r="U4" s="243"/>
      <c r="V4" s="242"/>
      <c r="W4" s="242"/>
      <c r="X4" s="54"/>
      <c r="AP4" s="28"/>
    </row>
    <row r="5" spans="1:42" ht="41.25" customHeight="1" thickBot="1">
      <c r="A5" s="54"/>
      <c r="B5" s="299"/>
      <c r="C5" s="678"/>
      <c r="D5" s="679"/>
      <c r="E5" s="285" t="s">
        <v>91</v>
      </c>
      <c r="F5" s="286" t="s">
        <v>194</v>
      </c>
      <c r="G5" s="286" t="s">
        <v>968</v>
      </c>
      <c r="H5" s="286" t="s">
        <v>195</v>
      </c>
      <c r="I5" s="286" t="s">
        <v>95</v>
      </c>
      <c r="J5" s="286" t="s">
        <v>196</v>
      </c>
      <c r="K5" s="680" t="s">
        <v>97</v>
      </c>
      <c r="L5" s="681"/>
      <c r="M5" s="243"/>
      <c r="N5" s="302"/>
      <c r="O5" s="302"/>
      <c r="P5" s="302"/>
      <c r="Q5" s="302"/>
      <c r="R5" s="302"/>
      <c r="S5" s="302"/>
      <c r="T5" s="302"/>
      <c r="U5" s="243"/>
      <c r="V5" s="242"/>
      <c r="W5" s="242"/>
      <c r="X5" s="54"/>
      <c r="AP5" s="28"/>
    </row>
    <row r="6" spans="1:42" ht="41.25" customHeight="1" thickTop="1" thickBot="1">
      <c r="A6" s="54"/>
      <c r="B6" s="299"/>
      <c r="C6" s="682" t="s">
        <v>100</v>
      </c>
      <c r="D6" s="683"/>
      <c r="E6" s="273">
        <f>F6+G6+H6+I6+J6</f>
        <v>9</v>
      </c>
      <c r="F6" s="274">
        <f>'Лист персонажа 2'!D49+'Лист персонажа 2'!D50+'Лист персонажа 2'!D51+'Лист персонажа 2'!D52+'Лист персонажа 2'!D53</f>
        <v>4</v>
      </c>
      <c r="G6" s="274" t="str">
        <f>'Лист персонажа 1'!G16</f>
        <v>+1</v>
      </c>
      <c r="H6" s="274"/>
      <c r="I6" s="274">
        <v>4</v>
      </c>
      <c r="J6" s="275"/>
      <c r="K6" s="684"/>
      <c r="L6" s="685"/>
      <c r="M6" s="243"/>
      <c r="N6" s="302"/>
      <c r="O6" s="302"/>
      <c r="P6" s="366" t="s">
        <v>99</v>
      </c>
      <c r="Q6" s="292"/>
      <c r="R6" s="302"/>
      <c r="S6" s="302"/>
      <c r="T6" s="302"/>
      <c r="U6" s="243"/>
      <c r="V6" s="242"/>
      <c r="W6" s="242"/>
      <c r="X6" s="54"/>
      <c r="AP6" s="28"/>
    </row>
    <row r="7" spans="1:42" ht="27.75" customHeight="1" thickTop="1" thickBot="1">
      <c r="A7" s="54"/>
      <c r="B7" s="299"/>
      <c r="C7" s="287"/>
      <c r="D7" s="288"/>
      <c r="E7" s="276"/>
      <c r="F7" s="277"/>
      <c r="G7" s="277"/>
      <c r="H7" s="277"/>
      <c r="I7" s="277"/>
      <c r="J7" s="278"/>
      <c r="K7" s="686"/>
      <c r="L7" s="687"/>
      <c r="M7" s="243"/>
      <c r="N7" s="302"/>
      <c r="O7" s="302"/>
      <c r="P7" s="302"/>
      <c r="Q7" s="302"/>
      <c r="R7" s="302"/>
      <c r="S7" s="302"/>
      <c r="T7" s="302"/>
      <c r="U7" s="243"/>
      <c r="V7" s="243"/>
      <c r="W7" s="243"/>
      <c r="X7" s="54"/>
      <c r="AP7" s="28"/>
    </row>
    <row r="8" spans="1:42" ht="31.5" customHeight="1" thickTop="1" thickBot="1">
      <c r="A8" s="54"/>
      <c r="B8" s="299"/>
      <c r="C8" s="682" t="s">
        <v>102</v>
      </c>
      <c r="D8" s="683"/>
      <c r="E8" s="279">
        <f>F8+G8+H8+I8+J8</f>
        <v>6</v>
      </c>
      <c r="F8" s="280">
        <f>'Лист персонажа 2'!E49+'Лист персонажа 2'!E50+'Лист персонажа 2'!E51+'Лист персонажа 2'!E52+'Лист персонажа 2'!E53</f>
        <v>1</v>
      </c>
      <c r="G8" s="280" t="str">
        <f>'Лист персонажа 1'!G15</f>
        <v>+1</v>
      </c>
      <c r="H8" s="280"/>
      <c r="I8" s="280">
        <v>4</v>
      </c>
      <c r="J8" s="281"/>
      <c r="K8" s="686"/>
      <c r="L8" s="687"/>
      <c r="M8" s="243"/>
      <c r="N8" s="350" t="s">
        <v>101</v>
      </c>
      <c r="O8" s="292">
        <f>Q8+R8+S8+AA70</f>
        <v>8</v>
      </c>
      <c r="P8" s="293" t="s">
        <v>30</v>
      </c>
      <c r="Q8" s="292">
        <f>P4</f>
        <v>5</v>
      </c>
      <c r="R8" s="292" t="str">
        <f>'Лист персонажа 1'!G14</f>
        <v>+3</v>
      </c>
      <c r="S8" s="292">
        <f>IF('Лист персонажа 1'!G10="Маленький",-4,IF('Лист персонажа 1'!G10="Средний",0,IF('Лист персонажа 1'!G10="Большой",4,0)))</f>
        <v>0</v>
      </c>
      <c r="T8" s="292"/>
      <c r="U8" s="243"/>
      <c r="V8" s="243"/>
      <c r="W8" s="243"/>
      <c r="X8" s="54"/>
      <c r="AP8" s="28"/>
    </row>
    <row r="9" spans="1:42" ht="38.25" customHeight="1" thickTop="1" thickBot="1">
      <c r="A9" s="54"/>
      <c r="B9" s="299"/>
      <c r="C9" s="287"/>
      <c r="D9" s="288"/>
      <c r="E9" s="276"/>
      <c r="F9" s="277"/>
      <c r="G9" s="277"/>
      <c r="H9" s="277"/>
      <c r="I9" s="277"/>
      <c r="J9" s="278"/>
      <c r="K9" s="686"/>
      <c r="L9" s="687"/>
      <c r="M9" s="243"/>
      <c r="N9" s="302"/>
      <c r="O9" s="302"/>
      <c r="P9" s="302"/>
      <c r="Q9" s="351" t="s">
        <v>197</v>
      </c>
      <c r="R9" s="352" t="s">
        <v>198</v>
      </c>
      <c r="S9" s="352" t="s">
        <v>164</v>
      </c>
      <c r="T9" s="353" t="s">
        <v>166</v>
      </c>
      <c r="U9" s="243"/>
      <c r="V9" s="243"/>
      <c r="W9" s="243"/>
      <c r="X9" s="54"/>
    </row>
    <row r="10" spans="1:42" ht="27.75" customHeight="1" thickTop="1" thickBot="1">
      <c r="A10" s="54"/>
      <c r="B10" s="299"/>
      <c r="C10" s="690" t="s">
        <v>105</v>
      </c>
      <c r="D10" s="691"/>
      <c r="E10" s="279">
        <f>F10+G10+H10+I10+J10</f>
        <v>6</v>
      </c>
      <c r="F10" s="280">
        <f>'Лист персонажа 2'!F49+'Лист персонажа 2'!F50+'Лист персонажа 2'!F51+'Лист персонажа 2'!F52+'Лист персонажа 2'!F53</f>
        <v>1</v>
      </c>
      <c r="G10" s="280">
        <f>'Лист персонажа 1'!G18</f>
        <v>-1</v>
      </c>
      <c r="H10" s="280"/>
      <c r="I10" s="280">
        <v>6</v>
      </c>
      <c r="J10" s="281"/>
      <c r="K10" s="686"/>
      <c r="L10" s="687"/>
      <c r="M10" s="243"/>
      <c r="N10" s="302"/>
      <c r="O10" s="302"/>
      <c r="P10" s="302"/>
      <c r="Q10" s="302"/>
      <c r="R10" s="302"/>
      <c r="S10" s="302"/>
      <c r="T10" s="302"/>
      <c r="U10" s="243"/>
      <c r="V10" s="243"/>
      <c r="W10" s="243"/>
      <c r="X10" s="54"/>
    </row>
    <row r="11" spans="1:42" ht="38.25" customHeight="1" thickTop="1" thickBot="1">
      <c r="A11" s="54"/>
      <c r="B11" s="299"/>
      <c r="C11" s="289"/>
      <c r="D11" s="290"/>
      <c r="E11" s="282"/>
      <c r="F11" s="283"/>
      <c r="G11" s="283"/>
      <c r="H11" s="283"/>
      <c r="I11" s="283"/>
      <c r="J11" s="284"/>
      <c r="K11" s="688"/>
      <c r="L11" s="689"/>
      <c r="M11" s="243"/>
      <c r="N11" s="302"/>
      <c r="O11" s="302"/>
      <c r="P11" s="302"/>
      <c r="Q11" s="302"/>
      <c r="R11" s="302"/>
      <c r="S11" s="302"/>
      <c r="T11" s="302"/>
      <c r="U11" s="243"/>
      <c r="V11" s="243"/>
      <c r="W11" s="243"/>
      <c r="X11" s="54"/>
    </row>
    <row r="12" spans="1:42" ht="38.25" customHeight="1">
      <c r="A12" s="54"/>
      <c r="B12" s="299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2"/>
      <c r="P12" s="243"/>
      <c r="Q12" s="243"/>
      <c r="R12" s="243"/>
      <c r="S12" s="243"/>
      <c r="T12" s="243"/>
      <c r="U12" s="243"/>
      <c r="V12" s="243"/>
      <c r="W12" s="243"/>
      <c r="X12" s="54"/>
    </row>
    <row r="13" spans="1:42" ht="38.25" customHeight="1" thickBot="1">
      <c r="A13" s="54"/>
      <c r="B13" s="299"/>
      <c r="C13" s="635" t="s">
        <v>106</v>
      </c>
      <c r="D13" s="636"/>
      <c r="E13" s="636"/>
      <c r="F13" s="636" t="s">
        <v>107</v>
      </c>
      <c r="G13" s="636"/>
      <c r="H13" s="636"/>
      <c r="I13" s="636" t="s">
        <v>108</v>
      </c>
      <c r="J13" s="636"/>
      <c r="K13" s="636"/>
      <c r="L13" s="636" t="s">
        <v>109</v>
      </c>
      <c r="M13" s="637"/>
      <c r="N13" s="243"/>
      <c r="O13" s="294" t="s">
        <v>127</v>
      </c>
      <c r="P13" s="295"/>
      <c r="Q13" s="295"/>
      <c r="R13" s="295"/>
      <c r="S13" s="295"/>
      <c r="T13" s="295"/>
      <c r="U13" s="243"/>
      <c r="V13" s="243"/>
      <c r="W13" s="243"/>
      <c r="X13" s="54"/>
    </row>
    <row r="14" spans="1:42" ht="42.75" customHeight="1" thickBot="1">
      <c r="A14" s="54"/>
      <c r="B14" s="299"/>
      <c r="C14" s="674" t="s">
        <v>199</v>
      </c>
      <c r="D14" s="675"/>
      <c r="E14" s="675"/>
      <c r="F14" s="676">
        <v>8</v>
      </c>
      <c r="G14" s="676"/>
      <c r="H14" s="676"/>
      <c r="I14" s="676" t="s">
        <v>200</v>
      </c>
      <c r="J14" s="676"/>
      <c r="K14" s="676"/>
      <c r="L14" s="676" t="s">
        <v>201</v>
      </c>
      <c r="M14" s="677"/>
      <c r="N14" s="243"/>
      <c r="O14" s="620"/>
      <c r="P14" s="618"/>
      <c r="Q14" s="618"/>
      <c r="R14" s="618"/>
      <c r="S14" s="618"/>
      <c r="T14" s="619"/>
      <c r="U14" s="243"/>
      <c r="V14" s="243"/>
      <c r="W14" s="243"/>
      <c r="X14" s="54"/>
    </row>
    <row r="15" spans="1:42" ht="38.25" customHeight="1" thickBot="1">
      <c r="A15" s="54"/>
      <c r="B15" s="299"/>
      <c r="C15" s="633" t="s">
        <v>110</v>
      </c>
      <c r="D15" s="634"/>
      <c r="E15" s="634" t="s">
        <v>111</v>
      </c>
      <c r="F15" s="634"/>
      <c r="G15" s="634" t="s">
        <v>112</v>
      </c>
      <c r="H15" s="634"/>
      <c r="I15" s="634"/>
      <c r="J15" s="634"/>
      <c r="K15" s="634"/>
      <c r="L15" s="634"/>
      <c r="M15" s="643"/>
      <c r="N15" s="243"/>
      <c r="O15" s="625" t="s">
        <v>128</v>
      </c>
      <c r="P15" s="626"/>
      <c r="Q15" s="621" t="s">
        <v>129</v>
      </c>
      <c r="R15" s="622"/>
      <c r="S15" s="622"/>
      <c r="T15" s="623"/>
      <c r="U15" s="243"/>
      <c r="V15" s="243"/>
      <c r="W15" s="243"/>
      <c r="X15" s="54"/>
    </row>
    <row r="16" spans="1:42" ht="38.25" customHeight="1" thickTop="1" thickBot="1">
      <c r="A16" s="54"/>
      <c r="B16" s="299"/>
      <c r="C16" s="692"/>
      <c r="D16" s="693"/>
      <c r="E16" s="694"/>
      <c r="F16" s="693"/>
      <c r="G16" s="694"/>
      <c r="H16" s="695"/>
      <c r="I16" s="695"/>
      <c r="J16" s="695"/>
      <c r="K16" s="695"/>
      <c r="L16" s="695"/>
      <c r="M16" s="696"/>
      <c r="N16" s="243"/>
      <c r="O16" s="620"/>
      <c r="P16" s="618"/>
      <c r="Q16" s="618"/>
      <c r="R16" s="618"/>
      <c r="S16" s="618"/>
      <c r="T16" s="619"/>
      <c r="U16" s="243"/>
      <c r="V16" s="243"/>
      <c r="W16" s="243"/>
      <c r="X16" s="54"/>
    </row>
    <row r="17" spans="1:24" ht="38.25" customHeight="1" thickTop="1" thickBot="1">
      <c r="A17" s="54"/>
      <c r="B17" s="299"/>
      <c r="C17" s="354" t="s">
        <v>119</v>
      </c>
      <c r="D17" s="669"/>
      <c r="E17" s="670"/>
      <c r="F17" s="670"/>
      <c r="G17" s="670"/>
      <c r="H17" s="383"/>
      <c r="I17" s="383"/>
      <c r="J17" s="383"/>
      <c r="K17" s="383"/>
      <c r="L17" s="383"/>
      <c r="M17" s="383"/>
      <c r="N17" s="243"/>
      <c r="O17" s="624" t="s">
        <v>128</v>
      </c>
      <c r="P17" s="623"/>
      <c r="Q17" s="621" t="s">
        <v>129</v>
      </c>
      <c r="R17" s="622"/>
      <c r="S17" s="622"/>
      <c r="T17" s="623"/>
      <c r="U17" s="243"/>
      <c r="V17" s="243"/>
      <c r="W17" s="243"/>
      <c r="X17" s="54"/>
    </row>
    <row r="18" spans="1:24" ht="30.75" customHeight="1" thickTop="1" thickBot="1">
      <c r="A18" s="54"/>
      <c r="B18" s="299"/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243"/>
      <c r="O18" s="652" t="s">
        <v>131</v>
      </c>
      <c r="P18" s="653"/>
      <c r="Q18" s="653"/>
      <c r="R18" s="653"/>
      <c r="S18" s="653"/>
      <c r="T18" s="654"/>
      <c r="U18" s="243"/>
      <c r="V18" s="243"/>
      <c r="W18" s="243"/>
      <c r="X18" s="54"/>
    </row>
    <row r="19" spans="1:24" ht="41.25" customHeight="1" thickBot="1">
      <c r="A19" s="54"/>
      <c r="B19" s="299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243"/>
      <c r="O19" s="655"/>
      <c r="P19" s="656"/>
      <c r="Q19" s="656"/>
      <c r="R19" s="656"/>
      <c r="S19" s="656"/>
      <c r="T19" s="657"/>
      <c r="U19" s="243"/>
      <c r="V19" s="243"/>
      <c r="W19" s="243"/>
      <c r="X19" s="54"/>
    </row>
    <row r="20" spans="1:24" ht="36.75" customHeight="1" thickBot="1">
      <c r="A20" s="54"/>
      <c r="B20" s="299"/>
      <c r="C20" s="635" t="s">
        <v>106</v>
      </c>
      <c r="D20" s="636"/>
      <c r="E20" s="636"/>
      <c r="F20" s="636" t="s">
        <v>107</v>
      </c>
      <c r="G20" s="636"/>
      <c r="H20" s="636"/>
      <c r="I20" s="636" t="s">
        <v>108</v>
      </c>
      <c r="J20" s="636"/>
      <c r="K20" s="636"/>
      <c r="L20" s="636" t="s">
        <v>109</v>
      </c>
      <c r="M20" s="637"/>
      <c r="N20" s="243"/>
      <c r="O20" s="660" t="s">
        <v>134</v>
      </c>
      <c r="P20" s="659"/>
      <c r="Q20" s="658" t="s">
        <v>135</v>
      </c>
      <c r="R20" s="659"/>
      <c r="S20" s="658" t="s">
        <v>136</v>
      </c>
      <c r="T20" s="659"/>
      <c r="U20" s="243"/>
      <c r="V20" s="243"/>
      <c r="W20" s="243"/>
      <c r="X20" s="54"/>
    </row>
    <row r="21" spans="1:24" ht="27.75" customHeight="1" thickTop="1" thickBot="1">
      <c r="A21" s="54"/>
      <c r="B21" s="299"/>
      <c r="C21" s="638" t="s">
        <v>202</v>
      </c>
      <c r="D21" s="639"/>
      <c r="E21" s="640"/>
      <c r="F21" s="641">
        <v>9</v>
      </c>
      <c r="G21" s="579"/>
      <c r="H21" s="642"/>
      <c r="I21" s="641" t="s">
        <v>203</v>
      </c>
      <c r="J21" s="579"/>
      <c r="K21" s="642"/>
      <c r="L21" s="631" t="s">
        <v>201</v>
      </c>
      <c r="M21" s="632"/>
      <c r="N21" s="243"/>
      <c r="O21" s="384"/>
      <c r="P21" s="385"/>
      <c r="Q21" s="385"/>
      <c r="R21" s="385"/>
      <c r="S21" s="385"/>
      <c r="T21" s="386"/>
      <c r="U21" s="243"/>
      <c r="V21" s="243"/>
      <c r="W21" s="243"/>
      <c r="X21" s="54"/>
    </row>
    <row r="22" spans="1:24" ht="32.25" customHeight="1" thickTop="1" thickBot="1">
      <c r="A22" s="54"/>
      <c r="B22" s="299"/>
      <c r="C22" s="633" t="s">
        <v>110</v>
      </c>
      <c r="D22" s="634"/>
      <c r="E22" s="634" t="s">
        <v>111</v>
      </c>
      <c r="F22" s="634"/>
      <c r="G22" s="634" t="s">
        <v>112</v>
      </c>
      <c r="H22" s="634"/>
      <c r="I22" s="634"/>
      <c r="J22" s="634"/>
      <c r="K22" s="634"/>
      <c r="L22" s="634"/>
      <c r="M22" s="643"/>
      <c r="N22" s="243"/>
      <c r="O22" s="652" t="s">
        <v>139</v>
      </c>
      <c r="P22" s="653"/>
      <c r="Q22" s="653"/>
      <c r="R22" s="653"/>
      <c r="S22" s="653"/>
      <c r="T22" s="654"/>
      <c r="U22" s="243"/>
      <c r="V22" s="243"/>
      <c r="W22" s="243"/>
      <c r="X22" s="54"/>
    </row>
    <row r="23" spans="1:24" ht="27.75" customHeight="1" thickTop="1" thickBot="1">
      <c r="A23" s="54"/>
      <c r="B23" s="299"/>
      <c r="C23" s="627"/>
      <c r="D23" s="628"/>
      <c r="E23" s="627"/>
      <c r="F23" s="628"/>
      <c r="G23" s="627"/>
      <c r="H23" s="629"/>
      <c r="I23" s="629"/>
      <c r="J23" s="629"/>
      <c r="K23" s="629"/>
      <c r="L23" s="629"/>
      <c r="M23" s="630"/>
      <c r="N23" s="243"/>
      <c r="O23" s="655"/>
      <c r="P23" s="656"/>
      <c r="Q23" s="656"/>
      <c r="R23" s="656"/>
      <c r="S23" s="656"/>
      <c r="T23" s="657"/>
      <c r="U23" s="243"/>
      <c r="V23" s="243"/>
      <c r="W23" s="243"/>
      <c r="X23" s="54"/>
    </row>
    <row r="24" spans="1:24" ht="36" customHeight="1" thickTop="1" thickBot="1">
      <c r="A24" s="54"/>
      <c r="B24" s="299"/>
      <c r="C24" s="354" t="s">
        <v>119</v>
      </c>
      <c r="D24" s="644"/>
      <c r="E24" s="645"/>
      <c r="F24" s="645"/>
      <c r="G24" s="645"/>
      <c r="H24" s="272"/>
      <c r="I24" s="272"/>
      <c r="J24" s="272"/>
      <c r="K24" s="272"/>
      <c r="L24" s="272"/>
      <c r="M24" s="272"/>
      <c r="N24" s="243"/>
      <c r="O24" s="665" t="s">
        <v>122</v>
      </c>
      <c r="P24" s="662"/>
      <c r="Q24" s="661" t="s">
        <v>142</v>
      </c>
      <c r="R24" s="662"/>
      <c r="S24" s="650" t="s">
        <v>143</v>
      </c>
      <c r="T24" s="651"/>
      <c r="U24" s="243"/>
      <c r="V24" s="243"/>
      <c r="W24" s="243"/>
      <c r="X24" s="54"/>
    </row>
    <row r="25" spans="1:24" ht="27.75" customHeight="1" thickTop="1" thickBot="1">
      <c r="A25" s="54" t="e">
        <f>IF(#REF!="Гном",#REF!=Расы!A12)</f>
        <v>#REF!</v>
      </c>
      <c r="B25" s="299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243"/>
      <c r="O25" s="664"/>
      <c r="P25" s="663"/>
      <c r="Q25" s="663"/>
      <c r="R25" s="663"/>
      <c r="S25" s="646"/>
      <c r="T25" s="647"/>
      <c r="U25" s="243"/>
      <c r="V25" s="243"/>
      <c r="W25" s="243"/>
      <c r="X25" s="54"/>
    </row>
    <row r="26" spans="1:24" ht="27.75" customHeight="1" thickBot="1">
      <c r="A26" s="54"/>
      <c r="B26" s="299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243"/>
      <c r="O26" s="666" t="s">
        <v>146</v>
      </c>
      <c r="P26" s="648"/>
      <c r="Q26" s="648" t="s">
        <v>147</v>
      </c>
      <c r="R26" s="648"/>
      <c r="S26" s="648" t="s">
        <v>148</v>
      </c>
      <c r="T26" s="649"/>
      <c r="U26" s="243"/>
      <c r="V26" s="243"/>
      <c r="W26" s="243"/>
      <c r="X26" s="54"/>
    </row>
    <row r="27" spans="1:24" ht="39" customHeight="1" thickBot="1">
      <c r="A27" s="54"/>
      <c r="B27" s="299"/>
      <c r="C27" s="635" t="s">
        <v>106</v>
      </c>
      <c r="D27" s="636"/>
      <c r="E27" s="636"/>
      <c r="F27" s="636" t="s">
        <v>107</v>
      </c>
      <c r="G27" s="636"/>
      <c r="H27" s="636"/>
      <c r="I27" s="636" t="s">
        <v>108</v>
      </c>
      <c r="J27" s="636"/>
      <c r="K27" s="636"/>
      <c r="L27" s="636" t="s">
        <v>109</v>
      </c>
      <c r="M27" s="637"/>
      <c r="N27" s="243"/>
      <c r="O27" s="625" t="s">
        <v>151</v>
      </c>
      <c r="P27" s="626"/>
      <c r="Q27" s="667"/>
      <c r="R27" s="646"/>
      <c r="S27" s="646"/>
      <c r="T27" s="647"/>
      <c r="U27" s="243"/>
      <c r="V27" s="243"/>
      <c r="W27" s="243"/>
      <c r="X27" s="54"/>
    </row>
    <row r="28" spans="1:24" ht="40.5" customHeight="1" thickTop="1" thickBot="1">
      <c r="A28" s="54"/>
      <c r="B28" s="299"/>
      <c r="C28" s="638" t="s">
        <v>204</v>
      </c>
      <c r="D28" s="639"/>
      <c r="E28" s="640"/>
      <c r="F28" s="641">
        <v>6</v>
      </c>
      <c r="G28" s="579"/>
      <c r="H28" s="642"/>
      <c r="I28" s="641" t="s">
        <v>205</v>
      </c>
      <c r="J28" s="579"/>
      <c r="K28" s="642"/>
      <c r="L28" s="631" t="s">
        <v>206</v>
      </c>
      <c r="M28" s="632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54"/>
    </row>
    <row r="29" spans="1:24" ht="27.75" customHeight="1" thickTop="1" thickBot="1">
      <c r="A29" s="54"/>
      <c r="B29" s="299"/>
      <c r="C29" s="633" t="s">
        <v>110</v>
      </c>
      <c r="D29" s="634"/>
      <c r="E29" s="634" t="s">
        <v>111</v>
      </c>
      <c r="F29" s="634"/>
      <c r="G29" s="634" t="s">
        <v>112</v>
      </c>
      <c r="H29" s="634"/>
      <c r="I29" s="634"/>
      <c r="J29" s="634"/>
      <c r="K29" s="634"/>
      <c r="L29" s="634"/>
      <c r="M29" s="6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54"/>
    </row>
    <row r="30" spans="1:24" ht="36.75" customHeight="1" thickTop="1" thickBot="1">
      <c r="A30" s="54"/>
      <c r="B30" s="299"/>
      <c r="C30" s="627"/>
      <c r="D30" s="628"/>
      <c r="E30" s="627"/>
      <c r="F30" s="628"/>
      <c r="G30" s="627"/>
      <c r="H30" s="629"/>
      <c r="I30" s="629"/>
      <c r="J30" s="629"/>
      <c r="K30" s="629"/>
      <c r="L30" s="629"/>
      <c r="M30" s="628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54"/>
    </row>
    <row r="31" spans="1:24" ht="41.25" customHeight="1" thickTop="1" thickBot="1">
      <c r="A31" s="54"/>
      <c r="B31" s="299"/>
      <c r="C31" s="354" t="s">
        <v>119</v>
      </c>
      <c r="D31" s="644"/>
      <c r="E31" s="645"/>
      <c r="F31" s="645"/>
      <c r="G31" s="645"/>
      <c r="H31" s="272"/>
      <c r="I31" s="272"/>
      <c r="J31" s="272"/>
      <c r="K31" s="272"/>
      <c r="L31" s="272"/>
      <c r="M31" s="272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54"/>
    </row>
    <row r="32" spans="1:24" ht="48" customHeight="1" thickTop="1">
      <c r="A32" s="54"/>
      <c r="B32" s="299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54"/>
    </row>
    <row r="33" spans="1:24" ht="27.75" customHeight="1" thickBot="1">
      <c r="A33" s="54"/>
      <c r="B33" s="299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54"/>
    </row>
    <row r="34" spans="1:24" ht="27.75" customHeight="1" thickTop="1" thickBot="1">
      <c r="A34" s="54"/>
      <c r="B34" s="299"/>
      <c r="C34" s="707" t="s">
        <v>175</v>
      </c>
      <c r="D34" s="697" t="s">
        <v>120</v>
      </c>
      <c r="E34" s="697"/>
      <c r="F34" s="697"/>
      <c r="G34" s="697"/>
      <c r="H34" s="697"/>
      <c r="I34" s="705" t="s">
        <v>176</v>
      </c>
      <c r="J34" s="705"/>
      <c r="K34" s="705" t="s">
        <v>177</v>
      </c>
      <c r="L34" s="705"/>
      <c r="M34" s="705" t="s">
        <v>178</v>
      </c>
      <c r="N34" s="705"/>
      <c r="O34" s="705" t="s">
        <v>179</v>
      </c>
      <c r="P34" s="705"/>
      <c r="Q34" s="705" t="s">
        <v>180</v>
      </c>
      <c r="R34" s="705"/>
      <c r="S34" s="705" t="s">
        <v>181</v>
      </c>
      <c r="T34" s="705"/>
      <c r="U34" s="705" t="s">
        <v>182</v>
      </c>
      <c r="V34" s="706"/>
      <c r="W34" s="243"/>
      <c r="X34" s="54"/>
    </row>
    <row r="35" spans="1:24" ht="49.5" customHeight="1" thickTop="1" thickBot="1">
      <c r="A35" s="54"/>
      <c r="B35" s="299"/>
      <c r="C35" s="708"/>
      <c r="D35" s="698"/>
      <c r="E35" s="698"/>
      <c r="F35" s="698"/>
      <c r="G35" s="698"/>
      <c r="H35" s="698"/>
      <c r="I35" s="270" t="s">
        <v>186</v>
      </c>
      <c r="J35" s="270" t="s">
        <v>187</v>
      </c>
      <c r="K35" s="270" t="s">
        <v>186</v>
      </c>
      <c r="L35" s="270" t="s">
        <v>187</v>
      </c>
      <c r="M35" s="270" t="s">
        <v>186</v>
      </c>
      <c r="N35" s="270" t="s">
        <v>187</v>
      </c>
      <c r="O35" s="270" t="s">
        <v>186</v>
      </c>
      <c r="P35" s="270" t="s">
        <v>187</v>
      </c>
      <c r="Q35" s="270" t="s">
        <v>186</v>
      </c>
      <c r="R35" s="270" t="s">
        <v>187</v>
      </c>
      <c r="S35" s="270" t="s">
        <v>186</v>
      </c>
      <c r="T35" s="270" t="s">
        <v>187</v>
      </c>
      <c r="U35" s="270" t="s">
        <v>186</v>
      </c>
      <c r="V35" s="271" t="s">
        <v>187</v>
      </c>
      <c r="W35" s="243"/>
      <c r="X35" s="54"/>
    </row>
    <row r="36" spans="1:24" ht="71.25" customHeight="1" thickTop="1" thickBot="1">
      <c r="A36" s="54"/>
      <c r="B36" s="299"/>
      <c r="C36" s="401">
        <v>0</v>
      </c>
      <c r="D36" s="898"/>
      <c r="E36" s="898"/>
      <c r="F36" s="898"/>
      <c r="G36" s="898"/>
      <c r="H36" s="898"/>
      <c r="I36" s="901">
        <f>IF('Лист персонажа 1'!L11="Жрец",VLOOKUP('Лист персонажа 1'!M11,Жрец!G6:V25,7,0),IF('Лист персонажа 1'!L10="Жрец",VLOOKUP('Лист персонажа 1'!M10,Жрец!G6:V25,7,0),IF('Лист персонажа 1'!L9="Жрец",VLOOKUP('Лист персонажа 1'!M9,Жрец!G6:V25,7,0),IF('Лист персонажа 1'!L8="Жрец",VLOOKUP('Лист персонажа 1'!M8,Жрец!G6:V25,7,0),IF('Лист персонажа 1'!L7="Жрец",VLOOKUP('Лист персонажа 1'!M7,Жрец!G6:V25,7,0),0)))))</f>
        <v>0</v>
      </c>
      <c r="J36" s="902">
        <f>10+'Лист персонажа 1'!G18+C36</f>
        <v>9</v>
      </c>
      <c r="K36" s="901">
        <f>IF('Лист персонажа 1'!L11="Бард",VLOOKUP('Лист персонажа 1'!M11,Бард!G3:S22,7,0),IF('Лист персонажа 1'!L10="Бард",VLOOKUP('Лист персонажа 1'!M10,Бард!G3:S22,7,0),IF('Лист персонажа 1'!L9="Бард",VLOOKUP('Лист персонажа 1'!M9,Бард!G3:S22,7,0),IF('Лист персонажа 1'!L8="Бард",VLOOKUP('Лист персонажа 1'!M8,Бард!G3:S22,7,0),IF('Лист персонажа 1'!L7="Бард",VLOOKUP('Лист персонажа 1'!M7,Бард!G3:S22,7,0),0)))))</f>
        <v>0</v>
      </c>
      <c r="L36" s="902">
        <f>10+'Лист персонажа 1'!G19+C36</f>
        <v>11</v>
      </c>
      <c r="M36" s="901">
        <f>IF('Лист персонажа 1'!L11="Друид",VLOOKUP('Лист персонажа 1'!M11,Друид!G6:V25,7,0),IF('Лист персонажа 1'!L10="Друид",VLOOKUP('Лист персонажа 1'!M10,Друид!G6:V25,7,0),IF('Лист персонажа 1'!L9="Друид",VLOOKUP('Лист персонажа 1'!M9,Друид!G6:V25,7,0),IF('Лист персонажа 1'!L8="Друид",VLOOKUP('Лист персонажа 1'!M8,Друид!G6:V25,7,0),IF('Лист персонажа 1'!L7="Друид",VLOOKUP('Лист персонажа 1'!M7,Друид!G6:V25,7,0),0)))))</f>
        <v>0</v>
      </c>
      <c r="N36" s="902">
        <f>10+'Лист персонажа 1'!G18+C36</f>
        <v>9</v>
      </c>
      <c r="O36" s="901">
        <f>IF('Лист персонажа 1'!L11="Маг",VLOOKUP('Лист персонажа 1'!M11,Маг!G6:V25,7,0),IF('Лист персонажа 1'!L10="Маг",VLOOKUP('Лист персонажа 1'!M10,Маг!G6:V25,7,0),IF('Лист персонажа 1'!L9="Маг",VLOOKUP('Лист персонажа 1'!M9,Маг!G6:V25,7,0),IF('Лист персонажа 1'!L8="Маг",VLOOKUP('Лист персонажа 1'!M8,Маг!G6:V25,7,0),IF('Лист персонажа 1'!L7="Маг",VLOOKUP('Лист персонажа 1'!M7,Маг!G6:V25,7,0),0)))))</f>
        <v>0</v>
      </c>
      <c r="P36" s="902">
        <f>10+'Лист персонажа 1'!G17+C36</f>
        <v>9</v>
      </c>
      <c r="Q36" s="901" t="s">
        <v>188</v>
      </c>
      <c r="R36" s="902" t="s">
        <v>188</v>
      </c>
      <c r="S36" s="901" t="s">
        <v>188</v>
      </c>
      <c r="T36" s="902" t="s">
        <v>188</v>
      </c>
      <c r="U36" s="901">
        <f>IF('Лист персонажа 1'!L11="Чародей",VLOOKUP('Лист персонажа 1'!M11,Чародей!G6:V25,7,0),IF('Лист персонажа 1'!L10="Чародей",VLOOKUP('Лист персонажа 1'!M10,Чародей!G6:V25,7,0),IF('Лист персонажа 1'!L9="Чародей",VLOOKUP('Лист персонажа 1'!M9,Чародей!G6:V25,7,0),IF('Лист персонажа 1'!L8="Чародей",VLOOKUP('Лист персонажа 1'!M8,Чародей!G6:V25,7,0),IF('Лист персонажа 1'!L7="Чародей",VLOOKUP('Лист персонажа 1'!M7,Чародей!G6:V25,7,0),0)))))</f>
        <v>0</v>
      </c>
      <c r="V36" s="903">
        <f>10+'Лист персонажа 1'!G19+C36</f>
        <v>11</v>
      </c>
      <c r="W36" s="243"/>
      <c r="X36" s="54"/>
    </row>
    <row r="37" spans="1:24" ht="60" customHeight="1" thickTop="1" thickBot="1">
      <c r="A37" s="54"/>
      <c r="B37" s="299"/>
      <c r="C37" s="401">
        <v>1</v>
      </c>
      <c r="D37" s="899"/>
      <c r="E37" s="899"/>
      <c r="F37" s="899"/>
      <c r="G37" s="899"/>
      <c r="H37" s="899"/>
      <c r="I37" s="901">
        <f>IF('Лист персонажа 1'!L11="Жрец",VLOOKUP('Лист персонажа 1'!M11,Жрец!G6:V25,8,0),IF('Лист персонажа 1'!L10="Жрец",VLOOKUP('Лист персонажа 1'!M10,Жрец!G6:V25,8,0),IF('Лист персонажа 1'!L9="Жрец",VLOOKUP('Лист персонажа 1'!M9,Жрец!G6:V25,8,0),IF('Лист персонажа 1'!L8="Жрец",VLOOKUP('Лист персонажа 1'!M8,Жрец!G6:V25,8,0),IF('Лист персонажа 1'!L7="Жрец",VLOOKUP('Лист персонажа 1'!M7,Жрец!G6:V25,8,0),0)))))</f>
        <v>0</v>
      </c>
      <c r="J37" s="902">
        <f>10+'Лист персонажа 1'!G18+C37</f>
        <v>10</v>
      </c>
      <c r="K37" s="901">
        <f>IF('Лист персонажа 1'!L11="Бард",VLOOKUP('Лист персонажа 1'!M11,Бард!G3:S22,8,0),IF('Лист персонажа 1'!L10="Бард",VLOOKUP('Лист персонажа 1'!M10,Бард!G3:S22,8,0),IF('Лист персонажа 1'!L9="Бард",VLOOKUP('Лист персонажа 1'!M9,Бард!G3:S22,8,0),IF('Лист персонажа 1'!L8="Бард",VLOOKUP('Лист персонажа 1'!M8,Бард!G3:S22,8,0),IF('Лист персонажа 1'!L7="Бард",VLOOKUP('Лист персонажа 1'!M7,Бард!G3:S22,8,0),0)))))</f>
        <v>0</v>
      </c>
      <c r="L37" s="902">
        <f>10+'Лист персонажа 1'!G19+C37</f>
        <v>12</v>
      </c>
      <c r="M37" s="901">
        <f>IF('Лист персонажа 1'!L11="Друид",VLOOKUP('Лист персонажа 1'!M11,Друид!G6:V25,8,0),IF('Лист персонажа 1'!L10="Друид",VLOOKUP('Лист персонажа 1'!M10,Друид!G6:V25,8,0),IF('Лист персонажа 1'!L9="Друид",VLOOKUP('Лист персонажа 1'!M9,Друид!G6:V25,8,0),IF('Лист персонажа 1'!L8="Друид",VLOOKUP('Лист персонажа 1'!M8,Друид!G6:V25,8,0),IF('Лист персонажа 1'!L7="Друид",VLOOKUP('Лист персонажа 1'!M7,Друид!G6:V25,8,0),0)))))</f>
        <v>0</v>
      </c>
      <c r="N37" s="902">
        <f>10+'Лист персонажа 1'!G18+C37</f>
        <v>10</v>
      </c>
      <c r="O37" s="901">
        <f>IF('Лист персонажа 1'!L11="Маг",VLOOKUP('Лист персонажа 1'!M11,Маг!G6:V25,8,0),IF('Лист персонажа 1'!L10="Маг",VLOOKUP('Лист персонажа 1'!M10,Маг!G6:V25,8,0),IF('Лист персонажа 1'!L9="Маг",VLOOKUP('Лист персонажа 1'!M9,Маг!G6:V25,8,0),IF('Лист персонажа 1'!L8="Маг",VLOOKUP('Лист персонажа 1'!M8,Маг!G6:V25,8,0),IF('Лист персонажа 1'!L7="Маг",VLOOKUP('Лист персонажа 1'!M7,Маг!G6:V25,8,0),0)))))</f>
        <v>0</v>
      </c>
      <c r="P37" s="902">
        <f>10+'Лист персонажа 1'!G17+C37</f>
        <v>10</v>
      </c>
      <c r="Q37" s="901">
        <f>IF('Лист персонажа 1'!L11="Паладин",VLOOKUP('Лист персонажа 1'!M11,Паладин!G6:P25,7,0),IF('Лист персонажа 1'!L10="Паладин",VLOOKUP('Лист персонажа 1'!M10,Паладин!G6:P25,7,0),IF('Лист персонажа 1'!L9="Паладин",VLOOKUP('Лист персонажа 1'!M9,Паладин!G6:P25,7,0),IF('Лист персонажа 1'!L8="Паладин",VLOOKUP('Лист персонажа 1'!M8,Паладин!G6:P25,7,0),IF('Лист персонажа 1'!L7="Паладин",VLOOKUP('Лист персонажа 1'!M7,Паладин!G6:P25,7,0),0)))))</f>
        <v>0</v>
      </c>
      <c r="R37" s="902">
        <f>10+'Лист персонажа 1'!G18+C37</f>
        <v>10</v>
      </c>
      <c r="S37" s="901">
        <f>IF('Лист персонажа 1'!L11="Рейнджер",VLOOKUP('Лист персонажа 1'!M11,Рейнджер!G6:P25,7,0),IF('Лист персонажа 1'!L10="Рейнджер",VLOOKUP('Лист персонажа 1'!M10,Рейнджер!G6:P25,7,0),IF('Лист персонажа 1'!L9="Рейнджер",VLOOKUP('Лист персонажа 1'!M9,Рейнджер!G6:P25,7,0),IF('Лист персонажа 1'!L8="Рейнджер",VLOOKUP('Лист персонажа 1'!M8,Рейнджер!G6:P25,7,0),IF('Лист персонажа 1'!L7="Рейнджер",VLOOKUP('Лист персонажа 1'!M7,Рейнджер!G6:P25,7,0),0)))))</f>
        <v>0</v>
      </c>
      <c r="T37" s="902">
        <f>10+'Лист персонажа 1'!G18+C37</f>
        <v>10</v>
      </c>
      <c r="U37" s="901">
        <f>IF('Лист персонажа 1'!L11="Чародей",VLOOKUP('Лист персонажа 1'!M11,Чародей!G6:V25,8,0),IF('Лист персонажа 1'!L10="Чародей",VLOOKUP('Лист персонажа 1'!M10,Чародей!G6:V25,8,0),IF('Лист персонажа 1'!L9="Чародей",VLOOKUP('Лист персонажа 1'!M9,Чародей!G6:V25,8,0),IF('Лист персонажа 1'!L8="Чародей",VLOOKUP('Лист персонажа 1'!M8,Чародей!G6:V25,8,0),IF('Лист персонажа 1'!L7="Чародей",VLOOKUP('Лист персонажа 1'!M7,Чародей!G6:V25,8,0),0)))))</f>
        <v>0</v>
      </c>
      <c r="V37" s="903">
        <f>10+'Лист персонажа 1'!G19+C37</f>
        <v>12</v>
      </c>
      <c r="W37" s="243"/>
      <c r="X37" s="54"/>
    </row>
    <row r="38" spans="1:24" ht="60" customHeight="1" thickTop="1" thickBot="1">
      <c r="A38" s="54"/>
      <c r="B38" s="299"/>
      <c r="C38" s="401">
        <v>2</v>
      </c>
      <c r="D38" s="898"/>
      <c r="E38" s="898"/>
      <c r="F38" s="898"/>
      <c r="G38" s="898"/>
      <c r="H38" s="898"/>
      <c r="I38" s="901">
        <f>IF('Лист персонажа 1'!L11="Жрец",VLOOKUP('Лист персонажа 1'!M11,Жрец!G6:V25,9,0),IF('Лист персонажа 1'!L10="Жрец",VLOOKUP('Лист персонажа 1'!M10,Жрец!G6:V25,9,0),IF('Лист персонажа 1'!L9="Жрец",VLOOKUP('Лист персонажа 1'!M9,Жрец!G6:V25,9,0),IF('Лист персонажа 1'!L8="Жрец",VLOOKUP('Лист персонажа 1'!M8,Жрец!G6:V25,9,0),IF('Лист персонажа 1'!L7="Жрец",VLOOKUP('Лист персонажа 1'!M7,Жрец!G6:V25,9,0),0)))))</f>
        <v>0</v>
      </c>
      <c r="J38" s="902">
        <f>10+'Лист персонажа 1'!G18+C38</f>
        <v>11</v>
      </c>
      <c r="K38" s="901">
        <f>IF('Лист персонажа 1'!L11="Бард",VLOOKUP('Лист персонажа 1'!M11,Бард!G3:S22,9,0),IF('Лист персонажа 1'!L10="Бард",VLOOKUP('Лист персонажа 1'!M10,Бард!G3:S22,9,0),IF('Лист персонажа 1'!L9="Бард",VLOOKUP('Лист персонажа 1'!M9,Бард!G3:S22,9,0),IF('Лист персонажа 1'!L8="Бард",VLOOKUP('Лист персонажа 1'!M8,Бард!G3:S22,9,0),IF('Лист персонажа 1'!L7="Бард",VLOOKUP('Лист персонажа 1'!M7,Бард!G3:S22,9,0),0)))))</f>
        <v>0</v>
      </c>
      <c r="L38" s="902">
        <f>10+'Лист персонажа 1'!G19+C38</f>
        <v>13</v>
      </c>
      <c r="M38" s="901">
        <f>IF('Лист персонажа 1'!L11="Друид",VLOOKUP('Лист персонажа 1'!M11,Друид!G6:V25,9,0),IF('Лист персонажа 1'!L10="Друид",VLOOKUP('Лист персонажа 1'!M10,Друид!G6:V25,9,0),IF('Лист персонажа 1'!L9="Друид",VLOOKUP('Лист персонажа 1'!M9,Друид!G6:V25,9,0),IF('Лист персонажа 1'!L8="Друид",VLOOKUP('Лист персонажа 1'!M8,Друид!G6:V25,9,0),IF('Лист персонажа 1'!L7="Друид",VLOOKUP('Лист персонажа 1'!M7,Друид!G6:V25,9,0),0)))))</f>
        <v>0</v>
      </c>
      <c r="N38" s="902">
        <f>10+'Лист персонажа 1'!G18+C38</f>
        <v>11</v>
      </c>
      <c r="O38" s="901">
        <f>IF('Лист персонажа 1'!L11="Маг",VLOOKUP('Лист персонажа 1'!M11,Маг!G6:V25,9,0),IF('Лист персонажа 1'!L10="Маг",VLOOKUP('Лист персонажа 1'!M10,Маг!G6:V25,9,0),IF('Лист персонажа 1'!L9="Маг",VLOOKUP('Лист персонажа 1'!M9,Маг!G6:V25,9,0),IF('Лист персонажа 1'!L8="Маг",VLOOKUP('Лист персонажа 1'!M8,Маг!G6:V25,9,0),IF('Лист персонажа 1'!L7="Маг",VLOOKUP('Лист персонажа 1'!M7,Маг!G6:V25,9,0),0)))))</f>
        <v>0</v>
      </c>
      <c r="P38" s="902">
        <f>10+'Лист персонажа 1'!G17+C38</f>
        <v>11</v>
      </c>
      <c r="Q38" s="901">
        <f>IF('Лист персонажа 1'!L11="Паладин",VLOOKUP('Лист персонажа 1'!M11,Паладин!G6:P25,8,0),IF('Лист персонажа 1'!L10="Паладин",VLOOKUP('Лист персонажа 1'!M10,Паладин!G6:P25,8,0),IF('Лист персонажа 1'!L9="Паладин",VLOOKUP('Лист персонажа 1'!M9,Паладин!G6:P25,8,0),IF('Лист персонажа 1'!L8="Паладин",VLOOKUP('Лист персонажа 1'!M8,Паладин!G6:P25,8,0),IF('Лист персонажа 1'!L7="Паладин",VLOOKUP('Лист персонажа 1'!M7,Паладин!G6:P25,8,0),0)))))</f>
        <v>0</v>
      </c>
      <c r="R38" s="902">
        <f>10+'Лист персонажа 1'!G18+C38</f>
        <v>11</v>
      </c>
      <c r="S38" s="901">
        <f>IF('Лист персонажа 1'!L11="Рейнджер",VLOOKUP('Лист персонажа 1'!M11,Рейнджер!G6:P25,8,0),IF('Лист персонажа 1'!L10="Рейнджер",VLOOKUP('Лист персонажа 1'!M10,Рейнджер!G6:P25,8,0),IF('Лист персонажа 1'!L9="Рейнджер",VLOOKUP('Лист персонажа 1'!M9,Рейнджер!G6:P25,8,0),IF('Лист персонажа 1'!L8="Рейнджер",VLOOKUP('Лист персонажа 1'!M8,Рейнджер!G6:P25,8,0),IF('Лист персонажа 1'!L7="Рейнджер",VLOOKUP('Лист персонажа 1'!M7,Рейнджер!G6:P25,8,0),0)))))</f>
        <v>0</v>
      </c>
      <c r="T38" s="902">
        <f>10+'Лист персонажа 1'!G18+C38</f>
        <v>11</v>
      </c>
      <c r="U38" s="901">
        <f>IF('Лист персонажа 1'!L11="Чародей",VLOOKUP('Лист персонажа 1'!M11,Чародей!G6:V25,9,0),IF('Лист персонажа 1'!L10="Чародей",VLOOKUP('Лист персонажа 1'!M10,Чародей!G6:V25,9,0),IF('Лист персонажа 1'!L9="Чародей",VLOOKUP('Лист персонажа 1'!M9,Чародей!G6:V25,9,0),IF('Лист персонажа 1'!L8="Чародей",VLOOKUP('Лист персонажа 1'!M8,Чародей!G6:V25,9,0),IF('Лист персонажа 1'!L7="Чародей",VLOOKUP('Лист персонажа 1'!M7,Чародей!G6:V25,9,0),0)))))</f>
        <v>0</v>
      </c>
      <c r="V38" s="903">
        <f>10+'Лист персонажа 1'!G19+C38</f>
        <v>13</v>
      </c>
      <c r="W38" s="243"/>
      <c r="X38" s="54"/>
    </row>
    <row r="39" spans="1:24" ht="67.5" customHeight="1" thickTop="1" thickBot="1">
      <c r="A39" s="54"/>
      <c r="B39" s="299"/>
      <c r="C39" s="401">
        <v>3</v>
      </c>
      <c r="D39" s="899"/>
      <c r="E39" s="899"/>
      <c r="F39" s="899"/>
      <c r="G39" s="899"/>
      <c r="H39" s="899"/>
      <c r="I39" s="901">
        <f>IF('Лист персонажа 1'!L11="Жрец",VLOOKUP('Лист персонажа 1'!M11,Жрец!G6:V25,10,0),IF('Лист персонажа 1'!L10="Жрец",VLOOKUP('Лист персонажа 1'!M10,Жрец!G6:V25,10,0),IF('Лист персонажа 1'!L9="Жрец",VLOOKUP('Лист персонажа 1'!M9,Жрец!G6:V25,10,0),IF('Лист персонажа 1'!L8="Жрец",VLOOKUP('Лист персонажа 1'!M8,Жрец!G6:V25,10,0),IF('Лист персонажа 1'!L7="Жрец",VLOOKUP('Лист персонажа 1'!M7,Жрец!G6:V25,10,0),0)))))</f>
        <v>0</v>
      </c>
      <c r="J39" s="902">
        <f>10+'Лист персонажа 1'!G18+C39</f>
        <v>12</v>
      </c>
      <c r="K39" s="901">
        <f>IF('Лист персонажа 1'!L11="Бард",VLOOKUP('Лист персонажа 1'!M11,Бард!G3:S22,10,0),IF('Лист персонажа 1'!L10="Бард",VLOOKUP('Лист персонажа 1'!M10,Бард!G3:S22,10,0),IF('Лист персонажа 1'!L9="Бард",VLOOKUP('Лист персонажа 1'!M9,Бард!G3:S22,10,0),IF('Лист персонажа 1'!L8="Бард",VLOOKUP('Лист персонажа 1'!M8,Бард!G3:S22,10,0),IF('Лист персонажа 1'!L7="Бард",VLOOKUP('Лист персонажа 1'!M7,Бард!G3:S22,10,0),0)))))</f>
        <v>0</v>
      </c>
      <c r="L39" s="902">
        <f>10+'Лист персонажа 1'!G19+C39</f>
        <v>14</v>
      </c>
      <c r="M39" s="901">
        <f>IF('Лист персонажа 1'!L11="Друид",VLOOKUP('Лист персонажа 1'!M11,Друид!G6:V25,10,0),IF('Лист персонажа 1'!L10="Друид",VLOOKUP('Лист персонажа 1'!M10,Друид!G6:V25,10,0),IF('Лист персонажа 1'!L9="Друид",VLOOKUP('Лист персонажа 1'!M9,Друид!G6:V25,10,0),IF('Лист персонажа 1'!L8="Друид",VLOOKUP('Лист персонажа 1'!M8,Друид!G6:V25,10,0),IF('Лист персонажа 1'!L7="Друид",VLOOKUP('Лист персонажа 1'!M7,Друид!G6:V25,10,0),0)))))</f>
        <v>0</v>
      </c>
      <c r="N39" s="902">
        <f>10+'Лист персонажа 1'!G18+C39</f>
        <v>12</v>
      </c>
      <c r="O39" s="901">
        <f>IF('Лист персонажа 1'!L11="Маг",VLOOKUP('Лист персонажа 1'!M11,Маг!G6:V25,10,0),IF('Лист персонажа 1'!L10="Маг",VLOOKUP('Лист персонажа 1'!M10,Маг!G6:V25,10,0),IF('Лист персонажа 1'!L9="Маг",VLOOKUP('Лист персонажа 1'!M9,Маг!G6:V25,10,0),IF('Лист персонажа 1'!L8="Маг",VLOOKUP('Лист персонажа 1'!M8,Маг!G6:V25,10,0),IF('Лист персонажа 1'!L7="Маг",VLOOKUP('Лист персонажа 1'!M7,Маг!G6:V25,10,0),0)))))</f>
        <v>0</v>
      </c>
      <c r="P39" s="902">
        <f>10+'Лист персонажа 1'!G17+C39</f>
        <v>12</v>
      </c>
      <c r="Q39" s="901">
        <f>IF('Лист персонажа 1'!L11="Паладин",VLOOKUP('Лист персонажа 1'!M11,Паладин!G6:P25,9,0),IF('Лист персонажа 1'!L10="Паладин",VLOOKUP('Лист персонажа 1'!M10,Паладин!G6:P25,9,0),IF('Лист персонажа 1'!L9="Паладин",VLOOKUP('Лист персонажа 1'!M9,Паладин!G6:P25,9,0),IF('Лист персонажа 1'!L8="Паладин",VLOOKUP('Лист персонажа 1'!M8,Паладин!G6:P25,9,0),IF('Лист персонажа 1'!L7="Паладин",VLOOKUP('Лист персонажа 1'!M7,Паладин!G6:P25,9,0),0)))))</f>
        <v>0</v>
      </c>
      <c r="R39" s="902">
        <f>10+'Лист персонажа 1'!G18+C39</f>
        <v>12</v>
      </c>
      <c r="S39" s="901">
        <f>IF('Лист персонажа 1'!L11="Рейнджер",VLOOKUP('Лист персонажа 1'!M11,Рейнджер!G6:P25,9,0),IF('Лист персонажа 1'!L10="Рейнджер",VLOOKUP('Лист персонажа 1'!M10,Рейнджер!G6:P25,9,0),IF('Лист персонажа 1'!L9="Рейнджер",VLOOKUP('Лист персонажа 1'!M9,Рейнджер!G6:P25,9,0),IF('Лист персонажа 1'!L8="Рейнджер",VLOOKUP('Лист персонажа 1'!M8,Рейнджер!G6:P25,9,0),IF('Лист персонажа 1'!L7="Рейнджер",VLOOKUP('Лист персонажа 1'!M7,Рейнджер!G6:P25,9,0),0)))))</f>
        <v>0</v>
      </c>
      <c r="T39" s="902">
        <f>10+'Лист персонажа 1'!G18+C39</f>
        <v>12</v>
      </c>
      <c r="U39" s="901">
        <f>IF('Лист персонажа 1'!L11="Чародей",VLOOKUP('Лист персонажа 1'!M11,Чародей!G6:V25,10,0),IF('Лист персонажа 1'!L10="Чародей",VLOOKUP('Лист персонажа 1'!M10,Чародей!G6:V25,10,0),IF('Лист персонажа 1'!L9="Чародей",VLOOKUP('Лист персонажа 1'!M9,Чародей!G6:V25,10,0),IF('Лист персонажа 1'!L8="Чародей",VLOOKUP('Лист персонажа 1'!M8,Чародей!G6:V25,10,0),IF('Лист персонажа 1'!L7="Чародей",VLOOKUP('Лист персонажа 1'!M7,Чародей!G6:V25,10,0),0)))))</f>
        <v>0</v>
      </c>
      <c r="V39" s="903">
        <f>10+'Лист персонажа 1'!G19+C39</f>
        <v>14</v>
      </c>
      <c r="W39" s="243"/>
      <c r="X39" s="54"/>
    </row>
    <row r="40" spans="1:24" ht="54" customHeight="1" thickTop="1" thickBot="1">
      <c r="A40" s="54"/>
      <c r="B40" s="299"/>
      <c r="C40" s="401">
        <v>4</v>
      </c>
      <c r="D40" s="898"/>
      <c r="E40" s="898"/>
      <c r="F40" s="898"/>
      <c r="G40" s="898"/>
      <c r="H40" s="898"/>
      <c r="I40" s="901">
        <f>IF('Лист персонажа 1'!L11="Жрец",VLOOKUP('Лист персонажа 1'!M11,Жрец!G6:V25,11,0),IF('Лист персонажа 1'!L10="Жрец",VLOOKUP('Лист персонажа 1'!M10,Жрец!G6:V25,11,0),IF('Лист персонажа 1'!L9="Жрец",VLOOKUP('Лист персонажа 1'!M9,Жрец!G6:V25,11,0),IF('Лист персонажа 1'!L8="Жрец",VLOOKUP('Лист персонажа 1'!M8,Жрец!G6:V25,11,0),IF('Лист персонажа 1'!L7="Жрец",VLOOKUP('Лист персонажа 1'!M7,Жрец!G6:V25,11,0),0)))))</f>
        <v>0</v>
      </c>
      <c r="J40" s="902">
        <f>10+'Лист персонажа 1'!G18+C40</f>
        <v>13</v>
      </c>
      <c r="K40" s="901">
        <f>IF('Лист персонажа 1'!L11="Бард",VLOOKUP('Лист персонажа 1'!M11,Бард!G3:S22,11,0),IF('Лист персонажа 1'!L10="Бард",VLOOKUP('Лист персонажа 1'!M10,Бард!G3:S22,11,0),IF('Лист персонажа 1'!L9="Бард",VLOOKUP('Лист персонажа 1'!M9,Бард!G3:S22,11,0),IF('Лист персонажа 1'!L8="Бард",VLOOKUP('Лист персонажа 1'!M8,Бард!G3:S22,11,0),IF('Лист персонажа 1'!L7="Бард",VLOOKUP('Лист персонажа 1'!M7,Бард!G3:S22,11,0),0)))))</f>
        <v>0</v>
      </c>
      <c r="L40" s="902">
        <f>10+'Лист персонажа 1'!G19+C40</f>
        <v>15</v>
      </c>
      <c r="M40" s="901">
        <f>IF('Лист персонажа 1'!L11="Друид",VLOOKUP('Лист персонажа 1'!M11,Друид!G6:V25,11,0),IF('Лист персонажа 1'!L10="Друид",VLOOKUP('Лист персонажа 1'!M10,Друид!G6:V25,11,0),IF('Лист персонажа 1'!L9="Друид",VLOOKUP('Лист персонажа 1'!M9,Друид!G6:V25,11,0),IF('Лист персонажа 1'!L8="Друид",VLOOKUP('Лист персонажа 1'!M8,Друид!G6:V25,11,0),IF('Лист персонажа 1'!L7="Друид",VLOOKUP('Лист персонажа 1'!M7,Друид!G6:V25,11,0),0)))))</f>
        <v>0</v>
      </c>
      <c r="N40" s="902">
        <f>10+'Лист персонажа 1'!G18+C40</f>
        <v>13</v>
      </c>
      <c r="O40" s="901">
        <f>IF('Лист персонажа 1'!L11="Маг",VLOOKUP('Лист персонажа 1'!M11,Маг!G6:V25,11,0),IF('Лист персонажа 1'!L10="Маг",VLOOKUP('Лист персонажа 1'!M10,Маг!G6:V25,11,0),IF('Лист персонажа 1'!L9="Маг",VLOOKUP('Лист персонажа 1'!M9,Маг!G6:V25,11,0),IF('Лист персонажа 1'!L8="Маг",VLOOKUP('Лист персонажа 1'!M8,Маг!G6:V25,11,0),IF('Лист персонажа 1'!L7="Маг",VLOOKUP('Лист персонажа 1'!M7,Маг!G6:V25,11,0),0)))))</f>
        <v>0</v>
      </c>
      <c r="P40" s="902">
        <f>10+'Лист персонажа 1'!G17+C40</f>
        <v>13</v>
      </c>
      <c r="Q40" s="901">
        <f>IF('Лист персонажа 1'!L11="Паладин",VLOOKUP('Лист персонажа 1'!M11,Паладин!G6:P25,10,0),IF('Лист персонажа 1'!L10="Паладин",VLOOKUP('Лист персонажа 1'!M10,Паладин!G6:P25,10,0),IF('Лист персонажа 1'!L9="Паладин",VLOOKUP('Лист персонажа 1'!M9,Паладин!G6:P25,10,0),IF('Лист персонажа 1'!L8="Паладин",VLOOKUP('Лист персонажа 1'!M8,Паладин!G6:P25,10,0),IF('Лист персонажа 1'!L7="Паладин",VLOOKUP('Лист персонажа 1'!M7,Паладин!G6:P25,10,0),0)))))</f>
        <v>0</v>
      </c>
      <c r="R40" s="902">
        <f>10+'Лист персонажа 1'!G18+C40</f>
        <v>13</v>
      </c>
      <c r="S40" s="901">
        <f>IF('Лист персонажа 1'!L11="Рейнджер",VLOOKUP('Лист персонажа 1'!M11,Рейнджер!G6:P25,10,0),IF('Лист персонажа 1'!L10="Рейнджер",VLOOKUP('Лист персонажа 1'!M10,Рейнджер!G6:P25,10,0),IF('Лист персонажа 1'!L9="Рейнджер",VLOOKUP('Лист персонажа 1'!M9,Рейнджер!G6:P25,10,0),IF('Лист персонажа 1'!L8="Рейнджер",VLOOKUP('Лист персонажа 1'!M8,Рейнджер!G6:P25,10,0),IF('Лист персонажа 1'!L7="Рейнджер",VLOOKUP('Лист персонажа 1'!M7,Рейнджер!G6:P25,10,0),0)))))</f>
        <v>0</v>
      </c>
      <c r="T40" s="902">
        <f>10+'Лист персонажа 1'!G18+C40</f>
        <v>13</v>
      </c>
      <c r="U40" s="901">
        <f>IF('Лист персонажа 1'!L11="Чародей",VLOOKUP('Лист персонажа 1'!M11,Чародей!G6:V25,11,0),IF('Лист персонажа 1'!L10="Чародей",VLOOKUP('Лист персонажа 1'!M10,Чародей!G6:V25,11,0),IF('Лист персонажа 1'!L9="Чародей",VLOOKUP('Лист персонажа 1'!M9,Чародей!G6:V25,11,0),IF('Лист персонажа 1'!L8="Чародей",VLOOKUP('Лист персонажа 1'!M8,Чародей!G6:V25,11,0),IF('Лист персонажа 1'!L7="Чародей",VLOOKUP('Лист персонажа 1'!M7,Чародей!G6:V25,11,0),0)))))</f>
        <v>0</v>
      </c>
      <c r="V40" s="903">
        <f>10+'Лист персонажа 1'!G19+C40</f>
        <v>15</v>
      </c>
      <c r="W40" s="243"/>
      <c r="X40" s="54"/>
    </row>
    <row r="41" spans="1:24" ht="69" customHeight="1" thickTop="1" thickBot="1">
      <c r="A41" s="54"/>
      <c r="B41" s="299"/>
      <c r="C41" s="401">
        <v>5</v>
      </c>
      <c r="D41" s="899"/>
      <c r="E41" s="899"/>
      <c r="F41" s="899"/>
      <c r="G41" s="899"/>
      <c r="H41" s="899"/>
      <c r="I41" s="901">
        <f>IF('Лист персонажа 1'!L11="Жрец",VLOOKUP('Лист персонажа 1'!M11,Жрец!G6:V25,12,0),IF('Лист персонажа 1'!L10="Жрец",VLOOKUP('Лист персонажа 1'!M10,Жрец!G6:V25,12,0),IF('Лист персонажа 1'!L9="Жрец",VLOOKUP('Лист персонажа 1'!M9,Жрец!G6:V25,12,0),IF('Лист персонажа 1'!L8="Жрец",VLOOKUP('Лист персонажа 1'!M8,Жрец!G6:V25,12,0),IF('Лист персонажа 1'!L7="Жрец",VLOOKUP('Лист персонажа 1'!M7,Жрец!G6:V25,12,0),0)))))</f>
        <v>0</v>
      </c>
      <c r="J41" s="902">
        <f>10+'Лист персонажа 1'!G18+C41</f>
        <v>14</v>
      </c>
      <c r="K41" s="901">
        <f>IF('Лист персонажа 1'!L11="Бард",VLOOKUP('Лист персонажа 1'!M11,Бард!G3:S22,12,0),IF('Лист персонажа 1'!L10="Бард",VLOOKUP('Лист персонажа 1'!M10,Бард!G3:S22,12,0),IF('Лист персонажа 1'!L9="Бард",VLOOKUP('Лист персонажа 1'!M9,Бард!G3:S22,12,0),IF('Лист персонажа 1'!L8="Бард",VLOOKUP('Лист персонажа 1'!M8,Бард!G3:S22,12,0),IF('Лист персонажа 1'!L7="Бард",VLOOKUP('Лист персонажа 1'!M7,Бард!G3:S22,12,0),0)))))</f>
        <v>0</v>
      </c>
      <c r="L41" s="902">
        <f>10+'Лист персонажа 1'!G19+C41</f>
        <v>16</v>
      </c>
      <c r="M41" s="901">
        <f>IF('Лист персонажа 1'!L11="Друид",VLOOKUP('Лист персонажа 1'!M11,Друид!G6:V25,12,0),IF('Лист персонажа 1'!L10="Друид",VLOOKUP('Лист персонажа 1'!M10,Друид!G6:V25,12,0),IF('Лист персонажа 1'!L9="Друид",VLOOKUP('Лист персонажа 1'!M9,Друид!G6:V25,12,0),IF('Лист персонажа 1'!L8="Друид",VLOOKUP('Лист персонажа 1'!M8,Друид!G6:V25,12,0),IF('Лист персонажа 1'!L7="Друид",VLOOKUP('Лист персонажа 1'!M7,Друид!G6:V25,12,0),0)))))</f>
        <v>0</v>
      </c>
      <c r="N41" s="902">
        <f>10+'Лист персонажа 1'!G18+C41</f>
        <v>14</v>
      </c>
      <c r="O41" s="901">
        <f>IF('Лист персонажа 1'!L11="Маг",VLOOKUP('Лист персонажа 1'!M11,Маг!G6:V25,12,0),IF('Лист персонажа 1'!L10="Маг",VLOOKUP('Лист персонажа 1'!M10,Маг!G6:V25,12,0),IF('Лист персонажа 1'!L9="Маг",VLOOKUP('Лист персонажа 1'!M9,Маг!G6:V25,12,0),IF('Лист персонажа 1'!L8="Маг",VLOOKUP('Лист персонажа 1'!M8,Маг!G6:V25,12,0),IF('Лист персонажа 1'!L7="Маг",VLOOKUP('Лист персонажа 1'!M7,Маг!G6:V25,12,0),0)))))</f>
        <v>0</v>
      </c>
      <c r="P41" s="902">
        <f>10+'Лист персонажа 1'!G17+C41</f>
        <v>14</v>
      </c>
      <c r="Q41" s="901" t="s">
        <v>188</v>
      </c>
      <c r="R41" s="902" t="s">
        <v>188</v>
      </c>
      <c r="S41" s="901" t="s">
        <v>188</v>
      </c>
      <c r="T41" s="902" t="s">
        <v>188</v>
      </c>
      <c r="U41" s="901">
        <f>IF('Лист персонажа 1'!L11="Чародей",VLOOKUP('Лист персонажа 1'!M11,Чародей!G6:V25,12,0),IF('Лист персонажа 1'!L10="Чародей",VLOOKUP('Лист персонажа 1'!M10,Чародей!G6:V25,12,0),IF('Лист персонажа 1'!L9="Чародей",VLOOKUP('Лист персонажа 1'!M9,Чародей!G6:V25,12,0),IF('Лист персонажа 1'!L8="Чародей",VLOOKUP('Лист персонажа 1'!M8,Чародей!G6:V25,12,0),IF('Лист персонажа 1'!L7="Чародей",VLOOKUP('Лист персонажа 1'!M7,Чародей!G6:V25,12,0),0)))))</f>
        <v>0</v>
      </c>
      <c r="V41" s="903">
        <f>10+'Лист персонажа 1'!G19+C41</f>
        <v>16</v>
      </c>
      <c r="W41" s="243"/>
      <c r="X41" s="54"/>
    </row>
    <row r="42" spans="1:24" ht="86.25" customHeight="1" thickTop="1" thickBot="1">
      <c r="A42" s="54"/>
      <c r="B42" s="299"/>
      <c r="C42" s="401">
        <v>6</v>
      </c>
      <c r="D42" s="898"/>
      <c r="E42" s="898"/>
      <c r="F42" s="898"/>
      <c r="G42" s="898"/>
      <c r="H42" s="898"/>
      <c r="I42" s="901">
        <f>IF('Лист персонажа 1'!L11="Жрец",VLOOKUP('Лист персонажа 1'!M11,Жрец!G6:V25,13,0),IF('Лист персонажа 1'!L10="Жрец",VLOOKUP('Лист персонажа 1'!M10,Жрец!G6:V25,13,0),IF('Лист персонажа 1'!L9="Жрец",VLOOKUP('Лист персонажа 1'!M9,Жрец!G6:V25,13,0),IF('Лист персонажа 1'!L8="Жрец",VLOOKUP('Лист персонажа 1'!M8,Жрец!G6:V25,13,0),IF('Лист персонажа 1'!L7="Жрец",VLOOKUP('Лист персонажа 1'!M7,Жрец!G6:V25,13,0),0)))))</f>
        <v>0</v>
      </c>
      <c r="J42" s="902">
        <f>10+'Лист персонажа 1'!G18+C42</f>
        <v>15</v>
      </c>
      <c r="K42" s="901">
        <f>IF('Лист персонажа 1'!L11="Бард",VLOOKUP('Лист персонажа 1'!M11,Бард!G3:S22,13,0),IF('Лист персонажа 1'!L10="Бард",VLOOKUP('Лист персонажа 1'!M10,Бард!G3:S22,13,0),IF('Лист персонажа 1'!L9="Бард",VLOOKUP('Лист персонажа 1'!M9,Бард!G3:S22,13,0),IF('Лист персонажа 1'!L8="Бард",VLOOKUP('Лист персонажа 1'!M8,Бард!G3:S22,13,0),IF('Лист персонажа 1'!L7="Бард",VLOOKUP('Лист персонажа 1'!M7,Бард!G3:S22,13,0),0)))))</f>
        <v>0</v>
      </c>
      <c r="L42" s="902">
        <f>10+'Лист персонажа 1'!G19+C42</f>
        <v>17</v>
      </c>
      <c r="M42" s="901">
        <f>IF('Лист персонажа 1'!L11="Друид",VLOOKUP('Лист персонажа 1'!M11,Друид!G6:V25,13,0),IF('Лист персонажа 1'!L10="Друид",VLOOKUP('Лист персонажа 1'!M10,Друид!G6:V25,13,0),IF('Лист персонажа 1'!L9="Друид",VLOOKUP('Лист персонажа 1'!M9,Друид!G6:V25,13,0),IF('Лист персонажа 1'!L8="Друид",VLOOKUP('Лист персонажа 1'!M8,Друид!G6:V25,13,0),IF('Лист персонажа 1'!L7="Друид",VLOOKUP('Лист персонажа 1'!M7,Друид!G6:V25,13,0),0)))))</f>
        <v>0</v>
      </c>
      <c r="N42" s="902">
        <f>10+'Лист персонажа 1'!G18+C42</f>
        <v>15</v>
      </c>
      <c r="O42" s="901">
        <f>IF('Лист персонажа 1'!L11="Маг",VLOOKUP('Лист персонажа 1'!M11,Маг!G6:V25,13,0),IF('Лист персонажа 1'!L10="Маг",VLOOKUP('Лист персонажа 1'!M10,Маг!G6:V25,13,0),IF('Лист персонажа 1'!L9="Маг",VLOOKUP('Лист персонажа 1'!M9,Маг!G6:V25,13,0),IF('Лист персонажа 1'!L8="Маг",VLOOKUP('Лист персонажа 1'!M8,Маг!G6:V25,13,0),IF('Лист персонажа 1'!L7="Маг",VLOOKUP('Лист персонажа 1'!M7,Маг!G6:V25,13,0),0)))))</f>
        <v>0</v>
      </c>
      <c r="P42" s="902">
        <f>10+'Лист персонажа 1'!G17+C42</f>
        <v>15</v>
      </c>
      <c r="Q42" s="901" t="s">
        <v>188</v>
      </c>
      <c r="R42" s="902" t="s">
        <v>188</v>
      </c>
      <c r="S42" s="901" t="s">
        <v>188</v>
      </c>
      <c r="T42" s="902" t="s">
        <v>188</v>
      </c>
      <c r="U42" s="901">
        <f>IF('Лист персонажа 1'!L11="Чародей",VLOOKUP('Лист персонажа 1'!M11,Чародей!G6:V25,13,0),IF('Лист персонажа 1'!L10="Чародей",VLOOKUP('Лист персонажа 1'!M10,Чародей!G6:V25,13,0),IF('Лист персонажа 1'!L9="Чародей",VLOOKUP('Лист персонажа 1'!M9,Чародей!G6:V25,13,0),IF('Лист персонажа 1'!L8="Чародей",VLOOKUP('Лист персонажа 1'!M8,Чародей!G6:V25,13,0),IF('Лист персонажа 1'!L7="Чародей",VLOOKUP('Лист персонажа 1'!M7,Чародей!G6:V25,13,0),0)))))</f>
        <v>0</v>
      </c>
      <c r="V42" s="903">
        <f>10+'Лист персонажа 1'!G19+C42</f>
        <v>17</v>
      </c>
      <c r="W42" s="243"/>
      <c r="X42" s="54"/>
    </row>
    <row r="43" spans="1:24" ht="72.75" customHeight="1" thickTop="1" thickBot="1">
      <c r="A43" s="54"/>
      <c r="B43" s="299"/>
      <c r="C43" s="401">
        <v>7</v>
      </c>
      <c r="D43" s="899"/>
      <c r="E43" s="899"/>
      <c r="F43" s="899"/>
      <c r="G43" s="899"/>
      <c r="H43" s="899"/>
      <c r="I43" s="901">
        <f>IF('Лист персонажа 1'!L11="Жрец",VLOOKUP('Лист персонажа 1'!M11,Жрец!G6:V25,14,0),IF('Лист персонажа 1'!L10="Жрец",VLOOKUP('Лист персонажа 1'!M10,Жрец!G6:V25,14,0),IF('Лист персонажа 1'!L9="Жрец",VLOOKUP('Лист персонажа 1'!M9,Жрец!G6:V25,14,0),IF('Лист персонажа 1'!L8="Жрец",VLOOKUP('Лист персонажа 1'!M8,Жрец!G6:V25,14,0),IF('Лист персонажа 1'!L7="Жрец",VLOOKUP('Лист персонажа 1'!M7,Жрец!G6:V25,14,0),0)))))</f>
        <v>0</v>
      </c>
      <c r="J43" s="902">
        <f>10+'Лист персонажа 1'!G18+C43</f>
        <v>16</v>
      </c>
      <c r="K43" s="901" t="s">
        <v>188</v>
      </c>
      <c r="L43" s="902">
        <v>0</v>
      </c>
      <c r="M43" s="901">
        <f>IF('Лист персонажа 1'!L11="Друид",VLOOKUP('Лист персонажа 1'!M11,Друид!G6:V25,14,0),IF('Лист персонажа 1'!L10="Друид",VLOOKUP('Лист персонажа 1'!M10,Друид!G6:V25,14,0),IF('Лист персонажа 1'!L9="Друид",VLOOKUP('Лист персонажа 1'!M9,Друид!G6:V25,14,0),IF('Лист персонажа 1'!L8="Друид",VLOOKUP('Лист персонажа 1'!M8,Друид!G6:V25,14,0),IF('Лист персонажа 1'!L7="Друид",VLOOKUP('Лист персонажа 1'!M7,Друид!G6:V25,14,0),0)))))</f>
        <v>0</v>
      </c>
      <c r="N43" s="902">
        <f>10+'Лист персонажа 1'!G18+C43</f>
        <v>16</v>
      </c>
      <c r="O43" s="901">
        <f>IF('Лист персонажа 1'!L11="Маг",VLOOKUP('Лист персонажа 1'!M11,Маг!G6:V25,14,0),IF('Лист персонажа 1'!L10="Маг",VLOOKUP('Лист персонажа 1'!M10,Маг!G6:V25,14,0),IF('Лист персонажа 1'!L9="Маг",VLOOKUP('Лист персонажа 1'!M9,Маг!G6:V25,14,0),IF('Лист персонажа 1'!L8="Маг",VLOOKUP('Лист персонажа 1'!M8,Маг!G6:V25,14,0),IF('Лист персонажа 1'!L7="Маг",VLOOKUP('Лист персонажа 1'!M7,Маг!G6:V25,14,0),0)))))</f>
        <v>0</v>
      </c>
      <c r="P43" s="902">
        <f>10+'Лист персонажа 1'!G17+C43</f>
        <v>16</v>
      </c>
      <c r="Q43" s="901" t="s">
        <v>188</v>
      </c>
      <c r="R43" s="902" t="s">
        <v>188</v>
      </c>
      <c r="S43" s="901" t="s">
        <v>188</v>
      </c>
      <c r="T43" s="902" t="s">
        <v>188</v>
      </c>
      <c r="U43" s="901">
        <f>IF('Лист персонажа 1'!L11="Чародей",VLOOKUP('Лист персонажа 1'!M11,Чародей!G6:V25,14,0),IF('Лист персонажа 1'!L10="Чародей",VLOOKUP('Лист персонажа 1'!M10,Чародей!G6:V25,14,0),IF('Лист персонажа 1'!L9="Чародей",VLOOKUP('Лист персонажа 1'!M9,Чародей!G6:V25,14,0),IF('Лист персонажа 1'!L8="Чародей",VLOOKUP('Лист персонажа 1'!M8,Чародей!G6:V25,14,0),IF('Лист персонажа 1'!L7="Чародей",VLOOKUP('Лист персонажа 1'!M7,Чародей!G6:V25,14,0),0)))))</f>
        <v>0</v>
      </c>
      <c r="V43" s="903">
        <f>10+'Лист персонажа 1'!G19+C43</f>
        <v>18</v>
      </c>
      <c r="W43" s="243"/>
      <c r="X43" s="54"/>
    </row>
    <row r="44" spans="1:24" ht="69" customHeight="1" thickTop="1" thickBot="1">
      <c r="A44" s="54"/>
      <c r="B44" s="299"/>
      <c r="C44" s="401">
        <v>8</v>
      </c>
      <c r="D44" s="898"/>
      <c r="E44" s="898"/>
      <c r="F44" s="898"/>
      <c r="G44" s="898"/>
      <c r="H44" s="898"/>
      <c r="I44" s="901">
        <f>IF('Лист персонажа 1'!L11="Жрец",VLOOKUP('Лист персонажа 1'!M11,Жрец!G6:V25,15,0),IF('Лист персонажа 1'!L10="Жрец",VLOOKUP('Лист персонажа 1'!M10,Жрец!G6:V25,15,0),IF('Лист персонажа 1'!L9="Жрец",VLOOKUP('Лист персонажа 1'!M9,Жрец!G6:V25,15,0),IF('Лист персонажа 1'!L8="Жрец",VLOOKUP('Лист персонажа 1'!M8,Жрец!G6:V25,15,0),IF('Лист персонажа 1'!L7="Жрец",VLOOKUP('Лист персонажа 1'!M7,Жрец!G6:V25,15,0),0)))))</f>
        <v>0</v>
      </c>
      <c r="J44" s="902">
        <f>10+'Лист персонажа 1'!G18+C44</f>
        <v>17</v>
      </c>
      <c r="K44" s="901" t="s">
        <v>188</v>
      </c>
      <c r="L44" s="902">
        <v>0</v>
      </c>
      <c r="M44" s="901">
        <f>IF('Лист персонажа 1'!L11="Друид",VLOOKUP('Лист персонажа 1'!M11,Друид!G6:V25,15,0),IF('Лист персонажа 1'!L10="Друид",VLOOKUP('Лист персонажа 1'!M10,Друид!G6:V25,15,0),IF('Лист персонажа 1'!L9="Друид",VLOOKUP('Лист персонажа 1'!M9,Друид!G6:V25,15,0),IF('Лист персонажа 1'!L8="Друид",VLOOKUP('Лист персонажа 1'!M8,Друид!G6:V25,15,0),IF('Лист персонажа 1'!L7="Друид",VLOOKUP('Лист персонажа 1'!M7,Друид!G6:V25,15,0),0)))))</f>
        <v>0</v>
      </c>
      <c r="N44" s="902">
        <f>10+'Лист персонажа 1'!G18+C43</f>
        <v>16</v>
      </c>
      <c r="O44" s="901">
        <f>IF('Лист персонажа 1'!L11="Маг",VLOOKUP('Лист персонажа 1'!M11,Маг!G6:V25,15,0),IF('Лист персонажа 1'!L10="Маг",VLOOKUP('Лист персонажа 1'!M10,Маг!G6:V25,15,0),IF('Лист персонажа 1'!L9="Маг",VLOOKUP('Лист персонажа 1'!M9,Маг!G6:V25,15,0),IF('Лист персонажа 1'!L8="Маг",VLOOKUP('Лист персонажа 1'!M8,Маг!G6:V25,15,0),IF('Лист персонажа 1'!L7="Маг",VLOOKUP('Лист персонажа 1'!M7,Маг!G6:V25,15,0),0)))))</f>
        <v>0</v>
      </c>
      <c r="P44" s="902">
        <f>10+'Лист персонажа 1'!G17+C43</f>
        <v>16</v>
      </c>
      <c r="Q44" s="901" t="s">
        <v>188</v>
      </c>
      <c r="R44" s="902" t="s">
        <v>188</v>
      </c>
      <c r="S44" s="901" t="s">
        <v>188</v>
      </c>
      <c r="T44" s="902" t="s">
        <v>188</v>
      </c>
      <c r="U44" s="901">
        <f>IF('Лист персонажа 1'!L11="Чародей",VLOOKUP('Лист персонажа 1'!M11,Чародей!G6:V25,15,0),IF('Лист персонажа 1'!L10="Чародей",VLOOKUP('Лист персонажа 1'!M10,Чародей!G6:V25,15,0),IF('Лист персонажа 1'!L9="Чародей",VLOOKUP('Лист персонажа 1'!M9,Чародей!G6:V25,15,0),IF('Лист персонажа 1'!L8="Чародей",VLOOKUP('Лист персонажа 1'!M8,Чародей!G6:V25,15,0),IF('Лист персонажа 1'!L7="Чародей",VLOOKUP('Лист персонажа 1'!M7,Чародей!G6:V25,15,0),0)))))</f>
        <v>0</v>
      </c>
      <c r="V44" s="903">
        <f>10+'Лист персонажа 1'!G19+C43</f>
        <v>18</v>
      </c>
      <c r="W44" s="243"/>
      <c r="X44" s="54"/>
    </row>
    <row r="45" spans="1:24" ht="90" customHeight="1" thickTop="1" thickBot="1">
      <c r="A45" s="54"/>
      <c r="B45" s="299"/>
      <c r="C45" s="402">
        <v>9</v>
      </c>
      <c r="D45" s="900"/>
      <c r="E45" s="900"/>
      <c r="F45" s="900"/>
      <c r="G45" s="900"/>
      <c r="H45" s="900"/>
      <c r="I45" s="904">
        <f>IF('Лист персонажа 1'!L11="Жрец",VLOOKUP('Лист персонажа 1'!M11,Жрец!G6:V25,16,0),IF('Лист персонажа 1'!L10="Жрец",VLOOKUP('Лист персонажа 1'!M10,Жрец!G6:V25,16,0),IF('Лист персонажа 1'!L9="Жрец",VLOOKUP('Лист персонажа 1'!M9,Жрец!G6:V25,16,0),IF('Лист персонажа 1'!L8="Жрец",VLOOKUP('Лист персонажа 1'!M8,Жрец!G6:V25,16,0),IF('Лист персонажа 1'!L7="Жрец",VLOOKUP('Лист персонажа 1'!M7,Жрец!G6:V25,16,0),0)))))</f>
        <v>0</v>
      </c>
      <c r="J45" s="905">
        <f>10+'Лист персонажа 1'!G18+C45</f>
        <v>18</v>
      </c>
      <c r="K45" s="904" t="s">
        <v>188</v>
      </c>
      <c r="L45" s="905">
        <v>0</v>
      </c>
      <c r="M45" s="904">
        <f>IF('Лист персонажа 1'!L11="Друид",VLOOKUP('Лист персонажа 1'!M11,Друид!G6:V25,16,0),IF('Лист персонажа 1'!L10="Друид",VLOOKUP('Лист персонажа 1'!M10,Друид!G6:V25,16,0),IF('Лист персонажа 1'!L9="Друид",VLOOKUP('Лист персонажа 1'!M9,Друид!G6:V25,16,0),IF('Лист персонажа 1'!L8="Друид",VLOOKUP('Лист персонажа 1'!M8,Друид!G6:V25,16,0),IF('Лист персонажа 1'!L7="Друид",VLOOKUP('Лист персонажа 1'!M7,Друид!G6:V25,16,0),0)))))</f>
        <v>0</v>
      </c>
      <c r="N45" s="905">
        <f>10+'Лист персонажа 1'!G18+C45</f>
        <v>18</v>
      </c>
      <c r="O45" s="904">
        <f>IF('Лист персонажа 1'!L11="Маг",VLOOKUP('Лист персонажа 1'!M11,Маг!G6:V25,16,0),IF('Лист персонажа 1'!L10="Маг",VLOOKUP('Лист персонажа 1'!M10,Маг!G6:V25,16,0),IF('Лист персонажа 1'!L9="Маг",VLOOKUP('Лист персонажа 1'!M9,Маг!G6:V25,16,0),IF('Лист персонажа 1'!L8="Маг",VLOOKUP('Лист персонажа 1'!M8,Маг!G6:V25,16,0),IF('Лист персонажа 1'!L7="Маг",VLOOKUP('Лист персонажа 1'!M7,Маг!G6:V25,16,0),0)))))</f>
        <v>0</v>
      </c>
      <c r="P45" s="905">
        <f>10+'Лист персонажа 1'!G17+C45</f>
        <v>18</v>
      </c>
      <c r="Q45" s="904" t="s">
        <v>188</v>
      </c>
      <c r="R45" s="905" t="s">
        <v>188</v>
      </c>
      <c r="S45" s="904" t="s">
        <v>188</v>
      </c>
      <c r="T45" s="905" t="s">
        <v>188</v>
      </c>
      <c r="U45" s="904">
        <f>IF('Лист персонажа 1'!L11="Чародей",VLOOKUP('Лист персонажа 1'!M11,Чародей!G6:V25,16,0),IF('Лист персонажа 1'!L10="Чародей",VLOOKUP('Лист персонажа 1'!M10,Чародей!G6:V25,16,0),IF('Лист персонажа 1'!L9="Чародей",VLOOKUP('Лист персонажа 1'!M9,Чародей!G6:V25,16,0),IF('Лист персонажа 1'!L8="Чародей",VLOOKUP('Лист персонажа 1'!M8,Чародей!G6:V25,16,0),IF('Лист персонажа 1'!L7="Чародей",VLOOKUP('Лист персонажа 1'!M7,Чародей!G6:V25,16,0),0)))))</f>
        <v>0</v>
      </c>
      <c r="V45" s="906">
        <f>10+'Лист персонажа 1'!G19+C45</f>
        <v>20</v>
      </c>
      <c r="W45" s="243"/>
      <c r="X45" s="54"/>
    </row>
    <row r="46" spans="1:24" ht="35.25" customHeight="1" thickTop="1" thickBot="1">
      <c r="A46" s="54"/>
      <c r="B46" s="299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2"/>
      <c r="V46" s="243"/>
      <c r="W46" s="243"/>
      <c r="X46" s="54"/>
    </row>
    <row r="47" spans="1:24" ht="27" customHeight="1" thickTop="1" thickBot="1">
      <c r="A47" s="54"/>
      <c r="B47" s="299"/>
      <c r="C47" s="701" t="s">
        <v>1</v>
      </c>
      <c r="D47" s="699" t="s">
        <v>183</v>
      </c>
      <c r="E47" s="699" t="s">
        <v>184</v>
      </c>
      <c r="F47" s="703" t="s">
        <v>185</v>
      </c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54"/>
    </row>
    <row r="48" spans="1:24" ht="27.75" customHeight="1" thickTop="1" thickBot="1">
      <c r="A48" s="54"/>
      <c r="B48" s="299"/>
      <c r="C48" s="702"/>
      <c r="D48" s="700"/>
      <c r="E48" s="700"/>
      <c r="F48" s="704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54"/>
    </row>
    <row r="49" spans="1:24" ht="27.75" customHeight="1" thickTop="1" thickBot="1">
      <c r="A49" s="54"/>
      <c r="B49" s="299"/>
      <c r="C49" s="380">
        <v>1</v>
      </c>
      <c r="D49" s="257">
        <f>IF('Лист персонажа 1'!M7&lt;&gt;0,IF('Лист персонажа 1'!L7="Воин",VLOOKUP('Лист персонажа 1'!M7,Воин!G6:K25,3,0),IF('Лист персонажа 1'!L7="Варвар",VLOOKUP('Лист персонажа 1'!M7,Варвар!G6:K25,3,0),IF('Лист персонажа 1'!L7="Вор",VLOOKUP('Лист персонажа 1'!M7,Вор!G6:K25,3,0),IF('Лист персонажа 1'!L7="Бард",VLOOKUP('Лист персонажа 1'!M7,Бард!G3:K22,3,0),IF('Лист персонажа 1'!L7="Друид",VLOOKUP('Лист персонажа 1'!M7,Друид!G6:K25,3,0),IF('Лист персонажа 1'!L7="Жрец",VLOOKUP('Лист персонажа 1'!M7,Жрец!G6:K25,3,0),IF('Лист персонажа 1'!L7="Маг",VLOOKUP('Лист персонажа 1'!M7,Маг!G6:K25,3,0),IF('Лист персонажа 1'!L7="Монах",VLOOKUP('Лист персонажа 1'!M7,Монах!G6:K25,3,0),IF('Лист персонажа 1'!L7="Паладин",VLOOKUP('Лист персонажа 1'!M7,Паладин!G6:K25,3,0),IF('Лист персонажа 1'!L7="Рейнджер",VLOOKUP('Лист персонажа 1'!M7,Рейнджер!G6:K25,3,0),IF('Лист персонажа 1'!L7="Чародей",VLOOKUP('Лист персонажа 1'!M7,Чародей!G6:K25,3,0),0))))))))))),0)</f>
        <v>4</v>
      </c>
      <c r="E49" s="257">
        <f>IF('Лист персонажа 1'!M7&lt;&gt;0,IF('Лист персонажа 1'!L7="Воин",VLOOKUP('Лист персонажа 1'!M7,Воин!G6:K25,4,0),IF('Лист персонажа 1'!L7="Варвар",VLOOKUP('Лист персонажа 1'!M7,Варвар!G6:K25,4,0),IF('Лист персонажа 1'!L7="Вор",VLOOKUP('Лист персонажа 1'!M7,Вор!G6:K25,4,0),IF('Лист персонажа 1'!L7="Бард",VLOOKUP('Лист персонажа 1'!M7,Бард!G3:K22,4,0),IF('Лист персонажа 1'!L7="Друид",VLOOKUP('Лист персонажа 1'!M7,Друид!G6:K25,4,0),IF('Лист персонажа 1'!L7="Жрец",VLOOKUP('Лист персонажа 1'!M7,Жрец!G6:K25,4,0),IF('Лист персонажа 1'!L7="Маг",VLOOKUP('Лист персонажа 1'!M7,Маг!G6:K25,4,0),IF('Лист персонажа 1'!L7="Монах",VLOOKUP('Лист персонажа 1'!M7,Монах!G6:K25,4,0),IF('Лист персонажа 1'!L7="Паладин",VLOOKUP('Лист персонажа 1'!M7,Паладин!G6:K25,4,0),IF('Лист персонажа 1'!L7="Рейнджер",VLOOKUP('Лист персонажа 1'!M7,Рейнджер!G6:K25,4,0),IF('Лист персонажа 1'!L7="Чародей",VLOOKUP('Лист персонажа 1'!M7,Чародей!G6:K25,4,0),0))))))))))),0)</f>
        <v>1</v>
      </c>
      <c r="F49" s="258">
        <f>IF('Лист персонажа 1'!M7&lt;&gt;0,IF('Лист персонажа 1'!L7="Воин",VLOOKUP('Лист персонажа 1'!M7,Воин!G6:K25,5,0),IF('Лист персонажа 1'!L7="Варвар",VLOOKUP('Лист персонажа 1'!M7,Варвар!G6:K25,5,0),IF('Лист персонажа 1'!L7="Вор",VLOOKUP('Лист персонажа 1'!M7,Вор!G6:K25,5,0),IF('Лист персонажа 1'!L7="Бард",VLOOKUP('Лист персонажа 1'!M7,Бард!G3:K22,5,0),IF('Лист персонажа 1'!L7="Друид",VLOOKUP('Лист персонажа 1'!M7,Друид!G6:K25,5,0),IF('Лист персонажа 1'!L7="Жрец",VLOOKUP('Лист персонажа 1'!M7,Жрец!G6:K25,5,0),IF('Лист персонажа 1'!L7="Маг",VLOOKUP('Лист персонажа 1'!M7,Маг!G6:K25,5,0),IF('Лист персонажа 1'!L7="Монах",VLOOKUP('Лист персонажа 1'!M7,Монах!G6:K25,5,0),IF('Лист персонажа 1'!L7="Паладин",VLOOKUP('Лист персонажа 1'!M7,Паладин!G6:K25,5,0),IF('Лист персонажа 1'!L7="Рейнджер",VLOOKUP('Лист персонажа 1'!M7,Рейнджер!G6:K25,5,0),IF('Лист персонажа 1'!L7="Чародей",VLOOKUP('Лист персонажа 1'!M7,Чародей!G6:K25,5,0),0))))))))))),0)</f>
        <v>1</v>
      </c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54"/>
    </row>
    <row r="50" spans="1:24" ht="27.75" customHeight="1" thickTop="1" thickBot="1">
      <c r="A50" s="54"/>
      <c r="B50" s="299"/>
      <c r="C50" s="380">
        <v>2</v>
      </c>
      <c r="D50" s="257">
        <f>IF('Лист персонажа 1'!M8&lt;&gt;0,IF('Лист персонажа 1'!L8="Воин",VLOOKUP('Лист персонажа 1'!M8,Воин!G6:K25,3,0),IF('Лист персонажа 1'!L8="Варвар",VLOOKUP('Лист персонажа 1'!M8,Варвар!G6:K25,3,0),IF('Лист персонажа 1'!L8="Вор",VLOOKUP('Лист персонажа 1'!M8,Вор!G6:K25,3,0),IF('Лист персонажа 1'!L8="Бард",VLOOKUP('Лист персонажа 1'!M8,Бард!G3:K22,3,0),IF('Лист персонажа 1'!L8="Друид",VLOOKUP('Лист персонажа 1'!M8,Друид!G6:K25,3,0),IF('Лист персонажа 1'!L8="Жрец",VLOOKUP('Лист персонажа 1'!M8,Жрец!G6:K25,3,0),IF('Лист персонажа 1'!L8="Маг",VLOOKUP('Лист персонажа 1'!M8,Маг!G6:K25,3,0),IF('Лист персонажа 1'!L8="Монах",VLOOKUP('Лист персонажа 1'!M8,Монах!G6:K25,3,0),IF('Лист персонажа 1'!L8="Паладин",VLOOKUP('Лист персонажа 1'!M8,Паладин!G6:K25,3,0),IF('Лист персонажа 1'!L8="Рейнджер",VLOOKUP('Лист персонажа 1'!M8,Рейнджер!G6:K25,3,0),IF('Лист персонажа 1'!L8="Чародей",VLOOKUP('Лист персонажа 1'!M8,Чародей!G6:K25,3,0),0))))))))))),0)</f>
        <v>0</v>
      </c>
      <c r="E50" s="257">
        <f>IF('Лист персонажа 1'!M8&lt;&gt;0,IF('Лист персонажа 1'!L8="Воин",VLOOKUP('Лист персонажа 1'!M8,Воин!G6:K25,4,0),IF('Лист персонажа 1'!L8="Варвар",VLOOKUP('Лист персонажа 1'!M8,Варвар!G6:K25,4,0),IF('Лист персонажа 1'!L8="Вор",VLOOKUP('Лист персонажа 1'!M8,Вор!G6:K25,4,0),IF('Лист персонажа 1'!L8="Бард",VLOOKUP('Лист персонажа 1'!M8,Бард!G3:K22,4,0),IF('Лист персонажа 1'!L8="Друид",VLOOKUP('Лист персонажа 1'!M8,Друид!G6:K25,4,0),IF('Лист персонажа 1'!L8="Жрец",VLOOKUP('Лист персонажа 1'!M8,Жрец!G6:K25,4,0),IF('Лист персонажа 1'!L8="Маг",VLOOKUP('Лист персонажа 1'!M8,Маг!G6:K25,4,0),IF('Лист персонажа 1'!L8="Монах",VLOOKUP('Лист персонажа 1'!M8,Монах!G6:K25,4,0),IF('Лист персонажа 1'!L8="Паладин",VLOOKUP('Лист персонажа 1'!M8,Паладин!G6:K25,4,0),IF('Лист персонажа 1'!L8="Рейнджер",VLOOKUP('Лист персонажа 1'!M8,Рейнджер!G6:K25,4,0),IF('Лист персонажа 1'!L8="Чародей",VLOOKUP('Лист персонажа 1'!M8,Чародей!G6:K25,4,0),0))))))))))),0)</f>
        <v>0</v>
      </c>
      <c r="F50" s="258">
        <f>IF('Лист персонажа 1'!M8&lt;&gt;0,IF('Лист персонажа 1'!L8="Воин",VLOOKUP('Лист персонажа 1'!M8,Воин!G6:K25,5,0),IF('Лист персонажа 1'!L8="Варвар",VLOOKUP('Лист персонажа 1'!M8,Варвар!G6:K25,5,0),IF('Лист персонажа 1'!L8="Вор",VLOOKUP('Лист персонажа 1'!M8,Вор!G6:K25,5,0),IF('Лист персонажа 1'!L8="Бард",VLOOKUP('Лист персонажа 1'!M8,Бард!G3:K22,5,0),IF('Лист персонажа 1'!L8="Друид",VLOOKUP('Лист персонажа 1'!M8,Друид!G6:K25,5,0),IF('Лист персонажа 1'!L8="Жрец",VLOOKUP('Лист персонажа 1'!M8,Жрец!G6:K25,5,0),IF('Лист персонажа 1'!L8="Маг",VLOOKUP('Лист персонажа 1'!M8,Маг!G6:K25,5,0),IF('Лист персонажа 1'!L8="Монах",VLOOKUP('Лист персонажа 1'!M8,Монах!G6:K25,5,0),IF('Лист персонажа 1'!L8="Паладин",VLOOKUP('Лист персонажа 1'!M8,Паладин!G6:K25,5,0),IF('Лист персонажа 1'!L8="Рейнджер",VLOOKUP('Лист персонажа 1'!M8,Рейнджер!G6:K25,5,0),IF('Лист персонажа 1'!L8="Чародей",VLOOKUP('Лист персонажа 1'!M8,Чародей!G6:K25,5,0),0))))))))))),0)</f>
        <v>0</v>
      </c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54"/>
    </row>
    <row r="51" spans="1:24" ht="27.75" customHeight="1" thickTop="1" thickBot="1">
      <c r="A51" s="54"/>
      <c r="B51" s="299"/>
      <c r="C51" s="380">
        <v>3</v>
      </c>
      <c r="D51" s="257">
        <f>IF('Лист персонажа 1'!M9&lt;&gt;0,IF('Лист персонажа 1'!L9="Воин",VLOOKUP('Лист персонажа 1'!M9,Воин!G6:K25,3,0),IF('Лист персонажа 1'!L9="Варвар",VLOOKUP('Лист персонажа 1'!M9,Варвар!G6:K25,3,0),IF('Лист персонажа 1'!L9="Вор",VLOOKUP('Лист персонажа 1'!M9,Вор!G6:K25,3,0),IF('Лист персонажа 1'!L9="Бард",VLOOKUP('Лист персонажа 1'!M9,Бард!G3:K22,3,0),IF('Лист персонажа 1'!L9="Друид",VLOOKUP('Лист персонажа 1'!M9,Друид!G6:K25,3,0),IF('Лист персонажа 1'!L9="Жрец",VLOOKUP('Лист персонажа 1'!M9,Жрец!G6:K25,3,0),IF('Лист персонажа 1'!L9="Маг",VLOOKUP('Лист персонажа 1'!M9,Маг!G6:K25,3,0),IF('Лист персонажа 1'!L9="Монах",VLOOKUP('Лист персонажа 1'!M9,Монах!G6:K25,3,0),IF('Лист персонажа 1'!L9="Паладин",VLOOKUP('Лист персонажа 1'!M9,Паладин!G6:K25,3,0),IF('Лист персонажа 1'!L9="Рейнджер",VLOOKUP('Лист персонажа 1'!M9,Рейнджер!G6:K25,3,0),IF('Лист персонажа 1'!L9="Чародей",VLOOKUP('Лист персонажа 1'!M9,Чародей!G6:K25,3,0),0))))))))))),0)</f>
        <v>0</v>
      </c>
      <c r="E51" s="257">
        <f>IF('Лист персонажа 1'!M9&lt;&gt;0,IF('Лист персонажа 1'!L9="Воин",VLOOKUP('Лист персонажа 1'!M9,Воин!G6:K25,4,0),IF('Лист персонажа 1'!L9="Варвар",VLOOKUP('Лист персонажа 1'!M9,Варвар!G6:K25,4,0),IF('Лист персонажа 1'!L9="Вор",VLOOKUP('Лист персонажа 1'!M9,Вор!G6:K25,4,0),IF('Лист персонажа 1'!L9="Бард",VLOOKUP('Лист персонажа 1'!M9,Бард!G3:K22,4,0),IF('Лист персонажа 1'!L9="Друид",VLOOKUP('Лист персонажа 1'!M9,Друид!G6:K25,4,0),IF('Лист персонажа 1'!L9="Жрец",VLOOKUP('Лист персонажа 1'!M9,Жрец!G6:K25,4,0),IF('Лист персонажа 1'!L9="Маг",VLOOKUP('Лист персонажа 1'!M9,Маг!G6:K25,4,0),IF('Лист персонажа 1'!L9="Монах",VLOOKUP('Лист персонажа 1'!M9,Монах!G6:K25,4,0),IF('Лист персонажа 1'!L9="Паладин",VLOOKUP('Лист персонажа 1'!M9,Паладин!G6:K25,4,0),IF('Лист персонажа 1'!L9="Рейнджер",VLOOKUP('Лист персонажа 1'!M9,Рейнджер!G6:K25,4,0),IF('Лист персонажа 1'!L9="Чародей",VLOOKUP('Лист персонажа 1'!M9,Чародей!G6:K25,4,0),0))))))))))),0)</f>
        <v>0</v>
      </c>
      <c r="F51" s="258">
        <f>IF('Лист персонажа 1'!M9&lt;&gt;0,IF('Лист персонажа 1'!L9="Воин",VLOOKUP('Лист персонажа 1'!M9,Воин!G6:K25,5,0),IF('Лист персонажа 1'!L9="Варвар",VLOOKUP('Лист персонажа 1'!M9,Варвар!G6:K25,5,0),IF('Лист персонажа 1'!L9="Вор",VLOOKUP('Лист персонажа 1'!M9,Вор!G6:K25,5,0),IF('Лист персонажа 1'!L9="Бард",VLOOKUP('Лист персонажа 1'!M9,Бард!G3:K22,5,0),IF('Лист персонажа 1'!L9="Друид",VLOOKUP('Лист персонажа 1'!M9,Друид!G6:K25,5,0),IF('Лист персонажа 1'!L9="Жрец",VLOOKUP('Лист персонажа 1'!M9,Жрец!G6:K25,5,0),IF('Лист персонажа 1'!L9="Маг",VLOOKUP('Лист персонажа 1'!M9,Маг!G6:K25,5,0),IF('Лист персонажа 1'!L9="Монах",VLOOKUP('Лист персонажа 1'!M9,Монах!G6:K25,5,0),IF('Лист персонажа 1'!L9="Паладин",VLOOKUP('Лист персонажа 1'!M9,Паладин!G6:K25,5,0),IF('Лист персонажа 1'!L9="Рейнджер",VLOOKUP('Лист персонажа 1'!M9,Рейнджер!G6:K25,5,0),IF('Лист персонажа 1'!L9="Чародей",VLOOKUP('Лист персонажа 1'!M9,Чародей!G6:K25,5,0),0))))))))))),0)</f>
        <v>0</v>
      </c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54"/>
    </row>
    <row r="52" spans="1:24" ht="27.75" customHeight="1" thickTop="1" thickBot="1">
      <c r="A52" s="54"/>
      <c r="B52" s="299"/>
      <c r="C52" s="380">
        <v>4</v>
      </c>
      <c r="D52" s="257">
        <f>IF('Лист персонажа 1'!M10&lt;&gt;0,IF('Лист персонажа 1'!L10="Воин",VLOOKUP('Лист персонажа 1'!M10,Воин!G6:K25,3,0),IF('Лист персонажа 1'!L10="Варвар",VLOOKUP('Лист персонажа 1'!M10,Варвар!G6:K25,3,0),IF('Лист персонажа 1'!L10="Вор",VLOOKUP('Лист персонажа 1'!M10,Вор!G6:K25,3,0),IF('Лист персонажа 1'!L10="Бард",VLOOKUP('Лист персонажа 1'!M10,Бард!G3:K22,3,0),IF('Лист персонажа 1'!L10="Друид",VLOOKUP('Лист персонажа 1'!M10,Друид!G6:K25,3,0),IF('Лист персонажа 1'!L10="Жрец",VLOOKUP('Лист персонажа 1'!M10,Жрец!G6:K25,3,0),IF('Лист персонажа 1'!L10="Маг",VLOOKUP('Лист персонажа 1'!M10,Маг!G6:K25,3,0),IF('Лист персонажа 1'!L10="Монах",VLOOKUP('Лист персонажа 1'!M10,Монах!G6:K25,3,0),IF('Лист персонажа 1'!L10="Паладин",VLOOKUP('Лист персонажа 1'!M10,Паладин!G6:K25,3,0),IF('Лист персонажа 1'!L10="Рейнджер",VLOOKUP('Лист персонажа 1'!M10,Рейнджер!G6:K25,3,0),IF('Лист персонажа 1'!L10="Чародей",VLOOKUP('Лист персонажа 1'!M10,Чародей!G6:K25,3,0),0))))))))))),0)</f>
        <v>0</v>
      </c>
      <c r="E52" s="257">
        <f>IF('Лист персонажа 1'!M10&lt;&gt;0,IF('Лист персонажа 1'!L10="Воин",VLOOKUP('Лист персонажа 1'!M10,Воин!G6:K25,4,0),IF('Лист персонажа 1'!L10="Варвар",VLOOKUP('Лист персонажа 1'!M10,Варвар!G6:K25,4,0),IF('Лист персонажа 1'!L10="Вор",VLOOKUP('Лист персонажа 1'!M10,Вор!G6:K25,4,0),IF('Лист персонажа 1'!L10="Бард",VLOOKUP('Лист персонажа 1'!M10,Бард!G3:K22,4,0),IF('Лист персонажа 1'!L10="Друид",VLOOKUP('Лист персонажа 1'!M10,Друид!G6:K25,4,0),IF('Лист персонажа 1'!L10="Жрец",VLOOKUP('Лист персонажа 1'!M10,Жрец!G6:K25,4,0),IF('Лист персонажа 1'!L10="Маг",VLOOKUP('Лист персонажа 1'!M10,Маг!G6:K25,4,0),IF('Лист персонажа 1'!L10="Монах",VLOOKUP('Лист персонажа 1'!M10,Монах!G6:K25,4,0),IF('Лист персонажа 1'!L10="Паладин",VLOOKUP('Лист персонажа 1'!M10,Паладин!G6:K25,4,0),IF('Лист персонажа 1'!L10="Рейнджер",VLOOKUP('Лист персонажа 1'!M10,Рейнджер!G6:K25,4,0),IF('Лист персонажа 1'!L10="Чародей",VLOOKUP('Лист персонажа 1'!M10,Чародей!G6:K25,4,0),0))))))))))),0)</f>
        <v>0</v>
      </c>
      <c r="F52" s="258">
        <f>IF('Лист персонажа 1'!M10&lt;&gt;0,IF('Лист персонажа 1'!L10="Воин",VLOOKUP('Лист персонажа 1'!M10,Воин!G6:K25,5,0),IF('Лист персонажа 1'!L10="Варвар",VLOOKUP('Лист персонажа 1'!M10,Варвар!G6:K25,5,0),IF('Лист персонажа 1'!L10="Вор",VLOOKUP('Лист персонажа 1'!M10,Вор!G6:K25,5,0),IF('Лист персонажа 1'!L10="Бард",VLOOKUP('Лист персонажа 1'!M10,Бард!G3:K22,5,0),IF('Лист персонажа 1'!L10="Друид",VLOOKUP('Лист персонажа 1'!M10,Друид!G6:K25,5,0),IF('Лист персонажа 1'!L10="Жрец",VLOOKUP('Лист персонажа 1'!M10,Жрец!G6:K25,5,0),IF('Лист персонажа 1'!L10="Маг",VLOOKUP('Лист персонажа 1'!M10,Маг!G6:K25,5,0),IF('Лист персонажа 1'!L10="Монах",VLOOKUP('Лист персонажа 1'!M10,Монах!G6:K25,5,0),IF('Лист персонажа 1'!L10="Паладин",VLOOKUP('Лист персонажа 1'!M10,Паладин!G6:K25,5,0),IF('Лист персонажа 1'!L10="Рейнджер",VLOOKUP('Лист персонажа 1'!M10,Рейнджер!G6:K25,5,0),IF('Лист персонажа 1'!L10="Чародей",VLOOKUP('Лист персонажа 1'!M10,Чародей!G6:K25,5,0),0))))))))))),0)</f>
        <v>0</v>
      </c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54"/>
    </row>
    <row r="53" spans="1:24" ht="27.75" customHeight="1" thickTop="1" thickBot="1">
      <c r="A53" s="54"/>
      <c r="B53" s="299"/>
      <c r="C53" s="261">
        <v>5</v>
      </c>
      <c r="D53" s="259">
        <f>IF('Лист персонажа 1'!M11&lt;&gt;0,IF('Лист персонажа 1'!L11="Воин",VLOOKUP('Лист персонажа 1'!M11,Воин!G6:K25,3,0),IF('Лист персонажа 1'!L11="Варвар",VLOOKUP('Лист персонажа 1'!M11,Варвар!G6:K25,3,0),IF('Лист персонажа 1'!L11="Вор",VLOOKUP('Лист персонажа 1'!M11,Вор!G6:K25,3,0),IF('Лист персонажа 1'!L11="Бард",VLOOKUP('Лист персонажа 1'!M11,Бард!G3:K22,3,0),IF('Лист персонажа 1'!L11="Друид",VLOOKUP('Лист персонажа 1'!M11,Друид!G6:K25,3,0),IF('Лист персонажа 1'!L11="Жрец",VLOOKUP('Лист персонажа 1'!M11,Жрец!G6:K25,3,0),IF('Лист персонажа 1'!L11="Маг",VLOOKUP('Лист персонажа 1'!M11,Маг!G6:K25,3,0),IF('Лист персонажа 1'!L11="Монах",VLOOKUP('Лист персонажа 1'!M11,Монах!G6:K25,3,0),IF('Лист персонажа 1'!L11="Паладин",VLOOKUP('Лист персонажа 1'!M11,Паладин!G6:K25,3,0),IF('Лист персонажа 1'!L11="Рейнджер",VLOOKUP('Лист персонажа 1'!M11,Рейнджер!G6:K25,3,0),IF('Лист персонажа 1'!L11="Чародей",VLOOKUP('Лист персонажа 1'!M11,Чародей!G6:K25,3,0),0))))))))))),0)</f>
        <v>0</v>
      </c>
      <c r="E53" s="259">
        <f>IF('Лист персонажа 1'!M11&lt;&gt;0,IF('Лист персонажа 1'!L11="Воин",VLOOKUP('Лист персонажа 1'!M11,Воин!G6:K25,4,0),IF('Лист персонажа 1'!L11="Варвар",VLOOKUP('Лист персонажа 1'!M11,Варвар!G6:K25,4,0),IF('Лист персонажа 1'!L11="Вор",VLOOKUP('Лист персонажа 1'!M11,Вор!G6:K25,4,0),IF('Лист персонажа 1'!L11="Бард",VLOOKUP('Лист персонажа 1'!M11,Бард!G3:K22,4,0),IF('Лист персонажа 1'!L11="Друид",VLOOKUP('Лист персонажа 1'!M11,Друид!G6:K25,4,0),IF('Лист персонажа 1'!L11="Жрец",VLOOKUP('Лист персонажа 1'!M11,Жрец!G6:K25,4,0),IF('Лист персонажа 1'!L11="Маг",VLOOKUP('Лист персонажа 1'!M11,Маг!G6:K25,4,0),IF('Лист персонажа 1'!L11="Монах",VLOOKUP('Лист персонажа 1'!M11,Монах!G6:K25,4,0),IF('Лист персонажа 1'!L11="Паладин",VLOOKUP('Лист персонажа 1'!M11,Паладин!G6:K25,4,0),IF('Лист персонажа 1'!L11="Рейнджер",VLOOKUP('Лист персонажа 1'!M11,Рейнджер!G6:K25,4,0),IF('Лист персонажа 1'!L11="Чародей",VLOOKUP('Лист персонажа 1'!M11,Чародей!G6:K25,4,0),0))))))))))),0)</f>
        <v>0</v>
      </c>
      <c r="F53" s="260">
        <f>IF('Лист персонажа 1'!M11&lt;&gt;0,IF('Лист персонажа 1'!L11="Воин",VLOOKUP('Лист персонажа 1'!M11,Воин!G6:K25,5,0),IF('Лист персонажа 1'!L11="Варвар",VLOOKUP('Лист персонажа 1'!M11,Варвар!G6:K25,5,0),IF('Лист персонажа 1'!L11="Вор",VLOOKUP('Лист персонажа 1'!M11,Вор!G6:K25,5,0),IF('Лист персонажа 1'!L11="Бард",VLOOKUP('Лист персонажа 1'!M11,Бард!G3:K22,5,0),IF('Лист персонажа 1'!L11="Друид",VLOOKUP('Лист персонажа 1'!M11,Друид!G6:K25,5,0),IF('Лист персонажа 1'!L11="Жрец",VLOOKUP('Лист персонажа 1'!M11,Жрец!G6:K25,5,0),IF('Лист персонажа 1'!L11="Маг",VLOOKUP('Лист персонажа 1'!M11,Маг!G6:K25,5,0),IF('Лист персонажа 1'!L11="Монах",VLOOKUP('Лист персонажа 1'!M11,Монах!G6:K25,5,0),IF('Лист персонажа 1'!L11="Паладин",VLOOKUP('Лист персонажа 1'!M11,Паладин!G6:K25,5,0),IF('Лист персонажа 1'!L11="Рейнджер",VLOOKUP('Лист персонажа 1'!M11,Рейнджер!G6:K25,5,0),IF('Лист персонажа 1'!L11="Чародей",VLOOKUP('Лист персонажа 1'!M11,Чародей!G6:K25,5,0),0))))))))))),0)</f>
        <v>0</v>
      </c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54"/>
    </row>
    <row r="54" spans="1:24" ht="27.75" customHeight="1" thickTop="1">
      <c r="A54" s="54"/>
      <c r="B54" s="299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54"/>
    </row>
    <row r="55" spans="1:24" ht="25.5" customHeight="1" thickBot="1">
      <c r="A55" s="54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4"/>
    </row>
    <row r="56" spans="1:24" ht="27.75" customHeight="1" thickTop="1"/>
    <row r="57" spans="1:24" ht="27.75" customHeight="1"/>
    <row r="58" spans="1:24" ht="30.75" customHeight="1"/>
    <row r="59" spans="1:24" ht="27.75" customHeight="1"/>
    <row r="60" spans="1:24" ht="27.75" customHeight="1"/>
    <row r="61" spans="1:24" ht="27.75" customHeight="1"/>
    <row r="62" spans="1:24" ht="33" customHeight="1"/>
    <row r="63" spans="1:24" ht="40.5" customHeight="1"/>
    <row r="65" ht="27.75" customHeight="1"/>
    <row r="66" ht="27.75" customHeight="1"/>
    <row r="67" ht="27.75" customHeight="1"/>
    <row r="68" ht="38.25" customHeight="1"/>
    <row r="69" ht="27.75" customHeight="1"/>
    <row r="70" ht="27.75" customHeight="1"/>
    <row r="71" ht="34.5" customHeight="1"/>
    <row r="72" ht="27.75" customHeight="1"/>
    <row r="73" ht="27.75" customHeight="1"/>
    <row r="74" ht="27.7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27.75" customHeight="1"/>
    <row r="83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30" customHeight="1"/>
    <row r="113" ht="27.75" customHeight="1"/>
    <row r="114" ht="27.75" customHeight="1"/>
    <row r="115" ht="27.75" customHeight="1"/>
    <row r="116" ht="27.75" customHeight="1"/>
    <row r="117" ht="27.75" customHeight="1"/>
    <row r="118" ht="27.75" customHeight="1"/>
    <row r="119" ht="27.75" customHeight="1"/>
    <row r="120" ht="27.75" customHeight="1"/>
    <row r="121" ht="27.75" customHeight="1"/>
    <row r="122" ht="27.75" customHeight="1"/>
    <row r="123" ht="27.75" customHeight="1"/>
    <row r="124" ht="27.75" customHeight="1"/>
    <row r="125" ht="27.75" customHeight="1"/>
    <row r="126" ht="27.75" customHeight="1"/>
    <row r="127" ht="27.75" customHeight="1"/>
    <row r="128" ht="27.75" customHeight="1"/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/>
    </dataRefs>
  </dataConsolidate>
  <mergeCells count="108">
    <mergeCell ref="U34:V34"/>
    <mergeCell ref="C34:C35"/>
    <mergeCell ref="I34:J34"/>
    <mergeCell ref="K34:L34"/>
    <mergeCell ref="M34:N34"/>
    <mergeCell ref="D45:H45"/>
    <mergeCell ref="C27:E27"/>
    <mergeCell ref="F27:H27"/>
    <mergeCell ref="D47:D48"/>
    <mergeCell ref="E47:E48"/>
    <mergeCell ref="C47:C48"/>
    <mergeCell ref="F47:F48"/>
    <mergeCell ref="O34:P34"/>
    <mergeCell ref="Q34:R34"/>
    <mergeCell ref="S34:T34"/>
    <mergeCell ref="F4:H4"/>
    <mergeCell ref="D17:G17"/>
    <mergeCell ref="N4:O4"/>
    <mergeCell ref="C4:E4"/>
    <mergeCell ref="F13:H13"/>
    <mergeCell ref="I13:K13"/>
    <mergeCell ref="L13:M13"/>
    <mergeCell ref="C14:E14"/>
    <mergeCell ref="F14:H14"/>
    <mergeCell ref="I14:K14"/>
    <mergeCell ref="L14:M14"/>
    <mergeCell ref="C5:D5"/>
    <mergeCell ref="K5:L5"/>
    <mergeCell ref="C6:D6"/>
    <mergeCell ref="K6:L11"/>
    <mergeCell ref="C8:D8"/>
    <mergeCell ref="C10:D10"/>
    <mergeCell ref="C13:E13"/>
    <mergeCell ref="C15:D15"/>
    <mergeCell ref="E15:F15"/>
    <mergeCell ref="C16:D16"/>
    <mergeCell ref="E16:F16"/>
    <mergeCell ref="G16:M16"/>
    <mergeCell ref="G15:M15"/>
    <mergeCell ref="S24:T24"/>
    <mergeCell ref="S27:T27"/>
    <mergeCell ref="O18:T18"/>
    <mergeCell ref="O22:T22"/>
    <mergeCell ref="O19:P19"/>
    <mergeCell ref="Q19:R19"/>
    <mergeCell ref="S19:T19"/>
    <mergeCell ref="S20:T20"/>
    <mergeCell ref="Q20:R20"/>
    <mergeCell ref="O20:P20"/>
    <mergeCell ref="O23:P23"/>
    <mergeCell ref="Q23:R23"/>
    <mergeCell ref="S23:T23"/>
    <mergeCell ref="Q24:R24"/>
    <mergeCell ref="Q25:R25"/>
    <mergeCell ref="O25:P25"/>
    <mergeCell ref="Q26:R26"/>
    <mergeCell ref="O24:P24"/>
    <mergeCell ref="O26:P26"/>
    <mergeCell ref="O27:P27"/>
    <mergeCell ref="Q27:R27"/>
    <mergeCell ref="C28:E28"/>
    <mergeCell ref="F28:H28"/>
    <mergeCell ref="I28:K28"/>
    <mergeCell ref="G29:M29"/>
    <mergeCell ref="D41:H41"/>
    <mergeCell ref="D42:H42"/>
    <mergeCell ref="D43:H43"/>
    <mergeCell ref="D38:H38"/>
    <mergeCell ref="S25:T25"/>
    <mergeCell ref="S26:T26"/>
    <mergeCell ref="I27:K27"/>
    <mergeCell ref="L27:M27"/>
    <mergeCell ref="D39:H39"/>
    <mergeCell ref="D40:H40"/>
    <mergeCell ref="C29:D29"/>
    <mergeCell ref="E29:F29"/>
    <mergeCell ref="D36:H36"/>
    <mergeCell ref="D37:H37"/>
    <mergeCell ref="D31:G31"/>
    <mergeCell ref="C30:D30"/>
    <mergeCell ref="E30:F30"/>
    <mergeCell ref="G30:M30"/>
    <mergeCell ref="D34:H35"/>
    <mergeCell ref="L28:M28"/>
    <mergeCell ref="Q14:T14"/>
    <mergeCell ref="O14:P14"/>
    <mergeCell ref="O16:P16"/>
    <mergeCell ref="Q16:T16"/>
    <mergeCell ref="Q17:T17"/>
    <mergeCell ref="O17:P17"/>
    <mergeCell ref="O15:P15"/>
    <mergeCell ref="Q15:T15"/>
    <mergeCell ref="D44:H44"/>
    <mergeCell ref="C23:D23"/>
    <mergeCell ref="E23:F23"/>
    <mergeCell ref="G23:M23"/>
    <mergeCell ref="L21:M21"/>
    <mergeCell ref="C22:D22"/>
    <mergeCell ref="E22:F22"/>
    <mergeCell ref="C20:E20"/>
    <mergeCell ref="F20:H20"/>
    <mergeCell ref="I20:K20"/>
    <mergeCell ref="L20:M20"/>
    <mergeCell ref="C21:E21"/>
    <mergeCell ref="F21:H21"/>
    <mergeCell ref="I21:K21"/>
    <mergeCell ref="G22:M22"/>
    <mergeCell ref="D24:G2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7</xdr:col>
                    <xdr:colOff>533400</xdr:colOff>
                    <xdr:row>22</xdr:row>
                    <xdr:rowOff>314325</xdr:rowOff>
                  </from>
                  <to>
                    <xdr:col>7</xdr:col>
                    <xdr:colOff>800100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6</xdr:col>
                    <xdr:colOff>838200</xdr:colOff>
                    <xdr:row>22</xdr:row>
                    <xdr:rowOff>314325</xdr:rowOff>
                  </from>
                  <to>
                    <xdr:col>7</xdr:col>
                    <xdr:colOff>276225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723900</xdr:colOff>
                    <xdr:row>22</xdr:row>
                    <xdr:rowOff>314325</xdr:rowOff>
                  </from>
                  <to>
                    <xdr:col>8</xdr:col>
                    <xdr:colOff>142875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7</xdr:col>
                    <xdr:colOff>142875</xdr:colOff>
                    <xdr:row>22</xdr:row>
                    <xdr:rowOff>314325</xdr:rowOff>
                  </from>
                  <to>
                    <xdr:col>7</xdr:col>
                    <xdr:colOff>409575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7</xdr:col>
                    <xdr:colOff>352425</xdr:colOff>
                    <xdr:row>22</xdr:row>
                    <xdr:rowOff>314325</xdr:rowOff>
                  </from>
                  <to>
                    <xdr:col>7</xdr:col>
                    <xdr:colOff>561975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190500</xdr:colOff>
                    <xdr:row>22</xdr:row>
                    <xdr:rowOff>314325</xdr:rowOff>
                  </from>
                  <to>
                    <xdr:col>8</xdr:col>
                    <xdr:colOff>457200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8</xdr:col>
                    <xdr:colOff>742950</xdr:colOff>
                    <xdr:row>22</xdr:row>
                    <xdr:rowOff>314325</xdr:rowOff>
                  </from>
                  <to>
                    <xdr:col>8</xdr:col>
                    <xdr:colOff>1009650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8</xdr:col>
                    <xdr:colOff>381000</xdr:colOff>
                    <xdr:row>22</xdr:row>
                    <xdr:rowOff>314325</xdr:rowOff>
                  </from>
                  <to>
                    <xdr:col>8</xdr:col>
                    <xdr:colOff>647700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8</xdr:col>
                    <xdr:colOff>571500</xdr:colOff>
                    <xdr:row>22</xdr:row>
                    <xdr:rowOff>314325</xdr:rowOff>
                  </from>
                  <to>
                    <xdr:col>8</xdr:col>
                    <xdr:colOff>838200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9</xdr:col>
                    <xdr:colOff>47625</xdr:colOff>
                    <xdr:row>22</xdr:row>
                    <xdr:rowOff>314325</xdr:rowOff>
                  </from>
                  <to>
                    <xdr:col>9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9</xdr:col>
                    <xdr:colOff>619125</xdr:colOff>
                    <xdr:row>22</xdr:row>
                    <xdr:rowOff>314325</xdr:rowOff>
                  </from>
                  <to>
                    <xdr:col>9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9</xdr:col>
                    <xdr:colOff>238125</xdr:colOff>
                    <xdr:row>22</xdr:row>
                    <xdr:rowOff>314325</xdr:rowOff>
                  </from>
                  <to>
                    <xdr:col>9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9</xdr:col>
                    <xdr:colOff>428625</xdr:colOff>
                    <xdr:row>22</xdr:row>
                    <xdr:rowOff>314325</xdr:rowOff>
                  </from>
                  <to>
                    <xdr:col>9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10</xdr:col>
                    <xdr:colOff>47625</xdr:colOff>
                    <xdr:row>22</xdr:row>
                    <xdr:rowOff>314325</xdr:rowOff>
                  </from>
                  <to>
                    <xdr:col>10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10</xdr:col>
                    <xdr:colOff>619125</xdr:colOff>
                    <xdr:row>22</xdr:row>
                    <xdr:rowOff>314325</xdr:rowOff>
                  </from>
                  <to>
                    <xdr:col>10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10</xdr:col>
                    <xdr:colOff>238125</xdr:colOff>
                    <xdr:row>22</xdr:row>
                    <xdr:rowOff>314325</xdr:rowOff>
                  </from>
                  <to>
                    <xdr:col>10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10</xdr:col>
                    <xdr:colOff>428625</xdr:colOff>
                    <xdr:row>22</xdr:row>
                    <xdr:rowOff>314325</xdr:rowOff>
                  </from>
                  <to>
                    <xdr:col>10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10</xdr:col>
                    <xdr:colOff>800100</xdr:colOff>
                    <xdr:row>22</xdr:row>
                    <xdr:rowOff>314325</xdr:rowOff>
                  </from>
                  <to>
                    <xdr:col>10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11</xdr:col>
                    <xdr:colOff>47625</xdr:colOff>
                    <xdr:row>22</xdr:row>
                    <xdr:rowOff>314325</xdr:rowOff>
                  </from>
                  <to>
                    <xdr:col>11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11</xdr:col>
                    <xdr:colOff>619125</xdr:colOff>
                    <xdr:row>22</xdr:row>
                    <xdr:rowOff>314325</xdr:rowOff>
                  </from>
                  <to>
                    <xdr:col>11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11</xdr:col>
                    <xdr:colOff>238125</xdr:colOff>
                    <xdr:row>22</xdr:row>
                    <xdr:rowOff>314325</xdr:rowOff>
                  </from>
                  <to>
                    <xdr:col>11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11</xdr:col>
                    <xdr:colOff>428625</xdr:colOff>
                    <xdr:row>22</xdr:row>
                    <xdr:rowOff>314325</xdr:rowOff>
                  </from>
                  <to>
                    <xdr:col>11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11</xdr:col>
                    <xdr:colOff>800100</xdr:colOff>
                    <xdr:row>22</xdr:row>
                    <xdr:rowOff>314325</xdr:rowOff>
                  </from>
                  <to>
                    <xdr:col>11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12</xdr:col>
                    <xdr:colOff>47625</xdr:colOff>
                    <xdr:row>22</xdr:row>
                    <xdr:rowOff>314325</xdr:rowOff>
                  </from>
                  <to>
                    <xdr:col>12</xdr:col>
                    <xdr:colOff>314325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12</xdr:col>
                    <xdr:colOff>619125</xdr:colOff>
                    <xdr:row>22</xdr:row>
                    <xdr:rowOff>314325</xdr:rowOff>
                  </from>
                  <to>
                    <xdr:col>12</xdr:col>
                    <xdr:colOff>885825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12</xdr:col>
                    <xdr:colOff>238125</xdr:colOff>
                    <xdr:row>22</xdr:row>
                    <xdr:rowOff>314325</xdr:rowOff>
                  </from>
                  <to>
                    <xdr:col>12</xdr:col>
                    <xdr:colOff>504825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12</xdr:col>
                    <xdr:colOff>428625</xdr:colOff>
                    <xdr:row>22</xdr:row>
                    <xdr:rowOff>314325</xdr:rowOff>
                  </from>
                  <to>
                    <xdr:col>12</xdr:col>
                    <xdr:colOff>695325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12</xdr:col>
                    <xdr:colOff>800100</xdr:colOff>
                    <xdr:row>22</xdr:row>
                    <xdr:rowOff>314325</xdr:rowOff>
                  </from>
                  <to>
                    <xdr:col>12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9</xdr:col>
                    <xdr:colOff>800100</xdr:colOff>
                    <xdr:row>22</xdr:row>
                    <xdr:rowOff>314325</xdr:rowOff>
                  </from>
                  <to>
                    <xdr:col>9</xdr:col>
                    <xdr:colOff>981075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8</xdr:col>
                    <xdr:colOff>914400</xdr:colOff>
                    <xdr:row>22</xdr:row>
                    <xdr:rowOff>314325</xdr:rowOff>
                  </from>
                  <to>
                    <xdr:col>8</xdr:col>
                    <xdr:colOff>1181100</xdr:colOff>
                    <xdr:row>23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34" name="Check Box 81">
              <controlPr defaultSize="0" autoFill="0" autoLine="0" autoPict="0">
                <anchor moveWithCells="1">
                  <from>
                    <xdr:col>7</xdr:col>
                    <xdr:colOff>571500</xdr:colOff>
                    <xdr:row>16</xdr:row>
                    <xdr:rowOff>19050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35" name="Check Box 82">
              <controlPr defaultSize="0" autoFill="0" autoLine="0" autoPict="0">
                <anchor moveWithCells="1">
                  <from>
                    <xdr:col>6</xdr:col>
                    <xdr:colOff>866775</xdr:colOff>
                    <xdr:row>16</xdr:row>
                    <xdr:rowOff>19050</xdr:rowOff>
                  </from>
                  <to>
                    <xdr:col>7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36" name="Check Box 83">
              <controlPr defaultSize="0" autoFill="0" autoLine="0" autoPict="0">
                <anchor moveWithCells="1">
                  <from>
                    <xdr:col>7</xdr:col>
                    <xdr:colOff>762000</xdr:colOff>
                    <xdr:row>16</xdr:row>
                    <xdr:rowOff>19050</xdr:rowOff>
                  </from>
                  <to>
                    <xdr:col>8</xdr:col>
                    <xdr:colOff>171450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37" name="Check Box 84">
              <controlPr defaultSize="0" autoFill="0" autoLine="0" autoPict="0">
                <anchor moveWithCells="1">
                  <from>
                    <xdr:col>7</xdr:col>
                    <xdr:colOff>171450</xdr:colOff>
                    <xdr:row>16</xdr:row>
                    <xdr:rowOff>19050</xdr:rowOff>
                  </from>
                  <to>
                    <xdr:col>7</xdr:col>
                    <xdr:colOff>466725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38" name="Check Box 85">
              <controlPr defaultSize="0" autoFill="0" autoLine="0" autoPict="0">
                <anchor moveWithCells="1">
                  <from>
                    <xdr:col>7</xdr:col>
                    <xdr:colOff>371475</xdr:colOff>
                    <xdr:row>16</xdr:row>
                    <xdr:rowOff>19050</xdr:rowOff>
                  </from>
                  <to>
                    <xdr:col>7</xdr:col>
                    <xdr:colOff>542925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39" name="Check Box 86">
              <controlPr defaultSize="0" autoFill="0" autoLine="0" autoPict="0">
                <anchor moveWithCells="1">
                  <from>
                    <xdr:col>8</xdr:col>
                    <xdr:colOff>190500</xdr:colOff>
                    <xdr:row>16</xdr:row>
                    <xdr:rowOff>19050</xdr:rowOff>
                  </from>
                  <to>
                    <xdr:col>8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40" name="Check Box 87">
              <controlPr defaultSize="0" autoFill="0" autoLine="0" autoPict="0">
                <anchor moveWithCells="1">
                  <from>
                    <xdr:col>8</xdr:col>
                    <xdr:colOff>742950</xdr:colOff>
                    <xdr:row>16</xdr:row>
                    <xdr:rowOff>19050</xdr:rowOff>
                  </from>
                  <to>
                    <xdr:col>8</xdr:col>
                    <xdr:colOff>1019175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41" name="Check Box 88">
              <controlPr defaultSize="0" autoFill="0" autoLine="0" autoPict="0">
                <anchor moveWithCells="1">
                  <from>
                    <xdr:col>8</xdr:col>
                    <xdr:colOff>381000</xdr:colOff>
                    <xdr:row>16</xdr:row>
                    <xdr:rowOff>19050</xdr:rowOff>
                  </from>
                  <to>
                    <xdr:col>8</xdr:col>
                    <xdr:colOff>666750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42" name="Check Box 89">
              <controlPr defaultSize="0" autoFill="0" autoLine="0" autoPict="0">
                <anchor moveWithCells="1">
                  <from>
                    <xdr:col>8</xdr:col>
                    <xdr:colOff>571500</xdr:colOff>
                    <xdr:row>16</xdr:row>
                    <xdr:rowOff>19050</xdr:rowOff>
                  </from>
                  <to>
                    <xdr:col>8</xdr:col>
                    <xdr:colOff>857250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43" name="Check Box 90">
              <controlPr defaultSize="0" autoFill="0" autoLine="0" autoPict="0">
                <anchor moveWithCells="1">
                  <from>
                    <xdr:col>9</xdr:col>
                    <xdr:colOff>85725</xdr:colOff>
                    <xdr:row>16</xdr:row>
                    <xdr:rowOff>19050</xdr:rowOff>
                  </from>
                  <to>
                    <xdr:col>9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44" name="Check Box 91">
              <controlPr defaultSize="0" autoFill="0" autoLine="0" autoPict="0">
                <anchor moveWithCells="1">
                  <from>
                    <xdr:col>9</xdr:col>
                    <xdr:colOff>657225</xdr:colOff>
                    <xdr:row>16</xdr:row>
                    <xdr:rowOff>19050</xdr:rowOff>
                  </from>
                  <to>
                    <xdr:col>9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45" name="Check Box 92">
              <controlPr defaultSize="0" autoFill="0" autoLine="0" autoPict="0">
                <anchor moveWithCells="1">
                  <from>
                    <xdr:col>9</xdr:col>
                    <xdr:colOff>276225</xdr:colOff>
                    <xdr:row>16</xdr:row>
                    <xdr:rowOff>19050</xdr:rowOff>
                  </from>
                  <to>
                    <xdr:col>9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46" name="Check Box 93">
              <controlPr defaultSize="0" autoFill="0" autoLine="0" autoPict="0">
                <anchor moveWithCells="1">
                  <from>
                    <xdr:col>9</xdr:col>
                    <xdr:colOff>466725</xdr:colOff>
                    <xdr:row>16</xdr:row>
                    <xdr:rowOff>19050</xdr:rowOff>
                  </from>
                  <to>
                    <xdr:col>9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47" name="Check Box 94">
              <controlPr defaultSize="0" autoFill="0" autoLine="0" autoPict="0">
                <anchor moveWithCells="1">
                  <from>
                    <xdr:col>10</xdr:col>
                    <xdr:colOff>85725</xdr:colOff>
                    <xdr:row>16</xdr:row>
                    <xdr:rowOff>19050</xdr:rowOff>
                  </from>
                  <to>
                    <xdr:col>10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48" name="Check Box 95">
              <controlPr defaultSize="0" autoFill="0" autoLine="0" autoPict="0">
                <anchor moveWithCells="1">
                  <from>
                    <xdr:col>10</xdr:col>
                    <xdr:colOff>657225</xdr:colOff>
                    <xdr:row>16</xdr:row>
                    <xdr:rowOff>19050</xdr:rowOff>
                  </from>
                  <to>
                    <xdr:col>10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49" name="Check Box 96">
              <controlPr defaultSize="0" autoFill="0" autoLine="0" autoPict="0">
                <anchor moveWithCells="1">
                  <from>
                    <xdr:col>10</xdr:col>
                    <xdr:colOff>276225</xdr:colOff>
                    <xdr:row>16</xdr:row>
                    <xdr:rowOff>19050</xdr:rowOff>
                  </from>
                  <to>
                    <xdr:col>10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50" name="Check Box 97">
              <controlPr defaultSize="0" autoFill="0" autoLine="0" autoPict="0">
                <anchor moveWithCells="1">
                  <from>
                    <xdr:col>10</xdr:col>
                    <xdr:colOff>466725</xdr:colOff>
                    <xdr:row>16</xdr:row>
                    <xdr:rowOff>19050</xdr:rowOff>
                  </from>
                  <to>
                    <xdr:col>10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51" name="Check Box 98">
              <controlPr defaultSize="0" autoFill="0" autoLine="0" autoPict="0">
                <anchor moveWithCells="1">
                  <from>
                    <xdr:col>10</xdr:col>
                    <xdr:colOff>838200</xdr:colOff>
                    <xdr:row>16</xdr:row>
                    <xdr:rowOff>19050</xdr:rowOff>
                  </from>
                  <to>
                    <xdr:col>10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52" name="Check Box 9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19050</xdr:rowOff>
                  </from>
                  <to>
                    <xdr:col>11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53" name="Check Box 100">
              <controlPr defaultSize="0" autoFill="0" autoLine="0" autoPict="0">
                <anchor moveWithCells="1">
                  <from>
                    <xdr:col>11</xdr:col>
                    <xdr:colOff>638175</xdr:colOff>
                    <xdr:row>16</xdr:row>
                    <xdr:rowOff>19050</xdr:rowOff>
                  </from>
                  <to>
                    <xdr:col>11</xdr:col>
                    <xdr:colOff>914400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54" name="Check Box 101">
              <controlPr defaultSize="0" autoFill="0" autoLine="0" autoPict="0">
                <anchor moveWithCells="1">
                  <from>
                    <xdr:col>11</xdr:col>
                    <xdr:colOff>276225</xdr:colOff>
                    <xdr:row>16</xdr:row>
                    <xdr:rowOff>19050</xdr:rowOff>
                  </from>
                  <to>
                    <xdr:col>11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55" name="Check Box 102">
              <controlPr defaultSize="0" autoFill="0" autoLine="0" autoPict="0">
                <anchor moveWithCells="1">
                  <from>
                    <xdr:col>11</xdr:col>
                    <xdr:colOff>466725</xdr:colOff>
                    <xdr:row>16</xdr:row>
                    <xdr:rowOff>19050</xdr:rowOff>
                  </from>
                  <to>
                    <xdr:col>11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56" name="Check Box 103">
              <controlPr defaultSize="0" autoFill="0" autoLine="0" autoPict="0">
                <anchor moveWithCells="1">
                  <from>
                    <xdr:col>11</xdr:col>
                    <xdr:colOff>838200</xdr:colOff>
                    <xdr:row>16</xdr:row>
                    <xdr:rowOff>19050</xdr:rowOff>
                  </from>
                  <to>
                    <xdr:col>11</xdr:col>
                    <xdr:colOff>1019175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57" name="Check Box 104">
              <controlPr defaultSize="0" autoFill="0" autoLine="0" autoPict="0">
                <anchor moveWithCells="1">
                  <from>
                    <xdr:col>12</xdr:col>
                    <xdr:colOff>85725</xdr:colOff>
                    <xdr:row>16</xdr:row>
                    <xdr:rowOff>19050</xdr:rowOff>
                  </from>
                  <to>
                    <xdr:col>12</xdr:col>
                    <xdr:colOff>371475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58" name="Check Box 105">
              <controlPr defaultSize="0" autoFill="0" autoLine="0" autoPict="0">
                <anchor moveWithCells="1">
                  <from>
                    <xdr:col>12</xdr:col>
                    <xdr:colOff>657225</xdr:colOff>
                    <xdr:row>16</xdr:row>
                    <xdr:rowOff>19050</xdr:rowOff>
                  </from>
                  <to>
                    <xdr:col>12</xdr:col>
                    <xdr:colOff>942975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59" name="Check Box 106">
              <controlPr defaultSize="0" autoFill="0" autoLine="0" autoPict="0">
                <anchor moveWithCells="1">
                  <from>
                    <xdr:col>12</xdr:col>
                    <xdr:colOff>276225</xdr:colOff>
                    <xdr:row>16</xdr:row>
                    <xdr:rowOff>19050</xdr:rowOff>
                  </from>
                  <to>
                    <xdr:col>12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60" name="Check Box 107">
              <controlPr defaultSize="0" autoFill="0" autoLine="0" autoPict="0">
                <anchor moveWithCells="1">
                  <from>
                    <xdr:col>12</xdr:col>
                    <xdr:colOff>466725</xdr:colOff>
                    <xdr:row>16</xdr:row>
                    <xdr:rowOff>19050</xdr:rowOff>
                  </from>
                  <to>
                    <xdr:col>12</xdr:col>
                    <xdr:colOff>752475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61" name="Check Box 108">
              <controlPr defaultSize="0" autoFill="0" autoLine="0" autoPict="0">
                <anchor moveWithCells="1">
                  <from>
                    <xdr:col>12</xdr:col>
                    <xdr:colOff>838200</xdr:colOff>
                    <xdr:row>16</xdr:row>
                    <xdr:rowOff>19050</xdr:rowOff>
                  </from>
                  <to>
                    <xdr:col>12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62" name="Check Box 109">
              <controlPr defaultSize="0" autoFill="0" autoLine="0" autoPict="0">
                <anchor moveWithCells="1">
                  <from>
                    <xdr:col>9</xdr:col>
                    <xdr:colOff>838200</xdr:colOff>
                    <xdr:row>16</xdr:row>
                    <xdr:rowOff>19050</xdr:rowOff>
                  </from>
                  <to>
                    <xdr:col>9</xdr:col>
                    <xdr:colOff>1038225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63" name="Check Box 110">
              <controlPr defaultSize="0" autoFill="0" autoLine="0" autoPict="0">
                <anchor moveWithCells="1">
                  <from>
                    <xdr:col>8</xdr:col>
                    <xdr:colOff>914400</xdr:colOff>
                    <xdr:row>16</xdr:row>
                    <xdr:rowOff>19050</xdr:rowOff>
                  </from>
                  <to>
                    <xdr:col>8</xdr:col>
                    <xdr:colOff>1162050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64" name="Check Box 111">
              <controlPr defaultSize="0" autoFill="0" autoLine="0" autoPict="0">
                <anchor moveWithCells="1">
                  <from>
                    <xdr:col>7</xdr:col>
                    <xdr:colOff>523875</xdr:colOff>
                    <xdr:row>29</xdr:row>
                    <xdr:rowOff>466725</xdr:rowOff>
                  </from>
                  <to>
                    <xdr:col>7</xdr:col>
                    <xdr:colOff>790575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65" name="Check Box 112">
              <controlPr defaultSize="0" autoFill="0" autoLine="0" autoPict="0">
                <anchor moveWithCells="1">
                  <from>
                    <xdr:col>6</xdr:col>
                    <xdr:colOff>838200</xdr:colOff>
                    <xdr:row>30</xdr:row>
                    <xdr:rowOff>0</xdr:rowOff>
                  </from>
                  <to>
                    <xdr:col>7</xdr:col>
                    <xdr:colOff>266700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66" name="Check Box 113">
              <controlPr defaultSize="0" autoFill="0" autoLine="0" autoPict="0">
                <anchor moveWithCells="1">
                  <from>
                    <xdr:col>7</xdr:col>
                    <xdr:colOff>714375</xdr:colOff>
                    <xdr:row>29</xdr:row>
                    <xdr:rowOff>466725</xdr:rowOff>
                  </from>
                  <to>
                    <xdr:col>8</xdr:col>
                    <xdr:colOff>133350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67" name="Check Box 114">
              <controlPr defaultSize="0" autoFill="0" autoLine="0" autoPict="0">
                <anchor moveWithCells="1">
                  <from>
                    <xdr:col>7</xdr:col>
                    <xdr:colOff>342900</xdr:colOff>
                    <xdr:row>30</xdr:row>
                    <xdr:rowOff>0</xdr:rowOff>
                  </from>
                  <to>
                    <xdr:col>7</xdr:col>
                    <xdr:colOff>609600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68" name="Check Box 115">
              <controlPr defaultSize="0" autoFill="0" autoLine="0" autoPict="0">
                <anchor moveWithCells="1">
                  <from>
                    <xdr:col>7</xdr:col>
                    <xdr:colOff>142875</xdr:colOff>
                    <xdr:row>30</xdr:row>
                    <xdr:rowOff>0</xdr:rowOff>
                  </from>
                  <to>
                    <xdr:col>7</xdr:col>
                    <xdr:colOff>314325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69" name="Check Box 116">
              <controlPr defaultSize="0" autoFill="0" autoLine="0" autoPict="0">
                <anchor moveWithCells="1">
                  <from>
                    <xdr:col>8</xdr:col>
                    <xdr:colOff>257175</xdr:colOff>
                    <xdr:row>30</xdr:row>
                    <xdr:rowOff>0</xdr:rowOff>
                  </from>
                  <to>
                    <xdr:col>8</xdr:col>
                    <xdr:colOff>523875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70" name="Check Box 117">
              <controlPr defaultSize="0" autoFill="0" autoLine="0" autoPict="0">
                <anchor moveWithCells="1">
                  <from>
                    <xdr:col>8</xdr:col>
                    <xdr:colOff>809625</xdr:colOff>
                    <xdr:row>30</xdr:row>
                    <xdr:rowOff>0</xdr:rowOff>
                  </from>
                  <to>
                    <xdr:col>8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71" name="Check Box 118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0</xdr:rowOff>
                  </from>
                  <to>
                    <xdr:col>8</xdr:col>
                    <xdr:colOff>714375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72" name="Check Box 119">
              <controlPr defaultSize="0" autoFill="0" autoLine="0" autoPict="0">
                <anchor moveWithCells="1">
                  <from>
                    <xdr:col>8</xdr:col>
                    <xdr:colOff>638175</xdr:colOff>
                    <xdr:row>30</xdr:row>
                    <xdr:rowOff>0</xdr:rowOff>
                  </from>
                  <to>
                    <xdr:col>8</xdr:col>
                    <xdr:colOff>904875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73" name="Check Box 120">
              <controlPr defaultSize="0" autoFill="0" autoLine="0" autoPict="0">
                <anchor moveWithCells="1">
                  <from>
                    <xdr:col>9</xdr:col>
                    <xdr:colOff>76200</xdr:colOff>
                    <xdr:row>29</xdr:row>
                    <xdr:rowOff>466725</xdr:rowOff>
                  </from>
                  <to>
                    <xdr:col>9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74" name="Check Box 121">
              <controlPr defaultSize="0" autoFill="0" autoLine="0" autoPict="0">
                <anchor moveWithCells="1">
                  <from>
                    <xdr:col>9</xdr:col>
                    <xdr:colOff>628650</xdr:colOff>
                    <xdr:row>30</xdr:row>
                    <xdr:rowOff>0</xdr:rowOff>
                  </from>
                  <to>
                    <xdr:col>9</xdr:col>
                    <xdr:colOff>895350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75" name="Check Box 122">
              <controlPr defaultSize="0" autoFill="0" autoLine="0" autoPict="0">
                <anchor moveWithCells="1">
                  <from>
                    <xdr:col>9</xdr:col>
                    <xdr:colOff>266700</xdr:colOff>
                    <xdr:row>29</xdr:row>
                    <xdr:rowOff>466725</xdr:rowOff>
                  </from>
                  <to>
                    <xdr:col>9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76" name="Check Box 123">
              <controlPr defaultSize="0" autoFill="0" autoLine="0" autoPict="0">
                <anchor moveWithCells="1">
                  <from>
                    <xdr:col>9</xdr:col>
                    <xdr:colOff>457200</xdr:colOff>
                    <xdr:row>29</xdr:row>
                    <xdr:rowOff>466725</xdr:rowOff>
                  </from>
                  <to>
                    <xdr:col>9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77" name="Check Box 124">
              <controlPr defaultSize="0" autoFill="0" autoLine="0" autoPict="0">
                <anchor moveWithCells="1">
                  <from>
                    <xdr:col>10</xdr:col>
                    <xdr:colOff>76200</xdr:colOff>
                    <xdr:row>29</xdr:row>
                    <xdr:rowOff>466725</xdr:rowOff>
                  </from>
                  <to>
                    <xdr:col>10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78" name="Check Box 125">
              <controlPr defaultSize="0" autoFill="0" autoLine="0" autoPict="0">
                <anchor moveWithCells="1">
                  <from>
                    <xdr:col>10</xdr:col>
                    <xdr:colOff>647700</xdr:colOff>
                    <xdr:row>29</xdr:row>
                    <xdr:rowOff>466725</xdr:rowOff>
                  </from>
                  <to>
                    <xdr:col>10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79" name="Check Box 126">
              <controlPr defaultSize="0" autoFill="0" autoLine="0" autoPict="0">
                <anchor moveWithCells="1">
                  <from>
                    <xdr:col>10</xdr:col>
                    <xdr:colOff>266700</xdr:colOff>
                    <xdr:row>29</xdr:row>
                    <xdr:rowOff>466725</xdr:rowOff>
                  </from>
                  <to>
                    <xdr:col>10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80" name="Check Box 127">
              <controlPr defaultSize="0" autoFill="0" autoLine="0" autoPict="0">
                <anchor moveWithCells="1">
                  <from>
                    <xdr:col>10</xdr:col>
                    <xdr:colOff>457200</xdr:colOff>
                    <xdr:row>29</xdr:row>
                    <xdr:rowOff>466725</xdr:rowOff>
                  </from>
                  <to>
                    <xdr:col>10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81" name="Check Box 128">
              <controlPr defaultSize="0" autoFill="0" autoLine="0" autoPict="0">
                <anchor moveWithCells="1">
                  <from>
                    <xdr:col>10</xdr:col>
                    <xdr:colOff>828675</xdr:colOff>
                    <xdr:row>29</xdr:row>
                    <xdr:rowOff>466725</xdr:rowOff>
                  </from>
                  <to>
                    <xdr:col>10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82" name="Check Box 129">
              <controlPr defaultSize="0" autoFill="0" autoLine="0" autoPict="0">
                <anchor moveWithCells="1">
                  <from>
                    <xdr:col>11</xdr:col>
                    <xdr:colOff>76200</xdr:colOff>
                    <xdr:row>29</xdr:row>
                    <xdr:rowOff>466725</xdr:rowOff>
                  </from>
                  <to>
                    <xdr:col>11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83" name="Check Box 130">
              <controlPr defaultSize="0" autoFill="0" autoLine="0" autoPict="0">
                <anchor moveWithCells="1">
                  <from>
                    <xdr:col>11</xdr:col>
                    <xdr:colOff>647700</xdr:colOff>
                    <xdr:row>29</xdr:row>
                    <xdr:rowOff>466725</xdr:rowOff>
                  </from>
                  <to>
                    <xdr:col>11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84" name="Check Box 131">
              <controlPr defaultSize="0" autoFill="0" autoLine="0" autoPict="0">
                <anchor moveWithCells="1">
                  <from>
                    <xdr:col>11</xdr:col>
                    <xdr:colOff>266700</xdr:colOff>
                    <xdr:row>29</xdr:row>
                    <xdr:rowOff>466725</xdr:rowOff>
                  </from>
                  <to>
                    <xdr:col>11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85" name="Check Box 132">
              <controlPr defaultSize="0" autoFill="0" autoLine="0" autoPict="0">
                <anchor moveWithCells="1">
                  <from>
                    <xdr:col>11</xdr:col>
                    <xdr:colOff>457200</xdr:colOff>
                    <xdr:row>29</xdr:row>
                    <xdr:rowOff>466725</xdr:rowOff>
                  </from>
                  <to>
                    <xdr:col>11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86" name="Check Box 133">
              <controlPr defaultSize="0" autoFill="0" autoLine="0" autoPict="0">
                <anchor moveWithCells="1">
                  <from>
                    <xdr:col>11</xdr:col>
                    <xdr:colOff>828675</xdr:colOff>
                    <xdr:row>29</xdr:row>
                    <xdr:rowOff>466725</xdr:rowOff>
                  </from>
                  <to>
                    <xdr:col>11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87" name="Check Box 134">
              <controlPr defaultSize="0" autoFill="0" autoLine="0" autoPict="0">
                <anchor moveWithCells="1">
                  <from>
                    <xdr:col>12</xdr:col>
                    <xdr:colOff>76200</xdr:colOff>
                    <xdr:row>29</xdr:row>
                    <xdr:rowOff>466725</xdr:rowOff>
                  </from>
                  <to>
                    <xdr:col>12</xdr:col>
                    <xdr:colOff>342900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88" name="Check Box 135">
              <controlPr defaultSize="0" autoFill="0" autoLine="0" autoPict="0">
                <anchor moveWithCells="1">
                  <from>
                    <xdr:col>12</xdr:col>
                    <xdr:colOff>647700</xdr:colOff>
                    <xdr:row>29</xdr:row>
                    <xdr:rowOff>466725</xdr:rowOff>
                  </from>
                  <to>
                    <xdr:col>12</xdr:col>
                    <xdr:colOff>914400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89" name="Check Box 136">
              <controlPr defaultSize="0" autoFill="0" autoLine="0" autoPict="0">
                <anchor moveWithCells="1">
                  <from>
                    <xdr:col>12</xdr:col>
                    <xdr:colOff>266700</xdr:colOff>
                    <xdr:row>29</xdr:row>
                    <xdr:rowOff>466725</xdr:rowOff>
                  </from>
                  <to>
                    <xdr:col>12</xdr:col>
                    <xdr:colOff>533400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90" name="Check Box 137">
              <controlPr defaultSize="0" autoFill="0" autoLine="0" autoPict="0">
                <anchor moveWithCells="1">
                  <from>
                    <xdr:col>12</xdr:col>
                    <xdr:colOff>457200</xdr:colOff>
                    <xdr:row>29</xdr:row>
                    <xdr:rowOff>466725</xdr:rowOff>
                  </from>
                  <to>
                    <xdr:col>12</xdr:col>
                    <xdr:colOff>723900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91" name="Check Box 138">
              <controlPr defaultSize="0" autoFill="0" autoLine="0" autoPict="0">
                <anchor moveWithCells="1">
                  <from>
                    <xdr:col>12</xdr:col>
                    <xdr:colOff>828675</xdr:colOff>
                    <xdr:row>29</xdr:row>
                    <xdr:rowOff>466725</xdr:rowOff>
                  </from>
                  <to>
                    <xdr:col>12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92" name="Check Box 139">
              <controlPr defaultSize="0" autoFill="0" autoLine="0" autoPict="0">
                <anchor moveWithCells="1">
                  <from>
                    <xdr:col>9</xdr:col>
                    <xdr:colOff>828675</xdr:colOff>
                    <xdr:row>29</xdr:row>
                    <xdr:rowOff>466725</xdr:rowOff>
                  </from>
                  <to>
                    <xdr:col>9</xdr:col>
                    <xdr:colOff>1009650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93" name="Check Box 140">
              <controlPr defaultSize="0" autoFill="0" autoLine="0" autoPict="0">
                <anchor moveWithCells="1">
                  <from>
                    <xdr:col>8</xdr:col>
                    <xdr:colOff>981075</xdr:colOff>
                    <xdr:row>30</xdr:row>
                    <xdr:rowOff>0</xdr:rowOff>
                  </from>
                  <to>
                    <xdr:col>8</xdr:col>
                    <xdr:colOff>1228725</xdr:colOff>
                    <xdr:row>30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showGridLines="0" showRowColHeaders="0" workbookViewId="0">
      <selection activeCell="B4" sqref="B4:F4"/>
    </sheetView>
  </sheetViews>
  <sheetFormatPr defaultRowHeight="15"/>
  <sheetData>
    <row r="2" spans="2:19" ht="26.25" customHeight="1" thickBot="1">
      <c r="B2" s="742" t="s">
        <v>207</v>
      </c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3"/>
      <c r="N2" s="712" t="s">
        <v>152</v>
      </c>
      <c r="O2" s="713"/>
      <c r="P2" s="713"/>
      <c r="Q2" s="713"/>
      <c r="R2" s="713"/>
      <c r="S2" s="713"/>
    </row>
    <row r="3" spans="2:19" ht="26.25" customHeight="1">
      <c r="B3" s="744" t="s">
        <v>116</v>
      </c>
      <c r="C3" s="745"/>
      <c r="D3" s="745"/>
      <c r="E3" s="745"/>
      <c r="F3" s="746"/>
      <c r="G3" s="747" t="s">
        <v>117</v>
      </c>
      <c r="H3" s="748"/>
      <c r="I3" s="748"/>
      <c r="J3" s="749"/>
      <c r="K3" s="747" t="s">
        <v>118</v>
      </c>
      <c r="L3" s="748"/>
      <c r="M3" s="749"/>
      <c r="N3" s="714"/>
      <c r="O3" s="715"/>
      <c r="P3" s="715"/>
      <c r="Q3" s="716"/>
      <c r="R3" s="716"/>
      <c r="S3" s="717"/>
    </row>
    <row r="4" spans="2:19" ht="81.75" customHeight="1">
      <c r="B4" s="741"/>
      <c r="C4" s="741"/>
      <c r="D4" s="741"/>
      <c r="E4" s="741"/>
      <c r="F4" s="741"/>
      <c r="G4" s="734"/>
      <c r="H4" s="734"/>
      <c r="I4" s="734"/>
      <c r="J4" s="734"/>
      <c r="K4" s="734"/>
      <c r="L4" s="734"/>
      <c r="M4" s="734"/>
      <c r="N4" s="721" t="s">
        <v>91</v>
      </c>
      <c r="O4" s="722"/>
      <c r="P4" s="722"/>
      <c r="Q4" s="722" t="s">
        <v>966</v>
      </c>
      <c r="R4" s="722"/>
      <c r="S4" s="723"/>
    </row>
    <row r="5" spans="2:19" ht="74.25" customHeight="1">
      <c r="B5" s="730"/>
      <c r="C5" s="730"/>
      <c r="D5" s="730"/>
      <c r="E5" s="730"/>
      <c r="F5" s="730"/>
      <c r="G5" s="739"/>
      <c r="H5" s="739"/>
      <c r="I5" s="739"/>
      <c r="J5" s="739"/>
      <c r="K5" s="739"/>
      <c r="L5" s="739"/>
      <c r="M5" s="739"/>
      <c r="N5" s="724" t="s">
        <v>967</v>
      </c>
      <c r="O5" s="725"/>
      <c r="P5" s="725"/>
      <c r="Q5" s="725"/>
      <c r="R5" s="725"/>
      <c r="S5" s="726"/>
    </row>
    <row r="6" spans="2:19" ht="70.5" customHeight="1" thickBot="1">
      <c r="B6" s="741"/>
      <c r="C6" s="741"/>
      <c r="D6" s="741"/>
      <c r="E6" s="741"/>
      <c r="F6" s="741"/>
      <c r="G6" s="735"/>
      <c r="H6" s="735"/>
      <c r="I6" s="735"/>
      <c r="J6" s="735"/>
      <c r="K6" s="734"/>
      <c r="L6" s="734"/>
      <c r="M6" s="734"/>
      <c r="N6" s="718"/>
      <c r="O6" s="719"/>
      <c r="P6" s="719"/>
      <c r="Q6" s="719"/>
      <c r="R6" s="719"/>
      <c r="S6" s="720"/>
    </row>
    <row r="7" spans="2:19" ht="84" customHeight="1">
      <c r="B7" s="730"/>
      <c r="C7" s="730"/>
      <c r="D7" s="730"/>
      <c r="E7" s="730"/>
      <c r="F7" s="730"/>
      <c r="G7" s="736"/>
      <c r="H7" s="736"/>
      <c r="I7" s="736"/>
      <c r="J7" s="736"/>
      <c r="K7" s="736"/>
      <c r="L7" s="736"/>
      <c r="M7" s="736"/>
    </row>
    <row r="8" spans="2:19" ht="81.75" customHeight="1">
      <c r="B8" s="740"/>
      <c r="C8" s="740"/>
      <c r="D8" s="740"/>
      <c r="E8" s="740"/>
      <c r="F8" s="740"/>
      <c r="G8" s="737"/>
      <c r="H8" s="737"/>
      <c r="I8" s="737"/>
      <c r="J8" s="737"/>
      <c r="K8" s="737"/>
      <c r="L8" s="737"/>
      <c r="M8" s="737"/>
    </row>
    <row r="9" spans="2:19" ht="78.75" customHeight="1">
      <c r="B9" s="730"/>
      <c r="C9" s="730"/>
      <c r="D9" s="730"/>
      <c r="E9" s="730"/>
      <c r="F9" s="730"/>
      <c r="G9" s="738"/>
      <c r="H9" s="738"/>
      <c r="I9" s="738"/>
      <c r="J9" s="738"/>
      <c r="K9" s="736"/>
      <c r="L9" s="736"/>
      <c r="M9" s="736"/>
    </row>
    <row r="10" spans="2:19" ht="78" customHeight="1">
      <c r="B10" s="741"/>
      <c r="C10" s="741"/>
      <c r="D10" s="741"/>
      <c r="E10" s="741"/>
      <c r="F10" s="741"/>
      <c r="G10" s="734"/>
      <c r="H10" s="734"/>
      <c r="I10" s="734"/>
      <c r="J10" s="734"/>
      <c r="K10" s="734"/>
      <c r="L10" s="734"/>
      <c r="M10" s="734"/>
    </row>
    <row r="11" spans="2:19" ht="77.25" customHeight="1">
      <c r="B11" s="730"/>
      <c r="C11" s="730"/>
      <c r="D11" s="730"/>
      <c r="E11" s="730"/>
      <c r="F11" s="730"/>
      <c r="G11" s="739"/>
      <c r="H11" s="739"/>
      <c r="I11" s="739"/>
      <c r="J11" s="739"/>
      <c r="K11" s="739"/>
      <c r="L11" s="739"/>
      <c r="M11" s="739"/>
    </row>
    <row r="12" spans="2:19" ht="78.75" customHeight="1">
      <c r="B12" s="741"/>
      <c r="C12" s="741"/>
      <c r="D12" s="741"/>
      <c r="E12" s="741"/>
      <c r="F12" s="741"/>
      <c r="G12" s="735"/>
      <c r="H12" s="735"/>
      <c r="I12" s="735"/>
      <c r="J12" s="735"/>
      <c r="K12" s="734"/>
      <c r="L12" s="734"/>
      <c r="M12" s="734"/>
    </row>
    <row r="13" spans="2:19" ht="76.5" customHeight="1">
      <c r="B13" s="730"/>
      <c r="C13" s="730"/>
      <c r="D13" s="730"/>
      <c r="E13" s="730"/>
      <c r="F13" s="730"/>
      <c r="G13" s="736"/>
      <c r="H13" s="736"/>
      <c r="I13" s="736"/>
      <c r="J13" s="736"/>
      <c r="K13" s="736"/>
      <c r="L13" s="736"/>
      <c r="M13" s="736"/>
    </row>
    <row r="14" spans="2:19" ht="77.25" customHeight="1">
      <c r="B14" s="740"/>
      <c r="C14" s="740"/>
      <c r="D14" s="740"/>
      <c r="E14" s="740"/>
      <c r="F14" s="740"/>
      <c r="G14" s="737"/>
      <c r="H14" s="737"/>
      <c r="I14" s="737"/>
      <c r="J14" s="737"/>
      <c r="K14" s="737"/>
      <c r="L14" s="737"/>
      <c r="M14" s="737"/>
    </row>
    <row r="15" spans="2:19" ht="77.25" customHeight="1">
      <c r="B15" s="730"/>
      <c r="C15" s="730"/>
      <c r="D15" s="730"/>
      <c r="E15" s="730"/>
      <c r="F15" s="730"/>
      <c r="G15" s="738"/>
      <c r="H15" s="738"/>
      <c r="I15" s="738"/>
      <c r="J15" s="738"/>
      <c r="K15" s="736"/>
      <c r="L15" s="736"/>
      <c r="M15" s="736"/>
    </row>
    <row r="16" spans="2:19" ht="85.5" customHeight="1">
      <c r="B16" s="740"/>
      <c r="C16" s="740"/>
      <c r="D16" s="740"/>
      <c r="E16" s="740"/>
      <c r="F16" s="740"/>
      <c r="G16" s="737"/>
      <c r="H16" s="737"/>
      <c r="I16" s="737"/>
      <c r="J16" s="737"/>
      <c r="K16" s="737"/>
      <c r="L16" s="737"/>
      <c r="M16" s="737"/>
    </row>
    <row r="17" spans="2:13" ht="15" customHeight="1">
      <c r="B17" s="752" t="s">
        <v>130</v>
      </c>
      <c r="C17" s="753"/>
      <c r="D17" s="753"/>
      <c r="E17" s="753"/>
      <c r="F17" s="753"/>
      <c r="G17" s="753"/>
      <c r="H17" s="753"/>
      <c r="I17" s="753"/>
      <c r="J17" s="753"/>
      <c r="K17" s="753"/>
      <c r="L17" s="753"/>
      <c r="M17" s="754"/>
    </row>
    <row r="18" spans="2:13" ht="25.5">
      <c r="B18" s="751"/>
      <c r="C18" s="751"/>
      <c r="D18" s="751"/>
      <c r="E18" s="751"/>
      <c r="F18" s="751"/>
      <c r="G18" s="751"/>
      <c r="H18" s="296"/>
      <c r="I18" s="756"/>
      <c r="J18" s="756"/>
      <c r="K18" s="756"/>
      <c r="L18" s="756"/>
      <c r="M18" s="756"/>
    </row>
    <row r="19" spans="2:13" ht="18" customHeight="1">
      <c r="B19" s="755" t="s">
        <v>132</v>
      </c>
      <c r="C19" s="755"/>
      <c r="D19" s="755"/>
      <c r="E19" s="755"/>
      <c r="F19" s="755"/>
      <c r="G19" s="755"/>
      <c r="H19" s="296"/>
      <c r="I19" s="750" t="s">
        <v>133</v>
      </c>
      <c r="J19" s="750"/>
      <c r="K19" s="750"/>
      <c r="L19" s="750"/>
      <c r="M19" s="750"/>
    </row>
    <row r="20" spans="2:13" ht="25.5">
      <c r="B20" s="751"/>
      <c r="C20" s="751"/>
      <c r="D20" s="751"/>
      <c r="E20" s="751"/>
      <c r="F20" s="751"/>
      <c r="G20" s="751"/>
      <c r="H20" s="296"/>
      <c r="I20" s="732"/>
      <c r="J20" s="732"/>
      <c r="K20" s="732"/>
      <c r="L20" s="732"/>
      <c r="M20" s="732"/>
    </row>
    <row r="21" spans="2:13" ht="18.75" customHeight="1">
      <c r="B21" s="755" t="s">
        <v>137</v>
      </c>
      <c r="C21" s="755"/>
      <c r="D21" s="755"/>
      <c r="E21" s="755"/>
      <c r="F21" s="755"/>
      <c r="G21" s="755"/>
      <c r="H21" s="296"/>
      <c r="I21" s="750" t="s">
        <v>138</v>
      </c>
      <c r="J21" s="750"/>
      <c r="K21" s="750"/>
      <c r="L21" s="750"/>
      <c r="M21" s="750"/>
    </row>
    <row r="22" spans="2:13" ht="25.5">
      <c r="B22" s="751"/>
      <c r="C22" s="751"/>
      <c r="D22" s="751"/>
      <c r="E22" s="751"/>
      <c r="F22" s="751"/>
      <c r="G22" s="751"/>
      <c r="H22" s="296"/>
      <c r="I22" s="732"/>
      <c r="J22" s="732"/>
      <c r="K22" s="732"/>
      <c r="L22" s="732"/>
      <c r="M22" s="732"/>
    </row>
    <row r="23" spans="2:13" ht="18.75" customHeight="1">
      <c r="B23" s="755" t="s">
        <v>140</v>
      </c>
      <c r="C23" s="755"/>
      <c r="D23" s="755"/>
      <c r="E23" s="755"/>
      <c r="F23" s="755"/>
      <c r="G23" s="755"/>
      <c r="H23" s="296"/>
      <c r="I23" s="750" t="s">
        <v>141</v>
      </c>
      <c r="J23" s="750"/>
      <c r="K23" s="750"/>
      <c r="L23" s="750"/>
      <c r="M23" s="750"/>
    </row>
    <row r="24" spans="2:13" ht="25.5">
      <c r="B24" s="751"/>
      <c r="C24" s="751"/>
      <c r="D24" s="751"/>
      <c r="E24" s="751"/>
      <c r="F24" s="751"/>
      <c r="G24" s="751"/>
      <c r="H24" s="296"/>
      <c r="I24" s="732"/>
      <c r="J24" s="732"/>
      <c r="K24" s="732"/>
      <c r="L24" s="732"/>
      <c r="M24" s="732"/>
    </row>
    <row r="25" spans="2:13" ht="18.75" customHeight="1">
      <c r="B25" s="750" t="s">
        <v>144</v>
      </c>
      <c r="C25" s="750"/>
      <c r="D25" s="750"/>
      <c r="E25" s="750"/>
      <c r="F25" s="750"/>
      <c r="G25" s="750"/>
      <c r="H25" s="296"/>
      <c r="I25" s="750" t="s">
        <v>145</v>
      </c>
      <c r="J25" s="750"/>
      <c r="K25" s="750"/>
      <c r="L25" s="750"/>
      <c r="M25" s="750"/>
    </row>
    <row r="26" spans="2:13" ht="25.5">
      <c r="B26" s="751"/>
      <c r="C26" s="751"/>
      <c r="D26" s="751"/>
      <c r="E26" s="751"/>
      <c r="F26" s="751"/>
      <c r="G26" s="751"/>
      <c r="H26" s="296"/>
      <c r="I26" s="732"/>
      <c r="J26" s="732"/>
      <c r="K26" s="732"/>
      <c r="L26" s="732"/>
      <c r="M26" s="732"/>
    </row>
    <row r="27" spans="2:13" ht="18.75" customHeight="1">
      <c r="B27" s="750" t="s">
        <v>149</v>
      </c>
      <c r="C27" s="750"/>
      <c r="D27" s="750"/>
      <c r="E27" s="750"/>
      <c r="F27" s="750"/>
      <c r="G27" s="750"/>
      <c r="H27" s="296"/>
      <c r="I27" s="750" t="s">
        <v>150</v>
      </c>
      <c r="J27" s="750"/>
      <c r="K27" s="750"/>
      <c r="L27" s="750"/>
      <c r="M27" s="750"/>
    </row>
    <row r="28" spans="2:13" ht="25.5">
      <c r="B28" s="751"/>
      <c r="C28" s="751"/>
      <c r="D28" s="751"/>
      <c r="E28" s="751"/>
      <c r="F28" s="751"/>
      <c r="G28" s="751"/>
      <c r="H28" s="296"/>
      <c r="I28" s="732"/>
      <c r="J28" s="732"/>
      <c r="K28" s="732"/>
      <c r="L28" s="732"/>
      <c r="M28" s="732"/>
    </row>
    <row r="29" spans="2:13" ht="18.75" customHeight="1">
      <c r="B29" s="750" t="s">
        <v>153</v>
      </c>
      <c r="C29" s="750"/>
      <c r="D29" s="750"/>
      <c r="E29" s="750"/>
      <c r="F29" s="750"/>
      <c r="G29" s="750"/>
      <c r="H29" s="296"/>
      <c r="I29" s="733" t="s">
        <v>154</v>
      </c>
      <c r="J29" s="733"/>
      <c r="K29" s="733"/>
      <c r="L29" s="733"/>
      <c r="M29" s="733"/>
    </row>
    <row r="30" spans="2:13" ht="15" customHeight="1">
      <c r="B30" s="751"/>
      <c r="C30" s="751"/>
      <c r="D30" s="751"/>
      <c r="E30" s="751"/>
      <c r="F30" s="751"/>
      <c r="G30" s="751"/>
      <c r="H30" s="297"/>
      <c r="I30" s="730"/>
      <c r="J30" s="730"/>
      <c r="K30" s="730"/>
      <c r="L30" s="730"/>
      <c r="M30" s="730"/>
    </row>
    <row r="31" spans="2:13" ht="24" customHeight="1">
      <c r="B31" s="757" t="s">
        <v>208</v>
      </c>
      <c r="C31" s="757"/>
      <c r="D31" s="757"/>
      <c r="E31" s="757"/>
      <c r="F31" s="757"/>
      <c r="G31" s="757"/>
      <c r="H31" s="297"/>
      <c r="I31" s="731" t="s">
        <v>156</v>
      </c>
      <c r="J31" s="731"/>
      <c r="K31" s="731"/>
      <c r="L31" s="731"/>
      <c r="M31" s="731"/>
    </row>
    <row r="32" spans="2:13" ht="26.25">
      <c r="B32" s="709" t="s">
        <v>209</v>
      </c>
      <c r="C32" s="710"/>
      <c r="D32" s="710"/>
      <c r="E32" s="710"/>
      <c r="F32" s="710"/>
      <c r="G32" s="711"/>
      <c r="H32" s="298"/>
      <c r="I32" s="727"/>
      <c r="J32" s="728"/>
      <c r="K32" s="728"/>
      <c r="L32" s="728"/>
      <c r="M32" s="729"/>
    </row>
  </sheetData>
  <mergeCells count="83"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27:G27"/>
    <mergeCell ref="B18:G18"/>
    <mergeCell ref="B17:M17"/>
    <mergeCell ref="B19:G19"/>
    <mergeCell ref="B20:G20"/>
    <mergeCell ref="B21:G21"/>
    <mergeCell ref="I18:M18"/>
    <mergeCell ref="I22:M22"/>
    <mergeCell ref="I23:M23"/>
    <mergeCell ref="I24:M24"/>
    <mergeCell ref="I19:M19"/>
    <mergeCell ref="I20:M20"/>
    <mergeCell ref="I21:M21"/>
    <mergeCell ref="I25:M25"/>
    <mergeCell ref="I26:M26"/>
    <mergeCell ref="I27:M27"/>
    <mergeCell ref="B11:F11"/>
    <mergeCell ref="B12:F12"/>
    <mergeCell ref="B13:F13"/>
    <mergeCell ref="B14:F14"/>
    <mergeCell ref="B15:F15"/>
    <mergeCell ref="B16:F16"/>
    <mergeCell ref="K12:M12"/>
    <mergeCell ref="K13:M13"/>
    <mergeCell ref="K14:M14"/>
    <mergeCell ref="K15:M15"/>
    <mergeCell ref="K16:M16"/>
    <mergeCell ref="G12:J12"/>
    <mergeCell ref="G13:J13"/>
    <mergeCell ref="G14:J14"/>
    <mergeCell ref="G15:J15"/>
    <mergeCell ref="G16:J16"/>
    <mergeCell ref="B2:M2"/>
    <mergeCell ref="B3:F3"/>
    <mergeCell ref="B4:F4"/>
    <mergeCell ref="B5:F5"/>
    <mergeCell ref="B6:F6"/>
    <mergeCell ref="G3:J3"/>
    <mergeCell ref="K3:M3"/>
    <mergeCell ref="G4:J4"/>
    <mergeCell ref="K4:M4"/>
    <mergeCell ref="G5:J5"/>
    <mergeCell ref="K5:M5"/>
    <mergeCell ref="G11:J11"/>
    <mergeCell ref="K7:M7"/>
    <mergeCell ref="K10:M10"/>
    <mergeCell ref="K11:M11"/>
    <mergeCell ref="B8:F8"/>
    <mergeCell ref="B9:F9"/>
    <mergeCell ref="B10:F10"/>
    <mergeCell ref="G10:J10"/>
    <mergeCell ref="K6:M6"/>
    <mergeCell ref="G6:J6"/>
    <mergeCell ref="G7:J7"/>
    <mergeCell ref="G8:J8"/>
    <mergeCell ref="G9:J9"/>
    <mergeCell ref="K8:M8"/>
    <mergeCell ref="K9:M9"/>
    <mergeCell ref="B32:G32"/>
    <mergeCell ref="N2:S2"/>
    <mergeCell ref="N3:P3"/>
    <mergeCell ref="Q3:S3"/>
    <mergeCell ref="N6:P6"/>
    <mergeCell ref="Q6:S6"/>
    <mergeCell ref="N4:P4"/>
    <mergeCell ref="Q4:S4"/>
    <mergeCell ref="N5:P5"/>
    <mergeCell ref="Q5:S5"/>
    <mergeCell ref="I32:M32"/>
    <mergeCell ref="I30:M30"/>
    <mergeCell ref="I31:M31"/>
    <mergeCell ref="I28:M28"/>
    <mergeCell ref="I29:M29"/>
    <mergeCell ref="B7:F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8"/>
  <sheetViews>
    <sheetView showGridLines="0" showRowColHeaders="0" workbookViewId="0">
      <selection activeCell="D124" sqref="D124"/>
    </sheetView>
  </sheetViews>
  <sheetFormatPr defaultRowHeight="21"/>
  <cols>
    <col min="2" max="2" width="39.28515625" style="140" customWidth="1"/>
    <col min="3" max="3" width="56.85546875" style="140" customWidth="1"/>
    <col min="4" max="4" width="62.140625" style="140" customWidth="1"/>
    <col min="5" max="5" width="29" customWidth="1"/>
    <col min="12" max="12" width="31" customWidth="1"/>
  </cols>
  <sheetData>
    <row r="1" spans="2:4" thickBot="1">
      <c r="B1" s="164" t="s">
        <v>210</v>
      </c>
      <c r="C1" s="165" t="s">
        <v>211</v>
      </c>
      <c r="D1" s="165" t="s">
        <v>212</v>
      </c>
    </row>
    <row r="2" spans="2:4" ht="45.75" customHeight="1" thickBot="1">
      <c r="B2" s="166" t="s">
        <v>213</v>
      </c>
      <c r="C2" s="167" t="s">
        <v>214</v>
      </c>
      <c r="D2" s="167" t="s">
        <v>215</v>
      </c>
    </row>
    <row r="3" spans="2:4" ht="41.25" thickBot="1">
      <c r="B3" s="166" t="s">
        <v>216</v>
      </c>
      <c r="C3" s="167"/>
      <c r="D3" s="167" t="s">
        <v>217</v>
      </c>
    </row>
    <row r="4" spans="2:4" ht="41.25" thickBot="1">
      <c r="B4" s="166" t="s">
        <v>218</v>
      </c>
      <c r="C4" s="167" t="s">
        <v>219</v>
      </c>
      <c r="D4" s="167" t="s">
        <v>220</v>
      </c>
    </row>
    <row r="5" spans="2:4" thickBot="1">
      <c r="B5" s="166" t="s">
        <v>221</v>
      </c>
      <c r="C5" s="167" t="s">
        <v>214</v>
      </c>
      <c r="D5" s="167" t="s">
        <v>222</v>
      </c>
    </row>
    <row r="6" spans="2:4" ht="41.25" thickBot="1">
      <c r="B6" s="166" t="s">
        <v>223</v>
      </c>
      <c r="C6" s="167" t="s">
        <v>214</v>
      </c>
      <c r="D6" s="167" t="s">
        <v>224</v>
      </c>
    </row>
    <row r="7" spans="2:4" ht="41.25" thickBot="1">
      <c r="B7" s="166" t="s">
        <v>225</v>
      </c>
      <c r="C7" s="167" t="s">
        <v>226</v>
      </c>
      <c r="D7" s="167" t="s">
        <v>227</v>
      </c>
    </row>
    <row r="8" spans="2:4" thickBot="1">
      <c r="B8" s="166" t="s">
        <v>228</v>
      </c>
      <c r="C8" s="167" t="s">
        <v>214</v>
      </c>
      <c r="D8" s="167" t="s">
        <v>229</v>
      </c>
    </row>
    <row r="9" spans="2:4" thickBot="1">
      <c r="B9" s="168" t="s">
        <v>230</v>
      </c>
      <c r="C9" s="169" t="s">
        <v>231</v>
      </c>
      <c r="D9" s="169" t="s">
        <v>232</v>
      </c>
    </row>
    <row r="10" spans="2:4" ht="41.25" thickBot="1">
      <c r="B10" s="168" t="s">
        <v>233</v>
      </c>
      <c r="C10" s="169" t="s">
        <v>234</v>
      </c>
      <c r="D10" s="169" t="s">
        <v>235</v>
      </c>
    </row>
    <row r="11" spans="2:4" ht="24" thickBot="1">
      <c r="B11" s="168" t="s">
        <v>236</v>
      </c>
      <c r="C11" s="169" t="s">
        <v>237</v>
      </c>
      <c r="D11" s="169" t="s">
        <v>238</v>
      </c>
    </row>
    <row r="12" spans="2:4" ht="47.25" thickBot="1">
      <c r="B12" s="168" t="s">
        <v>239</v>
      </c>
      <c r="C12" s="169" t="s">
        <v>234</v>
      </c>
      <c r="D12" s="169" t="s">
        <v>240</v>
      </c>
    </row>
    <row r="13" spans="2:4" ht="61.5" thickBot="1">
      <c r="B13" s="168" t="s">
        <v>241</v>
      </c>
      <c r="C13" s="169" t="s">
        <v>242</v>
      </c>
      <c r="D13" s="169" t="s">
        <v>243</v>
      </c>
    </row>
    <row r="14" spans="2:4" thickBot="1">
      <c r="B14" s="166" t="s">
        <v>244</v>
      </c>
      <c r="C14" s="167" t="s">
        <v>245</v>
      </c>
      <c r="D14" s="167" t="s">
        <v>246</v>
      </c>
    </row>
    <row r="15" spans="2:4" ht="41.25" thickBot="1">
      <c r="B15" s="166" t="s">
        <v>65</v>
      </c>
      <c r="C15" s="167" t="s">
        <v>214</v>
      </c>
      <c r="D15" s="167" t="s">
        <v>247</v>
      </c>
    </row>
    <row r="16" spans="2:4" thickBot="1">
      <c r="B16" s="166" t="s">
        <v>248</v>
      </c>
      <c r="C16" s="167" t="s">
        <v>249</v>
      </c>
      <c r="D16" s="167" t="s">
        <v>250</v>
      </c>
    </row>
    <row r="17" spans="2:4" ht="41.25" thickBot="1">
      <c r="B17" s="168" t="s">
        <v>251</v>
      </c>
      <c r="C17" s="169" t="s">
        <v>226</v>
      </c>
      <c r="D17" s="169" t="s">
        <v>252</v>
      </c>
    </row>
    <row r="18" spans="2:4" ht="41.25" thickBot="1">
      <c r="B18" s="168" t="s">
        <v>253</v>
      </c>
      <c r="C18" s="169" t="s">
        <v>254</v>
      </c>
      <c r="D18" s="169" t="s">
        <v>255</v>
      </c>
    </row>
    <row r="19" spans="2:4" ht="41.25" thickBot="1">
      <c r="B19" s="168" t="s">
        <v>256</v>
      </c>
      <c r="C19" s="169" t="s">
        <v>254</v>
      </c>
      <c r="D19" s="169" t="s">
        <v>257</v>
      </c>
    </row>
    <row r="20" spans="2:4" ht="41.25" thickBot="1">
      <c r="B20" s="168" t="s">
        <v>258</v>
      </c>
      <c r="C20" s="169" t="s">
        <v>259</v>
      </c>
      <c r="D20" s="169" t="s">
        <v>260</v>
      </c>
    </row>
    <row r="21" spans="2:4" ht="41.25" thickBot="1">
      <c r="B21" s="168" t="s">
        <v>261</v>
      </c>
      <c r="C21" s="169" t="s">
        <v>262</v>
      </c>
      <c r="D21" s="169" t="s">
        <v>263</v>
      </c>
    </row>
    <row r="22" spans="2:4" ht="61.5" thickBot="1">
      <c r="B22" s="168" t="s">
        <v>264</v>
      </c>
      <c r="C22" s="169" t="s">
        <v>265</v>
      </c>
      <c r="D22" s="169" t="s">
        <v>266</v>
      </c>
    </row>
    <row r="23" spans="2:4" ht="41.25" thickBot="1">
      <c r="B23" s="168" t="s">
        <v>267</v>
      </c>
      <c r="C23" s="169" t="s">
        <v>268</v>
      </c>
      <c r="D23" s="169" t="s">
        <v>269</v>
      </c>
    </row>
    <row r="24" spans="2:4" thickBot="1">
      <c r="B24" s="166" t="s">
        <v>270</v>
      </c>
      <c r="C24" s="167" t="s">
        <v>226</v>
      </c>
      <c r="D24" s="167" t="s">
        <v>271</v>
      </c>
    </row>
    <row r="25" spans="2:4" ht="41.25" thickBot="1">
      <c r="B25" s="166" t="s">
        <v>272</v>
      </c>
      <c r="C25" s="167" t="s">
        <v>273</v>
      </c>
      <c r="D25" s="167" t="s">
        <v>274</v>
      </c>
    </row>
    <row r="26" spans="2:4" ht="61.5" thickBot="1">
      <c r="B26" s="166" t="s">
        <v>275</v>
      </c>
      <c r="C26" s="167" t="s">
        <v>276</v>
      </c>
      <c r="D26" s="167" t="s">
        <v>277</v>
      </c>
    </row>
    <row r="27" spans="2:4" ht="41.25" thickBot="1">
      <c r="B27" s="166" t="s">
        <v>278</v>
      </c>
      <c r="C27" s="167" t="s">
        <v>226</v>
      </c>
      <c r="D27" s="167" t="s">
        <v>279</v>
      </c>
    </row>
    <row r="28" spans="2:4" ht="41.25" thickBot="1">
      <c r="B28" s="170" t="s">
        <v>280</v>
      </c>
      <c r="C28" s="171" t="s">
        <v>226</v>
      </c>
      <c r="D28" s="171" t="s">
        <v>281</v>
      </c>
    </row>
    <row r="29" spans="2:4" ht="41.25" thickBot="1">
      <c r="B29" s="170" t="s">
        <v>282</v>
      </c>
      <c r="C29" s="171" t="s">
        <v>280</v>
      </c>
      <c r="D29" s="171" t="s">
        <v>281</v>
      </c>
    </row>
    <row r="30" spans="2:4" ht="41.25" thickBot="1">
      <c r="B30" s="170" t="s">
        <v>283</v>
      </c>
      <c r="C30" s="171" t="s">
        <v>282</v>
      </c>
      <c r="D30" s="171" t="s">
        <v>281</v>
      </c>
    </row>
    <row r="31" spans="2:4" ht="41.25" thickBot="1">
      <c r="B31" s="166" t="s">
        <v>284</v>
      </c>
      <c r="C31" s="167" t="s">
        <v>226</v>
      </c>
      <c r="D31" s="167" t="s">
        <v>285</v>
      </c>
    </row>
    <row r="32" spans="2:4" thickBot="1">
      <c r="B32" s="170" t="s">
        <v>286</v>
      </c>
      <c r="C32" s="171" t="s">
        <v>226</v>
      </c>
      <c r="D32" s="171" t="s">
        <v>281</v>
      </c>
    </row>
    <row r="33" spans="2:4" ht="41.25" thickBot="1">
      <c r="B33" s="170" t="s">
        <v>287</v>
      </c>
      <c r="C33" s="171" t="s">
        <v>286</v>
      </c>
      <c r="D33" s="171" t="s">
        <v>288</v>
      </c>
    </row>
    <row r="34" spans="2:4" ht="41.25" thickBot="1">
      <c r="B34" s="170" t="s">
        <v>289</v>
      </c>
      <c r="C34" s="171" t="s">
        <v>286</v>
      </c>
      <c r="D34" s="171" t="s">
        <v>281</v>
      </c>
    </row>
    <row r="35" spans="2:4" ht="41.25" thickBot="1">
      <c r="B35" s="166" t="s">
        <v>290</v>
      </c>
      <c r="C35" s="167" t="s">
        <v>291</v>
      </c>
      <c r="D35" s="167" t="s">
        <v>292</v>
      </c>
    </row>
    <row r="36" spans="2:4" thickBot="1">
      <c r="B36" s="166" t="s">
        <v>293</v>
      </c>
      <c r="C36" s="167" t="s">
        <v>294</v>
      </c>
      <c r="D36" s="167" t="s">
        <v>295</v>
      </c>
    </row>
    <row r="37" spans="2:4" ht="41.25" thickBot="1">
      <c r="B37" s="166" t="s">
        <v>296</v>
      </c>
      <c r="C37" s="167" t="s">
        <v>226</v>
      </c>
      <c r="D37" s="167" t="s">
        <v>297</v>
      </c>
    </row>
    <row r="38" spans="2:4" ht="41.25" thickBot="1">
      <c r="B38" s="166" t="s">
        <v>298</v>
      </c>
      <c r="C38" s="167" t="s">
        <v>299</v>
      </c>
      <c r="D38" s="167" t="s">
        <v>300</v>
      </c>
    </row>
    <row r="39" spans="2:4" thickBot="1">
      <c r="B39" s="166" t="s">
        <v>301</v>
      </c>
      <c r="C39" s="167" t="s">
        <v>226</v>
      </c>
      <c r="D39" s="167" t="s">
        <v>302</v>
      </c>
    </row>
    <row r="40" spans="2:4" ht="41.25" thickBot="1">
      <c r="B40" s="168" t="s">
        <v>303</v>
      </c>
      <c r="C40" s="169" t="s">
        <v>304</v>
      </c>
      <c r="D40" s="169" t="s">
        <v>305</v>
      </c>
    </row>
    <row r="41" spans="2:4" ht="41.25" thickBot="1">
      <c r="B41" s="168" t="s">
        <v>306</v>
      </c>
      <c r="C41" s="169" t="s">
        <v>307</v>
      </c>
      <c r="D41" s="169" t="s">
        <v>308</v>
      </c>
    </row>
    <row r="42" spans="2:4" ht="41.25" thickBot="1">
      <c r="B42" s="168" t="s">
        <v>309</v>
      </c>
      <c r="C42" s="169" t="s">
        <v>310</v>
      </c>
      <c r="D42" s="169" t="s">
        <v>311</v>
      </c>
    </row>
    <row r="43" spans="2:4" ht="41.25" thickBot="1">
      <c r="B43" s="168" t="s">
        <v>312</v>
      </c>
      <c r="C43" s="169" t="s">
        <v>307</v>
      </c>
      <c r="D43" s="169" t="s">
        <v>313</v>
      </c>
    </row>
    <row r="44" spans="2:4" ht="41.25" thickBot="1">
      <c r="B44" s="168" t="s">
        <v>314</v>
      </c>
      <c r="C44" s="169" t="s">
        <v>307</v>
      </c>
      <c r="D44" s="169" t="s">
        <v>315</v>
      </c>
    </row>
    <row r="45" spans="2:4" ht="41.25" thickBot="1">
      <c r="B45" s="168" t="s">
        <v>316</v>
      </c>
      <c r="C45" s="169" t="s">
        <v>307</v>
      </c>
      <c r="D45" s="169" t="s">
        <v>317</v>
      </c>
    </row>
    <row r="46" spans="2:4" ht="41.25" thickBot="1">
      <c r="B46" s="166" t="s">
        <v>318</v>
      </c>
      <c r="C46" s="167" t="s">
        <v>226</v>
      </c>
      <c r="D46" s="167" t="s">
        <v>319</v>
      </c>
    </row>
    <row r="47" spans="2:4" ht="41.25" thickBot="1">
      <c r="B47" s="166" t="s">
        <v>320</v>
      </c>
      <c r="C47" s="167" t="s">
        <v>226</v>
      </c>
      <c r="D47" s="167" t="s">
        <v>321</v>
      </c>
    </row>
    <row r="48" spans="2:4" ht="41.25" thickBot="1">
      <c r="B48" s="166" t="s">
        <v>322</v>
      </c>
      <c r="C48" s="167" t="s">
        <v>226</v>
      </c>
      <c r="D48" s="167" t="s">
        <v>323</v>
      </c>
    </row>
    <row r="49" spans="2:4" thickBot="1">
      <c r="B49" s="166" t="s">
        <v>324</v>
      </c>
      <c r="C49" s="167" t="s">
        <v>226</v>
      </c>
      <c r="D49" s="167" t="s">
        <v>325</v>
      </c>
    </row>
    <row r="50" spans="2:4" ht="41.25" thickBot="1">
      <c r="B50" s="166" t="s">
        <v>326</v>
      </c>
      <c r="C50" s="167" t="s">
        <v>327</v>
      </c>
      <c r="D50" s="167" t="s">
        <v>328</v>
      </c>
    </row>
    <row r="51" spans="2:4" ht="41.25" thickBot="1">
      <c r="B51" s="166" t="s">
        <v>329</v>
      </c>
      <c r="C51" s="167" t="s">
        <v>226</v>
      </c>
      <c r="D51" s="167" t="s">
        <v>330</v>
      </c>
    </row>
    <row r="52" spans="2:4" ht="41.25" thickBot="1">
      <c r="B52" s="170" t="s">
        <v>331</v>
      </c>
      <c r="C52" s="171" t="s">
        <v>226</v>
      </c>
      <c r="D52" s="171" t="s">
        <v>332</v>
      </c>
    </row>
    <row r="53" spans="2:4" ht="61.5" thickBot="1">
      <c r="B53" s="170" t="s">
        <v>333</v>
      </c>
      <c r="C53" s="171" t="s">
        <v>331</v>
      </c>
      <c r="D53" s="171" t="s">
        <v>334</v>
      </c>
    </row>
    <row r="54" spans="2:4" thickBot="1">
      <c r="B54" s="166" t="s">
        <v>335</v>
      </c>
      <c r="C54" s="167" t="s">
        <v>226</v>
      </c>
      <c r="D54" s="167" t="s">
        <v>336</v>
      </c>
    </row>
    <row r="55" spans="2:4" ht="41.25" thickBot="1">
      <c r="B55" s="166" t="s">
        <v>337</v>
      </c>
      <c r="C55" s="167" t="s">
        <v>226</v>
      </c>
      <c r="D55" s="167" t="s">
        <v>338</v>
      </c>
    </row>
    <row r="56" spans="2:4" ht="41.25" thickBot="1">
      <c r="B56" s="166" t="s">
        <v>339</v>
      </c>
      <c r="C56" s="167" t="s">
        <v>226</v>
      </c>
      <c r="D56" s="167" t="s">
        <v>340</v>
      </c>
    </row>
    <row r="57" spans="2:4" ht="41.25" thickBot="1">
      <c r="B57" s="166" t="s">
        <v>341</v>
      </c>
      <c r="C57" s="167" t="s">
        <v>342</v>
      </c>
      <c r="D57" s="167" t="s">
        <v>343</v>
      </c>
    </row>
    <row r="58" spans="2:4" ht="41.25" thickBot="1">
      <c r="B58" s="166" t="s">
        <v>344</v>
      </c>
      <c r="C58" s="167" t="s">
        <v>226</v>
      </c>
      <c r="D58" s="167" t="s">
        <v>345</v>
      </c>
    </row>
    <row r="59" spans="2:4" ht="41.25" thickBot="1">
      <c r="B59" s="166" t="s">
        <v>346</v>
      </c>
      <c r="C59" s="167" t="s">
        <v>226</v>
      </c>
      <c r="D59" s="167" t="s">
        <v>347</v>
      </c>
    </row>
    <row r="60" spans="2:4" ht="41.25" thickBot="1">
      <c r="B60" s="168" t="s">
        <v>348</v>
      </c>
      <c r="C60" s="169" t="s">
        <v>349</v>
      </c>
      <c r="D60" s="169" t="s">
        <v>350</v>
      </c>
    </row>
    <row r="61" spans="2:4" ht="41.25" thickBot="1">
      <c r="B61" s="168" t="s">
        <v>351</v>
      </c>
      <c r="C61" s="169" t="s">
        <v>352</v>
      </c>
      <c r="D61" s="169" t="s">
        <v>353</v>
      </c>
    </row>
    <row r="62" spans="2:4" ht="41.25" thickBot="1">
      <c r="B62" s="168" t="s">
        <v>354</v>
      </c>
      <c r="C62" s="169" t="s">
        <v>352</v>
      </c>
      <c r="D62" s="169" t="s">
        <v>355</v>
      </c>
    </row>
    <row r="63" spans="2:4" ht="41.25" thickBot="1">
      <c r="B63" s="168" t="s">
        <v>356</v>
      </c>
      <c r="C63" s="169" t="s">
        <v>357</v>
      </c>
      <c r="D63" s="169" t="s">
        <v>358</v>
      </c>
    </row>
    <row r="64" spans="2:4" thickBot="1">
      <c r="B64" s="168" t="s">
        <v>359</v>
      </c>
      <c r="C64" s="169" t="s">
        <v>352</v>
      </c>
      <c r="D64" s="169" t="s">
        <v>360</v>
      </c>
    </row>
    <row r="65" spans="2:4" thickBot="1">
      <c r="B65" s="166" t="s">
        <v>361</v>
      </c>
      <c r="C65" s="167" t="s">
        <v>226</v>
      </c>
      <c r="D65" s="167" t="s">
        <v>362</v>
      </c>
    </row>
    <row r="66" spans="2:4" ht="41.25" thickBot="1">
      <c r="B66" s="168" t="s">
        <v>363</v>
      </c>
      <c r="C66" s="169" t="s">
        <v>364</v>
      </c>
      <c r="D66" s="169" t="s">
        <v>365</v>
      </c>
    </row>
    <row r="67" spans="2:4" ht="41.25" thickBot="1">
      <c r="B67" s="168" t="s">
        <v>366</v>
      </c>
      <c r="C67" s="169" t="s">
        <v>367</v>
      </c>
      <c r="D67" s="169" t="s">
        <v>368</v>
      </c>
    </row>
    <row r="68" spans="2:4" ht="41.25" thickBot="1">
      <c r="B68" s="168" t="s">
        <v>369</v>
      </c>
      <c r="C68" s="169" t="s">
        <v>370</v>
      </c>
      <c r="D68" s="169" t="s">
        <v>371</v>
      </c>
    </row>
    <row r="69" spans="2:4" ht="61.5" thickBot="1">
      <c r="B69" s="168" t="s">
        <v>372</v>
      </c>
      <c r="C69" s="169" t="s">
        <v>373</v>
      </c>
      <c r="D69" s="169" t="s">
        <v>374</v>
      </c>
    </row>
    <row r="70" spans="2:4" thickBot="1">
      <c r="B70" s="166" t="s">
        <v>375</v>
      </c>
      <c r="C70" s="167" t="s">
        <v>226</v>
      </c>
      <c r="D70" s="167" t="s">
        <v>376</v>
      </c>
    </row>
    <row r="71" spans="2:4" ht="41.25" thickBot="1">
      <c r="B71" s="166" t="s">
        <v>377</v>
      </c>
      <c r="C71" s="167" t="s">
        <v>378</v>
      </c>
      <c r="D71" s="167" t="s">
        <v>379</v>
      </c>
    </row>
    <row r="72" spans="2:4" ht="41.25" thickBot="1">
      <c r="B72" s="166" t="s">
        <v>380</v>
      </c>
      <c r="C72" s="167" t="s">
        <v>381</v>
      </c>
      <c r="D72" s="167" t="s">
        <v>382</v>
      </c>
    </row>
    <row r="73" spans="2:4" thickBot="1">
      <c r="B73" s="166" t="s">
        <v>383</v>
      </c>
      <c r="C73" s="167" t="s">
        <v>384</v>
      </c>
      <c r="D73" s="167" t="s">
        <v>385</v>
      </c>
    </row>
    <row r="74" spans="2:4" ht="41.25" thickBot="1">
      <c r="B74" s="166" t="s">
        <v>386</v>
      </c>
      <c r="C74" s="167" t="s">
        <v>342</v>
      </c>
      <c r="D74" s="167" t="s">
        <v>387</v>
      </c>
    </row>
    <row r="75" spans="2:4" thickBot="1">
      <c r="B75" s="166" t="s">
        <v>388</v>
      </c>
      <c r="C75" s="167" t="s">
        <v>226</v>
      </c>
      <c r="D75" s="167" t="s">
        <v>389</v>
      </c>
    </row>
    <row r="76" spans="2:4" ht="41.25" thickBot="1">
      <c r="B76" s="166" t="s">
        <v>390</v>
      </c>
      <c r="C76" s="167" t="s">
        <v>226</v>
      </c>
      <c r="D76" s="167" t="s">
        <v>391</v>
      </c>
    </row>
    <row r="77" spans="2:4" ht="41.25" thickBot="1">
      <c r="B77" s="166" t="s">
        <v>392</v>
      </c>
      <c r="C77" s="167" t="s">
        <v>393</v>
      </c>
      <c r="D77" s="167" t="s">
        <v>394</v>
      </c>
    </row>
    <row r="78" spans="2:4" ht="41.25" thickBot="1">
      <c r="B78" s="168" t="s">
        <v>395</v>
      </c>
      <c r="C78" s="169" t="s">
        <v>226</v>
      </c>
      <c r="D78" s="169" t="s">
        <v>396</v>
      </c>
    </row>
    <row r="79" spans="2:4" ht="41.25" thickBot="1">
      <c r="B79" s="168" t="s">
        <v>397</v>
      </c>
      <c r="C79" s="169" t="s">
        <v>398</v>
      </c>
      <c r="D79" s="169" t="s">
        <v>399</v>
      </c>
    </row>
    <row r="80" spans="2:4" ht="41.25" thickBot="1">
      <c r="B80" s="168" t="s">
        <v>400</v>
      </c>
      <c r="C80" s="169" t="s">
        <v>398</v>
      </c>
      <c r="D80" s="169" t="s">
        <v>401</v>
      </c>
    </row>
    <row r="81" spans="2:4" ht="41.25" thickBot="1">
      <c r="B81" s="168" t="s">
        <v>402</v>
      </c>
      <c r="C81" s="169" t="s">
        <v>403</v>
      </c>
      <c r="D81" s="169" t="s">
        <v>404</v>
      </c>
    </row>
    <row r="82" spans="2:4" ht="61.5" thickBot="1">
      <c r="B82" s="168" t="s">
        <v>405</v>
      </c>
      <c r="C82" s="169" t="s">
        <v>406</v>
      </c>
      <c r="D82" s="169" t="s">
        <v>407</v>
      </c>
    </row>
    <row r="83" spans="2:4" thickBot="1">
      <c r="B83" s="166" t="s">
        <v>408</v>
      </c>
      <c r="C83" s="167" t="s">
        <v>226</v>
      </c>
      <c r="D83" s="167" t="s">
        <v>409</v>
      </c>
    </row>
    <row r="84" spans="2:4" ht="41.25" thickBot="1">
      <c r="B84" s="166" t="s">
        <v>410</v>
      </c>
      <c r="C84" s="167" t="s">
        <v>103</v>
      </c>
      <c r="D84" s="167" t="s">
        <v>411</v>
      </c>
    </row>
    <row r="85" spans="2:4" ht="41.25" thickBot="1">
      <c r="B85" s="166" t="s">
        <v>412</v>
      </c>
      <c r="C85" s="167" t="s">
        <v>214</v>
      </c>
      <c r="D85" s="167" t="s">
        <v>413</v>
      </c>
    </row>
    <row r="86" spans="2:4" ht="41.25" thickBot="1">
      <c r="B86" s="166" t="s">
        <v>414</v>
      </c>
      <c r="C86" s="167" t="s">
        <v>226</v>
      </c>
      <c r="D86" s="167" t="s">
        <v>413</v>
      </c>
    </row>
    <row r="87" spans="2:4" thickBot="1">
      <c r="B87" s="166" t="s">
        <v>415</v>
      </c>
      <c r="C87" s="167" t="s">
        <v>226</v>
      </c>
      <c r="D87" s="167" t="s">
        <v>416</v>
      </c>
    </row>
    <row r="88" spans="2:4" ht="41.25" thickBot="1">
      <c r="B88" s="166" t="s">
        <v>417</v>
      </c>
      <c r="C88" s="167" t="s">
        <v>276</v>
      </c>
      <c r="D88" s="167" t="s">
        <v>418</v>
      </c>
    </row>
    <row r="89" spans="2:4" ht="41.25" thickBot="1">
      <c r="B89" s="166" t="s">
        <v>419</v>
      </c>
      <c r="C89" s="167" t="s">
        <v>420</v>
      </c>
      <c r="D89" s="167" t="s">
        <v>421</v>
      </c>
    </row>
    <row r="90" spans="2:4" ht="41.25" thickBot="1">
      <c r="B90" s="166" t="s">
        <v>422</v>
      </c>
      <c r="C90" s="167" t="s">
        <v>423</v>
      </c>
      <c r="D90" s="167" t="s">
        <v>424</v>
      </c>
    </row>
    <row r="91" spans="2:4" ht="81.75" thickBot="1">
      <c r="B91" s="166" t="s">
        <v>425</v>
      </c>
      <c r="C91" s="167" t="s">
        <v>426</v>
      </c>
      <c r="D91" s="167" t="s">
        <v>427</v>
      </c>
    </row>
    <row r="92" spans="2:4" ht="41.25" thickBot="1">
      <c r="B92" s="166" t="s">
        <v>428</v>
      </c>
      <c r="C92" s="167" t="s">
        <v>226</v>
      </c>
      <c r="D92" s="167" t="s">
        <v>429</v>
      </c>
    </row>
    <row r="93" spans="2:4" ht="41.25" thickBot="1">
      <c r="B93" s="166" t="s">
        <v>430</v>
      </c>
      <c r="C93" s="167" t="s">
        <v>226</v>
      </c>
      <c r="D93" s="167" t="s">
        <v>431</v>
      </c>
    </row>
    <row r="94" spans="2:4" ht="41.25" thickBot="1">
      <c r="B94" s="174" t="s">
        <v>432</v>
      </c>
      <c r="C94" s="175" t="s">
        <v>211</v>
      </c>
      <c r="D94" s="175" t="s">
        <v>212</v>
      </c>
    </row>
    <row r="95" spans="2:4" thickBot="1">
      <c r="B95" s="173" t="s">
        <v>433</v>
      </c>
      <c r="C95" s="172" t="s">
        <v>434</v>
      </c>
      <c r="D95" s="172" t="s">
        <v>435</v>
      </c>
    </row>
    <row r="96" spans="2:4" thickBot="1">
      <c r="B96" s="173" t="s">
        <v>436</v>
      </c>
      <c r="C96" s="172" t="s">
        <v>437</v>
      </c>
      <c r="D96" s="172" t="s">
        <v>438</v>
      </c>
    </row>
    <row r="97" spans="2:4" ht="41.25" thickBot="1">
      <c r="B97" s="173" t="s">
        <v>439</v>
      </c>
      <c r="C97" s="172" t="s">
        <v>440</v>
      </c>
      <c r="D97" s="172" t="s">
        <v>441</v>
      </c>
    </row>
    <row r="98" spans="2:4" thickBot="1">
      <c r="B98" s="173" t="s">
        <v>442</v>
      </c>
      <c r="C98" s="172" t="s">
        <v>440</v>
      </c>
      <c r="D98" s="172" t="s">
        <v>443</v>
      </c>
    </row>
    <row r="99" spans="2:4" thickBot="1">
      <c r="B99" s="173" t="s">
        <v>444</v>
      </c>
      <c r="C99" s="172" t="s">
        <v>445</v>
      </c>
      <c r="D99" s="172" t="s">
        <v>446</v>
      </c>
    </row>
    <row r="100" spans="2:4" thickBot="1">
      <c r="B100" s="173" t="s">
        <v>447</v>
      </c>
      <c r="C100" s="172" t="s">
        <v>448</v>
      </c>
      <c r="D100" s="172" t="s">
        <v>449</v>
      </c>
    </row>
    <row r="101" spans="2:4" thickBot="1">
      <c r="B101" s="173" t="s">
        <v>450</v>
      </c>
      <c r="C101" s="172" t="s">
        <v>434</v>
      </c>
      <c r="D101" s="172" t="s">
        <v>451</v>
      </c>
    </row>
    <row r="102" spans="2:4" thickBot="1">
      <c r="B102" s="173" t="s">
        <v>452</v>
      </c>
      <c r="C102" s="172" t="s">
        <v>448</v>
      </c>
      <c r="D102" s="172" t="s">
        <v>453</v>
      </c>
    </row>
    <row r="103" spans="2:4" thickBot="1">
      <c r="B103" s="178" t="s">
        <v>454</v>
      </c>
      <c r="C103" s="179" t="s">
        <v>211</v>
      </c>
      <c r="D103" s="179" t="s">
        <v>212</v>
      </c>
    </row>
    <row r="104" spans="2:4" ht="41.25" thickBot="1">
      <c r="B104" s="176" t="s">
        <v>455</v>
      </c>
      <c r="C104" s="177" t="s">
        <v>226</v>
      </c>
      <c r="D104" s="177" t="s">
        <v>456</v>
      </c>
    </row>
    <row r="105" spans="2:4" ht="41.25" thickBot="1">
      <c r="B105" s="176" t="s">
        <v>457</v>
      </c>
      <c r="C105" s="177" t="s">
        <v>226</v>
      </c>
      <c r="D105" s="177" t="s">
        <v>458</v>
      </c>
    </row>
    <row r="106" spans="2:4" ht="41.25" thickBot="1">
      <c r="B106" s="176" t="s">
        <v>459</v>
      </c>
      <c r="C106" s="177" t="s">
        <v>226</v>
      </c>
      <c r="D106" s="177" t="s">
        <v>460</v>
      </c>
    </row>
    <row r="107" spans="2:4" ht="41.25" thickBot="1">
      <c r="B107" s="176" t="s">
        <v>461</v>
      </c>
      <c r="C107" s="177" t="s">
        <v>226</v>
      </c>
      <c r="D107" s="177" t="s">
        <v>462</v>
      </c>
    </row>
    <row r="108" spans="2:4" thickBot="1">
      <c r="B108" s="176" t="s">
        <v>463</v>
      </c>
      <c r="C108" s="177" t="s">
        <v>226</v>
      </c>
      <c r="D108" s="177" t="s">
        <v>464</v>
      </c>
    </row>
    <row r="109" spans="2:4" thickBot="1">
      <c r="B109" s="176" t="s">
        <v>465</v>
      </c>
      <c r="C109" s="177" t="s">
        <v>226</v>
      </c>
      <c r="D109" s="177" t="s">
        <v>466</v>
      </c>
    </row>
    <row r="110" spans="2:4" thickBot="1">
      <c r="B110" s="176" t="s">
        <v>467</v>
      </c>
      <c r="C110" s="177" t="s">
        <v>226</v>
      </c>
      <c r="D110" s="177" t="s">
        <v>468</v>
      </c>
    </row>
    <row r="111" spans="2:4" ht="41.25" thickBot="1">
      <c r="B111" s="176" t="s">
        <v>469</v>
      </c>
      <c r="C111" s="177" t="s">
        <v>226</v>
      </c>
      <c r="D111" s="177" t="s">
        <v>470</v>
      </c>
    </row>
    <row r="112" spans="2:4" thickBot="1">
      <c r="B112" s="176" t="s">
        <v>471</v>
      </c>
      <c r="C112" s="177" t="s">
        <v>226</v>
      </c>
      <c r="D112" s="177" t="s">
        <v>472</v>
      </c>
    </row>
    <row r="113" spans="2:4" ht="21" customHeight="1" thickBot="1">
      <c r="B113" s="758" t="s">
        <v>473</v>
      </c>
      <c r="C113" s="759"/>
      <c r="D113" s="760"/>
    </row>
    <row r="114" spans="2:4" ht="21" customHeight="1" thickBot="1">
      <c r="B114" s="758"/>
      <c r="C114" s="759"/>
      <c r="D114" s="760"/>
    </row>
    <row r="115" spans="2:4" ht="21" customHeight="1" thickBot="1">
      <c r="B115" s="761" t="s">
        <v>474</v>
      </c>
      <c r="C115" s="759"/>
      <c r="D115" s="760"/>
    </row>
    <row r="116" spans="2:4" ht="21" customHeight="1" thickBot="1">
      <c r="B116" s="758"/>
      <c r="C116" s="759"/>
      <c r="D116" s="760"/>
    </row>
    <row r="117" spans="2:4" ht="21" customHeight="1" thickBot="1">
      <c r="B117" s="758" t="s">
        <v>475</v>
      </c>
      <c r="C117" s="759"/>
      <c r="D117" s="760"/>
    </row>
    <row r="118" spans="2:4" ht="21" customHeight="1" thickBot="1">
      <c r="B118" s="758"/>
      <c r="C118" s="759"/>
      <c r="D118" s="760"/>
    </row>
  </sheetData>
  <mergeCells count="3">
    <mergeCell ref="B113:D114"/>
    <mergeCell ref="B115:D116"/>
    <mergeCell ref="B117:D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showRowColHeaders="0" workbookViewId="0">
      <selection activeCell="A4" sqref="A4:F5"/>
    </sheetView>
  </sheetViews>
  <sheetFormatPr defaultRowHeight="15"/>
  <cols>
    <col min="8" max="8" width="11.85546875" customWidth="1"/>
    <col min="9" max="9" width="14.42578125" customWidth="1"/>
    <col min="10" max="10" width="19.85546875" customWidth="1"/>
    <col min="11" max="11" width="11.5703125" customWidth="1"/>
    <col min="12" max="12" width="25.7109375" customWidth="1"/>
    <col min="13" max="13" width="13.140625" customWidth="1"/>
    <col min="14" max="14" width="20" customWidth="1"/>
    <col min="18" max="18" width="9.140625" customWidth="1"/>
    <col min="20" max="20" width="3" style="142" customWidth="1"/>
    <col min="32" max="32" width="9.140625" customWidth="1"/>
  </cols>
  <sheetData>
    <row r="1" spans="1:20" ht="20.25" customHeight="1" thickTop="1" thickBot="1">
      <c r="A1" s="767" t="s">
        <v>5</v>
      </c>
      <c r="B1" s="768"/>
      <c r="C1" s="768"/>
      <c r="D1" s="768"/>
      <c r="E1" s="768"/>
      <c r="F1" s="768"/>
      <c r="G1" s="763" t="s">
        <v>26</v>
      </c>
      <c r="H1" s="765" t="s">
        <v>476</v>
      </c>
      <c r="T1"/>
    </row>
    <row r="2" spans="1:20" ht="16.5" customHeight="1" thickTop="1" thickBot="1">
      <c r="A2" s="768"/>
      <c r="B2" s="768"/>
      <c r="C2" s="768"/>
      <c r="D2" s="768"/>
      <c r="E2" s="768"/>
      <c r="F2" s="768"/>
      <c r="G2" s="764"/>
      <c r="H2" s="766"/>
      <c r="T2"/>
    </row>
    <row r="3" spans="1:20" ht="15" customHeight="1" thickTop="1" thickBot="1">
      <c r="A3" s="768"/>
      <c r="B3" s="768"/>
      <c r="C3" s="768"/>
      <c r="D3" s="768"/>
      <c r="E3" s="768"/>
      <c r="F3" s="768"/>
      <c r="G3" s="770" t="s">
        <v>107</v>
      </c>
      <c r="H3" s="770"/>
      <c r="I3" s="770"/>
      <c r="J3" s="770"/>
      <c r="K3" s="770"/>
      <c r="L3" s="770"/>
      <c r="T3"/>
    </row>
    <row r="4" spans="1:20" ht="15" customHeight="1" thickTop="1" thickBot="1">
      <c r="A4" s="769" t="s">
        <v>44</v>
      </c>
      <c r="B4" s="769"/>
      <c r="C4" s="769"/>
      <c r="D4" s="769"/>
      <c r="E4" s="769"/>
      <c r="F4" s="769"/>
      <c r="G4" s="770"/>
      <c r="H4" s="770"/>
      <c r="I4" s="770"/>
      <c r="J4" s="770"/>
      <c r="K4" s="770"/>
      <c r="L4" s="770"/>
      <c r="T4"/>
    </row>
    <row r="5" spans="1:20" ht="20.25" thickTop="1" thickBot="1">
      <c r="A5" s="769"/>
      <c r="B5" s="769"/>
      <c r="C5" s="769"/>
      <c r="D5" s="769"/>
      <c r="E5" s="769"/>
      <c r="F5" s="769"/>
      <c r="G5" s="181" t="s">
        <v>477</v>
      </c>
      <c r="H5" s="182" t="s">
        <v>478</v>
      </c>
      <c r="I5" s="183" t="s">
        <v>183</v>
      </c>
      <c r="J5" s="183" t="s">
        <v>184</v>
      </c>
      <c r="K5" s="183" t="s">
        <v>185</v>
      </c>
      <c r="L5" s="183" t="s">
        <v>479</v>
      </c>
      <c r="T5"/>
    </row>
    <row r="6" spans="1:20" ht="22.5" customHeight="1" thickTop="1" thickBot="1">
      <c r="A6" s="180">
        <v>1</v>
      </c>
      <c r="B6" s="762" t="s">
        <v>480</v>
      </c>
      <c r="C6" s="762"/>
      <c r="D6" s="762"/>
      <c r="E6" s="762"/>
      <c r="F6" s="762"/>
      <c r="G6" s="185">
        <v>1</v>
      </c>
      <c r="H6" s="186">
        <v>1</v>
      </c>
      <c r="I6" s="187">
        <v>2</v>
      </c>
      <c r="J6" s="187">
        <v>0</v>
      </c>
      <c r="K6" s="187">
        <v>0</v>
      </c>
      <c r="L6" s="187" t="s">
        <v>481</v>
      </c>
      <c r="T6"/>
    </row>
    <row r="7" spans="1:20" ht="22.5" customHeight="1" thickTop="1" thickBot="1">
      <c r="A7" s="180">
        <v>2</v>
      </c>
      <c r="B7" s="762" t="s">
        <v>482</v>
      </c>
      <c r="C7" s="762"/>
      <c r="D7" s="762"/>
      <c r="E7" s="762"/>
      <c r="F7" s="762"/>
      <c r="G7" s="181">
        <v>2</v>
      </c>
      <c r="H7" s="182">
        <v>2</v>
      </c>
      <c r="I7" s="184">
        <v>3</v>
      </c>
      <c r="J7" s="184">
        <v>0</v>
      </c>
      <c r="K7" s="184">
        <v>0</v>
      </c>
      <c r="L7" s="184" t="s">
        <v>481</v>
      </c>
      <c r="T7"/>
    </row>
    <row r="8" spans="1:20" ht="22.5" customHeight="1" thickTop="1" thickBot="1">
      <c r="A8" s="180">
        <v>3</v>
      </c>
      <c r="B8" s="762" t="s">
        <v>59</v>
      </c>
      <c r="C8" s="762"/>
      <c r="D8" s="762"/>
      <c r="E8" s="762"/>
      <c r="F8" s="762"/>
      <c r="G8" s="185">
        <v>3</v>
      </c>
      <c r="H8" s="186">
        <v>3</v>
      </c>
      <c r="I8" s="187">
        <v>3</v>
      </c>
      <c r="J8" s="187">
        <v>1</v>
      </c>
      <c r="K8" s="187">
        <v>1</v>
      </c>
      <c r="L8" s="188"/>
      <c r="T8"/>
    </row>
    <row r="9" spans="1:20" ht="22.5" customHeight="1" thickTop="1" thickBot="1">
      <c r="A9" s="180">
        <v>4</v>
      </c>
      <c r="B9" s="762" t="s">
        <v>483</v>
      </c>
      <c r="C9" s="762"/>
      <c r="D9" s="762"/>
      <c r="E9" s="762"/>
      <c r="F9" s="762"/>
      <c r="G9" s="181">
        <v>4</v>
      </c>
      <c r="H9" s="182">
        <v>4</v>
      </c>
      <c r="I9" s="184">
        <v>4</v>
      </c>
      <c r="J9" s="184">
        <v>1</v>
      </c>
      <c r="K9" s="184">
        <v>1</v>
      </c>
      <c r="L9" s="184" t="s">
        <v>481</v>
      </c>
      <c r="T9"/>
    </row>
    <row r="10" spans="1:20" ht="22.5" customHeight="1" thickTop="1" thickBot="1">
      <c r="A10" s="180">
        <v>5</v>
      </c>
      <c r="B10" s="762" t="s">
        <v>484</v>
      </c>
      <c r="C10" s="762"/>
      <c r="D10" s="762"/>
      <c r="E10" s="762"/>
      <c r="F10" s="762"/>
      <c r="G10" s="185">
        <v>5</v>
      </c>
      <c r="H10" s="186">
        <v>5</v>
      </c>
      <c r="I10" s="187">
        <v>4</v>
      </c>
      <c r="J10" s="187">
        <v>1</v>
      </c>
      <c r="K10" s="187">
        <v>1</v>
      </c>
      <c r="L10" s="188"/>
      <c r="T10"/>
    </row>
    <row r="11" spans="1:20" ht="22.5" customHeight="1" thickTop="1" thickBot="1">
      <c r="A11" s="180">
        <v>6</v>
      </c>
      <c r="B11" s="762" t="s">
        <v>485</v>
      </c>
      <c r="C11" s="762"/>
      <c r="D11" s="762"/>
      <c r="E11" s="762"/>
      <c r="F11" s="762"/>
      <c r="G11" s="181">
        <v>6</v>
      </c>
      <c r="H11" s="182">
        <v>6</v>
      </c>
      <c r="I11" s="184">
        <v>5</v>
      </c>
      <c r="J11" s="184">
        <v>2</v>
      </c>
      <c r="K11" s="184">
        <v>2</v>
      </c>
      <c r="L11" s="184" t="s">
        <v>481</v>
      </c>
      <c r="T11"/>
    </row>
    <row r="12" spans="1:20" ht="22.5" customHeight="1" thickTop="1" thickBot="1">
      <c r="A12" s="180">
        <v>7</v>
      </c>
      <c r="B12" s="762" t="s">
        <v>486</v>
      </c>
      <c r="C12" s="762"/>
      <c r="D12" s="762"/>
      <c r="E12" s="762"/>
      <c r="F12" s="762"/>
      <c r="G12" s="185">
        <v>7</v>
      </c>
      <c r="H12" s="186">
        <v>7</v>
      </c>
      <c r="I12" s="187">
        <v>5</v>
      </c>
      <c r="J12" s="187">
        <v>2</v>
      </c>
      <c r="K12" s="187">
        <v>2</v>
      </c>
      <c r="L12" s="188"/>
      <c r="T12"/>
    </row>
    <row r="13" spans="1:20" ht="22.5" customHeight="1" thickTop="1" thickBot="1">
      <c r="A13" s="400"/>
      <c r="B13" s="136"/>
      <c r="C13" s="136"/>
      <c r="D13" s="136"/>
      <c r="E13" s="136"/>
      <c r="F13" s="136"/>
      <c r="G13" s="182">
        <v>8</v>
      </c>
      <c r="H13" s="182">
        <v>8</v>
      </c>
      <c r="I13" s="184">
        <v>6</v>
      </c>
      <c r="J13" s="184">
        <v>2</v>
      </c>
      <c r="K13" s="184">
        <v>2</v>
      </c>
      <c r="L13" s="184" t="s">
        <v>481</v>
      </c>
      <c r="T13"/>
    </row>
    <row r="14" spans="1:20" ht="22.5" customHeight="1" thickTop="1" thickBot="1">
      <c r="A14" s="400"/>
      <c r="B14" s="136"/>
      <c r="C14" s="136"/>
      <c r="D14" s="136"/>
      <c r="E14" s="136"/>
      <c r="F14" s="136"/>
      <c r="G14" s="186">
        <v>9</v>
      </c>
      <c r="H14" s="186">
        <v>9</v>
      </c>
      <c r="I14" s="187">
        <v>6</v>
      </c>
      <c r="J14" s="187">
        <v>3</v>
      </c>
      <c r="K14" s="187">
        <v>3</v>
      </c>
      <c r="L14" s="188"/>
      <c r="T14"/>
    </row>
    <row r="15" spans="1:20" ht="20.25" thickTop="1" thickBot="1">
      <c r="G15" s="182">
        <v>10</v>
      </c>
      <c r="H15" s="182">
        <v>10</v>
      </c>
      <c r="I15" s="184">
        <v>7</v>
      </c>
      <c r="J15" s="184">
        <v>3</v>
      </c>
      <c r="K15" s="184">
        <v>3</v>
      </c>
      <c r="L15" s="184" t="s">
        <v>481</v>
      </c>
      <c r="T15"/>
    </row>
    <row r="16" spans="1:20" ht="20.25" thickTop="1" thickBot="1">
      <c r="G16" s="186">
        <v>11</v>
      </c>
      <c r="H16" s="186">
        <v>11</v>
      </c>
      <c r="I16" s="187">
        <v>7</v>
      </c>
      <c r="J16" s="187">
        <v>3</v>
      </c>
      <c r="K16" s="187">
        <v>3</v>
      </c>
      <c r="L16" s="188"/>
      <c r="T16"/>
    </row>
    <row r="17" spans="7:20" ht="20.25" thickTop="1" thickBot="1">
      <c r="G17" s="182">
        <v>12</v>
      </c>
      <c r="H17" s="182">
        <v>12</v>
      </c>
      <c r="I17" s="184">
        <v>8</v>
      </c>
      <c r="J17" s="184">
        <v>4</v>
      </c>
      <c r="K17" s="184">
        <v>4</v>
      </c>
      <c r="L17" s="184" t="s">
        <v>481</v>
      </c>
      <c r="T17"/>
    </row>
    <row r="18" spans="7:20" ht="20.25" thickTop="1" thickBot="1">
      <c r="G18" s="186">
        <v>13</v>
      </c>
      <c r="H18" s="186">
        <v>13</v>
      </c>
      <c r="I18" s="187">
        <v>8</v>
      </c>
      <c r="J18" s="187">
        <v>4</v>
      </c>
      <c r="K18" s="187">
        <v>4</v>
      </c>
      <c r="L18" s="188"/>
      <c r="T18"/>
    </row>
    <row r="19" spans="7:20" ht="20.25" thickTop="1" thickBot="1">
      <c r="G19" s="182">
        <v>14</v>
      </c>
      <c r="H19" s="182">
        <v>14</v>
      </c>
      <c r="I19" s="184">
        <v>9</v>
      </c>
      <c r="J19" s="184">
        <v>4</v>
      </c>
      <c r="K19" s="184">
        <v>4</v>
      </c>
      <c r="L19" s="184" t="s">
        <v>481</v>
      </c>
      <c r="T19"/>
    </row>
    <row r="20" spans="7:20" ht="20.25" thickTop="1" thickBot="1">
      <c r="G20" s="186">
        <v>15</v>
      </c>
      <c r="H20" s="186">
        <v>15</v>
      </c>
      <c r="I20" s="187">
        <v>9</v>
      </c>
      <c r="J20" s="187">
        <v>5</v>
      </c>
      <c r="K20" s="187">
        <v>5</v>
      </c>
      <c r="L20" s="188"/>
      <c r="T20"/>
    </row>
    <row r="21" spans="7:20" ht="20.25" thickTop="1" thickBot="1">
      <c r="G21" s="182">
        <v>16</v>
      </c>
      <c r="H21" s="182">
        <v>16</v>
      </c>
      <c r="I21" s="184">
        <v>10</v>
      </c>
      <c r="J21" s="184">
        <v>5</v>
      </c>
      <c r="K21" s="184">
        <v>5</v>
      </c>
      <c r="L21" s="184" t="s">
        <v>481</v>
      </c>
      <c r="T21"/>
    </row>
    <row r="22" spans="7:20" ht="20.25" thickTop="1" thickBot="1">
      <c r="G22" s="186">
        <v>17</v>
      </c>
      <c r="H22" s="186">
        <v>17</v>
      </c>
      <c r="I22" s="187">
        <v>10</v>
      </c>
      <c r="J22" s="187">
        <v>5</v>
      </c>
      <c r="K22" s="187">
        <v>5</v>
      </c>
      <c r="L22" s="188"/>
      <c r="T22"/>
    </row>
    <row r="23" spans="7:20" ht="20.25" thickTop="1" thickBot="1">
      <c r="G23" s="182">
        <v>18</v>
      </c>
      <c r="H23" s="182">
        <v>18</v>
      </c>
      <c r="I23" s="184">
        <v>11</v>
      </c>
      <c r="J23" s="184">
        <v>6</v>
      </c>
      <c r="K23" s="184">
        <v>6</v>
      </c>
      <c r="L23" s="184" t="s">
        <v>481</v>
      </c>
      <c r="T23"/>
    </row>
    <row r="24" spans="7:20" ht="20.25" thickTop="1" thickBot="1">
      <c r="G24" s="186">
        <v>19</v>
      </c>
      <c r="H24" s="186">
        <v>19</v>
      </c>
      <c r="I24" s="187">
        <v>11</v>
      </c>
      <c r="J24" s="187">
        <v>6</v>
      </c>
      <c r="K24" s="187">
        <v>6</v>
      </c>
      <c r="L24" s="188"/>
    </row>
    <row r="25" spans="7:20" ht="20.25" thickTop="1" thickBot="1">
      <c r="G25" s="182">
        <v>20</v>
      </c>
      <c r="H25" s="182">
        <v>20</v>
      </c>
      <c r="I25" s="184">
        <v>12</v>
      </c>
      <c r="J25" s="184">
        <v>6</v>
      </c>
      <c r="K25" s="184">
        <v>6</v>
      </c>
      <c r="L25" s="184" t="s">
        <v>481</v>
      </c>
    </row>
    <row r="26" spans="7:20" s="142" customFormat="1" ht="15.75" thickTop="1"/>
    <row r="41" spans="1:8">
      <c r="A41" s="141"/>
      <c r="B41" s="141"/>
      <c r="C41" s="141"/>
      <c r="D41" s="141"/>
      <c r="E41" s="141"/>
      <c r="F41" s="141"/>
      <c r="G41" s="141"/>
      <c r="H41" s="141"/>
    </row>
    <row r="42" spans="1:8">
      <c r="A42" s="141"/>
      <c r="B42" s="141"/>
      <c r="C42" s="141"/>
      <c r="D42" s="141"/>
      <c r="E42" s="141"/>
      <c r="F42" s="141"/>
      <c r="G42" s="141"/>
      <c r="H42" s="141"/>
    </row>
  </sheetData>
  <mergeCells count="12">
    <mergeCell ref="B12:F12"/>
    <mergeCell ref="G1:G2"/>
    <mergeCell ref="H1:H2"/>
    <mergeCell ref="A1:F3"/>
    <mergeCell ref="A4:F5"/>
    <mergeCell ref="B6:F6"/>
    <mergeCell ref="B7:F7"/>
    <mergeCell ref="B8:F8"/>
    <mergeCell ref="B9:F9"/>
    <mergeCell ref="B10:F10"/>
    <mergeCell ref="B11:F11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showGridLines="0" showRowColHeaders="0" topLeftCell="A16" zoomScale="85" zoomScaleNormal="85" workbookViewId="0">
      <selection activeCell="X11" sqref="X11"/>
    </sheetView>
  </sheetViews>
  <sheetFormatPr defaultRowHeight="15"/>
  <cols>
    <col min="4" max="4" width="13.28515625" customWidth="1"/>
    <col min="5" max="5" width="9.140625" customWidth="1"/>
    <col min="7" max="7" width="11.28515625" customWidth="1"/>
    <col min="8" max="8" width="12.5703125" customWidth="1"/>
    <col min="10" max="10" width="11.140625" customWidth="1"/>
    <col min="11" max="11" width="14.7109375" customWidth="1"/>
    <col min="12" max="12" width="45" customWidth="1"/>
    <col min="14" max="14" width="8" customWidth="1"/>
    <col min="15" max="15" width="9.42578125" customWidth="1"/>
    <col min="17" max="17" width="9.140625" customWidth="1"/>
  </cols>
  <sheetData>
    <row r="1" spans="1:19" ht="37.5" customHeight="1" thickBot="1">
      <c r="A1" s="791" t="s">
        <v>177</v>
      </c>
      <c r="B1" s="792"/>
      <c r="C1" s="792"/>
      <c r="D1" s="793"/>
      <c r="E1" s="790" t="s">
        <v>26</v>
      </c>
      <c r="F1" s="790" t="s">
        <v>487</v>
      </c>
      <c r="G1" s="779" t="s">
        <v>2</v>
      </c>
      <c r="H1" s="779" t="s">
        <v>488</v>
      </c>
      <c r="I1" s="779" t="s">
        <v>489</v>
      </c>
      <c r="J1" s="788" t="s">
        <v>490</v>
      </c>
      <c r="K1" s="788" t="s">
        <v>491</v>
      </c>
      <c r="L1" s="190" t="s">
        <v>492</v>
      </c>
      <c r="M1" s="785" t="s">
        <v>186</v>
      </c>
      <c r="N1" s="786"/>
      <c r="O1" s="786"/>
      <c r="P1" s="786"/>
      <c r="Q1" s="786"/>
      <c r="R1" s="786"/>
      <c r="S1" s="787"/>
    </row>
    <row r="2" spans="1:19" ht="25.5" customHeight="1" thickBot="1">
      <c r="A2" s="792"/>
      <c r="B2" s="792"/>
      <c r="C2" s="792"/>
      <c r="D2" s="793"/>
      <c r="E2" s="790"/>
      <c r="F2" s="790"/>
      <c r="G2" s="779"/>
      <c r="H2" s="779"/>
      <c r="I2" s="779"/>
      <c r="J2" s="789"/>
      <c r="K2" s="789"/>
      <c r="L2" s="190"/>
      <c r="M2" s="191">
        <v>0</v>
      </c>
      <c r="N2" s="191">
        <v>1</v>
      </c>
      <c r="O2" s="191">
        <v>2</v>
      </c>
      <c r="P2" s="191">
        <v>3</v>
      </c>
      <c r="Q2" s="191">
        <v>4</v>
      </c>
      <c r="R2" s="191">
        <v>5</v>
      </c>
      <c r="S2" s="191">
        <v>6</v>
      </c>
    </row>
    <row r="3" spans="1:19" ht="54.75" customHeight="1" thickBot="1">
      <c r="A3" s="143"/>
      <c r="B3" s="143"/>
      <c r="C3" s="143"/>
      <c r="D3" s="143"/>
      <c r="E3" s="143"/>
      <c r="F3" s="143"/>
      <c r="G3" s="218">
        <v>1</v>
      </c>
      <c r="H3" s="218">
        <v>0</v>
      </c>
      <c r="I3" s="218">
        <v>0</v>
      </c>
      <c r="J3" s="218">
        <v>2</v>
      </c>
      <c r="K3" s="218">
        <v>2</v>
      </c>
      <c r="L3" s="159" t="s">
        <v>493</v>
      </c>
      <c r="M3" s="162">
        <v>2</v>
      </c>
      <c r="N3" s="162" t="s">
        <v>226</v>
      </c>
      <c r="O3" s="162" t="s">
        <v>226</v>
      </c>
      <c r="P3" s="162" t="s">
        <v>226</v>
      </c>
      <c r="Q3" s="162" t="s">
        <v>226</v>
      </c>
      <c r="R3" s="162" t="s">
        <v>226</v>
      </c>
      <c r="S3" s="162" t="s">
        <v>188</v>
      </c>
    </row>
    <row r="4" spans="1:19" ht="16.5" customHeight="1" thickBot="1">
      <c r="A4" s="143"/>
      <c r="B4" s="143"/>
      <c r="C4" s="143"/>
      <c r="D4" s="143"/>
      <c r="E4" s="143"/>
      <c r="F4" s="143"/>
      <c r="G4" s="194">
        <v>2</v>
      </c>
      <c r="H4" s="194">
        <v>1</v>
      </c>
      <c r="I4" s="194">
        <v>0</v>
      </c>
      <c r="J4" s="194">
        <v>3</v>
      </c>
      <c r="K4" s="194">
        <v>3</v>
      </c>
      <c r="L4" s="192" t="s">
        <v>494</v>
      </c>
      <c r="M4" s="191">
        <v>3</v>
      </c>
      <c r="N4" s="191">
        <v>0</v>
      </c>
      <c r="O4" s="191" t="s">
        <v>226</v>
      </c>
      <c r="P4" s="191" t="s">
        <v>188</v>
      </c>
      <c r="Q4" s="191" t="s">
        <v>226</v>
      </c>
      <c r="R4" s="191" t="s">
        <v>226</v>
      </c>
      <c r="S4" s="191" t="s">
        <v>188</v>
      </c>
    </row>
    <row r="5" spans="1:19" ht="35.25" customHeight="1" thickBot="1">
      <c r="A5" s="143"/>
      <c r="B5" s="143"/>
      <c r="C5" s="143"/>
      <c r="D5" s="143"/>
      <c r="E5" s="143"/>
      <c r="F5" s="143"/>
      <c r="G5" s="218">
        <v>3</v>
      </c>
      <c r="H5" s="218">
        <v>2</v>
      </c>
      <c r="I5" s="218">
        <v>1</v>
      </c>
      <c r="J5" s="218">
        <v>3</v>
      </c>
      <c r="K5" s="218">
        <v>3</v>
      </c>
      <c r="L5" s="159" t="s">
        <v>495</v>
      </c>
      <c r="M5" s="162">
        <v>3</v>
      </c>
      <c r="N5" s="162">
        <v>1</v>
      </c>
      <c r="O5" s="162" t="s">
        <v>226</v>
      </c>
      <c r="P5" s="162" t="s">
        <v>226</v>
      </c>
      <c r="Q5" s="162" t="s">
        <v>226</v>
      </c>
      <c r="R5" s="162" t="s">
        <v>226</v>
      </c>
      <c r="S5" s="162" t="s">
        <v>188</v>
      </c>
    </row>
    <row r="6" spans="1:19" ht="16.5" customHeight="1" thickBot="1">
      <c r="A6" s="143"/>
      <c r="B6" s="143"/>
      <c r="C6" s="143"/>
      <c r="D6" s="143"/>
      <c r="E6" s="143"/>
      <c r="F6" s="143"/>
      <c r="G6" s="194">
        <v>4</v>
      </c>
      <c r="H6" s="194">
        <v>3</v>
      </c>
      <c r="I6" s="194">
        <v>1</v>
      </c>
      <c r="J6" s="194">
        <v>4</v>
      </c>
      <c r="K6" s="194">
        <v>4</v>
      </c>
      <c r="L6" s="192" t="s">
        <v>494</v>
      </c>
      <c r="M6" s="191">
        <v>3</v>
      </c>
      <c r="N6" s="191">
        <v>2</v>
      </c>
      <c r="O6" s="191">
        <v>0</v>
      </c>
      <c r="P6" s="191" t="s">
        <v>226</v>
      </c>
      <c r="Q6" s="191" t="s">
        <v>226</v>
      </c>
      <c r="R6" s="191" t="s">
        <v>226</v>
      </c>
      <c r="S6" s="191" t="s">
        <v>188</v>
      </c>
    </row>
    <row r="7" spans="1:19" ht="16.5" customHeight="1" thickBot="1">
      <c r="A7" s="143"/>
      <c r="B7" s="143"/>
      <c r="C7" s="143"/>
      <c r="D7" s="143"/>
      <c r="E7" s="143"/>
      <c r="F7" s="143"/>
      <c r="G7" s="218">
        <v>5</v>
      </c>
      <c r="H7" s="218">
        <v>3</v>
      </c>
      <c r="I7" s="218">
        <v>1</v>
      </c>
      <c r="J7" s="218">
        <v>4</v>
      </c>
      <c r="K7" s="218">
        <v>4</v>
      </c>
      <c r="L7" s="159"/>
      <c r="M7" s="162">
        <v>3</v>
      </c>
      <c r="N7" s="162">
        <v>3</v>
      </c>
      <c r="O7" s="162">
        <v>1</v>
      </c>
      <c r="P7" s="162" t="s">
        <v>188</v>
      </c>
      <c r="Q7" s="162" t="s">
        <v>188</v>
      </c>
      <c r="R7" s="162" t="s">
        <v>188</v>
      </c>
      <c r="S7" s="162" t="s">
        <v>188</v>
      </c>
    </row>
    <row r="8" spans="1:19" ht="19.5" customHeight="1" thickBot="1">
      <c r="A8" s="143"/>
      <c r="B8" s="143"/>
      <c r="C8" s="143"/>
      <c r="D8" s="143"/>
      <c r="E8" s="143"/>
      <c r="F8" s="143"/>
      <c r="G8" s="195">
        <v>6</v>
      </c>
      <c r="H8" s="195">
        <v>4</v>
      </c>
      <c r="I8" s="195">
        <v>2</v>
      </c>
      <c r="J8" s="195">
        <v>5</v>
      </c>
      <c r="K8" s="195">
        <v>5</v>
      </c>
      <c r="L8" s="193" t="s">
        <v>496</v>
      </c>
      <c r="M8" s="189">
        <v>3</v>
      </c>
      <c r="N8" s="189">
        <v>3</v>
      </c>
      <c r="O8" s="189">
        <v>2</v>
      </c>
      <c r="P8" s="189" t="s">
        <v>188</v>
      </c>
      <c r="Q8" s="189" t="s">
        <v>188</v>
      </c>
      <c r="R8" s="189" t="s">
        <v>188</v>
      </c>
      <c r="S8" s="189" t="s">
        <v>188</v>
      </c>
    </row>
    <row r="9" spans="1:19" ht="19.5" customHeight="1" thickBot="1">
      <c r="A9" s="143"/>
      <c r="B9" s="143"/>
      <c r="C9" s="143"/>
      <c r="D9" s="143"/>
      <c r="E9" s="143"/>
      <c r="F9" s="143"/>
      <c r="G9" s="219">
        <v>7</v>
      </c>
      <c r="H9" s="219">
        <v>5</v>
      </c>
      <c r="I9" s="219">
        <v>2</v>
      </c>
      <c r="J9" s="219">
        <v>5</v>
      </c>
      <c r="K9" s="219">
        <v>5</v>
      </c>
      <c r="L9" s="160"/>
      <c r="M9" s="161">
        <v>3</v>
      </c>
      <c r="N9" s="161">
        <v>3</v>
      </c>
      <c r="O9" s="161">
        <v>2</v>
      </c>
      <c r="P9" s="161">
        <v>0</v>
      </c>
      <c r="Q9" s="161" t="s">
        <v>188</v>
      </c>
      <c r="R9" s="161" t="s">
        <v>188</v>
      </c>
      <c r="S9" s="161" t="s">
        <v>188</v>
      </c>
    </row>
    <row r="10" spans="1:19" ht="19.5" customHeight="1" thickBot="1">
      <c r="A10" s="143"/>
      <c r="B10" s="143"/>
      <c r="C10" s="143"/>
      <c r="D10" s="143"/>
      <c r="E10" s="143"/>
      <c r="F10" s="143"/>
      <c r="G10" s="195">
        <v>8</v>
      </c>
      <c r="H10" s="195">
        <f>6/1</f>
        <v>6</v>
      </c>
      <c r="I10" s="195">
        <v>2</v>
      </c>
      <c r="J10" s="195">
        <v>6</v>
      </c>
      <c r="K10" s="195">
        <v>6</v>
      </c>
      <c r="L10" s="193" t="s">
        <v>497</v>
      </c>
      <c r="M10" s="189">
        <v>3</v>
      </c>
      <c r="N10" s="189">
        <v>3</v>
      </c>
      <c r="O10" s="189">
        <v>3</v>
      </c>
      <c r="P10" s="189">
        <v>1</v>
      </c>
      <c r="Q10" s="189" t="s">
        <v>188</v>
      </c>
      <c r="R10" s="189" t="s">
        <v>188</v>
      </c>
      <c r="S10" s="189" t="s">
        <v>188</v>
      </c>
    </row>
    <row r="11" spans="1:19" ht="19.5" customHeight="1" thickBot="1">
      <c r="A11" s="143"/>
      <c r="B11" s="143"/>
      <c r="C11" s="143"/>
      <c r="D11" s="143"/>
      <c r="E11" s="143"/>
      <c r="F11" s="143"/>
      <c r="G11" s="219">
        <v>9</v>
      </c>
      <c r="H11" s="219">
        <f>6/1</f>
        <v>6</v>
      </c>
      <c r="I11" s="219">
        <v>3</v>
      </c>
      <c r="J11" s="219">
        <v>6</v>
      </c>
      <c r="K11" s="219">
        <v>6</v>
      </c>
      <c r="L11" s="160" t="s">
        <v>498</v>
      </c>
      <c r="M11" s="161">
        <v>3</v>
      </c>
      <c r="N11" s="161">
        <v>3</v>
      </c>
      <c r="O11" s="161">
        <v>3</v>
      </c>
      <c r="P11" s="161">
        <v>2</v>
      </c>
      <c r="Q11" s="161" t="s">
        <v>188</v>
      </c>
      <c r="R11" s="161" t="s">
        <v>188</v>
      </c>
      <c r="S11" s="161" t="s">
        <v>188</v>
      </c>
    </row>
    <row r="12" spans="1:19" ht="19.5" customHeight="1" thickBot="1">
      <c r="A12" s="143"/>
      <c r="B12" s="143"/>
      <c r="C12" s="143"/>
      <c r="D12" s="143"/>
      <c r="E12" s="143"/>
      <c r="F12" s="143"/>
      <c r="G12" s="194">
        <v>10</v>
      </c>
      <c r="H12" s="195">
        <v>7</v>
      </c>
      <c r="I12" s="195">
        <v>3</v>
      </c>
      <c r="J12" s="195">
        <v>7</v>
      </c>
      <c r="K12" s="195">
        <v>7</v>
      </c>
      <c r="L12" s="193"/>
      <c r="M12" s="189">
        <v>3</v>
      </c>
      <c r="N12" s="189">
        <v>3</v>
      </c>
      <c r="O12" s="189">
        <v>3</v>
      </c>
      <c r="P12" s="189">
        <v>2</v>
      </c>
      <c r="Q12" s="189">
        <v>0</v>
      </c>
      <c r="R12" s="189" t="s">
        <v>188</v>
      </c>
      <c r="S12" s="189" t="s">
        <v>188</v>
      </c>
    </row>
    <row r="13" spans="1:19" ht="19.5" customHeight="1" thickBot="1">
      <c r="A13" s="143"/>
      <c r="B13" s="143"/>
      <c r="C13" s="143"/>
      <c r="D13" s="143"/>
      <c r="E13" s="143"/>
      <c r="F13" s="143"/>
      <c r="G13" s="218">
        <v>11</v>
      </c>
      <c r="H13" s="219">
        <v>8</v>
      </c>
      <c r="I13" s="219">
        <v>3</v>
      </c>
      <c r="J13" s="219">
        <v>7</v>
      </c>
      <c r="K13" s="219">
        <v>7</v>
      </c>
      <c r="L13" s="160"/>
      <c r="M13" s="161">
        <v>3</v>
      </c>
      <c r="N13" s="161">
        <v>3</v>
      </c>
      <c r="O13" s="161">
        <v>3</v>
      </c>
      <c r="P13" s="161">
        <v>3</v>
      </c>
      <c r="Q13" s="161">
        <v>1</v>
      </c>
      <c r="R13" s="161" t="s">
        <v>188</v>
      </c>
      <c r="S13" s="161" t="s">
        <v>188</v>
      </c>
    </row>
    <row r="14" spans="1:19" ht="19.5" customHeight="1" thickBot="1">
      <c r="A14" s="143"/>
      <c r="B14" s="143"/>
      <c r="C14" s="143"/>
      <c r="D14" s="143"/>
      <c r="E14" s="143"/>
      <c r="F14" s="143"/>
      <c r="G14" s="194">
        <v>12</v>
      </c>
      <c r="H14" s="195">
        <v>9</v>
      </c>
      <c r="I14" s="195">
        <v>4</v>
      </c>
      <c r="J14" s="195">
        <v>8</v>
      </c>
      <c r="K14" s="195">
        <v>8</v>
      </c>
      <c r="L14" s="193" t="s">
        <v>499</v>
      </c>
      <c r="M14" s="189">
        <v>3</v>
      </c>
      <c r="N14" s="189">
        <v>3</v>
      </c>
      <c r="O14" s="189">
        <v>3</v>
      </c>
      <c r="P14" s="189">
        <v>3</v>
      </c>
      <c r="Q14" s="189">
        <v>2</v>
      </c>
      <c r="R14" s="189" t="s">
        <v>188</v>
      </c>
      <c r="S14" s="189" t="s">
        <v>188</v>
      </c>
    </row>
    <row r="15" spans="1:19" ht="19.5" customHeight="1" thickBot="1">
      <c r="A15" s="143"/>
      <c r="B15" s="143"/>
      <c r="C15" s="143"/>
      <c r="D15" s="143"/>
      <c r="E15" s="143"/>
      <c r="F15" s="143"/>
      <c r="G15" s="218">
        <v>13</v>
      </c>
      <c r="H15" s="219">
        <v>9</v>
      </c>
      <c r="I15" s="219">
        <v>4</v>
      </c>
      <c r="J15" s="219">
        <v>8</v>
      </c>
      <c r="K15" s="219">
        <v>8</v>
      </c>
      <c r="L15" s="160"/>
      <c r="M15" s="161">
        <v>3</v>
      </c>
      <c r="N15" s="161">
        <v>3</v>
      </c>
      <c r="O15" s="161">
        <v>3</v>
      </c>
      <c r="P15" s="161">
        <v>3</v>
      </c>
      <c r="Q15" s="161">
        <v>2</v>
      </c>
      <c r="R15" s="161">
        <v>0</v>
      </c>
      <c r="S15" s="161" t="s">
        <v>188</v>
      </c>
    </row>
    <row r="16" spans="1:19" ht="19.5" customHeight="1" thickBot="1">
      <c r="A16" s="143"/>
      <c r="B16" s="143"/>
      <c r="C16" s="143"/>
      <c r="D16" s="143"/>
      <c r="E16" s="143"/>
      <c r="F16" s="143"/>
      <c r="G16" s="195">
        <v>14</v>
      </c>
      <c r="H16" s="195">
        <v>10</v>
      </c>
      <c r="I16" s="195">
        <v>4</v>
      </c>
      <c r="J16" s="195">
        <v>9</v>
      </c>
      <c r="K16" s="195">
        <v>9</v>
      </c>
      <c r="L16" s="193" t="s">
        <v>500</v>
      </c>
      <c r="M16" s="189">
        <v>4</v>
      </c>
      <c r="N16" s="189">
        <v>3</v>
      </c>
      <c r="O16" s="189">
        <v>3</v>
      </c>
      <c r="P16" s="189">
        <v>3</v>
      </c>
      <c r="Q16" s="189">
        <v>3</v>
      </c>
      <c r="R16" s="189">
        <v>1</v>
      </c>
      <c r="S16" s="189" t="s">
        <v>188</v>
      </c>
    </row>
    <row r="17" spans="1:19" ht="19.5" customHeight="1" thickBot="1">
      <c r="A17" s="143"/>
      <c r="B17" s="143"/>
      <c r="C17" s="143"/>
      <c r="D17" s="143"/>
      <c r="E17" s="143"/>
      <c r="F17" s="143"/>
      <c r="G17" s="219">
        <v>15</v>
      </c>
      <c r="H17" s="219">
        <v>11</v>
      </c>
      <c r="I17" s="219">
        <v>5</v>
      </c>
      <c r="J17" s="219">
        <v>9</v>
      </c>
      <c r="K17" s="219">
        <v>9</v>
      </c>
      <c r="L17" s="160" t="s">
        <v>501</v>
      </c>
      <c r="M17" s="161">
        <v>4</v>
      </c>
      <c r="N17" s="161">
        <v>4</v>
      </c>
      <c r="O17" s="161">
        <v>3</v>
      </c>
      <c r="P17" s="161">
        <v>3</v>
      </c>
      <c r="Q17" s="161">
        <v>3</v>
      </c>
      <c r="R17" s="161">
        <v>2</v>
      </c>
      <c r="S17" s="161" t="s">
        <v>188</v>
      </c>
    </row>
    <row r="18" spans="1:19" ht="19.5" customHeight="1" thickBot="1">
      <c r="A18" s="143"/>
      <c r="B18" s="143"/>
      <c r="C18" s="143"/>
      <c r="D18" s="143"/>
      <c r="E18" s="143"/>
      <c r="F18" s="143"/>
      <c r="G18" s="195">
        <v>16</v>
      </c>
      <c r="H18" s="195">
        <v>12</v>
      </c>
      <c r="I18" s="195">
        <v>5</v>
      </c>
      <c r="J18" s="195">
        <v>10</v>
      </c>
      <c r="K18" s="195">
        <v>10</v>
      </c>
      <c r="L18" s="193"/>
      <c r="M18" s="189">
        <v>4</v>
      </c>
      <c r="N18" s="189">
        <v>4</v>
      </c>
      <c r="O18" s="189">
        <v>4</v>
      </c>
      <c r="P18" s="189">
        <v>3</v>
      </c>
      <c r="Q18" s="189">
        <v>3</v>
      </c>
      <c r="R18" s="189">
        <v>2</v>
      </c>
      <c r="S18" s="189">
        <v>0</v>
      </c>
    </row>
    <row r="19" spans="1:19" ht="19.5" customHeight="1" thickBot="1">
      <c r="A19" s="143"/>
      <c r="B19" s="143"/>
      <c r="C19" s="143"/>
      <c r="D19" s="143"/>
      <c r="E19" s="143"/>
      <c r="F19" s="143"/>
      <c r="G19" s="219">
        <v>17</v>
      </c>
      <c r="H19" s="219">
        <v>12</v>
      </c>
      <c r="I19" s="219">
        <v>5</v>
      </c>
      <c r="J19" s="219">
        <v>10</v>
      </c>
      <c r="K19" s="219">
        <v>10</v>
      </c>
      <c r="L19" s="160"/>
      <c r="M19" s="161">
        <v>4</v>
      </c>
      <c r="N19" s="161">
        <v>4</v>
      </c>
      <c r="O19" s="161">
        <v>4</v>
      </c>
      <c r="P19" s="161">
        <v>4</v>
      </c>
      <c r="Q19" s="161">
        <v>3</v>
      </c>
      <c r="R19" s="161">
        <v>3</v>
      </c>
      <c r="S19" s="161">
        <v>1</v>
      </c>
    </row>
    <row r="20" spans="1:19" ht="19.5" customHeight="1" thickBot="1">
      <c r="A20" s="143"/>
      <c r="B20" s="143"/>
      <c r="C20" s="143"/>
      <c r="D20" s="143"/>
      <c r="E20" s="143"/>
      <c r="F20" s="143"/>
      <c r="G20" s="194">
        <v>18</v>
      </c>
      <c r="H20" s="195">
        <v>13</v>
      </c>
      <c r="I20" s="195">
        <v>6</v>
      </c>
      <c r="J20" s="195">
        <v>11</v>
      </c>
      <c r="K20" s="195">
        <v>11</v>
      </c>
      <c r="L20" s="193" t="s">
        <v>502</v>
      </c>
      <c r="M20" s="189">
        <v>4</v>
      </c>
      <c r="N20" s="189">
        <v>4</v>
      </c>
      <c r="O20" s="189">
        <v>4</v>
      </c>
      <c r="P20" s="189">
        <v>4</v>
      </c>
      <c r="Q20" s="189">
        <v>4</v>
      </c>
      <c r="R20" s="189">
        <v>3</v>
      </c>
      <c r="S20" s="189">
        <v>2</v>
      </c>
    </row>
    <row r="21" spans="1:19" ht="19.5" customHeight="1" thickBot="1">
      <c r="A21" s="143"/>
      <c r="B21" s="143"/>
      <c r="C21" s="143"/>
      <c r="D21" s="143"/>
      <c r="E21" s="143"/>
      <c r="F21" s="143"/>
      <c r="G21" s="218">
        <v>19</v>
      </c>
      <c r="H21" s="219">
        <v>14</v>
      </c>
      <c r="I21" s="219">
        <v>6</v>
      </c>
      <c r="J21" s="219">
        <v>11</v>
      </c>
      <c r="K21" s="219">
        <v>11</v>
      </c>
      <c r="L21" s="160"/>
      <c r="M21" s="161">
        <v>4</v>
      </c>
      <c r="N21" s="161">
        <v>4</v>
      </c>
      <c r="O21" s="161">
        <v>4</v>
      </c>
      <c r="P21" s="161">
        <v>4</v>
      </c>
      <c r="Q21" s="161">
        <v>4</v>
      </c>
      <c r="R21" s="161">
        <v>4</v>
      </c>
      <c r="S21" s="161">
        <v>3</v>
      </c>
    </row>
    <row r="22" spans="1:19" ht="19.5" customHeight="1" thickBot="1">
      <c r="A22" s="143"/>
      <c r="B22" s="143"/>
      <c r="C22" s="143"/>
      <c r="D22" s="143"/>
      <c r="E22" s="143"/>
      <c r="F22" s="143"/>
      <c r="G22" s="194">
        <v>20</v>
      </c>
      <c r="H22" s="195">
        <v>15</v>
      </c>
      <c r="I22" s="195">
        <v>6</v>
      </c>
      <c r="J22" s="195">
        <v>12</v>
      </c>
      <c r="K22" s="195">
        <v>12</v>
      </c>
      <c r="L22" s="193" t="s">
        <v>503</v>
      </c>
      <c r="M22" s="189">
        <v>4</v>
      </c>
      <c r="N22" s="189">
        <v>4</v>
      </c>
      <c r="O22" s="189">
        <v>4</v>
      </c>
      <c r="P22" s="189">
        <v>4</v>
      </c>
      <c r="Q22" s="189">
        <v>4</v>
      </c>
      <c r="R22" s="189">
        <v>4</v>
      </c>
      <c r="S22" s="189">
        <v>4</v>
      </c>
    </row>
    <row r="23" spans="1:19" ht="15" customHeight="1">
      <c r="A23" s="143"/>
      <c r="B23" s="143"/>
      <c r="C23" s="143"/>
      <c r="D23" s="143"/>
      <c r="E23" s="143"/>
      <c r="F23" s="143"/>
      <c r="G23" s="142"/>
      <c r="H23" s="142"/>
      <c r="I23" s="142"/>
      <c r="J23" s="142"/>
      <c r="K23" s="142"/>
    </row>
    <row r="24" spans="1:19" ht="15.75" customHeight="1" thickBot="1">
      <c r="A24" s="144"/>
      <c r="B24" s="144"/>
      <c r="C24" s="144"/>
      <c r="D24" s="144"/>
      <c r="E24" s="143"/>
      <c r="F24" s="143"/>
    </row>
    <row r="25" spans="1:19" ht="37.5" customHeight="1" thickBot="1">
      <c r="A25" s="780" t="s">
        <v>504</v>
      </c>
      <c r="B25" s="781"/>
      <c r="C25" s="782"/>
      <c r="D25" s="389" t="s">
        <v>16</v>
      </c>
      <c r="E25" s="143"/>
      <c r="F25" s="143"/>
      <c r="L25" s="783" t="s">
        <v>2</v>
      </c>
      <c r="M25" s="784" t="s">
        <v>505</v>
      </c>
      <c r="N25" s="784"/>
      <c r="O25" s="784"/>
      <c r="P25" s="784"/>
      <c r="Q25" s="784"/>
      <c r="R25" s="784"/>
      <c r="S25" s="784"/>
    </row>
    <row r="26" spans="1:19" ht="21.75" customHeight="1" thickBot="1">
      <c r="A26" s="776" t="s">
        <v>506</v>
      </c>
      <c r="B26" s="777"/>
      <c r="C26" s="778"/>
      <c r="D26" s="389" t="s">
        <v>507</v>
      </c>
      <c r="L26" s="784"/>
      <c r="M26" s="387">
        <v>0</v>
      </c>
      <c r="N26" s="387">
        <v>1</v>
      </c>
      <c r="O26" s="387">
        <v>2</v>
      </c>
      <c r="P26" s="387">
        <v>3</v>
      </c>
      <c r="Q26" s="387">
        <v>4</v>
      </c>
      <c r="R26" s="387">
        <v>5</v>
      </c>
      <c r="S26" s="387">
        <v>6</v>
      </c>
    </row>
    <row r="27" spans="1:19" ht="23.25" customHeight="1" thickBot="1">
      <c r="A27" s="776" t="s">
        <v>508</v>
      </c>
      <c r="B27" s="777"/>
      <c r="C27" s="778"/>
      <c r="D27" s="389" t="s">
        <v>509</v>
      </c>
      <c r="L27" s="161">
        <v>1</v>
      </c>
      <c r="M27" s="161">
        <v>4</v>
      </c>
      <c r="N27" s="161" t="s">
        <v>188</v>
      </c>
      <c r="O27" s="161" t="s">
        <v>188</v>
      </c>
      <c r="P27" s="161" t="s">
        <v>188</v>
      </c>
      <c r="Q27" s="161" t="s">
        <v>188</v>
      </c>
      <c r="R27" s="161" t="s">
        <v>188</v>
      </c>
      <c r="S27" s="161" t="s">
        <v>188</v>
      </c>
    </row>
    <row r="28" spans="1:19" ht="23.25" customHeight="1" thickBot="1">
      <c r="A28" s="776" t="s">
        <v>510</v>
      </c>
      <c r="B28" s="777"/>
      <c r="C28" s="778"/>
      <c r="D28" s="389" t="s">
        <v>511</v>
      </c>
      <c r="L28" s="189">
        <v>2</v>
      </c>
      <c r="M28" s="189">
        <v>5</v>
      </c>
      <c r="N28" s="189" t="s">
        <v>512</v>
      </c>
      <c r="O28" s="189" t="s">
        <v>188</v>
      </c>
      <c r="P28" s="189" t="s">
        <v>188</v>
      </c>
      <c r="Q28" s="189" t="s">
        <v>188</v>
      </c>
      <c r="R28" s="189" t="s">
        <v>188</v>
      </c>
      <c r="S28" s="189" t="s">
        <v>188</v>
      </c>
    </row>
    <row r="29" spans="1:19" ht="45.75" customHeight="1" thickBot="1">
      <c r="A29" s="776" t="s">
        <v>513</v>
      </c>
      <c r="B29" s="777"/>
      <c r="C29" s="778"/>
      <c r="D29" s="389" t="s">
        <v>509</v>
      </c>
      <c r="L29" s="161">
        <v>3</v>
      </c>
      <c r="M29" s="161">
        <v>6</v>
      </c>
      <c r="N29" s="161">
        <v>3</v>
      </c>
      <c r="O29" s="161" t="s">
        <v>188</v>
      </c>
      <c r="P29" s="161" t="s">
        <v>188</v>
      </c>
      <c r="Q29" s="161" t="s">
        <v>188</v>
      </c>
      <c r="R29" s="161" t="s">
        <v>188</v>
      </c>
      <c r="S29" s="161" t="s">
        <v>188</v>
      </c>
    </row>
    <row r="30" spans="1:19" ht="34.5" customHeight="1" thickBot="1">
      <c r="A30" s="776" t="s">
        <v>514</v>
      </c>
      <c r="B30" s="777"/>
      <c r="C30" s="778"/>
      <c r="D30" s="389" t="s">
        <v>515</v>
      </c>
      <c r="L30" s="189">
        <v>4</v>
      </c>
      <c r="M30" s="189">
        <v>6</v>
      </c>
      <c r="N30" s="189">
        <v>3</v>
      </c>
      <c r="O30" s="189" t="s">
        <v>512</v>
      </c>
      <c r="P30" s="189" t="s">
        <v>188</v>
      </c>
      <c r="Q30" s="189" t="s">
        <v>188</v>
      </c>
      <c r="R30" s="189" t="s">
        <v>188</v>
      </c>
      <c r="S30" s="189" t="s">
        <v>188</v>
      </c>
    </row>
    <row r="31" spans="1:19" ht="23.25" customHeight="1" thickBot="1">
      <c r="A31" s="776" t="s">
        <v>516</v>
      </c>
      <c r="B31" s="777"/>
      <c r="C31" s="778"/>
      <c r="D31" s="389" t="s">
        <v>507</v>
      </c>
      <c r="L31" s="161">
        <v>5</v>
      </c>
      <c r="M31" s="161">
        <v>6</v>
      </c>
      <c r="N31" s="161">
        <v>4</v>
      </c>
      <c r="O31" s="161">
        <v>3</v>
      </c>
      <c r="P31" s="161" t="s">
        <v>188</v>
      </c>
      <c r="Q31" s="161" t="s">
        <v>188</v>
      </c>
      <c r="R31" s="161" t="s">
        <v>188</v>
      </c>
      <c r="S31" s="161" t="s">
        <v>188</v>
      </c>
    </row>
    <row r="32" spans="1:19" ht="23.25" customHeight="1" thickBot="1">
      <c r="A32" s="775" t="s">
        <v>517</v>
      </c>
      <c r="B32" s="775"/>
      <c r="C32" s="775"/>
      <c r="D32" s="389" t="s">
        <v>170</v>
      </c>
      <c r="L32" s="189">
        <v>6</v>
      </c>
      <c r="M32" s="189">
        <v>6</v>
      </c>
      <c r="N32" s="189">
        <v>4</v>
      </c>
      <c r="O32" s="189">
        <v>3</v>
      </c>
      <c r="P32" s="189" t="s">
        <v>188</v>
      </c>
      <c r="Q32" s="189" t="s">
        <v>188</v>
      </c>
      <c r="R32" s="189" t="s">
        <v>188</v>
      </c>
      <c r="S32" s="189" t="s">
        <v>188</v>
      </c>
    </row>
    <row r="33" spans="1:19" ht="23.25" customHeight="1" thickBot="1">
      <c r="A33" s="775" t="s">
        <v>518</v>
      </c>
      <c r="B33" s="775"/>
      <c r="C33" s="775"/>
      <c r="D33" s="389" t="s">
        <v>515</v>
      </c>
      <c r="L33" s="161">
        <v>7</v>
      </c>
      <c r="M33" s="161">
        <v>6</v>
      </c>
      <c r="N33" s="161">
        <v>4</v>
      </c>
      <c r="O33" s="161">
        <v>4</v>
      </c>
      <c r="P33" s="161" t="s">
        <v>512</v>
      </c>
      <c r="Q33" s="161" t="s">
        <v>188</v>
      </c>
      <c r="R33" s="161" t="s">
        <v>188</v>
      </c>
      <c r="S33" s="161" t="s">
        <v>188</v>
      </c>
    </row>
    <row r="34" spans="1:19" ht="19.5" thickBot="1">
      <c r="A34" s="774" t="s">
        <v>519</v>
      </c>
      <c r="B34" s="774"/>
      <c r="C34" s="774"/>
      <c r="D34" s="388" t="s">
        <v>507</v>
      </c>
      <c r="L34" s="189">
        <v>8</v>
      </c>
      <c r="M34" s="189">
        <v>6</v>
      </c>
      <c r="N34" s="189">
        <v>4</v>
      </c>
      <c r="O34" s="189">
        <v>4</v>
      </c>
      <c r="P34" s="189">
        <v>3</v>
      </c>
      <c r="Q34" s="189" t="s">
        <v>188</v>
      </c>
      <c r="R34" s="189" t="s">
        <v>188</v>
      </c>
      <c r="S34" s="189" t="s">
        <v>188</v>
      </c>
    </row>
    <row r="35" spans="1:19" ht="19.5" thickBot="1">
      <c r="A35" s="774" t="s">
        <v>520</v>
      </c>
      <c r="B35" s="774"/>
      <c r="C35" s="774"/>
      <c r="D35" s="388" t="s">
        <v>168</v>
      </c>
      <c r="L35" s="161">
        <v>9</v>
      </c>
      <c r="M35" s="161">
        <v>6</v>
      </c>
      <c r="N35" s="161">
        <v>4</v>
      </c>
      <c r="O35" s="161">
        <v>4</v>
      </c>
      <c r="P35" s="161">
        <v>3</v>
      </c>
      <c r="Q35" s="161" t="s">
        <v>188</v>
      </c>
      <c r="R35" s="161" t="s">
        <v>188</v>
      </c>
      <c r="S35" s="161" t="s">
        <v>188</v>
      </c>
    </row>
    <row r="36" spans="1:19" ht="19.5" thickBot="1">
      <c r="L36" s="189">
        <v>10</v>
      </c>
      <c r="M36" s="189">
        <v>6</v>
      </c>
      <c r="N36" s="189">
        <v>4</v>
      </c>
      <c r="O36" s="189">
        <v>4</v>
      </c>
      <c r="P36" s="189">
        <v>4</v>
      </c>
      <c r="Q36" s="189" t="s">
        <v>512</v>
      </c>
      <c r="R36" s="189" t="s">
        <v>188</v>
      </c>
      <c r="S36" s="189" t="s">
        <v>188</v>
      </c>
    </row>
    <row r="37" spans="1:19" ht="19.5" thickBot="1">
      <c r="L37" s="161">
        <v>11</v>
      </c>
      <c r="M37" s="161">
        <v>6</v>
      </c>
      <c r="N37" s="161">
        <v>4</v>
      </c>
      <c r="O37" s="161">
        <v>4</v>
      </c>
      <c r="P37" s="161">
        <v>4</v>
      </c>
      <c r="Q37" s="161">
        <v>3</v>
      </c>
      <c r="R37" s="161" t="s">
        <v>188</v>
      </c>
      <c r="S37" s="161" t="s">
        <v>188</v>
      </c>
    </row>
    <row r="38" spans="1:19" ht="19.5" thickBot="1">
      <c r="L38" s="189">
        <v>12</v>
      </c>
      <c r="M38" s="189">
        <v>6</v>
      </c>
      <c r="N38" s="189">
        <v>4</v>
      </c>
      <c r="O38" s="189">
        <v>4</v>
      </c>
      <c r="P38" s="189">
        <v>4</v>
      </c>
      <c r="Q38" s="189">
        <v>3</v>
      </c>
      <c r="R38" s="189" t="s">
        <v>188</v>
      </c>
      <c r="S38" s="189" t="s">
        <v>188</v>
      </c>
    </row>
    <row r="39" spans="1:19" ht="19.5" thickBot="1">
      <c r="L39" s="161">
        <v>13</v>
      </c>
      <c r="M39" s="161">
        <v>6</v>
      </c>
      <c r="N39" s="161">
        <v>4</v>
      </c>
      <c r="O39" s="161">
        <v>4</v>
      </c>
      <c r="P39" s="161">
        <v>4</v>
      </c>
      <c r="Q39" s="161">
        <v>4</v>
      </c>
      <c r="R39" s="161" t="s">
        <v>512</v>
      </c>
      <c r="S39" s="161" t="s">
        <v>188</v>
      </c>
    </row>
    <row r="40" spans="1:19" ht="19.5" thickBot="1">
      <c r="L40" s="189">
        <v>14</v>
      </c>
      <c r="M40" s="189">
        <v>6</v>
      </c>
      <c r="N40" s="189">
        <v>4</v>
      </c>
      <c r="O40" s="189">
        <v>4</v>
      </c>
      <c r="P40" s="189">
        <v>4</v>
      </c>
      <c r="Q40" s="189">
        <v>4</v>
      </c>
      <c r="R40" s="189">
        <v>3</v>
      </c>
      <c r="S40" s="189" t="s">
        <v>188</v>
      </c>
    </row>
    <row r="41" spans="1:19" ht="19.5" thickBot="1">
      <c r="L41" s="161">
        <v>15</v>
      </c>
      <c r="M41" s="161">
        <v>6</v>
      </c>
      <c r="N41" s="161">
        <v>4</v>
      </c>
      <c r="O41" s="161">
        <v>4</v>
      </c>
      <c r="P41" s="161">
        <v>4</v>
      </c>
      <c r="Q41" s="161">
        <v>4</v>
      </c>
      <c r="R41" s="161">
        <v>3</v>
      </c>
      <c r="S41" s="161" t="s">
        <v>188</v>
      </c>
    </row>
    <row r="42" spans="1:19" ht="19.5" thickBot="1">
      <c r="L42" s="189">
        <v>16</v>
      </c>
      <c r="M42" s="189">
        <v>6</v>
      </c>
      <c r="N42" s="189">
        <v>5</v>
      </c>
      <c r="O42" s="189">
        <v>4</v>
      </c>
      <c r="P42" s="189">
        <v>4</v>
      </c>
      <c r="Q42" s="189">
        <v>4</v>
      </c>
      <c r="R42" s="189">
        <v>4</v>
      </c>
      <c r="S42" s="189" t="s">
        <v>512</v>
      </c>
    </row>
    <row r="43" spans="1:19" ht="19.5" thickBot="1">
      <c r="L43" s="161">
        <v>17</v>
      </c>
      <c r="M43" s="161">
        <v>6</v>
      </c>
      <c r="N43" s="161">
        <v>5</v>
      </c>
      <c r="O43" s="161">
        <v>5</v>
      </c>
      <c r="P43" s="161">
        <v>4</v>
      </c>
      <c r="Q43" s="161">
        <v>4</v>
      </c>
      <c r="R43" s="161">
        <v>4</v>
      </c>
      <c r="S43" s="161">
        <v>3</v>
      </c>
    </row>
    <row r="44" spans="1:19" ht="19.5" thickBot="1">
      <c r="L44" s="189">
        <v>18</v>
      </c>
      <c r="M44" s="189">
        <v>6</v>
      </c>
      <c r="N44" s="189">
        <v>5</v>
      </c>
      <c r="O44" s="189">
        <v>5</v>
      </c>
      <c r="P44" s="189">
        <v>5</v>
      </c>
      <c r="Q44" s="189">
        <v>4</v>
      </c>
      <c r="R44" s="189">
        <v>4</v>
      </c>
      <c r="S44" s="189">
        <v>3</v>
      </c>
    </row>
    <row r="45" spans="1:19" ht="19.5" thickBot="1">
      <c r="L45" s="161">
        <v>19</v>
      </c>
      <c r="M45" s="161">
        <v>6</v>
      </c>
      <c r="N45" s="161">
        <v>5</v>
      </c>
      <c r="O45" s="161">
        <v>5</v>
      </c>
      <c r="P45" s="161">
        <v>5</v>
      </c>
      <c r="Q45" s="161">
        <v>5</v>
      </c>
      <c r="R45" s="161">
        <v>4</v>
      </c>
      <c r="S45" s="161">
        <v>4</v>
      </c>
    </row>
    <row r="46" spans="1:19" ht="19.5" thickBot="1">
      <c r="L46" s="189">
        <v>20</v>
      </c>
      <c r="M46" s="189">
        <v>6</v>
      </c>
      <c r="N46" s="189">
        <v>5</v>
      </c>
      <c r="O46" s="189">
        <v>5</v>
      </c>
      <c r="P46" s="189">
        <v>5</v>
      </c>
      <c r="Q46" s="189">
        <v>5</v>
      </c>
      <c r="R46" s="189">
        <v>5</v>
      </c>
      <c r="S46" s="189">
        <v>4</v>
      </c>
    </row>
    <row r="47" spans="1:19">
      <c r="L47" s="771" t="s">
        <v>521</v>
      </c>
      <c r="M47" s="772"/>
      <c r="N47" s="772"/>
      <c r="O47" s="772"/>
      <c r="P47" s="772"/>
      <c r="Q47" s="772"/>
      <c r="R47" s="772"/>
      <c r="S47" s="772"/>
    </row>
    <row r="48" spans="1:19">
      <c r="L48" s="773"/>
      <c r="M48" s="773"/>
      <c r="N48" s="773"/>
      <c r="O48" s="773"/>
      <c r="P48" s="773"/>
      <c r="Q48" s="773"/>
      <c r="R48" s="773"/>
      <c r="S48" s="773"/>
    </row>
  </sheetData>
  <mergeCells count="23">
    <mergeCell ref="G1:G2"/>
    <mergeCell ref="H1:H2"/>
    <mergeCell ref="A25:C25"/>
    <mergeCell ref="L25:L26"/>
    <mergeCell ref="M25:S25"/>
    <mergeCell ref="M1:S1"/>
    <mergeCell ref="A26:C26"/>
    <mergeCell ref="I1:I2"/>
    <mergeCell ref="J1:J2"/>
    <mergeCell ref="K1:K2"/>
    <mergeCell ref="E1:E2"/>
    <mergeCell ref="F1:F2"/>
    <mergeCell ref="A1:D2"/>
    <mergeCell ref="A31:C31"/>
    <mergeCell ref="A30:C30"/>
    <mergeCell ref="A29:C29"/>
    <mergeCell ref="A28:C28"/>
    <mergeCell ref="A27:C27"/>
    <mergeCell ref="L47:S48"/>
    <mergeCell ref="A34:C34"/>
    <mergeCell ref="A35:C35"/>
    <mergeCell ref="A32:C32"/>
    <mergeCell ref="A33:C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showRowColHeaders="0" workbookViewId="0">
      <selection activeCell="L10" sqref="L10"/>
    </sheetView>
  </sheetViews>
  <sheetFormatPr defaultRowHeight="15"/>
  <cols>
    <col min="1" max="8" width="9.140625" style="361"/>
    <col min="9" max="9" width="11.28515625" style="361" customWidth="1"/>
    <col min="10" max="11" width="9.140625" style="361"/>
    <col min="12" max="12" width="90.140625" style="361" customWidth="1"/>
    <col min="13" max="16384" width="9.140625" style="361"/>
  </cols>
  <sheetData>
    <row r="1" spans="1:12" ht="15" customHeight="1" thickBot="1">
      <c r="A1" s="795" t="s">
        <v>522</v>
      </c>
      <c r="B1" s="796"/>
      <c r="C1" s="796"/>
      <c r="D1" s="796"/>
      <c r="E1" s="796"/>
      <c r="F1" s="796"/>
      <c r="G1" s="797" t="s">
        <v>26</v>
      </c>
      <c r="H1" s="798" t="s">
        <v>523</v>
      </c>
    </row>
    <row r="2" spans="1:12" ht="40.5" customHeight="1" thickBot="1">
      <c r="A2" s="796"/>
      <c r="B2" s="796"/>
      <c r="C2" s="796"/>
      <c r="D2" s="796"/>
      <c r="E2" s="796"/>
      <c r="F2" s="796"/>
      <c r="G2" s="797"/>
      <c r="H2" s="798"/>
    </row>
    <row r="3" spans="1:12" ht="29.25" customHeight="1" thickBot="1">
      <c r="A3" s="796"/>
      <c r="B3" s="796"/>
      <c r="C3" s="796"/>
      <c r="D3" s="796"/>
      <c r="E3" s="796"/>
      <c r="F3" s="796"/>
      <c r="G3" s="801" t="s">
        <v>107</v>
      </c>
      <c r="H3" s="802"/>
      <c r="I3" s="802"/>
      <c r="J3" s="802"/>
      <c r="K3" s="802"/>
      <c r="L3" s="802"/>
    </row>
    <row r="4" spans="1:12" ht="19.5" customHeight="1" thickBot="1">
      <c r="A4" s="799" t="s">
        <v>44</v>
      </c>
      <c r="B4" s="799"/>
      <c r="C4" s="799"/>
      <c r="D4" s="799"/>
      <c r="E4" s="799"/>
      <c r="F4" s="799"/>
      <c r="G4" s="803"/>
      <c r="H4" s="804"/>
      <c r="I4" s="804"/>
      <c r="J4" s="804"/>
      <c r="K4" s="804"/>
      <c r="L4" s="804"/>
    </row>
    <row r="5" spans="1:12" ht="47.25" customHeight="1" thickTop="1" thickBot="1">
      <c r="A5" s="799"/>
      <c r="B5" s="799"/>
      <c r="C5" s="799"/>
      <c r="D5" s="799"/>
      <c r="E5" s="799"/>
      <c r="F5" s="800"/>
      <c r="G5" s="394" t="s">
        <v>477</v>
      </c>
      <c r="H5" s="394" t="s">
        <v>478</v>
      </c>
      <c r="I5" s="394" t="s">
        <v>524</v>
      </c>
      <c r="J5" s="394" t="s">
        <v>525</v>
      </c>
      <c r="K5" s="394" t="s">
        <v>526</v>
      </c>
      <c r="L5" s="199" t="s">
        <v>479</v>
      </c>
    </row>
    <row r="6" spans="1:12" ht="20.25" customHeight="1" thickTop="1" thickBot="1">
      <c r="A6" s="794" t="s">
        <v>480</v>
      </c>
      <c r="B6" s="794"/>
      <c r="C6" s="794"/>
      <c r="D6" s="794"/>
      <c r="E6" s="794" t="s">
        <v>25</v>
      </c>
      <c r="F6" s="805"/>
      <c r="G6" s="362">
        <v>1</v>
      </c>
      <c r="H6" s="362">
        <v>1</v>
      </c>
      <c r="I6" s="363">
        <v>2</v>
      </c>
      <c r="J6" s="363">
        <v>0</v>
      </c>
      <c r="K6" s="363">
        <v>0</v>
      </c>
      <c r="L6" s="220" t="s">
        <v>527</v>
      </c>
    </row>
    <row r="7" spans="1:12" ht="26.25" customHeight="1" thickTop="1" thickBot="1">
      <c r="A7" s="794"/>
      <c r="B7" s="794"/>
      <c r="C7" s="794"/>
      <c r="D7" s="794"/>
      <c r="E7" s="794"/>
      <c r="F7" s="805"/>
      <c r="G7" s="364">
        <v>2</v>
      </c>
      <c r="H7" s="364">
        <v>2</v>
      </c>
      <c r="I7" s="365">
        <v>3</v>
      </c>
      <c r="J7" s="365">
        <v>0</v>
      </c>
      <c r="K7" s="365">
        <v>0</v>
      </c>
      <c r="L7" s="392" t="s">
        <v>528</v>
      </c>
    </row>
    <row r="8" spans="1:12" ht="26.25" customHeight="1" thickTop="1" thickBot="1">
      <c r="A8" s="794" t="s">
        <v>529</v>
      </c>
      <c r="B8" s="794"/>
      <c r="C8" s="794"/>
      <c r="D8" s="794"/>
      <c r="E8" s="794" t="s">
        <v>168</v>
      </c>
      <c r="F8" s="805"/>
      <c r="G8" s="362">
        <v>3</v>
      </c>
      <c r="H8" s="362">
        <v>3</v>
      </c>
      <c r="I8" s="363">
        <v>3</v>
      </c>
      <c r="J8" s="363">
        <v>1</v>
      </c>
      <c r="K8" s="363">
        <v>1</v>
      </c>
      <c r="L8" s="220" t="s">
        <v>530</v>
      </c>
    </row>
    <row r="9" spans="1:12" ht="26.25" customHeight="1" thickTop="1" thickBot="1">
      <c r="A9" s="794"/>
      <c r="B9" s="794"/>
      <c r="C9" s="794"/>
      <c r="D9" s="794"/>
      <c r="E9" s="794"/>
      <c r="F9" s="805"/>
      <c r="G9" s="364">
        <v>4</v>
      </c>
      <c r="H9" s="364">
        <v>4</v>
      </c>
      <c r="I9" s="365">
        <v>4</v>
      </c>
      <c r="J9" s="365">
        <v>1</v>
      </c>
      <c r="K9" s="365">
        <v>1</v>
      </c>
      <c r="L9" s="392" t="s">
        <v>531</v>
      </c>
    </row>
    <row r="10" spans="1:12" ht="39" customHeight="1" thickTop="1" thickBot="1">
      <c r="A10" s="794" t="s">
        <v>532</v>
      </c>
      <c r="B10" s="794"/>
      <c r="C10" s="794"/>
      <c r="D10" s="794"/>
      <c r="E10" s="794" t="s">
        <v>170</v>
      </c>
      <c r="F10" s="805"/>
      <c r="G10" s="362">
        <v>5</v>
      </c>
      <c r="H10" s="362">
        <v>5</v>
      </c>
      <c r="I10" s="363">
        <v>4</v>
      </c>
      <c r="J10" s="363">
        <v>1</v>
      </c>
      <c r="K10" s="363">
        <v>1</v>
      </c>
      <c r="L10" s="220" t="s">
        <v>533</v>
      </c>
    </row>
    <row r="11" spans="1:12" ht="26.25" customHeight="1" thickTop="1" thickBot="1">
      <c r="A11" s="794"/>
      <c r="B11" s="794"/>
      <c r="C11" s="794"/>
      <c r="D11" s="794"/>
      <c r="E11" s="794"/>
      <c r="F11" s="805"/>
      <c r="G11" s="364">
        <v>6</v>
      </c>
      <c r="H11" s="364">
        <v>6</v>
      </c>
      <c r="I11" s="365">
        <v>5</v>
      </c>
      <c r="J11" s="365">
        <v>2</v>
      </c>
      <c r="K11" s="365">
        <v>2</v>
      </c>
      <c r="L11" s="392" t="s">
        <v>534</v>
      </c>
    </row>
    <row r="12" spans="1:12" ht="26.25" customHeight="1" thickTop="1" thickBot="1">
      <c r="A12" s="794" t="s">
        <v>59</v>
      </c>
      <c r="B12" s="794"/>
      <c r="C12" s="794"/>
      <c r="D12" s="794"/>
      <c r="E12" s="794" t="s">
        <v>507</v>
      </c>
      <c r="F12" s="805"/>
      <c r="G12" s="362">
        <v>7</v>
      </c>
      <c r="H12" s="362">
        <v>7</v>
      </c>
      <c r="I12" s="363">
        <v>5</v>
      </c>
      <c r="J12" s="363">
        <v>2</v>
      </c>
      <c r="K12" s="363">
        <v>2</v>
      </c>
      <c r="L12" s="220" t="s">
        <v>535</v>
      </c>
    </row>
    <row r="13" spans="1:12" ht="26.25" customHeight="1" thickTop="1" thickBot="1">
      <c r="A13" s="794"/>
      <c r="B13" s="794"/>
      <c r="C13" s="794"/>
      <c r="D13" s="794"/>
      <c r="E13" s="794"/>
      <c r="F13" s="805"/>
      <c r="G13" s="364">
        <v>8</v>
      </c>
      <c r="H13" s="364">
        <v>8</v>
      </c>
      <c r="I13" s="365">
        <v>6</v>
      </c>
      <c r="J13" s="365">
        <v>2</v>
      </c>
      <c r="K13" s="365">
        <v>2</v>
      </c>
      <c r="L13" s="392" t="s">
        <v>536</v>
      </c>
    </row>
    <row r="14" spans="1:12" ht="26.25" customHeight="1" thickTop="1" thickBot="1">
      <c r="A14" s="794" t="s">
        <v>76</v>
      </c>
      <c r="B14" s="794"/>
      <c r="C14" s="794"/>
      <c r="D14" s="794"/>
      <c r="E14" s="794" t="s">
        <v>25</v>
      </c>
      <c r="F14" s="805"/>
      <c r="G14" s="362">
        <v>9</v>
      </c>
      <c r="H14" s="362">
        <v>9</v>
      </c>
      <c r="I14" s="363">
        <v>6</v>
      </c>
      <c r="J14" s="363">
        <v>3</v>
      </c>
      <c r="K14" s="363">
        <v>3</v>
      </c>
      <c r="L14" s="220" t="s">
        <v>537</v>
      </c>
    </row>
    <row r="15" spans="1:12" ht="26.25" customHeight="1" thickTop="1" thickBot="1">
      <c r="A15" s="794"/>
      <c r="B15" s="794"/>
      <c r="C15" s="794"/>
      <c r="D15" s="794"/>
      <c r="E15" s="794"/>
      <c r="F15" s="805"/>
      <c r="G15" s="364">
        <v>10</v>
      </c>
      <c r="H15" s="364">
        <v>10</v>
      </c>
      <c r="I15" s="365">
        <v>7</v>
      </c>
      <c r="J15" s="365">
        <v>3</v>
      </c>
      <c r="K15" s="365">
        <v>3</v>
      </c>
      <c r="L15" s="392" t="s">
        <v>538</v>
      </c>
    </row>
    <row r="16" spans="1:12" ht="26.25" customHeight="1" thickTop="1" thickBot="1">
      <c r="A16" s="794" t="s">
        <v>539</v>
      </c>
      <c r="B16" s="794"/>
      <c r="C16" s="794"/>
      <c r="D16" s="794"/>
      <c r="E16" s="794" t="s">
        <v>507</v>
      </c>
      <c r="F16" s="805"/>
      <c r="G16" s="362">
        <v>11</v>
      </c>
      <c r="H16" s="362">
        <v>11</v>
      </c>
      <c r="I16" s="363">
        <v>7</v>
      </c>
      <c r="J16" s="363">
        <v>3</v>
      </c>
      <c r="K16" s="363">
        <v>3</v>
      </c>
      <c r="L16" s="220" t="s">
        <v>540</v>
      </c>
    </row>
    <row r="17" spans="1:12" ht="26.25" customHeight="1" thickTop="1" thickBot="1">
      <c r="A17" s="794"/>
      <c r="B17" s="794"/>
      <c r="C17" s="794"/>
      <c r="D17" s="794"/>
      <c r="E17" s="794"/>
      <c r="F17" s="805"/>
      <c r="G17" s="364">
        <v>12</v>
      </c>
      <c r="H17" s="364">
        <v>12</v>
      </c>
      <c r="I17" s="365">
        <v>8</v>
      </c>
      <c r="J17" s="365">
        <v>4</v>
      </c>
      <c r="K17" s="365">
        <v>4</v>
      </c>
      <c r="L17" s="392" t="s">
        <v>541</v>
      </c>
    </row>
    <row r="18" spans="1:12" ht="26.25" customHeight="1" thickTop="1" thickBot="1">
      <c r="A18" s="794" t="s">
        <v>542</v>
      </c>
      <c r="B18" s="794"/>
      <c r="C18" s="794"/>
      <c r="D18" s="794"/>
      <c r="E18" s="794" t="s">
        <v>170</v>
      </c>
      <c r="F18" s="805"/>
      <c r="G18" s="362">
        <v>13</v>
      </c>
      <c r="H18" s="362">
        <v>13</v>
      </c>
      <c r="I18" s="363">
        <v>8</v>
      </c>
      <c r="J18" s="363">
        <v>4</v>
      </c>
      <c r="K18" s="363">
        <v>4</v>
      </c>
      <c r="L18" s="220" t="s">
        <v>543</v>
      </c>
    </row>
    <row r="19" spans="1:12" ht="26.25" customHeight="1" thickTop="1" thickBot="1">
      <c r="A19" s="794"/>
      <c r="B19" s="794"/>
      <c r="C19" s="794"/>
      <c r="D19" s="794"/>
      <c r="E19" s="794"/>
      <c r="F19" s="805"/>
      <c r="G19" s="364">
        <v>14</v>
      </c>
      <c r="H19" s="364">
        <v>14</v>
      </c>
      <c r="I19" s="365">
        <v>9</v>
      </c>
      <c r="J19" s="365">
        <v>4</v>
      </c>
      <c r="K19" s="365">
        <v>4</v>
      </c>
      <c r="L19" s="392" t="s">
        <v>544</v>
      </c>
    </row>
    <row r="20" spans="1:12" ht="26.25" customHeight="1" thickTop="1" thickBot="1">
      <c r="A20" s="794" t="s">
        <v>484</v>
      </c>
      <c r="B20" s="794"/>
      <c r="C20" s="794"/>
      <c r="D20" s="794"/>
      <c r="E20" s="794" t="s">
        <v>25</v>
      </c>
      <c r="F20" s="805"/>
      <c r="G20" s="362">
        <v>15</v>
      </c>
      <c r="H20" s="362">
        <v>15</v>
      </c>
      <c r="I20" s="363">
        <v>9</v>
      </c>
      <c r="J20" s="363">
        <v>5</v>
      </c>
      <c r="K20" s="363">
        <v>5</v>
      </c>
      <c r="L20" s="220" t="s">
        <v>545</v>
      </c>
    </row>
    <row r="21" spans="1:12" ht="26.25" customHeight="1" thickTop="1" thickBot="1">
      <c r="A21" s="794"/>
      <c r="B21" s="794"/>
      <c r="C21" s="794"/>
      <c r="D21" s="794"/>
      <c r="E21" s="794"/>
      <c r="F21" s="805"/>
      <c r="G21" s="364">
        <v>16</v>
      </c>
      <c r="H21" s="364">
        <v>16</v>
      </c>
      <c r="I21" s="365">
        <v>10</v>
      </c>
      <c r="J21" s="365">
        <v>5</v>
      </c>
      <c r="K21" s="365">
        <v>5</v>
      </c>
      <c r="L21" s="392" t="s">
        <v>546</v>
      </c>
    </row>
    <row r="22" spans="1:12" ht="26.25" customHeight="1" thickTop="1" thickBot="1">
      <c r="A22" s="794" t="s">
        <v>486</v>
      </c>
      <c r="B22" s="794"/>
      <c r="C22" s="794"/>
      <c r="D22" s="794"/>
      <c r="E22" s="794" t="s">
        <v>515</v>
      </c>
      <c r="F22" s="805"/>
      <c r="G22" s="362">
        <v>17</v>
      </c>
      <c r="H22" s="362">
        <v>17</v>
      </c>
      <c r="I22" s="363">
        <v>10</v>
      </c>
      <c r="J22" s="363">
        <v>5</v>
      </c>
      <c r="K22" s="363">
        <v>5</v>
      </c>
      <c r="L22" s="220" t="s">
        <v>547</v>
      </c>
    </row>
    <row r="23" spans="1:12" ht="21.75" thickTop="1" thickBot="1">
      <c r="A23" s="794"/>
      <c r="B23" s="794"/>
      <c r="C23" s="794"/>
      <c r="D23" s="794"/>
      <c r="E23" s="794"/>
      <c r="F23" s="805"/>
      <c r="G23" s="364">
        <v>18</v>
      </c>
      <c r="H23" s="364">
        <v>18</v>
      </c>
      <c r="I23" s="365">
        <v>11</v>
      </c>
      <c r="J23" s="365">
        <v>6</v>
      </c>
      <c r="K23" s="365">
        <v>6</v>
      </c>
      <c r="L23" s="392" t="s">
        <v>548</v>
      </c>
    </row>
    <row r="24" spans="1:12" ht="21.75" thickTop="1" thickBot="1">
      <c r="G24" s="362">
        <v>19</v>
      </c>
      <c r="H24" s="362">
        <v>19</v>
      </c>
      <c r="I24" s="363">
        <v>11</v>
      </c>
      <c r="J24" s="363">
        <v>6</v>
      </c>
      <c r="K24" s="363">
        <v>6</v>
      </c>
      <c r="L24" s="220" t="s">
        <v>549</v>
      </c>
    </row>
    <row r="25" spans="1:12" ht="21.75" thickTop="1" thickBot="1">
      <c r="G25" s="364">
        <v>20</v>
      </c>
      <c r="H25" s="364">
        <v>20</v>
      </c>
      <c r="I25" s="365">
        <v>12</v>
      </c>
      <c r="J25" s="365">
        <v>6</v>
      </c>
      <c r="K25" s="365">
        <v>6</v>
      </c>
      <c r="L25" s="392" t="s">
        <v>550</v>
      </c>
    </row>
    <row r="26" spans="1:12" ht="15.75" thickTop="1"/>
  </sheetData>
  <mergeCells count="23">
    <mergeCell ref="A22:D23"/>
    <mergeCell ref="E22:F23"/>
    <mergeCell ref="A18:D19"/>
    <mergeCell ref="A20:D21"/>
    <mergeCell ref="E6:F7"/>
    <mergeCell ref="E8:F9"/>
    <mergeCell ref="E10:F11"/>
    <mergeCell ref="E12:F13"/>
    <mergeCell ref="E14:F15"/>
    <mergeCell ref="E16:F17"/>
    <mergeCell ref="E18:F19"/>
    <mergeCell ref="E20:F21"/>
    <mergeCell ref="A6:D7"/>
    <mergeCell ref="A8:D9"/>
    <mergeCell ref="A10:D11"/>
    <mergeCell ref="A12:D13"/>
    <mergeCell ref="A14:D15"/>
    <mergeCell ref="A16:D17"/>
    <mergeCell ref="A1:F3"/>
    <mergeCell ref="G1:G2"/>
    <mergeCell ref="H1:H2"/>
    <mergeCell ref="A4:F5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showRowColHeaders="0" workbookViewId="0">
      <selection activeCell="G1" sqref="G1:H2"/>
    </sheetView>
  </sheetViews>
  <sheetFormatPr defaultRowHeight="15"/>
  <cols>
    <col min="9" max="9" width="10.5703125" customWidth="1"/>
    <col min="12" max="12" width="56.85546875" customWidth="1"/>
  </cols>
  <sheetData>
    <row r="1" spans="1:12" ht="16.5" customHeight="1" thickTop="1" thickBot="1">
      <c r="A1" s="808" t="s">
        <v>551</v>
      </c>
      <c r="B1" s="809"/>
      <c r="C1" s="809"/>
      <c r="D1" s="809"/>
      <c r="E1" s="809"/>
      <c r="F1" s="810"/>
      <c r="G1" s="817" t="s">
        <v>26</v>
      </c>
      <c r="H1" s="819" t="s">
        <v>487</v>
      </c>
    </row>
    <row r="2" spans="1:12" ht="28.5" customHeight="1" thickTop="1" thickBot="1">
      <c r="A2" s="811"/>
      <c r="B2" s="812"/>
      <c r="C2" s="812"/>
      <c r="D2" s="812"/>
      <c r="E2" s="812"/>
      <c r="F2" s="813"/>
      <c r="G2" s="818"/>
      <c r="H2" s="820"/>
    </row>
    <row r="3" spans="1:12" ht="16.5" customHeight="1" thickTop="1" thickBot="1">
      <c r="A3" s="814"/>
      <c r="B3" s="815"/>
      <c r="C3" s="815"/>
      <c r="D3" s="815"/>
      <c r="E3" s="815"/>
      <c r="F3" s="816"/>
      <c r="G3" s="825" t="s">
        <v>107</v>
      </c>
      <c r="H3" s="825"/>
      <c r="I3" s="825"/>
      <c r="J3" s="825"/>
      <c r="K3" s="825"/>
      <c r="L3" s="825"/>
    </row>
    <row r="4" spans="1:12" ht="16.5" customHeight="1" thickTop="1" thickBot="1">
      <c r="A4" s="821" t="s">
        <v>44</v>
      </c>
      <c r="B4" s="821"/>
      <c r="C4" s="821"/>
      <c r="D4" s="821"/>
      <c r="E4" s="821"/>
      <c r="F4" s="822"/>
      <c r="G4" s="825"/>
      <c r="H4" s="825"/>
      <c r="I4" s="825"/>
      <c r="J4" s="825"/>
      <c r="K4" s="825"/>
      <c r="L4" s="825"/>
    </row>
    <row r="5" spans="1:12" ht="47.25" customHeight="1" thickTop="1" thickBot="1">
      <c r="A5" s="823"/>
      <c r="B5" s="823"/>
      <c r="C5" s="823"/>
      <c r="D5" s="823"/>
      <c r="E5" s="823"/>
      <c r="F5" s="824"/>
      <c r="G5" s="390" t="s">
        <v>477</v>
      </c>
      <c r="H5" s="390" t="s">
        <v>478</v>
      </c>
      <c r="I5" s="197" t="s">
        <v>552</v>
      </c>
      <c r="J5" s="197" t="s">
        <v>553</v>
      </c>
      <c r="K5" s="197" t="s">
        <v>554</v>
      </c>
      <c r="L5" s="198" t="s">
        <v>479</v>
      </c>
    </row>
    <row r="6" spans="1:12" ht="20.25" thickTop="1" thickBot="1">
      <c r="A6" s="806" t="s">
        <v>506</v>
      </c>
      <c r="B6" s="806"/>
      <c r="C6" s="806"/>
      <c r="D6" s="806"/>
      <c r="E6" s="806" t="s">
        <v>507</v>
      </c>
      <c r="F6" s="807"/>
      <c r="G6" s="221">
        <v>1</v>
      </c>
      <c r="H6" s="221">
        <v>0</v>
      </c>
      <c r="I6" s="221">
        <v>0</v>
      </c>
      <c r="J6" s="221">
        <v>2</v>
      </c>
      <c r="K6" s="221">
        <v>0</v>
      </c>
      <c r="L6" s="221" t="s">
        <v>555</v>
      </c>
    </row>
    <row r="7" spans="1:12" ht="20.25" thickTop="1" thickBot="1">
      <c r="A7" s="806" t="s">
        <v>556</v>
      </c>
      <c r="B7" s="806"/>
      <c r="C7" s="806"/>
      <c r="D7" s="806"/>
      <c r="E7" s="806" t="s">
        <v>168</v>
      </c>
      <c r="F7" s="807"/>
      <c r="G7" s="182">
        <v>2</v>
      </c>
      <c r="H7" s="182">
        <v>1</v>
      </c>
      <c r="I7" s="182">
        <v>0</v>
      </c>
      <c r="J7" s="182">
        <v>3</v>
      </c>
      <c r="K7" s="182">
        <v>0</v>
      </c>
      <c r="L7" s="182" t="s">
        <v>557</v>
      </c>
    </row>
    <row r="8" spans="1:12" ht="34.5" customHeight="1" thickTop="1" thickBot="1">
      <c r="A8" s="806" t="s">
        <v>558</v>
      </c>
      <c r="B8" s="806"/>
      <c r="C8" s="806"/>
      <c r="D8" s="806"/>
      <c r="E8" s="806" t="s">
        <v>559</v>
      </c>
      <c r="F8" s="807"/>
      <c r="G8" s="221">
        <v>3</v>
      </c>
      <c r="H8" s="221">
        <v>2</v>
      </c>
      <c r="I8" s="221">
        <v>1</v>
      </c>
      <c r="J8" s="221">
        <v>3</v>
      </c>
      <c r="K8" s="221">
        <v>1</v>
      </c>
      <c r="L8" s="221" t="s">
        <v>560</v>
      </c>
    </row>
    <row r="9" spans="1:12" ht="20.25" thickTop="1" thickBot="1">
      <c r="A9" s="806" t="s">
        <v>561</v>
      </c>
      <c r="B9" s="806"/>
      <c r="C9" s="806"/>
      <c r="D9" s="806"/>
      <c r="E9" s="806" t="s">
        <v>509</v>
      </c>
      <c r="F9" s="807"/>
      <c r="G9" s="182">
        <v>4</v>
      </c>
      <c r="H9" s="182">
        <v>3</v>
      </c>
      <c r="I9" s="182">
        <v>1</v>
      </c>
      <c r="J9" s="182">
        <v>4</v>
      </c>
      <c r="K9" s="182">
        <v>1</v>
      </c>
      <c r="L9" s="182" t="s">
        <v>528</v>
      </c>
    </row>
    <row r="10" spans="1:12" ht="20.25" thickTop="1" thickBot="1">
      <c r="A10" s="806" t="s">
        <v>562</v>
      </c>
      <c r="B10" s="806"/>
      <c r="C10" s="806"/>
      <c r="D10" s="806"/>
      <c r="E10" s="806" t="s">
        <v>25</v>
      </c>
      <c r="F10" s="807"/>
      <c r="G10" s="221">
        <v>5</v>
      </c>
      <c r="H10" s="221">
        <v>3</v>
      </c>
      <c r="I10" s="221">
        <v>1</v>
      </c>
      <c r="J10" s="221">
        <v>4</v>
      </c>
      <c r="K10" s="221">
        <v>1</v>
      </c>
      <c r="L10" s="221" t="s">
        <v>563</v>
      </c>
    </row>
    <row r="11" spans="1:12" ht="23.25" customHeight="1" thickTop="1" thickBot="1">
      <c r="A11" s="806" t="s">
        <v>564</v>
      </c>
      <c r="B11" s="806"/>
      <c r="C11" s="806"/>
      <c r="D11" s="806"/>
      <c r="E11" s="806" t="s">
        <v>168</v>
      </c>
      <c r="F11" s="807"/>
      <c r="G11" s="182">
        <v>6</v>
      </c>
      <c r="H11" s="182">
        <v>4</v>
      </c>
      <c r="I11" s="182">
        <v>2</v>
      </c>
      <c r="J11" s="182">
        <v>5</v>
      </c>
      <c r="K11" s="182">
        <v>2</v>
      </c>
      <c r="L11" s="182" t="s">
        <v>534</v>
      </c>
    </row>
    <row r="12" spans="1:12" ht="23.25" customHeight="1" thickTop="1" thickBot="1">
      <c r="A12" s="806" t="s">
        <v>508</v>
      </c>
      <c r="B12" s="806"/>
      <c r="C12" s="806"/>
      <c r="D12" s="806"/>
      <c r="E12" s="806" t="s">
        <v>507</v>
      </c>
      <c r="F12" s="807"/>
      <c r="G12" s="221">
        <v>7</v>
      </c>
      <c r="H12" s="221">
        <v>5</v>
      </c>
      <c r="I12" s="221">
        <v>2</v>
      </c>
      <c r="J12" s="221">
        <v>5</v>
      </c>
      <c r="K12" s="221">
        <v>2</v>
      </c>
      <c r="L12" s="221" t="s">
        <v>565</v>
      </c>
    </row>
    <row r="13" spans="1:12" ht="31.5" customHeight="1" thickTop="1" thickBot="1">
      <c r="A13" s="806" t="s">
        <v>566</v>
      </c>
      <c r="B13" s="806"/>
      <c r="C13" s="806"/>
      <c r="D13" s="806"/>
      <c r="E13" s="806" t="s">
        <v>509</v>
      </c>
      <c r="F13" s="807"/>
      <c r="G13" s="182">
        <v>8</v>
      </c>
      <c r="H13" s="182">
        <v>6</v>
      </c>
      <c r="I13" s="182">
        <v>2</v>
      </c>
      <c r="J13" s="182">
        <v>6</v>
      </c>
      <c r="K13" s="182">
        <v>2</v>
      </c>
      <c r="L13" s="182" t="s">
        <v>533</v>
      </c>
    </row>
    <row r="14" spans="1:12" ht="34.5" customHeight="1" thickTop="1" thickBot="1">
      <c r="A14" s="806" t="s">
        <v>567</v>
      </c>
      <c r="B14" s="806"/>
      <c r="C14" s="806"/>
      <c r="D14" s="806"/>
      <c r="E14" s="806" t="s">
        <v>559</v>
      </c>
      <c r="F14" s="807"/>
      <c r="G14" s="221">
        <v>9</v>
      </c>
      <c r="H14" s="221">
        <v>6</v>
      </c>
      <c r="I14" s="221">
        <v>3</v>
      </c>
      <c r="J14" s="221">
        <v>6</v>
      </c>
      <c r="K14" s="221">
        <v>3</v>
      </c>
      <c r="L14" s="221" t="s">
        <v>568</v>
      </c>
    </row>
    <row r="15" spans="1:12" ht="43.5" customHeight="1" thickTop="1" thickBot="1">
      <c r="A15" s="806" t="s">
        <v>569</v>
      </c>
      <c r="B15" s="806"/>
      <c r="C15" s="806"/>
      <c r="D15" s="806"/>
      <c r="E15" s="806" t="s">
        <v>507</v>
      </c>
      <c r="F15" s="807"/>
      <c r="G15" s="182">
        <v>10</v>
      </c>
      <c r="H15" s="182">
        <v>7</v>
      </c>
      <c r="I15" s="182">
        <v>3</v>
      </c>
      <c r="J15" s="182">
        <v>7</v>
      </c>
      <c r="K15" s="182">
        <v>3</v>
      </c>
      <c r="L15" s="182" t="s">
        <v>570</v>
      </c>
    </row>
    <row r="16" spans="1:12" ht="23.25" customHeight="1" thickTop="1" thickBot="1">
      <c r="A16" s="806" t="s">
        <v>571</v>
      </c>
      <c r="B16" s="806"/>
      <c r="C16" s="806"/>
      <c r="D16" s="806"/>
      <c r="E16" s="806" t="s">
        <v>168</v>
      </c>
      <c r="F16" s="807"/>
      <c r="G16" s="221">
        <v>11</v>
      </c>
      <c r="H16" s="221">
        <v>8</v>
      </c>
      <c r="I16" s="221">
        <v>3</v>
      </c>
      <c r="J16" s="221">
        <v>7</v>
      </c>
      <c r="K16" s="221">
        <v>3</v>
      </c>
      <c r="L16" s="221" t="s">
        <v>572</v>
      </c>
    </row>
    <row r="17" spans="1:12" ht="23.25" customHeight="1" thickTop="1" thickBot="1">
      <c r="A17" s="806" t="s">
        <v>516</v>
      </c>
      <c r="B17" s="806"/>
      <c r="C17" s="806"/>
      <c r="D17" s="806"/>
      <c r="E17" s="806" t="s">
        <v>507</v>
      </c>
      <c r="F17" s="807"/>
      <c r="G17" s="182">
        <v>12</v>
      </c>
      <c r="H17" s="182">
        <v>9</v>
      </c>
      <c r="I17" s="182">
        <v>4</v>
      </c>
      <c r="J17" s="182">
        <v>8</v>
      </c>
      <c r="K17" s="182">
        <v>4</v>
      </c>
      <c r="L17" s="182" t="s">
        <v>573</v>
      </c>
    </row>
    <row r="18" spans="1:12" ht="23.25" customHeight="1" thickTop="1" thickBot="1">
      <c r="A18" s="806" t="s">
        <v>574</v>
      </c>
      <c r="B18" s="806"/>
      <c r="C18" s="806"/>
      <c r="D18" s="806"/>
      <c r="E18" s="806" t="s">
        <v>575</v>
      </c>
      <c r="F18" s="807"/>
      <c r="G18" s="221">
        <v>13</v>
      </c>
      <c r="H18" s="221">
        <v>9</v>
      </c>
      <c r="I18" s="221">
        <v>4</v>
      </c>
      <c r="J18" s="221">
        <v>8</v>
      </c>
      <c r="K18" s="221">
        <v>4</v>
      </c>
      <c r="L18" s="221" t="s">
        <v>576</v>
      </c>
    </row>
    <row r="19" spans="1:12" ht="20.25" thickTop="1" thickBot="1">
      <c r="A19" s="806" t="s">
        <v>577</v>
      </c>
      <c r="B19" s="806"/>
      <c r="C19" s="806"/>
      <c r="D19" s="806"/>
      <c r="E19" s="806" t="s">
        <v>511</v>
      </c>
      <c r="F19" s="807"/>
      <c r="G19" s="182">
        <v>14</v>
      </c>
      <c r="H19" s="182">
        <v>10</v>
      </c>
      <c r="I19" s="182">
        <v>4</v>
      </c>
      <c r="J19" s="182">
        <v>9</v>
      </c>
      <c r="K19" s="182">
        <v>4</v>
      </c>
      <c r="L19" s="182" t="s">
        <v>188</v>
      </c>
    </row>
    <row r="20" spans="1:12" ht="23.25" customHeight="1" thickTop="1" thickBot="1">
      <c r="A20" s="806" t="s">
        <v>578</v>
      </c>
      <c r="B20" s="806"/>
      <c r="C20" s="806"/>
      <c r="D20" s="806"/>
      <c r="E20" s="806" t="s">
        <v>168</v>
      </c>
      <c r="F20" s="807"/>
      <c r="G20" s="221">
        <v>15</v>
      </c>
      <c r="H20" s="221">
        <v>11</v>
      </c>
      <c r="I20" s="221">
        <v>5</v>
      </c>
      <c r="J20" s="221">
        <v>9</v>
      </c>
      <c r="K20" s="221">
        <v>5</v>
      </c>
      <c r="L20" s="221" t="s">
        <v>579</v>
      </c>
    </row>
    <row r="21" spans="1:12" ht="20.25" thickTop="1" thickBot="1">
      <c r="A21" s="806" t="s">
        <v>485</v>
      </c>
      <c r="B21" s="806"/>
      <c r="C21" s="806"/>
      <c r="D21" s="806"/>
      <c r="E21" s="806" t="s">
        <v>25</v>
      </c>
      <c r="F21" s="807"/>
      <c r="G21" s="182">
        <v>16</v>
      </c>
      <c r="H21" s="182">
        <v>12</v>
      </c>
      <c r="I21" s="182">
        <v>5</v>
      </c>
      <c r="J21" s="182">
        <v>10</v>
      </c>
      <c r="K21" s="182">
        <v>5</v>
      </c>
      <c r="L21" s="182" t="s">
        <v>570</v>
      </c>
    </row>
    <row r="22" spans="1:12" ht="20.25" thickTop="1" thickBot="1">
      <c r="A22" s="806" t="s">
        <v>580</v>
      </c>
      <c r="B22" s="806"/>
      <c r="C22" s="806"/>
      <c r="D22" s="806"/>
      <c r="E22" s="806" t="s">
        <v>515</v>
      </c>
      <c r="F22" s="807"/>
      <c r="G22" s="221">
        <v>17</v>
      </c>
      <c r="H22" s="221">
        <v>12</v>
      </c>
      <c r="I22" s="221">
        <v>5</v>
      </c>
      <c r="J22" s="221">
        <v>10</v>
      </c>
      <c r="K22" s="221">
        <v>5</v>
      </c>
      <c r="L22" s="221" t="s">
        <v>581</v>
      </c>
    </row>
    <row r="23" spans="1:12" ht="20.25" thickTop="1" thickBot="1">
      <c r="A23" s="806" t="s">
        <v>582</v>
      </c>
      <c r="B23" s="806"/>
      <c r="C23" s="806"/>
      <c r="D23" s="806"/>
      <c r="E23" s="806" t="s">
        <v>511</v>
      </c>
      <c r="F23" s="807"/>
      <c r="G23" s="182">
        <v>18</v>
      </c>
      <c r="H23" s="182">
        <v>13</v>
      </c>
      <c r="I23" s="182">
        <v>6</v>
      </c>
      <c r="J23" s="182">
        <v>11</v>
      </c>
      <c r="K23" s="182">
        <v>6</v>
      </c>
      <c r="L23" s="182" t="s">
        <v>548</v>
      </c>
    </row>
    <row r="24" spans="1:12" ht="23.25" customHeight="1" thickTop="1" thickBot="1">
      <c r="A24" s="806" t="s">
        <v>542</v>
      </c>
      <c r="B24" s="806"/>
      <c r="C24" s="806"/>
      <c r="D24" s="806"/>
      <c r="E24" s="806" t="s">
        <v>575</v>
      </c>
      <c r="F24" s="807"/>
      <c r="G24" s="221">
        <v>19</v>
      </c>
      <c r="H24" s="221">
        <v>14</v>
      </c>
      <c r="I24" s="221">
        <v>6</v>
      </c>
      <c r="J24" s="221">
        <v>11</v>
      </c>
      <c r="K24" s="221">
        <v>6</v>
      </c>
      <c r="L24" s="221" t="s">
        <v>583</v>
      </c>
    </row>
    <row r="25" spans="1:12" ht="20.25" thickTop="1" thickBot="1">
      <c r="A25" s="806" t="s">
        <v>584</v>
      </c>
      <c r="B25" s="806"/>
      <c r="C25" s="806"/>
      <c r="D25" s="806"/>
      <c r="E25" s="806" t="s">
        <v>575</v>
      </c>
      <c r="F25" s="807"/>
      <c r="G25" s="182">
        <v>20</v>
      </c>
      <c r="H25" s="182">
        <v>15</v>
      </c>
      <c r="I25" s="182">
        <v>6</v>
      </c>
      <c r="J25" s="182">
        <v>12</v>
      </c>
      <c r="K25" s="182">
        <v>6</v>
      </c>
      <c r="L25" s="182" t="s">
        <v>188</v>
      </c>
    </row>
    <row r="26" spans="1:12" ht="19.5" thickBot="1">
      <c r="A26" s="806" t="s">
        <v>585</v>
      </c>
      <c r="B26" s="806"/>
      <c r="C26" s="806"/>
      <c r="D26" s="806"/>
      <c r="E26" s="806" t="s">
        <v>25</v>
      </c>
      <c r="F26" s="806"/>
    </row>
    <row r="27" spans="1:12" ht="34.5" customHeight="1" thickBot="1">
      <c r="A27" s="806" t="s">
        <v>586</v>
      </c>
      <c r="B27" s="806"/>
      <c r="C27" s="806"/>
      <c r="D27" s="806"/>
      <c r="E27" s="806" t="s">
        <v>511</v>
      </c>
      <c r="F27" s="806"/>
    </row>
    <row r="28" spans="1:12" ht="19.5" thickBot="1">
      <c r="A28" s="806" t="s">
        <v>587</v>
      </c>
      <c r="B28" s="806"/>
      <c r="C28" s="806"/>
      <c r="D28" s="806"/>
      <c r="E28" s="806" t="s">
        <v>511</v>
      </c>
      <c r="F28" s="806"/>
    </row>
    <row r="29" spans="1:12" ht="34.5" customHeight="1" thickBot="1">
      <c r="A29" s="806" t="s">
        <v>588</v>
      </c>
      <c r="B29" s="806"/>
      <c r="C29" s="806"/>
      <c r="D29" s="806"/>
      <c r="E29" s="806" t="s">
        <v>507</v>
      </c>
      <c r="F29" s="806"/>
    </row>
    <row r="30" spans="1:12" ht="23.25" customHeight="1" thickBot="1">
      <c r="A30" s="806" t="s">
        <v>589</v>
      </c>
      <c r="B30" s="806"/>
      <c r="C30" s="806"/>
      <c r="D30" s="806"/>
      <c r="E30" s="806" t="s">
        <v>511</v>
      </c>
      <c r="F30" s="806"/>
    </row>
    <row r="31" spans="1:12" ht="19.5" thickBot="1">
      <c r="A31" s="806" t="s">
        <v>590</v>
      </c>
      <c r="B31" s="806"/>
      <c r="C31" s="806"/>
      <c r="D31" s="806"/>
      <c r="E31" s="806" t="s">
        <v>168</v>
      </c>
      <c r="F31" s="806"/>
    </row>
    <row r="32" spans="1:12" ht="23.25" customHeight="1" thickBot="1">
      <c r="A32" s="806" t="s">
        <v>591</v>
      </c>
      <c r="B32" s="806"/>
      <c r="C32" s="806"/>
      <c r="D32" s="806"/>
      <c r="E32" s="806" t="s">
        <v>559</v>
      </c>
      <c r="F32" s="806"/>
    </row>
    <row r="33" spans="1:6" ht="23.25" customHeight="1" thickBot="1">
      <c r="A33" s="806" t="s">
        <v>592</v>
      </c>
      <c r="B33" s="806"/>
      <c r="C33" s="806"/>
      <c r="D33" s="806"/>
      <c r="E33" s="806" t="s">
        <v>170</v>
      </c>
      <c r="F33" s="806"/>
    </row>
  </sheetData>
  <mergeCells count="61">
    <mergeCell ref="A31:D31"/>
    <mergeCell ref="E31:F31"/>
    <mergeCell ref="A32:D32"/>
    <mergeCell ref="E32:F32"/>
    <mergeCell ref="A33:D33"/>
    <mergeCell ref="E33:F33"/>
    <mergeCell ref="A28:D28"/>
    <mergeCell ref="E28:F28"/>
    <mergeCell ref="A29:D29"/>
    <mergeCell ref="E29:F29"/>
    <mergeCell ref="A30:D30"/>
    <mergeCell ref="E30:F30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13:D13"/>
    <mergeCell ref="E13:F13"/>
    <mergeCell ref="A14:D14"/>
    <mergeCell ref="E14:F14"/>
    <mergeCell ref="A15:D15"/>
    <mergeCell ref="E15:F15"/>
    <mergeCell ref="A10:D10"/>
    <mergeCell ref="E10:F10"/>
    <mergeCell ref="A11:D11"/>
    <mergeCell ref="E11:F11"/>
    <mergeCell ref="A12:D12"/>
    <mergeCell ref="E12:F12"/>
    <mergeCell ref="A7:D7"/>
    <mergeCell ref="E7:F7"/>
    <mergeCell ref="A8:D8"/>
    <mergeCell ref="E8:F8"/>
    <mergeCell ref="A9:D9"/>
    <mergeCell ref="E9:F9"/>
    <mergeCell ref="A6:D6"/>
    <mergeCell ref="E6:F6"/>
    <mergeCell ref="A1:F3"/>
    <mergeCell ref="G1:G2"/>
    <mergeCell ref="H1:H2"/>
    <mergeCell ref="A4:F5"/>
    <mergeCell ref="G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Карточка персонажа</vt:lpstr>
      <vt:lpstr>Лист персонажа 1</vt:lpstr>
      <vt:lpstr>Лист персонажа 2</vt:lpstr>
      <vt:lpstr>Инвентарь</vt:lpstr>
      <vt:lpstr>Черты</vt:lpstr>
      <vt:lpstr>Воин</vt:lpstr>
      <vt:lpstr>Бард</vt:lpstr>
      <vt:lpstr>Варвар</vt:lpstr>
      <vt:lpstr>Вор</vt:lpstr>
      <vt:lpstr>Друид</vt:lpstr>
      <vt:lpstr>Жрец</vt:lpstr>
      <vt:lpstr>Маг</vt:lpstr>
      <vt:lpstr>Монах</vt:lpstr>
      <vt:lpstr>Паладин</vt:lpstr>
      <vt:lpstr>Рейнджер</vt:lpstr>
      <vt:lpstr>Чародей</vt:lpstr>
      <vt:lpstr>Расы</vt:lpstr>
      <vt:lpstr>Воин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Berserk</dc:creator>
  <cp:keywords/>
  <dc:description/>
  <cp:lastModifiedBy>Плеханов Андрей</cp:lastModifiedBy>
  <cp:revision/>
  <dcterms:created xsi:type="dcterms:W3CDTF">2015-06-05T18:19:34Z</dcterms:created>
  <dcterms:modified xsi:type="dcterms:W3CDTF">2024-12-10T05:51:12Z</dcterms:modified>
  <cp:category/>
  <cp:contentStatus/>
</cp:coreProperties>
</file>