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C:\Users\plekhanov.aa\Desktop\"/>
    </mc:Choice>
  </mc:AlternateContent>
  <bookViews>
    <workbookView xWindow="-120" yWindow="-120" windowWidth="38640" windowHeight="21120" firstSheet="1" activeTab="1"/>
  </bookViews>
  <sheets>
    <sheet name="Карточка персонажа" sheetId="1" state="hidden" r:id="rId1"/>
    <sheet name="Лист персонажа 1" sheetId="8" r:id="rId2"/>
    <sheet name="Лист персонажа 2" sheetId="9" r:id="rId3"/>
    <sheet name="Инвентарь" sheetId="20" r:id="rId4"/>
    <sheet name="Черты" sheetId="6" r:id="rId5"/>
    <sheet name="Воин" sheetId="2" r:id="rId6"/>
    <sheet name="Бард" sheetId="10" r:id="rId7"/>
    <sheet name="Варвар" sheetId="11" r:id="rId8"/>
    <sheet name="Вор" sheetId="12" r:id="rId9"/>
    <sheet name="Друид" sheetId="13" r:id="rId10"/>
    <sheet name="Жрец" sheetId="14" r:id="rId11"/>
    <sheet name="Маг" sheetId="15" r:id="rId12"/>
    <sheet name="Монах" sheetId="16" r:id="rId13"/>
    <sheet name="Паладин" sheetId="17" r:id="rId14"/>
    <sheet name="Рейнджер" sheetId="18" r:id="rId15"/>
    <sheet name="Чародей" sheetId="19" r:id="rId16"/>
    <sheet name="Расы" sheetId="3" r:id="rId17"/>
  </sheets>
  <definedNames>
    <definedName name="Воин">Воин!$G$5:$H$25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2" i="8" l="1"/>
  <c r="W11" i="8"/>
  <c r="W10" i="8"/>
  <c r="W9" i="8"/>
  <c r="W8" i="8"/>
  <c r="V10" i="8"/>
  <c r="V9" i="8"/>
  <c r="V8" i="8"/>
  <c r="V7" i="8"/>
  <c r="K19" i="8" l="1"/>
  <c r="K17" i="8"/>
  <c r="K16" i="8"/>
  <c r="P11" i="8" s="1"/>
  <c r="K15" i="8"/>
  <c r="K14" i="8"/>
  <c r="K18" i="8"/>
  <c r="P9" i="8" l="1"/>
  <c r="P7" i="8"/>
  <c r="P10" i="8"/>
  <c r="P8" i="8"/>
  <c r="V6" i="8"/>
  <c r="W7" i="8"/>
  <c r="W6" i="8"/>
  <c r="K40" i="20"/>
  <c r="O14" i="8" l="1"/>
  <c r="P67" i="8"/>
  <c r="P66" i="8"/>
  <c r="P65" i="8"/>
  <c r="P64" i="8"/>
  <c r="P63" i="8"/>
  <c r="P61" i="8"/>
  <c r="P58" i="8"/>
  <c r="P56" i="8"/>
  <c r="P55" i="8"/>
  <c r="P54" i="8"/>
  <c r="P53" i="8"/>
  <c r="P52" i="8"/>
  <c r="P51" i="8"/>
  <c r="P50" i="8"/>
  <c r="P49" i="8"/>
  <c r="P48" i="8"/>
  <c r="P47" i="8"/>
  <c r="P46" i="8"/>
  <c r="P45" i="8"/>
  <c r="P44" i="8"/>
  <c r="P43" i="8"/>
  <c r="P42" i="8"/>
  <c r="P41" i="8"/>
  <c r="P40" i="8"/>
  <c r="P39" i="8"/>
  <c r="P38" i="8"/>
  <c r="P37" i="8"/>
  <c r="P36" i="8"/>
  <c r="P35" i="8"/>
  <c r="P34" i="8"/>
  <c r="P33" i="8"/>
  <c r="P32" i="8"/>
  <c r="P31" i="8"/>
  <c r="P30" i="8"/>
  <c r="P29" i="8"/>
  <c r="P28" i="8"/>
  <c r="P27" i="8"/>
  <c r="P26" i="8"/>
  <c r="P25" i="8"/>
  <c r="P24" i="8"/>
  <c r="K14" i="9"/>
  <c r="I14" i="9"/>
  <c r="G14" i="9"/>
  <c r="F14" i="9"/>
  <c r="E14" i="9"/>
  <c r="D14" i="9"/>
  <c r="S7" i="9"/>
  <c r="H40" i="20" l="1"/>
  <c r="Q8" i="8" l="1"/>
  <c r="T8" i="8" s="1"/>
  <c r="T3" i="8"/>
  <c r="J7" i="8"/>
  <c r="M14" i="8"/>
  <c r="T16" i="8"/>
  <c r="V14" i="8"/>
  <c r="V13" i="8"/>
  <c r="R54" i="8"/>
  <c r="J19" i="8"/>
  <c r="F19" i="8" s="1"/>
  <c r="J18" i="8"/>
  <c r="F18" i="8" s="1"/>
  <c r="J16" i="8"/>
  <c r="F16" i="8" s="1"/>
  <c r="J15" i="8"/>
  <c r="F15" i="8" s="1"/>
  <c r="J14" i="8"/>
  <c r="F14" i="8" s="1"/>
  <c r="G10" i="8"/>
  <c r="N12" i="9"/>
  <c r="N11" i="9" s="1"/>
  <c r="R12" i="9" s="1"/>
  <c r="H11" i="8"/>
  <c r="R43" i="8"/>
  <c r="R48" i="8"/>
  <c r="R53" i="8"/>
  <c r="J8" i="8"/>
  <c r="J9" i="8"/>
  <c r="J10" i="8"/>
  <c r="J11" i="8"/>
  <c r="J17" i="8"/>
  <c r="F17" i="8" s="1"/>
  <c r="D50" i="9"/>
  <c r="D51" i="9"/>
  <c r="D52" i="9"/>
  <c r="D53" i="9"/>
  <c r="D54" i="9"/>
  <c r="E50" i="9"/>
  <c r="E51" i="9"/>
  <c r="E52" i="9"/>
  <c r="BD2" i="8" l="1"/>
  <c r="F6" i="9"/>
  <c r="S16" i="8"/>
  <c r="R11" i="9"/>
  <c r="O11" i="9"/>
  <c r="P11" i="9"/>
  <c r="Q12" i="9"/>
  <c r="Q11" i="9"/>
  <c r="P12" i="9"/>
  <c r="O12" i="9"/>
  <c r="S11" i="9"/>
  <c r="U45" i="9"/>
  <c r="O45" i="9"/>
  <c r="M45" i="9"/>
  <c r="I45" i="9"/>
  <c r="U44" i="9"/>
  <c r="O44" i="9"/>
  <c r="M44" i="9"/>
  <c r="I44" i="9"/>
  <c r="U43" i="9"/>
  <c r="O43" i="9"/>
  <c r="M43" i="9"/>
  <c r="I43" i="9"/>
  <c r="U42" i="9"/>
  <c r="O42" i="9"/>
  <c r="M42" i="9"/>
  <c r="K42" i="9"/>
  <c r="I42" i="9"/>
  <c r="U41" i="9"/>
  <c r="O41" i="9"/>
  <c r="M41" i="9"/>
  <c r="K41" i="9"/>
  <c r="I41" i="9"/>
  <c r="F54" i="9"/>
  <c r="E54" i="9"/>
  <c r="U40" i="9"/>
  <c r="S40" i="9"/>
  <c r="Q40" i="9"/>
  <c r="O40" i="9"/>
  <c r="M40" i="9"/>
  <c r="K40" i="9"/>
  <c r="I40" i="9"/>
  <c r="F53" i="9"/>
  <c r="E53" i="9"/>
  <c r="U39" i="9"/>
  <c r="S39" i="9"/>
  <c r="Q39" i="9"/>
  <c r="O39" i="9"/>
  <c r="M39" i="9"/>
  <c r="K39" i="9"/>
  <c r="I39" i="9"/>
  <c r="F52" i="9"/>
  <c r="U38" i="9"/>
  <c r="S38" i="9"/>
  <c r="Q38" i="9"/>
  <c r="O38" i="9"/>
  <c r="M38" i="9"/>
  <c r="K38" i="9"/>
  <c r="I38" i="9"/>
  <c r="F51" i="9"/>
  <c r="U37" i="9"/>
  <c r="S37" i="9"/>
  <c r="Q37" i="9"/>
  <c r="O37" i="9"/>
  <c r="M37" i="9"/>
  <c r="K37" i="9"/>
  <c r="I37" i="9"/>
  <c r="F50" i="9"/>
  <c r="U36" i="9"/>
  <c r="O36" i="9"/>
  <c r="M36" i="9"/>
  <c r="K36" i="9"/>
  <c r="I36" i="9"/>
  <c r="F8" i="9" l="1"/>
  <c r="BD3" i="8"/>
  <c r="Q7" i="8" s="1"/>
  <c r="F10" i="9"/>
  <c r="O9" i="8" l="1"/>
  <c r="O11" i="8"/>
  <c r="O10" i="8"/>
  <c r="O8" i="8"/>
  <c r="R52" i="8"/>
  <c r="R50" i="8"/>
  <c r="R45" i="8"/>
  <c r="R37" i="8"/>
  <c r="R61" i="8"/>
  <c r="R55" i="8"/>
  <c r="R25" i="8"/>
  <c r="S8" i="9" l="1"/>
  <c r="H11" i="10"/>
  <c r="H10" i="10"/>
  <c r="G19" i="8"/>
  <c r="N52" i="8" s="1"/>
  <c r="G17" i="8"/>
  <c r="A25" i="9"/>
  <c r="R28" i="8"/>
  <c r="N28" i="8" s="1"/>
  <c r="G18" i="8"/>
  <c r="P51" i="1"/>
  <c r="P50" i="1"/>
  <c r="P43" i="1"/>
  <c r="C8" i="1"/>
  <c r="I17" i="1"/>
  <c r="E17" i="1" s="1"/>
  <c r="I14" i="1"/>
  <c r="E14" i="1" s="1"/>
  <c r="P52" i="1"/>
  <c r="L12" i="1"/>
  <c r="M4" i="1"/>
  <c r="R4" i="1" s="1"/>
  <c r="P26" i="1"/>
  <c r="N44" i="1"/>
  <c r="N35" i="1"/>
  <c r="N28" i="1"/>
  <c r="N27" i="1"/>
  <c r="N24" i="1"/>
  <c r="I12" i="1"/>
  <c r="E12" i="1" s="1"/>
  <c r="E13" i="1"/>
  <c r="E15" i="1"/>
  <c r="E16" i="1"/>
  <c r="F16" i="1"/>
  <c r="G73" i="1" s="1"/>
  <c r="E73" i="1" s="1"/>
  <c r="F17" i="1"/>
  <c r="L40" i="1" s="1"/>
  <c r="F12" i="1"/>
  <c r="T70" i="1" s="1"/>
  <c r="F13" i="1"/>
  <c r="N17" i="1" s="1"/>
  <c r="L17" i="1" s="1"/>
  <c r="F15" i="1"/>
  <c r="L63" i="1" s="1"/>
  <c r="P46" i="1"/>
  <c r="P41" i="1"/>
  <c r="N60" i="8" l="1"/>
  <c r="N59" i="8"/>
  <c r="N40" i="8"/>
  <c r="N29" i="8"/>
  <c r="N42" i="8"/>
  <c r="N33" i="8"/>
  <c r="N30" i="8"/>
  <c r="N58" i="8"/>
  <c r="N62" i="8"/>
  <c r="N49" i="8"/>
  <c r="N43" i="8"/>
  <c r="N27" i="8"/>
  <c r="N53" i="8"/>
  <c r="N61" i="8"/>
  <c r="N38" i="8"/>
  <c r="N57" i="8"/>
  <c r="N48" i="8"/>
  <c r="N47" i="8"/>
  <c r="N63" i="8"/>
  <c r="N51" i="8"/>
  <c r="N41" i="8"/>
  <c r="N65" i="8"/>
  <c r="N45" i="8"/>
  <c r="N55" i="8"/>
  <c r="N66" i="8"/>
  <c r="N64" i="8"/>
  <c r="N67" i="8"/>
  <c r="N56" i="8"/>
  <c r="N34" i="8"/>
  <c r="G10" i="9"/>
  <c r="E10" i="9" s="1"/>
  <c r="G15" i="8"/>
  <c r="G16" i="8"/>
  <c r="N35" i="8" s="1"/>
  <c r="G14" i="8"/>
  <c r="N43" i="9"/>
  <c r="T37" i="9"/>
  <c r="N45" i="9"/>
  <c r="N38" i="9"/>
  <c r="N41" i="9"/>
  <c r="J43" i="9"/>
  <c r="J41" i="9"/>
  <c r="R37" i="9"/>
  <c r="T38" i="9"/>
  <c r="J36" i="9"/>
  <c r="R38" i="9"/>
  <c r="T40" i="9"/>
  <c r="J45" i="9"/>
  <c r="T39" i="9"/>
  <c r="N37" i="9"/>
  <c r="N40" i="9"/>
  <c r="J40" i="9"/>
  <c r="J37" i="9"/>
  <c r="R40" i="9"/>
  <c r="N36" i="9"/>
  <c r="N42" i="9"/>
  <c r="R39" i="9"/>
  <c r="N44" i="9"/>
  <c r="J42" i="9"/>
  <c r="N39" i="9"/>
  <c r="J38" i="9"/>
  <c r="J44" i="9"/>
  <c r="J39" i="9"/>
  <c r="P36" i="9"/>
  <c r="P44" i="9"/>
  <c r="P45" i="9"/>
  <c r="P37" i="9"/>
  <c r="P39" i="9"/>
  <c r="P42" i="9"/>
  <c r="P38" i="9"/>
  <c r="P43" i="9"/>
  <c r="P40" i="9"/>
  <c r="P41" i="9"/>
  <c r="V45" i="9"/>
  <c r="L41" i="9"/>
  <c r="L36" i="9"/>
  <c r="V42" i="9"/>
  <c r="V38" i="9"/>
  <c r="V39" i="9"/>
  <c r="L42" i="9"/>
  <c r="V37" i="9"/>
  <c r="V40" i="9"/>
  <c r="L40" i="9"/>
  <c r="V44" i="9"/>
  <c r="L37" i="9"/>
  <c r="L38" i="9"/>
  <c r="V36" i="9"/>
  <c r="V41" i="9"/>
  <c r="L39" i="9"/>
  <c r="V43" i="9"/>
  <c r="Q68" i="1"/>
  <c r="S70" i="1" s="1"/>
  <c r="L46" i="1"/>
  <c r="O7" i="8"/>
  <c r="P5" i="9" s="1"/>
  <c r="Q20" i="1"/>
  <c r="O20" i="1" s="1"/>
  <c r="K5" i="1"/>
  <c r="U70" i="1"/>
  <c r="Q70" i="1" s="1"/>
  <c r="R14" i="1"/>
  <c r="L50" i="1"/>
  <c r="L25" i="1"/>
  <c r="L31" i="1"/>
  <c r="L34" i="1"/>
  <c r="L36" i="1"/>
  <c r="L27" i="1"/>
  <c r="L28" i="1"/>
  <c r="L44" i="1"/>
  <c r="L26" i="1"/>
  <c r="L22" i="1"/>
  <c r="L51" i="1"/>
  <c r="L29" i="1"/>
  <c r="L24" i="1"/>
  <c r="L47" i="1"/>
  <c r="L56" i="1"/>
  <c r="L35" i="1"/>
  <c r="L41" i="1"/>
  <c r="L43" i="1"/>
  <c r="L32" i="1"/>
  <c r="L45" i="1"/>
  <c r="L54" i="1"/>
  <c r="L48" i="1"/>
  <c r="L53" i="1"/>
  <c r="L57" i="1"/>
  <c r="L58" i="1"/>
  <c r="L64" i="1"/>
  <c r="L23" i="1"/>
  <c r="L65" i="1"/>
  <c r="L49" i="1"/>
  <c r="L52" i="1"/>
  <c r="L37" i="1"/>
  <c r="L38" i="1"/>
  <c r="L59" i="1"/>
  <c r="L39" i="1"/>
  <c r="L60" i="1"/>
  <c r="L55" i="1"/>
  <c r="L61" i="1"/>
  <c r="L62" i="1"/>
  <c r="L42" i="1"/>
  <c r="Q14" i="1"/>
  <c r="G71" i="1"/>
  <c r="E71" i="1" s="1"/>
  <c r="F14" i="1"/>
  <c r="L33" i="1" s="1"/>
  <c r="R8" i="9" l="1"/>
  <c r="N46" i="8"/>
  <c r="N37" i="8"/>
  <c r="N50" i="8"/>
  <c r="N39" i="8"/>
  <c r="N32" i="8"/>
  <c r="N31" i="8"/>
  <c r="N36" i="8"/>
  <c r="N44" i="8"/>
  <c r="N54" i="8"/>
  <c r="Q22" i="8"/>
  <c r="G8" i="9"/>
  <c r="N24" i="8"/>
  <c r="N25" i="8"/>
  <c r="N26" i="8"/>
  <c r="G6" i="9"/>
  <c r="E6" i="9" s="1"/>
  <c r="P4" i="9"/>
  <c r="Q5" i="9"/>
  <c r="Q4" i="9" s="1"/>
  <c r="BC1" i="8"/>
  <c r="E8" i="9"/>
  <c r="O19" i="8"/>
  <c r="M19" i="8" s="1"/>
  <c r="R16" i="8"/>
  <c r="M16" i="8" s="1"/>
  <c r="N7" i="8"/>
  <c r="L14" i="1"/>
  <c r="G69" i="1"/>
  <c r="E69" i="1" s="1"/>
  <c r="L30" i="1" s="1"/>
  <c r="A25" i="1"/>
  <c r="R5" i="9" l="1"/>
  <c r="Q8" i="9"/>
  <c r="O8" i="9" s="1"/>
  <c r="O7" i="9" s="1"/>
  <c r="R4" i="9" l="1"/>
  <c r="S5" i="9"/>
  <c r="S4" i="9" l="1"/>
  <c r="T5" i="9"/>
  <c r="T4" i="9" s="1"/>
</calcChain>
</file>

<file path=xl/comments1.xml><?xml version="1.0" encoding="utf-8"?>
<comments xmlns="http://schemas.openxmlformats.org/spreadsheetml/2006/main">
  <authors>
    <author>Berserk</author>
    <author>Плеханов Андрей</author>
  </authors>
  <commentList>
    <comment ref="T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4" authorId="0" shapeId="0">
      <text>
        <r>
          <rPr>
            <b/>
            <sz val="16"/>
            <color indexed="81"/>
            <rFont val="Times New Roman"/>
            <family val="1"/>
            <charset val="204"/>
          </rPr>
          <t xml:space="preserve">Заполнить </t>
        </r>
      </text>
    </comment>
    <comment ref="G6" authorId="0" shapeId="0">
      <text>
        <r>
          <rPr>
            <b/>
            <sz val="16"/>
            <color indexed="81"/>
            <rFont val="Times New Roman"/>
            <family val="1"/>
            <charset val="204"/>
          </rPr>
          <t xml:space="preserve">Заполнить </t>
        </r>
      </text>
    </comment>
    <comment ref="L7" authorId="0" shapeId="0">
      <text>
        <r>
          <rPr>
            <b/>
            <sz val="16"/>
            <color indexed="81"/>
            <rFont val="Times New Roman"/>
            <family val="1"/>
            <charset val="204"/>
          </rPr>
          <t>Выбрать из раскрывающегося списка</t>
        </r>
      </text>
    </comment>
    <comment ref="M7" authorId="1" shapeId="0">
      <text>
        <r>
          <rPr>
            <sz val="20"/>
            <color indexed="81"/>
            <rFont val="Times New Roman"/>
            <family val="1"/>
            <charset val="204"/>
          </rPr>
          <t>Указывать текущий уровень класса</t>
        </r>
        <r>
          <rPr>
            <sz val="9"/>
            <color indexed="81"/>
            <rFont val="Tahoma"/>
            <charset val="1"/>
          </rPr>
          <t xml:space="preserve">
</t>
        </r>
      </text>
    </comment>
    <comment ref="N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8" authorId="0" shapeId="0">
      <text>
        <r>
          <rPr>
            <b/>
            <sz val="16"/>
            <color indexed="81"/>
            <rFont val="Times New Roman"/>
            <family val="1"/>
            <charset val="204"/>
          </rPr>
          <t>Выбрать из раскрывающегося списка</t>
        </r>
      </text>
    </comment>
    <comment ref="L8" authorId="0" shapeId="0">
      <text>
        <r>
          <rPr>
            <b/>
            <sz val="16"/>
            <color indexed="81"/>
            <rFont val="Times New Roman"/>
            <family val="1"/>
            <charset val="204"/>
          </rPr>
          <t>Выбрать из раскрывающегося списка</t>
        </r>
      </text>
    </comment>
    <comment ref="M8" authorId="1" shapeId="0">
      <text>
        <r>
          <rPr>
            <sz val="20"/>
            <color indexed="81"/>
            <rFont val="Times New Roman"/>
            <family val="1"/>
            <charset val="204"/>
          </rPr>
          <t>Указывать текущий уровень класса</t>
        </r>
      </text>
    </comment>
    <comment ref="O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8" authorId="0" shapeId="0">
      <text>
        <r>
          <rPr>
            <b/>
            <sz val="14"/>
            <color indexed="81"/>
            <rFont val="Times New Roman"/>
            <family val="1"/>
            <charset val="204"/>
          </rPr>
          <t xml:space="preserve">Автоматичский параметр.
Уровень расчитывается автоматически в зависимости от текущего опыта, и расы. </t>
        </r>
      </text>
    </comment>
    <comment ref="R8" authorId="0" shapeId="0">
      <text>
        <r>
          <rPr>
            <b/>
            <sz val="16"/>
            <color indexed="81"/>
            <rFont val="Times New Roman"/>
            <family val="1"/>
            <charset val="204"/>
          </rPr>
          <t>Указать текущие количество опыта</t>
        </r>
      </text>
    </comment>
    <comment ref="T8" authorId="0" shapeId="0">
      <text>
        <r>
          <rPr>
            <b/>
            <sz val="14"/>
            <color indexed="81"/>
            <rFont val="Times New Roman"/>
            <family val="1"/>
            <charset val="204"/>
          </rPr>
          <t xml:space="preserve">Автоматичский параметр.
Расчитывается автоматически в зависимости от текущего опыта, и расы. </t>
        </r>
      </text>
    </comment>
    <comment ref="L9" authorId="0" shapeId="0">
      <text>
        <r>
          <rPr>
            <b/>
            <sz val="16"/>
            <color indexed="81"/>
            <rFont val="Times New Roman"/>
            <family val="1"/>
            <charset val="204"/>
          </rPr>
          <t>Выбрать из раскрывающегося списка</t>
        </r>
      </text>
    </comment>
    <comment ref="M9" authorId="1" shapeId="0">
      <text>
        <r>
          <rPr>
            <sz val="20"/>
            <color indexed="81"/>
            <rFont val="Times New Roman"/>
            <family val="1"/>
            <charset val="204"/>
          </rPr>
          <t>Указывать текущий уровень класса</t>
        </r>
      </text>
    </comment>
    <comment ref="O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10" authorId="0" shapeId="0">
      <text>
        <r>
          <rPr>
            <b/>
            <sz val="16"/>
            <color indexed="81"/>
            <rFont val="Times New Roman"/>
            <family val="1"/>
            <charset val="204"/>
          </rPr>
          <t>Выбрать из раскрывающегося списка</t>
        </r>
      </text>
    </comment>
    <comment ref="I10" authorId="0" shapeId="0">
      <text>
        <r>
          <rPr>
            <b/>
            <sz val="16"/>
            <color indexed="81"/>
            <rFont val="Times New Roman"/>
            <family val="1"/>
            <charset val="204"/>
          </rPr>
          <t xml:space="preserve">Заполнить </t>
        </r>
      </text>
    </comment>
    <comment ref="L10" authorId="0" shapeId="0">
      <text>
        <r>
          <rPr>
            <b/>
            <sz val="16"/>
            <color indexed="81"/>
            <rFont val="Times New Roman"/>
            <family val="1"/>
            <charset val="204"/>
          </rPr>
          <t>Выбрать из раскрывающегося списка</t>
        </r>
      </text>
    </comment>
    <comment ref="M10" authorId="1" shapeId="0">
      <text>
        <r>
          <rPr>
            <sz val="20"/>
            <color indexed="81"/>
            <rFont val="Times New Roman"/>
            <family val="1"/>
            <charset val="204"/>
          </rPr>
          <t>Указывать текущий уровень класса</t>
        </r>
      </text>
    </comment>
    <comment ref="O1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10" authorId="0" shapeId="0">
      <text>
        <r>
          <rPr>
            <b/>
            <sz val="16"/>
            <color indexed="81"/>
            <rFont val="Times New Roman"/>
            <family val="1"/>
            <charset val="204"/>
          </rPr>
          <t>Выбрать из раскрывающегося списка</t>
        </r>
      </text>
    </comment>
    <comment ref="S10" authorId="0" shapeId="0">
      <text>
        <r>
          <rPr>
            <b/>
            <sz val="16"/>
            <color indexed="81"/>
            <rFont val="Times New Roman"/>
            <family val="1"/>
            <charset val="204"/>
          </rPr>
          <t>Смотреть на вкладке Жрец, таблица Богов</t>
        </r>
      </text>
    </comment>
    <comment ref="L11" authorId="0" shapeId="0">
      <text>
        <r>
          <rPr>
            <b/>
            <sz val="16"/>
            <color indexed="81"/>
            <rFont val="Times New Roman"/>
            <family val="1"/>
            <charset val="204"/>
          </rPr>
          <t>Выбрать из раскрывающегося списка</t>
        </r>
      </text>
    </comment>
    <comment ref="M11" authorId="1" shapeId="0">
      <text>
        <r>
          <rPr>
            <sz val="20"/>
            <color indexed="81"/>
            <rFont val="Times New Roman"/>
            <family val="1"/>
            <charset val="204"/>
          </rPr>
          <t>Указывать текущий уровень класса</t>
        </r>
      </text>
    </comment>
    <comment ref="O1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E14" authorId="1" shapeId="0">
      <text>
        <r>
          <rPr>
            <b/>
            <sz val="18"/>
            <color indexed="81"/>
            <rFont val="Times New Roman"/>
            <family val="1"/>
            <charset val="204"/>
          </rPr>
          <t>Заполняемый параметр</t>
        </r>
      </text>
    </comment>
    <comment ref="F1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1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H14" authorId="0" shapeId="0">
      <text>
        <r>
          <rPr>
            <b/>
            <sz val="20"/>
            <color indexed="81"/>
            <rFont val="Times New Roman"/>
            <family val="1"/>
            <charset val="204"/>
          </rPr>
          <t>Заполняемый парметр</t>
        </r>
      </text>
    </comment>
    <comment ref="I14" authorId="0" shapeId="0">
      <text>
        <r>
          <rPr>
            <b/>
            <sz val="20"/>
            <color indexed="81"/>
            <rFont val="Times New Roman"/>
            <family val="1"/>
            <charset val="204"/>
          </rPr>
          <t>Заполняемый парметр</t>
        </r>
      </text>
    </comment>
    <comment ref="J1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1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14" authorId="0" shapeId="0">
      <text>
        <r>
          <rPr>
            <b/>
            <sz val="18"/>
            <color indexed="81"/>
            <rFont val="Times New Roman"/>
            <family val="1"/>
            <charset val="204"/>
          </rPr>
          <t xml:space="preserve">Автоматический параметр.
</t>
        </r>
        <r>
          <rPr>
            <sz val="18"/>
            <color indexed="81"/>
            <rFont val="Times New Roman"/>
            <family val="1"/>
            <charset val="204"/>
          </rPr>
          <t xml:space="preserve">ХП расчитываются по среднему значению. Если правилами определено откидвать Кость хитов каждый уровень то просто убери формулу. </t>
        </r>
      </text>
    </comment>
    <comment ref="R14" authorId="0" shapeId="0">
      <text>
        <r>
          <rPr>
            <b/>
            <sz val="20"/>
            <color indexed="81"/>
            <rFont val="Times New Roman"/>
            <family val="1"/>
            <charset val="204"/>
          </rPr>
          <t>Заполняемый парметр</t>
        </r>
      </text>
    </comment>
    <comment ref="U14" authorId="0" shapeId="0">
      <text>
        <r>
          <rPr>
            <b/>
            <sz val="20"/>
            <color indexed="81"/>
            <rFont val="Times New Roman"/>
            <family val="1"/>
            <charset val="204"/>
          </rPr>
          <t>Заполняемый парметр</t>
        </r>
      </text>
    </comment>
    <comment ref="E15" authorId="1" shapeId="0">
      <text>
        <r>
          <rPr>
            <b/>
            <sz val="18"/>
            <color indexed="81"/>
            <rFont val="Times New Roman"/>
            <family val="1"/>
            <charset val="204"/>
          </rPr>
          <t>Заполняемый параметр</t>
        </r>
      </text>
    </comment>
    <comment ref="F1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1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H15" authorId="0" shapeId="0">
      <text>
        <r>
          <rPr>
            <b/>
            <sz val="20"/>
            <color indexed="81"/>
            <rFont val="Times New Roman"/>
            <family val="1"/>
            <charset val="204"/>
          </rPr>
          <t>Заполняемый парметр</t>
        </r>
      </text>
    </comment>
    <comment ref="I15" authorId="0" shapeId="0">
      <text>
        <r>
          <rPr>
            <b/>
            <sz val="20"/>
            <color indexed="81"/>
            <rFont val="Times New Roman"/>
            <family val="1"/>
            <charset val="204"/>
          </rPr>
          <t>Заполняемый парметр</t>
        </r>
      </text>
    </comment>
    <comment ref="J1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E16" authorId="1" shapeId="0">
      <text>
        <r>
          <rPr>
            <b/>
            <sz val="18"/>
            <color indexed="81"/>
            <rFont val="Times New Roman"/>
            <family val="1"/>
            <charset val="204"/>
          </rPr>
          <t>Заполняемый параметр</t>
        </r>
      </text>
    </comment>
    <comment ref="F1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1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H16" authorId="0" shapeId="0">
      <text>
        <r>
          <rPr>
            <b/>
            <sz val="20"/>
            <color indexed="81"/>
            <rFont val="Times New Roman"/>
            <family val="1"/>
            <charset val="204"/>
          </rPr>
          <t>Заполняемый парметр</t>
        </r>
      </text>
    </comment>
    <comment ref="I16" authorId="0" shapeId="0">
      <text>
        <r>
          <rPr>
            <b/>
            <sz val="20"/>
            <color indexed="81"/>
            <rFont val="Times New Roman"/>
            <family val="1"/>
            <charset val="204"/>
          </rPr>
          <t>Заполняемый парметр</t>
        </r>
      </text>
    </comment>
    <comment ref="J1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1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1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16" authorId="0" shapeId="0">
      <text>
        <r>
          <rPr>
            <b/>
            <sz val="20"/>
            <color indexed="81"/>
            <rFont val="Times New Roman"/>
            <family val="1"/>
            <charset val="204"/>
          </rPr>
          <t>Заполняемый парметр</t>
        </r>
      </text>
    </comment>
    <comment ref="Q16" authorId="0" shapeId="0">
      <text>
        <r>
          <rPr>
            <b/>
            <sz val="20"/>
            <color indexed="81"/>
            <rFont val="Times New Roman"/>
            <family val="1"/>
            <charset val="204"/>
          </rPr>
          <t>Заполняемый парметр</t>
        </r>
      </text>
    </comment>
    <comment ref="R1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1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1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U16" authorId="0" shapeId="0">
      <text>
        <r>
          <rPr>
            <b/>
            <sz val="20"/>
            <color indexed="81"/>
            <rFont val="Times New Roman"/>
            <family val="1"/>
            <charset val="204"/>
          </rPr>
          <t>Заполняемый парметр</t>
        </r>
      </text>
    </comment>
    <comment ref="V16" authorId="0" shapeId="0">
      <text>
        <r>
          <rPr>
            <b/>
            <sz val="20"/>
            <color indexed="81"/>
            <rFont val="Times New Roman"/>
            <family val="1"/>
            <charset val="204"/>
          </rPr>
          <t>Заполняемый парметр</t>
        </r>
      </text>
    </comment>
    <comment ref="E17" authorId="1" shapeId="0">
      <text>
        <r>
          <rPr>
            <b/>
            <sz val="18"/>
            <color indexed="81"/>
            <rFont val="Times New Roman"/>
            <family val="1"/>
            <charset val="204"/>
          </rPr>
          <t>Заполняемый параметр</t>
        </r>
      </text>
    </comment>
    <comment ref="F1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1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H17" authorId="0" shapeId="0">
      <text>
        <r>
          <rPr>
            <b/>
            <sz val="20"/>
            <color indexed="81"/>
            <rFont val="Times New Roman"/>
            <family val="1"/>
            <charset val="204"/>
          </rPr>
          <t>Заполняемый парметр</t>
        </r>
      </text>
    </comment>
    <comment ref="I17" authorId="0" shapeId="0">
      <text>
        <r>
          <rPr>
            <b/>
            <sz val="20"/>
            <color indexed="81"/>
            <rFont val="Times New Roman"/>
            <family val="1"/>
            <charset val="204"/>
          </rPr>
          <t>Заполняемый парметр</t>
        </r>
      </text>
    </comment>
    <comment ref="J1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E18" authorId="1" shapeId="0">
      <text>
        <r>
          <rPr>
            <b/>
            <sz val="18"/>
            <color indexed="81"/>
            <rFont val="Times New Roman"/>
            <family val="1"/>
            <charset val="204"/>
          </rPr>
          <t>Заполняемый параметр</t>
        </r>
      </text>
    </comment>
    <comment ref="F1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1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H18" authorId="0" shapeId="0">
      <text>
        <r>
          <rPr>
            <b/>
            <sz val="20"/>
            <color indexed="81"/>
            <rFont val="Times New Roman"/>
            <family val="1"/>
            <charset val="204"/>
          </rPr>
          <t>Заполняемый парметр</t>
        </r>
      </text>
    </comment>
    <comment ref="I18" authorId="0" shapeId="0">
      <text>
        <r>
          <rPr>
            <b/>
            <sz val="20"/>
            <color indexed="81"/>
            <rFont val="Times New Roman"/>
            <family val="1"/>
            <charset val="204"/>
          </rPr>
          <t>Заполняемый парметр</t>
        </r>
      </text>
    </comment>
    <comment ref="J1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E19" authorId="1" shapeId="0">
      <text>
        <r>
          <rPr>
            <b/>
            <sz val="18"/>
            <color indexed="81"/>
            <rFont val="Times New Roman"/>
            <family val="1"/>
            <charset val="204"/>
          </rPr>
          <t>Заполняемый параметр</t>
        </r>
      </text>
    </comment>
    <comment ref="F1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1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H19" authorId="0" shapeId="0">
      <text>
        <r>
          <rPr>
            <b/>
            <sz val="20"/>
            <color indexed="81"/>
            <rFont val="Times New Roman"/>
            <family val="1"/>
            <charset val="204"/>
          </rPr>
          <t>Заполняемый парметр</t>
        </r>
      </text>
    </comment>
    <comment ref="I19" authorId="0" shapeId="0">
      <text>
        <r>
          <rPr>
            <b/>
            <sz val="20"/>
            <color indexed="81"/>
            <rFont val="Times New Roman"/>
            <family val="1"/>
            <charset val="204"/>
          </rPr>
          <t>Заполняемый парметр</t>
        </r>
      </text>
    </comment>
    <comment ref="J1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1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1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19" authorId="0" shapeId="0">
      <text>
        <r>
          <rPr>
            <b/>
            <sz val="20"/>
            <color indexed="81"/>
            <rFont val="Times New Roman"/>
            <family val="1"/>
            <charset val="204"/>
          </rPr>
          <t>Заполняемый парметр</t>
        </r>
      </text>
    </comment>
    <comment ref="N2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24" authorId="0" shapeId="0">
      <text>
        <r>
          <rPr>
            <sz val="20"/>
            <color indexed="81"/>
            <rFont val="Times New Roman"/>
            <family val="1"/>
            <charset val="204"/>
          </rPr>
          <t>Автоматичский параметр</t>
        </r>
        <r>
          <rPr>
            <sz val="16"/>
            <color indexed="81"/>
            <rFont val="Times New Roman"/>
            <family val="1"/>
            <charset val="204"/>
          </rPr>
          <t>.</t>
        </r>
      </text>
    </comment>
    <comment ref="S24" authorId="0" shapeId="0">
      <text>
        <r>
          <rPr>
            <sz val="20"/>
            <color indexed="81"/>
            <rFont val="Times New Roman"/>
            <family val="1"/>
            <charset val="204"/>
          </rPr>
          <t>Заполняемый парметр</t>
        </r>
      </text>
    </comment>
    <comment ref="N2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25" authorId="0" shapeId="0">
      <text>
        <r>
          <rPr>
            <sz val="20"/>
            <color indexed="81"/>
            <rFont val="Times New Roman"/>
            <family val="1"/>
            <charset val="204"/>
          </rPr>
          <t>Автоматичский параметр</t>
        </r>
        <r>
          <rPr>
            <sz val="16"/>
            <color indexed="81"/>
            <rFont val="Times New Roman"/>
            <family val="1"/>
            <charset val="204"/>
          </rPr>
          <t>.</t>
        </r>
      </text>
    </comment>
    <comment ref="S25" authorId="0" shapeId="0">
      <text>
        <r>
          <rPr>
            <sz val="20"/>
            <color indexed="81"/>
            <rFont val="Times New Roman"/>
            <family val="1"/>
            <charset val="204"/>
          </rPr>
          <t>Заполняемый парметр</t>
        </r>
      </text>
    </comment>
    <comment ref="N2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26" authorId="0" shapeId="0">
      <text>
        <r>
          <rPr>
            <sz val="20"/>
            <color indexed="81"/>
            <rFont val="Times New Roman"/>
            <family val="1"/>
            <charset val="204"/>
          </rPr>
          <t>Автоматичский параметр</t>
        </r>
        <r>
          <rPr>
            <sz val="16"/>
            <color indexed="81"/>
            <rFont val="Times New Roman"/>
            <family val="1"/>
            <charset val="204"/>
          </rPr>
          <t>.</t>
        </r>
      </text>
    </comment>
    <comment ref="S26" authorId="0" shapeId="0">
      <text>
        <r>
          <rPr>
            <sz val="20"/>
            <color indexed="81"/>
            <rFont val="Times New Roman"/>
            <family val="1"/>
            <charset val="204"/>
          </rPr>
          <t>Заполняемый парметр</t>
        </r>
      </text>
    </comment>
    <comment ref="N2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27" authorId="0" shapeId="0">
      <text>
        <r>
          <rPr>
            <sz val="20"/>
            <color indexed="81"/>
            <rFont val="Times New Roman"/>
            <family val="1"/>
            <charset val="204"/>
          </rPr>
          <t>Автоматичский параметр</t>
        </r>
        <r>
          <rPr>
            <sz val="16"/>
            <color indexed="81"/>
            <rFont val="Times New Roman"/>
            <family val="1"/>
            <charset val="204"/>
          </rPr>
          <t>.</t>
        </r>
      </text>
    </comment>
    <comment ref="S27" authorId="0" shapeId="0">
      <text>
        <r>
          <rPr>
            <sz val="20"/>
            <color indexed="81"/>
            <rFont val="Times New Roman"/>
            <family val="1"/>
            <charset val="204"/>
          </rPr>
          <t>Заполняемый парметр</t>
        </r>
      </text>
    </comment>
    <comment ref="N2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28" authorId="0" shapeId="0">
      <text>
        <r>
          <rPr>
            <sz val="20"/>
            <color indexed="81"/>
            <rFont val="Times New Roman"/>
            <family val="1"/>
            <charset val="204"/>
          </rPr>
          <t>Автоматичский параметр</t>
        </r>
        <r>
          <rPr>
            <sz val="16"/>
            <color indexed="81"/>
            <rFont val="Times New Roman"/>
            <family val="1"/>
            <charset val="204"/>
          </rPr>
          <t>.</t>
        </r>
      </text>
    </comment>
    <comment ref="S28" authorId="0" shapeId="0">
      <text>
        <r>
          <rPr>
            <sz val="20"/>
            <color indexed="81"/>
            <rFont val="Times New Roman"/>
            <family val="1"/>
            <charset val="204"/>
          </rPr>
          <t>Заполняемый парметр</t>
        </r>
      </text>
    </comment>
    <comment ref="N2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29" authorId="0" shapeId="0">
      <text>
        <r>
          <rPr>
            <sz val="20"/>
            <color indexed="81"/>
            <rFont val="Times New Roman"/>
            <family val="1"/>
            <charset val="204"/>
          </rPr>
          <t>Автоматичский параметр</t>
        </r>
        <r>
          <rPr>
            <sz val="16"/>
            <color indexed="81"/>
            <rFont val="Times New Roman"/>
            <family val="1"/>
            <charset val="204"/>
          </rPr>
          <t>.</t>
        </r>
      </text>
    </comment>
    <comment ref="S29" authorId="0" shapeId="0">
      <text>
        <r>
          <rPr>
            <sz val="20"/>
            <color indexed="81"/>
            <rFont val="Times New Roman"/>
            <family val="1"/>
            <charset val="204"/>
          </rPr>
          <t>Заполняемый парметр</t>
        </r>
      </text>
    </comment>
    <comment ref="N3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0" authorId="0" shapeId="0">
      <text>
        <r>
          <rPr>
            <sz val="20"/>
            <color indexed="81"/>
            <rFont val="Times New Roman"/>
            <family val="1"/>
            <charset val="204"/>
          </rPr>
          <t>Автоматичский параметр</t>
        </r>
        <r>
          <rPr>
            <sz val="16"/>
            <color indexed="81"/>
            <rFont val="Times New Roman"/>
            <family val="1"/>
            <charset val="204"/>
          </rPr>
          <t>.</t>
        </r>
      </text>
    </comment>
    <comment ref="S30" authorId="0" shapeId="0">
      <text>
        <r>
          <rPr>
            <sz val="20"/>
            <color indexed="81"/>
            <rFont val="Times New Roman"/>
            <family val="1"/>
            <charset val="204"/>
          </rPr>
          <t>Заполняемый парметр</t>
        </r>
      </text>
    </comment>
    <comment ref="N3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1" authorId="0" shapeId="0">
      <text>
        <r>
          <rPr>
            <sz val="20"/>
            <color indexed="81"/>
            <rFont val="Times New Roman"/>
            <family val="1"/>
            <charset val="204"/>
          </rPr>
          <t>Автоматичский параметр</t>
        </r>
        <r>
          <rPr>
            <sz val="16"/>
            <color indexed="81"/>
            <rFont val="Times New Roman"/>
            <family val="1"/>
            <charset val="204"/>
          </rPr>
          <t>.</t>
        </r>
      </text>
    </comment>
    <comment ref="S31" authorId="0" shapeId="0">
      <text>
        <r>
          <rPr>
            <sz val="20"/>
            <color indexed="81"/>
            <rFont val="Times New Roman"/>
            <family val="1"/>
            <charset val="204"/>
          </rPr>
          <t>Заполняемый парметр</t>
        </r>
      </text>
    </comment>
    <comment ref="N3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2" authorId="0" shapeId="0">
      <text>
        <r>
          <rPr>
            <sz val="20"/>
            <color indexed="81"/>
            <rFont val="Times New Roman"/>
            <family val="1"/>
            <charset val="204"/>
          </rPr>
          <t>Автоматичский параметр</t>
        </r>
        <r>
          <rPr>
            <sz val="16"/>
            <color indexed="81"/>
            <rFont val="Times New Roman"/>
            <family val="1"/>
            <charset val="204"/>
          </rPr>
          <t>.</t>
        </r>
      </text>
    </comment>
    <comment ref="S32" authorId="0" shapeId="0">
      <text>
        <r>
          <rPr>
            <sz val="20"/>
            <color indexed="81"/>
            <rFont val="Times New Roman"/>
            <family val="1"/>
            <charset val="204"/>
          </rPr>
          <t>Заполняемый парметр</t>
        </r>
      </text>
    </comment>
    <comment ref="N3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3" authorId="0" shapeId="0">
      <text>
        <r>
          <rPr>
            <sz val="20"/>
            <color indexed="81"/>
            <rFont val="Times New Roman"/>
            <family val="1"/>
            <charset val="204"/>
          </rPr>
          <t>Автоматичский параметр</t>
        </r>
        <r>
          <rPr>
            <sz val="16"/>
            <color indexed="81"/>
            <rFont val="Times New Roman"/>
            <family val="1"/>
            <charset val="204"/>
          </rPr>
          <t>.</t>
        </r>
      </text>
    </comment>
    <comment ref="S33" authorId="0" shapeId="0">
      <text>
        <r>
          <rPr>
            <sz val="20"/>
            <color indexed="81"/>
            <rFont val="Times New Roman"/>
            <family val="1"/>
            <charset val="204"/>
          </rPr>
          <t>Заполняемый парметр</t>
        </r>
      </text>
    </comment>
    <comment ref="N3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4" authorId="0" shapeId="0">
      <text>
        <r>
          <rPr>
            <sz val="20"/>
            <color indexed="81"/>
            <rFont val="Times New Roman"/>
            <family val="1"/>
            <charset val="204"/>
          </rPr>
          <t>Автоматичский параметр</t>
        </r>
        <r>
          <rPr>
            <sz val="16"/>
            <color indexed="81"/>
            <rFont val="Times New Roman"/>
            <family val="1"/>
            <charset val="204"/>
          </rPr>
          <t>.</t>
        </r>
      </text>
    </comment>
    <comment ref="S34" authorId="0" shapeId="0">
      <text>
        <r>
          <rPr>
            <sz val="20"/>
            <color indexed="81"/>
            <rFont val="Times New Roman"/>
            <family val="1"/>
            <charset val="204"/>
          </rPr>
          <t>Заполняемый парметр</t>
        </r>
      </text>
    </comment>
    <comment ref="N3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5" authorId="0" shapeId="0">
      <text>
        <r>
          <rPr>
            <sz val="20"/>
            <color indexed="81"/>
            <rFont val="Times New Roman"/>
            <family val="1"/>
            <charset val="204"/>
          </rPr>
          <t>Автоматичский параметр</t>
        </r>
        <r>
          <rPr>
            <sz val="16"/>
            <color indexed="81"/>
            <rFont val="Times New Roman"/>
            <family val="1"/>
            <charset val="204"/>
          </rPr>
          <t>.</t>
        </r>
      </text>
    </comment>
    <comment ref="S35" authorId="0" shapeId="0">
      <text>
        <r>
          <rPr>
            <sz val="20"/>
            <color indexed="81"/>
            <rFont val="Times New Roman"/>
            <family val="1"/>
            <charset val="204"/>
          </rPr>
          <t>Заполняемый парметр</t>
        </r>
      </text>
    </comment>
    <comment ref="N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6" authorId="0" shapeId="0">
      <text>
        <r>
          <rPr>
            <sz val="20"/>
            <color indexed="81"/>
            <rFont val="Times New Roman"/>
            <family val="1"/>
            <charset val="204"/>
          </rPr>
          <t>Автоматичский параметр</t>
        </r>
        <r>
          <rPr>
            <sz val="16"/>
            <color indexed="81"/>
            <rFont val="Times New Roman"/>
            <family val="1"/>
            <charset val="204"/>
          </rPr>
          <t>.</t>
        </r>
      </text>
    </comment>
    <comment ref="S36" authorId="0" shapeId="0">
      <text>
        <r>
          <rPr>
            <sz val="20"/>
            <color indexed="81"/>
            <rFont val="Times New Roman"/>
            <family val="1"/>
            <charset val="204"/>
          </rPr>
          <t>Заполняемый парметр</t>
        </r>
      </text>
    </comment>
    <comment ref="N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7" authorId="0" shapeId="0">
      <text>
        <r>
          <rPr>
            <sz val="20"/>
            <color indexed="81"/>
            <rFont val="Times New Roman"/>
            <family val="1"/>
            <charset val="204"/>
          </rPr>
          <t>Автоматичский параметр</t>
        </r>
        <r>
          <rPr>
            <sz val="16"/>
            <color indexed="81"/>
            <rFont val="Times New Roman"/>
            <family val="1"/>
            <charset val="204"/>
          </rPr>
          <t>.</t>
        </r>
      </text>
    </comment>
    <comment ref="S37" authorId="0" shapeId="0">
      <text>
        <r>
          <rPr>
            <sz val="20"/>
            <color indexed="81"/>
            <rFont val="Times New Roman"/>
            <family val="1"/>
            <charset val="204"/>
          </rPr>
          <t>Заполняемый парметр</t>
        </r>
      </text>
    </comment>
    <comment ref="N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8" authorId="0" shapeId="0">
      <text>
        <r>
          <rPr>
            <sz val="20"/>
            <color indexed="81"/>
            <rFont val="Times New Roman"/>
            <family val="1"/>
            <charset val="204"/>
          </rPr>
          <t>Автоматичский параметр</t>
        </r>
        <r>
          <rPr>
            <sz val="16"/>
            <color indexed="81"/>
            <rFont val="Times New Roman"/>
            <family val="1"/>
            <charset val="204"/>
          </rPr>
          <t>.</t>
        </r>
      </text>
    </comment>
    <comment ref="S38" authorId="0" shapeId="0">
      <text>
        <r>
          <rPr>
            <sz val="20"/>
            <color indexed="81"/>
            <rFont val="Times New Roman"/>
            <family val="1"/>
            <charset val="204"/>
          </rPr>
          <t>Заполняемый парметр</t>
        </r>
      </text>
    </comment>
    <comment ref="N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9" authorId="0" shapeId="0">
      <text>
        <r>
          <rPr>
            <sz val="20"/>
            <color indexed="81"/>
            <rFont val="Times New Roman"/>
            <family val="1"/>
            <charset val="204"/>
          </rPr>
          <t>Автоматичский параметр</t>
        </r>
        <r>
          <rPr>
            <sz val="16"/>
            <color indexed="81"/>
            <rFont val="Times New Roman"/>
            <family val="1"/>
            <charset val="204"/>
          </rPr>
          <t>.</t>
        </r>
      </text>
    </comment>
    <comment ref="S39" authorId="0" shapeId="0">
      <text>
        <r>
          <rPr>
            <sz val="20"/>
            <color indexed="81"/>
            <rFont val="Times New Roman"/>
            <family val="1"/>
            <charset val="204"/>
          </rPr>
          <t>Заполняемый парметр</t>
        </r>
      </text>
    </comment>
    <comment ref="N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0" authorId="0" shapeId="0">
      <text>
        <r>
          <rPr>
            <sz val="20"/>
            <color indexed="81"/>
            <rFont val="Times New Roman"/>
            <family val="1"/>
            <charset val="204"/>
          </rPr>
          <t>Автоматичский параметр</t>
        </r>
        <r>
          <rPr>
            <sz val="16"/>
            <color indexed="81"/>
            <rFont val="Times New Roman"/>
            <family val="1"/>
            <charset val="204"/>
          </rPr>
          <t>.</t>
        </r>
      </text>
    </comment>
    <comment ref="S40" authorId="0" shapeId="0">
      <text>
        <r>
          <rPr>
            <sz val="20"/>
            <color indexed="81"/>
            <rFont val="Times New Roman"/>
            <family val="1"/>
            <charset val="204"/>
          </rPr>
          <t>Заполняемый парметр</t>
        </r>
      </text>
    </comment>
    <comment ref="N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1" authorId="0" shapeId="0">
      <text>
        <r>
          <rPr>
            <sz val="20"/>
            <color indexed="81"/>
            <rFont val="Times New Roman"/>
            <family val="1"/>
            <charset val="204"/>
          </rPr>
          <t>Автоматичский параметр</t>
        </r>
        <r>
          <rPr>
            <sz val="16"/>
            <color indexed="81"/>
            <rFont val="Times New Roman"/>
            <family val="1"/>
            <charset val="204"/>
          </rPr>
          <t>.</t>
        </r>
      </text>
    </comment>
    <comment ref="S41" authorId="0" shapeId="0">
      <text>
        <r>
          <rPr>
            <sz val="20"/>
            <color indexed="81"/>
            <rFont val="Times New Roman"/>
            <family val="1"/>
            <charset val="204"/>
          </rPr>
          <t>Заполняемый парметр</t>
        </r>
      </text>
    </comment>
    <comment ref="N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2" authorId="0" shapeId="0">
      <text>
        <r>
          <rPr>
            <sz val="20"/>
            <color indexed="81"/>
            <rFont val="Times New Roman"/>
            <family val="1"/>
            <charset val="204"/>
          </rPr>
          <t>Автоматичский параметр</t>
        </r>
        <r>
          <rPr>
            <sz val="16"/>
            <color indexed="81"/>
            <rFont val="Times New Roman"/>
            <family val="1"/>
            <charset val="204"/>
          </rPr>
          <t>.</t>
        </r>
      </text>
    </comment>
    <comment ref="S42" authorId="0" shapeId="0">
      <text>
        <r>
          <rPr>
            <sz val="20"/>
            <color indexed="81"/>
            <rFont val="Times New Roman"/>
            <family val="1"/>
            <charset val="204"/>
          </rPr>
          <t>Заполняемый парметр</t>
        </r>
      </text>
    </comment>
    <comment ref="N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3" authorId="0" shapeId="0">
      <text>
        <r>
          <rPr>
            <sz val="20"/>
            <color indexed="81"/>
            <rFont val="Times New Roman"/>
            <family val="1"/>
            <charset val="204"/>
          </rPr>
          <t>Автоматичский параметр</t>
        </r>
        <r>
          <rPr>
            <sz val="16"/>
            <color indexed="81"/>
            <rFont val="Times New Roman"/>
            <family val="1"/>
            <charset val="204"/>
          </rPr>
          <t>.</t>
        </r>
      </text>
    </comment>
    <comment ref="S43" authorId="0" shapeId="0">
      <text>
        <r>
          <rPr>
            <sz val="20"/>
            <color indexed="81"/>
            <rFont val="Times New Roman"/>
            <family val="1"/>
            <charset val="204"/>
          </rPr>
          <t>Заполняемый парметр</t>
        </r>
      </text>
    </comment>
    <comment ref="N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4" authorId="0" shapeId="0">
      <text>
        <r>
          <rPr>
            <sz val="20"/>
            <color indexed="81"/>
            <rFont val="Times New Roman"/>
            <family val="1"/>
            <charset val="204"/>
          </rPr>
          <t>Автоматичский параметр</t>
        </r>
        <r>
          <rPr>
            <sz val="16"/>
            <color indexed="81"/>
            <rFont val="Times New Roman"/>
            <family val="1"/>
            <charset val="204"/>
          </rPr>
          <t>.</t>
        </r>
      </text>
    </comment>
    <comment ref="S44" authorId="0" shapeId="0">
      <text>
        <r>
          <rPr>
            <sz val="20"/>
            <color indexed="81"/>
            <rFont val="Times New Roman"/>
            <family val="1"/>
            <charset val="204"/>
          </rPr>
          <t>Заполняемый парметр</t>
        </r>
      </text>
    </comment>
    <comment ref="N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5" authorId="0" shapeId="0">
      <text>
        <r>
          <rPr>
            <sz val="20"/>
            <color indexed="81"/>
            <rFont val="Times New Roman"/>
            <family val="1"/>
            <charset val="204"/>
          </rPr>
          <t>Автоматичский параметр</t>
        </r>
        <r>
          <rPr>
            <sz val="16"/>
            <color indexed="81"/>
            <rFont val="Times New Roman"/>
            <family val="1"/>
            <charset val="204"/>
          </rPr>
          <t>.</t>
        </r>
      </text>
    </comment>
    <comment ref="S45" authorId="0" shapeId="0">
      <text>
        <r>
          <rPr>
            <sz val="20"/>
            <color indexed="81"/>
            <rFont val="Times New Roman"/>
            <family val="1"/>
            <charset val="204"/>
          </rPr>
          <t>Заполняемый парметр</t>
        </r>
      </text>
    </comment>
    <comment ref="N4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6" authorId="0" shapeId="0">
      <text>
        <r>
          <rPr>
            <sz val="20"/>
            <color indexed="81"/>
            <rFont val="Times New Roman"/>
            <family val="1"/>
            <charset val="204"/>
          </rPr>
          <t>Автоматичский параметр</t>
        </r>
        <r>
          <rPr>
            <sz val="16"/>
            <color indexed="81"/>
            <rFont val="Times New Roman"/>
            <family val="1"/>
            <charset val="204"/>
          </rPr>
          <t>.</t>
        </r>
      </text>
    </comment>
    <comment ref="S46" authorId="0" shapeId="0">
      <text>
        <r>
          <rPr>
            <sz val="20"/>
            <color indexed="81"/>
            <rFont val="Times New Roman"/>
            <family val="1"/>
            <charset val="204"/>
          </rPr>
          <t>Заполняемый парметр</t>
        </r>
      </text>
    </comment>
    <comment ref="N4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7" authorId="0" shapeId="0">
      <text>
        <r>
          <rPr>
            <sz val="20"/>
            <color indexed="81"/>
            <rFont val="Times New Roman"/>
            <family val="1"/>
            <charset val="204"/>
          </rPr>
          <t>Автоматичский параметр</t>
        </r>
        <r>
          <rPr>
            <sz val="16"/>
            <color indexed="81"/>
            <rFont val="Times New Roman"/>
            <family val="1"/>
            <charset val="204"/>
          </rPr>
          <t>.</t>
        </r>
      </text>
    </comment>
    <comment ref="S47" authorId="0" shapeId="0">
      <text>
        <r>
          <rPr>
            <sz val="20"/>
            <color indexed="81"/>
            <rFont val="Times New Roman"/>
            <family val="1"/>
            <charset val="204"/>
          </rPr>
          <t>Заполняемый парметр</t>
        </r>
      </text>
    </comment>
    <comment ref="N4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8" authorId="0" shapeId="0">
      <text>
        <r>
          <rPr>
            <sz val="20"/>
            <color indexed="81"/>
            <rFont val="Times New Roman"/>
            <family val="1"/>
            <charset val="204"/>
          </rPr>
          <t>Автоматичский параметр</t>
        </r>
        <r>
          <rPr>
            <sz val="16"/>
            <color indexed="81"/>
            <rFont val="Times New Roman"/>
            <family val="1"/>
            <charset val="204"/>
          </rPr>
          <t>.</t>
        </r>
      </text>
    </comment>
    <comment ref="S48" authorId="0" shapeId="0">
      <text>
        <r>
          <rPr>
            <sz val="20"/>
            <color indexed="81"/>
            <rFont val="Times New Roman"/>
            <family val="1"/>
            <charset val="204"/>
          </rPr>
          <t>Заполняемый парметр</t>
        </r>
      </text>
    </comment>
    <comment ref="N4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9" authorId="0" shapeId="0">
      <text>
        <r>
          <rPr>
            <sz val="20"/>
            <color indexed="81"/>
            <rFont val="Times New Roman"/>
            <family val="1"/>
            <charset val="204"/>
          </rPr>
          <t>Автоматичский параметр</t>
        </r>
        <r>
          <rPr>
            <sz val="16"/>
            <color indexed="81"/>
            <rFont val="Times New Roman"/>
            <family val="1"/>
            <charset val="204"/>
          </rPr>
          <t>.</t>
        </r>
      </text>
    </comment>
    <comment ref="S49" authorId="0" shapeId="0">
      <text>
        <r>
          <rPr>
            <sz val="20"/>
            <color indexed="81"/>
            <rFont val="Times New Roman"/>
            <family val="1"/>
            <charset val="204"/>
          </rPr>
          <t>Заполняемый парметр</t>
        </r>
      </text>
    </comment>
    <comment ref="N5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50" authorId="0" shapeId="0">
      <text>
        <r>
          <rPr>
            <sz val="20"/>
            <color indexed="81"/>
            <rFont val="Times New Roman"/>
            <family val="1"/>
            <charset val="204"/>
          </rPr>
          <t>Автоматичский параметр</t>
        </r>
        <r>
          <rPr>
            <sz val="16"/>
            <color indexed="81"/>
            <rFont val="Times New Roman"/>
            <family val="1"/>
            <charset val="204"/>
          </rPr>
          <t>.</t>
        </r>
      </text>
    </comment>
    <comment ref="S50" authorId="0" shapeId="0">
      <text>
        <r>
          <rPr>
            <sz val="20"/>
            <color indexed="81"/>
            <rFont val="Times New Roman"/>
            <family val="1"/>
            <charset val="204"/>
          </rPr>
          <t>Заполняемый парметр</t>
        </r>
      </text>
    </comment>
    <comment ref="N5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51" authorId="0" shapeId="0">
      <text>
        <r>
          <rPr>
            <sz val="20"/>
            <color indexed="81"/>
            <rFont val="Times New Roman"/>
            <family val="1"/>
            <charset val="204"/>
          </rPr>
          <t>Автоматичский параметр</t>
        </r>
        <r>
          <rPr>
            <sz val="16"/>
            <color indexed="81"/>
            <rFont val="Times New Roman"/>
            <family val="1"/>
            <charset val="204"/>
          </rPr>
          <t>.</t>
        </r>
      </text>
    </comment>
    <comment ref="S51" authorId="0" shapeId="0">
      <text>
        <r>
          <rPr>
            <sz val="20"/>
            <color indexed="81"/>
            <rFont val="Times New Roman"/>
            <family val="1"/>
            <charset val="204"/>
          </rPr>
          <t>Заполняемый парметр</t>
        </r>
      </text>
    </comment>
    <comment ref="N5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52" authorId="0" shapeId="0">
      <text>
        <r>
          <rPr>
            <sz val="20"/>
            <color indexed="81"/>
            <rFont val="Times New Roman"/>
            <family val="1"/>
            <charset val="204"/>
          </rPr>
          <t>Автоматичский параметр</t>
        </r>
        <r>
          <rPr>
            <sz val="16"/>
            <color indexed="81"/>
            <rFont val="Times New Roman"/>
            <family val="1"/>
            <charset val="204"/>
          </rPr>
          <t>.</t>
        </r>
      </text>
    </comment>
    <comment ref="S52" authorId="0" shapeId="0">
      <text>
        <r>
          <rPr>
            <sz val="20"/>
            <color indexed="81"/>
            <rFont val="Times New Roman"/>
            <family val="1"/>
            <charset val="204"/>
          </rPr>
          <t>Заполняемый парметр</t>
        </r>
      </text>
    </comment>
    <comment ref="N5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53" authorId="0" shapeId="0">
      <text>
        <r>
          <rPr>
            <sz val="20"/>
            <color indexed="81"/>
            <rFont val="Times New Roman"/>
            <family val="1"/>
            <charset val="204"/>
          </rPr>
          <t>Автоматичский параметр</t>
        </r>
        <r>
          <rPr>
            <sz val="16"/>
            <color indexed="81"/>
            <rFont val="Times New Roman"/>
            <family val="1"/>
            <charset val="204"/>
          </rPr>
          <t>.</t>
        </r>
      </text>
    </comment>
    <comment ref="S53" authorId="0" shapeId="0">
      <text>
        <r>
          <rPr>
            <sz val="20"/>
            <color indexed="81"/>
            <rFont val="Times New Roman"/>
            <family val="1"/>
            <charset val="204"/>
          </rPr>
          <t>Заполняемый парметр</t>
        </r>
      </text>
    </comment>
    <comment ref="N5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54" authorId="0" shapeId="0">
      <text>
        <r>
          <rPr>
            <sz val="20"/>
            <color indexed="81"/>
            <rFont val="Times New Roman"/>
            <family val="1"/>
            <charset val="204"/>
          </rPr>
          <t>Автоматичский параметр</t>
        </r>
        <r>
          <rPr>
            <sz val="16"/>
            <color indexed="81"/>
            <rFont val="Times New Roman"/>
            <family val="1"/>
            <charset val="204"/>
          </rPr>
          <t>.</t>
        </r>
      </text>
    </comment>
    <comment ref="S54" authorId="0" shapeId="0">
      <text>
        <r>
          <rPr>
            <sz val="20"/>
            <color indexed="81"/>
            <rFont val="Times New Roman"/>
            <family val="1"/>
            <charset val="204"/>
          </rPr>
          <t>Заполняемый парметр</t>
        </r>
      </text>
    </comment>
    <comment ref="N5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55" authorId="0" shapeId="0">
      <text>
        <r>
          <rPr>
            <sz val="20"/>
            <color indexed="81"/>
            <rFont val="Times New Roman"/>
            <family val="1"/>
            <charset val="204"/>
          </rPr>
          <t>Автоматичский параметр</t>
        </r>
        <r>
          <rPr>
            <sz val="16"/>
            <color indexed="81"/>
            <rFont val="Times New Roman"/>
            <family val="1"/>
            <charset val="204"/>
          </rPr>
          <t>.</t>
        </r>
      </text>
    </comment>
    <comment ref="S55" authorId="0" shapeId="0">
      <text>
        <r>
          <rPr>
            <sz val="20"/>
            <color indexed="81"/>
            <rFont val="Times New Roman"/>
            <family val="1"/>
            <charset val="204"/>
          </rPr>
          <t>Заполняемый парметр</t>
        </r>
      </text>
    </comment>
    <comment ref="N5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56" authorId="0" shapeId="0">
      <text>
        <r>
          <rPr>
            <sz val="20"/>
            <color indexed="81"/>
            <rFont val="Times New Roman"/>
            <family val="1"/>
            <charset val="204"/>
          </rPr>
          <t>Автоматичский параметр</t>
        </r>
        <r>
          <rPr>
            <sz val="16"/>
            <color indexed="81"/>
            <rFont val="Times New Roman"/>
            <family val="1"/>
            <charset val="204"/>
          </rPr>
          <t>.</t>
        </r>
      </text>
    </comment>
    <comment ref="S56" authorId="0" shapeId="0">
      <text>
        <r>
          <rPr>
            <sz val="20"/>
            <color indexed="81"/>
            <rFont val="Times New Roman"/>
            <family val="1"/>
            <charset val="204"/>
          </rPr>
          <t>Заполняемый парметр</t>
        </r>
      </text>
    </comment>
    <comment ref="N5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57" authorId="0" shapeId="0">
      <text>
        <r>
          <rPr>
            <sz val="20"/>
            <color indexed="81"/>
            <rFont val="Times New Roman"/>
            <family val="1"/>
            <charset val="204"/>
          </rPr>
          <t>Автоматичский параметр</t>
        </r>
        <r>
          <rPr>
            <sz val="16"/>
            <color indexed="81"/>
            <rFont val="Times New Roman"/>
            <family val="1"/>
            <charset val="204"/>
          </rPr>
          <t>.</t>
        </r>
      </text>
    </comment>
    <comment ref="S57" authorId="0" shapeId="0">
      <text>
        <r>
          <rPr>
            <sz val="20"/>
            <color indexed="81"/>
            <rFont val="Times New Roman"/>
            <family val="1"/>
            <charset val="204"/>
          </rPr>
          <t>Заполняемый парметр</t>
        </r>
      </text>
    </comment>
    <comment ref="N5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58" authorId="0" shapeId="0">
      <text>
        <r>
          <rPr>
            <sz val="20"/>
            <color indexed="81"/>
            <rFont val="Times New Roman"/>
            <family val="1"/>
            <charset val="204"/>
          </rPr>
          <t>Автоматичский параметр</t>
        </r>
        <r>
          <rPr>
            <sz val="16"/>
            <color indexed="81"/>
            <rFont val="Times New Roman"/>
            <family val="1"/>
            <charset val="204"/>
          </rPr>
          <t>.</t>
        </r>
      </text>
    </comment>
    <comment ref="S58" authorId="0" shapeId="0">
      <text>
        <r>
          <rPr>
            <sz val="20"/>
            <color indexed="81"/>
            <rFont val="Times New Roman"/>
            <family val="1"/>
            <charset val="204"/>
          </rPr>
          <t>Заполняемый парметр</t>
        </r>
      </text>
    </comment>
    <comment ref="N5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59" authorId="0" shapeId="0">
      <text>
        <r>
          <rPr>
            <sz val="20"/>
            <color indexed="81"/>
            <rFont val="Times New Roman"/>
            <family val="1"/>
            <charset val="204"/>
          </rPr>
          <t>Автоматичский параметр</t>
        </r>
        <r>
          <rPr>
            <sz val="16"/>
            <color indexed="81"/>
            <rFont val="Times New Roman"/>
            <family val="1"/>
            <charset val="204"/>
          </rPr>
          <t>.</t>
        </r>
      </text>
    </comment>
    <comment ref="S59" authorId="0" shapeId="0">
      <text>
        <r>
          <rPr>
            <sz val="20"/>
            <color indexed="81"/>
            <rFont val="Times New Roman"/>
            <family val="1"/>
            <charset val="204"/>
          </rPr>
          <t>Заполняемый парметр</t>
        </r>
      </text>
    </comment>
    <comment ref="N6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60" authorId="0" shapeId="0">
      <text>
        <r>
          <rPr>
            <sz val="20"/>
            <color indexed="81"/>
            <rFont val="Times New Roman"/>
            <family val="1"/>
            <charset val="204"/>
          </rPr>
          <t>Автоматичский параметр</t>
        </r>
        <r>
          <rPr>
            <sz val="16"/>
            <color indexed="81"/>
            <rFont val="Times New Roman"/>
            <family val="1"/>
            <charset val="204"/>
          </rPr>
          <t>.</t>
        </r>
      </text>
    </comment>
    <comment ref="S60" authorId="0" shapeId="0">
      <text>
        <r>
          <rPr>
            <sz val="20"/>
            <color indexed="81"/>
            <rFont val="Times New Roman"/>
            <family val="1"/>
            <charset val="204"/>
          </rPr>
          <t>Заполняемый парметр</t>
        </r>
      </text>
    </comment>
    <comment ref="N6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61" authorId="0" shapeId="0">
      <text>
        <r>
          <rPr>
            <sz val="20"/>
            <color indexed="81"/>
            <rFont val="Times New Roman"/>
            <family val="1"/>
            <charset val="204"/>
          </rPr>
          <t>Автоматичский параметр</t>
        </r>
        <r>
          <rPr>
            <sz val="16"/>
            <color indexed="81"/>
            <rFont val="Times New Roman"/>
            <family val="1"/>
            <charset val="204"/>
          </rPr>
          <t>.</t>
        </r>
      </text>
    </comment>
    <comment ref="S61" authorId="0" shapeId="0">
      <text>
        <r>
          <rPr>
            <sz val="20"/>
            <color indexed="81"/>
            <rFont val="Times New Roman"/>
            <family val="1"/>
            <charset val="204"/>
          </rPr>
          <t>Заполняемый парметр</t>
        </r>
      </text>
    </comment>
    <comment ref="N6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62" authorId="0" shapeId="0">
      <text>
        <r>
          <rPr>
            <sz val="20"/>
            <color indexed="81"/>
            <rFont val="Times New Roman"/>
            <family val="1"/>
            <charset val="204"/>
          </rPr>
          <t>Автоматичский параметр</t>
        </r>
        <r>
          <rPr>
            <sz val="16"/>
            <color indexed="81"/>
            <rFont val="Times New Roman"/>
            <family val="1"/>
            <charset val="204"/>
          </rPr>
          <t>.</t>
        </r>
      </text>
    </comment>
    <comment ref="S62" authorId="0" shapeId="0">
      <text>
        <r>
          <rPr>
            <sz val="20"/>
            <color indexed="81"/>
            <rFont val="Times New Roman"/>
            <family val="1"/>
            <charset val="204"/>
          </rPr>
          <t>Заполняемый парметр</t>
        </r>
      </text>
    </comment>
    <comment ref="N6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63" authorId="0" shapeId="0">
      <text>
        <r>
          <rPr>
            <sz val="20"/>
            <color indexed="81"/>
            <rFont val="Times New Roman"/>
            <family val="1"/>
            <charset val="204"/>
          </rPr>
          <t>Автоматичский параметр</t>
        </r>
        <r>
          <rPr>
            <sz val="16"/>
            <color indexed="81"/>
            <rFont val="Times New Roman"/>
            <family val="1"/>
            <charset val="204"/>
          </rPr>
          <t>.</t>
        </r>
      </text>
    </comment>
    <comment ref="S63" authorId="0" shapeId="0">
      <text>
        <r>
          <rPr>
            <sz val="20"/>
            <color indexed="81"/>
            <rFont val="Times New Roman"/>
            <family val="1"/>
            <charset val="204"/>
          </rPr>
          <t>Заполняемый парметр</t>
        </r>
      </text>
    </comment>
    <comment ref="N6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64" authorId="0" shapeId="0">
      <text>
        <r>
          <rPr>
            <sz val="20"/>
            <color indexed="81"/>
            <rFont val="Times New Roman"/>
            <family val="1"/>
            <charset val="204"/>
          </rPr>
          <t>Автоматичский параметр</t>
        </r>
        <r>
          <rPr>
            <sz val="16"/>
            <color indexed="81"/>
            <rFont val="Times New Roman"/>
            <family val="1"/>
            <charset val="204"/>
          </rPr>
          <t>.</t>
        </r>
      </text>
    </comment>
    <comment ref="S64" authorId="0" shapeId="0">
      <text>
        <r>
          <rPr>
            <sz val="20"/>
            <color indexed="81"/>
            <rFont val="Times New Roman"/>
            <family val="1"/>
            <charset val="204"/>
          </rPr>
          <t>Заполняемый парметр</t>
        </r>
      </text>
    </comment>
    <comment ref="N6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65" authorId="0" shapeId="0">
      <text>
        <r>
          <rPr>
            <sz val="20"/>
            <color indexed="81"/>
            <rFont val="Times New Roman"/>
            <family val="1"/>
            <charset val="204"/>
          </rPr>
          <t>Автоматичский параметр</t>
        </r>
        <r>
          <rPr>
            <sz val="16"/>
            <color indexed="81"/>
            <rFont val="Times New Roman"/>
            <family val="1"/>
            <charset val="204"/>
          </rPr>
          <t>.</t>
        </r>
      </text>
    </comment>
    <comment ref="S65" authorId="0" shapeId="0">
      <text>
        <r>
          <rPr>
            <sz val="20"/>
            <color indexed="81"/>
            <rFont val="Times New Roman"/>
            <family val="1"/>
            <charset val="204"/>
          </rPr>
          <t>Заполняемый парметр</t>
        </r>
      </text>
    </comment>
    <comment ref="N6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66" authorId="0" shapeId="0">
      <text>
        <r>
          <rPr>
            <sz val="20"/>
            <color indexed="81"/>
            <rFont val="Times New Roman"/>
            <family val="1"/>
            <charset val="204"/>
          </rPr>
          <t>Автоматичский параметр</t>
        </r>
        <r>
          <rPr>
            <sz val="16"/>
            <color indexed="81"/>
            <rFont val="Times New Roman"/>
            <family val="1"/>
            <charset val="204"/>
          </rPr>
          <t>.</t>
        </r>
      </text>
    </comment>
    <comment ref="S66" authorId="0" shapeId="0">
      <text>
        <r>
          <rPr>
            <sz val="20"/>
            <color indexed="81"/>
            <rFont val="Times New Roman"/>
            <family val="1"/>
            <charset val="204"/>
          </rPr>
          <t>Заполняемый парметр</t>
        </r>
      </text>
    </comment>
    <comment ref="N6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67" authorId="0" shapeId="0">
      <text>
        <r>
          <rPr>
            <sz val="20"/>
            <color indexed="81"/>
            <rFont val="Times New Roman"/>
            <family val="1"/>
            <charset val="204"/>
          </rPr>
          <t>Автоматичский параметр</t>
        </r>
        <r>
          <rPr>
            <sz val="16"/>
            <color indexed="81"/>
            <rFont val="Times New Roman"/>
            <family val="1"/>
            <charset val="204"/>
          </rPr>
          <t>.</t>
        </r>
      </text>
    </comment>
    <comment ref="S67" authorId="0" shapeId="0">
      <text>
        <r>
          <rPr>
            <sz val="20"/>
            <color indexed="81"/>
            <rFont val="Times New Roman"/>
            <family val="1"/>
            <charset val="204"/>
          </rPr>
          <t>Заполняемый парметр</t>
        </r>
      </text>
    </comment>
  </commentList>
</comments>
</file>

<file path=xl/comments2.xml><?xml version="1.0" encoding="utf-8"?>
<comments xmlns="http://schemas.openxmlformats.org/spreadsheetml/2006/main">
  <authors>
    <author>Berserk</author>
  </authors>
  <commentList>
    <comment ref="P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E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F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H6" authorId="0" shapeId="0">
      <text>
        <r>
          <rPr>
            <b/>
            <sz val="20"/>
            <color indexed="81"/>
            <rFont val="Times New Roman"/>
            <family val="1"/>
            <charset val="204"/>
          </rPr>
          <t>Заполняемый парметр</t>
        </r>
      </text>
    </comment>
    <comment ref="I6" authorId="0" shapeId="0">
      <text>
        <r>
          <rPr>
            <b/>
            <sz val="20"/>
            <color indexed="81"/>
            <rFont val="Times New Roman"/>
            <family val="1"/>
            <charset val="204"/>
          </rPr>
          <t>Заполняемый парметр</t>
        </r>
      </text>
    </comment>
    <comment ref="J6" authorId="0" shapeId="0">
      <text>
        <r>
          <rPr>
            <b/>
            <sz val="20"/>
            <color indexed="81"/>
            <rFont val="Times New Roman"/>
            <family val="1"/>
            <charset val="204"/>
          </rPr>
          <t>Заполняемый парметр</t>
        </r>
      </text>
    </comment>
    <comment ref="K6" authorId="0" shapeId="0">
      <text>
        <r>
          <rPr>
            <b/>
            <sz val="20"/>
            <color indexed="81"/>
            <rFont val="Times New Roman"/>
            <family val="1"/>
            <charset val="204"/>
          </rPr>
          <t>Заполняемый парметр</t>
        </r>
      </text>
    </comment>
    <comment ref="Q6" authorId="0" shapeId="0">
      <text>
        <r>
          <rPr>
            <b/>
            <sz val="20"/>
            <color indexed="81"/>
            <rFont val="Times New Roman"/>
            <family val="1"/>
            <charset val="204"/>
          </rPr>
          <t>Заполняемый парметр</t>
        </r>
      </text>
    </comment>
    <comment ref="E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F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H8" authorId="0" shapeId="0">
      <text>
        <r>
          <rPr>
            <b/>
            <sz val="20"/>
            <color indexed="81"/>
            <rFont val="Times New Roman"/>
            <family val="1"/>
            <charset val="204"/>
          </rPr>
          <t>Заполняемый парметр</t>
        </r>
      </text>
    </comment>
    <comment ref="I8" authorId="0" shapeId="0">
      <text>
        <r>
          <rPr>
            <b/>
            <sz val="20"/>
            <color indexed="81"/>
            <rFont val="Times New Roman"/>
            <family val="1"/>
            <charset val="204"/>
          </rPr>
          <t>Заполняемый парметр</t>
        </r>
      </text>
    </comment>
    <comment ref="J8" authorId="0" shapeId="0">
      <text>
        <r>
          <rPr>
            <b/>
            <sz val="20"/>
            <color indexed="81"/>
            <rFont val="Times New Roman"/>
            <family val="1"/>
            <charset val="204"/>
          </rPr>
          <t>Заполняемый парметр</t>
        </r>
      </text>
    </comment>
    <comment ref="O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8" authorId="0" shapeId="0">
      <text>
        <r>
          <rPr>
            <b/>
            <sz val="20"/>
            <color indexed="81"/>
            <rFont val="Times New Roman"/>
            <family val="1"/>
            <charset val="204"/>
          </rPr>
          <t>Заполняемый парметр</t>
        </r>
      </text>
    </comment>
    <comment ref="E1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F1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1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H10" authorId="0" shapeId="0">
      <text>
        <r>
          <rPr>
            <b/>
            <sz val="20"/>
            <color indexed="81"/>
            <rFont val="Times New Roman"/>
            <family val="1"/>
            <charset val="204"/>
          </rPr>
          <t>Заполняемый парметр</t>
        </r>
      </text>
    </comment>
    <comment ref="I10" authorId="0" shapeId="0">
      <text>
        <r>
          <rPr>
            <b/>
            <sz val="20"/>
            <color indexed="81"/>
            <rFont val="Times New Roman"/>
            <family val="1"/>
            <charset val="204"/>
          </rPr>
          <t>Заполняемый парметр</t>
        </r>
      </text>
    </comment>
    <comment ref="J10" authorId="0" shapeId="0">
      <text>
        <r>
          <rPr>
            <b/>
            <sz val="20"/>
            <color indexed="81"/>
            <rFont val="Times New Roman"/>
            <family val="1"/>
            <charset val="204"/>
          </rPr>
          <t>Заполняемый парметр</t>
        </r>
      </text>
    </comment>
    <comment ref="C13" authorId="0" shapeId="0">
      <text>
        <r>
          <rPr>
            <b/>
            <sz val="16"/>
            <color indexed="81"/>
            <rFont val="Times New Roman"/>
            <family val="1"/>
            <charset val="204"/>
          </rPr>
          <t>Только для Монаха</t>
        </r>
        <r>
          <rPr>
            <sz val="9"/>
            <color indexed="81"/>
            <rFont val="Tahoma"/>
            <charset val="1"/>
          </rPr>
          <t xml:space="preserve">
</t>
        </r>
      </text>
    </comment>
    <comment ref="D1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E1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F1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G1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I1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K1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L14" authorId="0" shapeId="0">
      <text>
        <r>
          <rPr>
            <b/>
            <sz val="16"/>
            <color indexed="81"/>
            <rFont val="Times New Roman"/>
            <family val="1"/>
            <charset val="204"/>
          </rPr>
          <t>Выбрать из раскрывающегося списка</t>
        </r>
      </text>
    </comment>
    <comment ref="I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J36" authorId="0" shapeId="0">
      <text>
        <r>
          <rPr>
            <b/>
            <sz val="20"/>
            <color indexed="81"/>
            <rFont val="Times New Roman"/>
            <family val="1"/>
            <charset val="204"/>
          </rPr>
          <t>Заполняемый парметр</t>
        </r>
      </text>
    </comment>
    <comment ref="L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N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U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V36"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I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J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K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L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N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U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V37"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I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J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K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L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N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U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V38"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I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J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K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L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N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U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V39"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I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J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K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L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N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U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V40"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I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J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K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L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N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U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V41"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I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J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K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L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N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U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V42"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I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J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K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L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N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U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V43"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I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J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K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L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N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U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V44"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I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J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K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L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M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N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O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P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Q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R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S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T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U45" authorId="0" shapeId="0">
      <text>
        <r>
          <rPr>
            <b/>
            <sz val="20"/>
            <color indexed="81"/>
            <rFont val="Times New Roman"/>
            <family val="1"/>
            <charset val="204"/>
          </rPr>
          <t>Автоматичский параметр</t>
        </r>
        <r>
          <rPr>
            <b/>
            <sz val="16"/>
            <color indexed="81"/>
            <rFont val="Times New Roman"/>
            <family val="1"/>
            <charset val="204"/>
          </rPr>
          <t>.</t>
        </r>
      </text>
    </comment>
    <comment ref="V45" authorId="0" shapeId="0">
      <text>
        <r>
          <rPr>
            <b/>
            <sz val="20"/>
            <color indexed="81"/>
            <rFont val="Times New Roman"/>
            <family val="1"/>
            <charset val="204"/>
          </rPr>
          <t>Автоматичский параметр</t>
        </r>
        <r>
          <rPr>
            <b/>
            <sz val="16"/>
            <color indexed="81"/>
            <rFont val="Times New Roman"/>
            <family val="1"/>
            <charset val="204"/>
          </rPr>
          <t>.</t>
        </r>
      </text>
    </comment>
  </commentList>
</comments>
</file>

<file path=xl/sharedStrings.xml><?xml version="1.0" encoding="utf-8"?>
<sst xmlns="http://schemas.openxmlformats.org/spreadsheetml/2006/main" count="2708" uniqueCount="1187">
  <si>
    <t>Имя Персонажа</t>
  </si>
  <si>
    <t>Класс</t>
  </si>
  <si>
    <t>Уровень</t>
  </si>
  <si>
    <t>Текущие ранги</t>
  </si>
  <si>
    <t>Игрок</t>
  </si>
  <si>
    <t>Воин</t>
  </si>
  <si>
    <t>Класс/уровень</t>
  </si>
  <si>
    <t>Текщий опыт</t>
  </si>
  <si>
    <t xml:space="preserve">Опыта до следующего уровня </t>
  </si>
  <si>
    <t>Полуэльф</t>
  </si>
  <si>
    <t>Невыбрано</t>
  </si>
  <si>
    <t>Раса</t>
  </si>
  <si>
    <t>Мировозрение</t>
  </si>
  <si>
    <t>Бог</t>
  </si>
  <si>
    <t>Размер</t>
  </si>
  <si>
    <t>Возраст</t>
  </si>
  <si>
    <t>Параметр</t>
  </si>
  <si>
    <t>Итоговый параметр</t>
  </si>
  <si>
    <t>Модификатор</t>
  </si>
  <si>
    <t>Временные парметры</t>
  </si>
  <si>
    <t>Верменный модификатор</t>
  </si>
  <si>
    <t>Расовые штрафы</t>
  </si>
  <si>
    <t>Текущие ХП</t>
  </si>
  <si>
    <t>Временные повреждения</t>
  </si>
  <si>
    <t>Скорость</t>
  </si>
  <si>
    <t>Сила</t>
  </si>
  <si>
    <t>Кость хитов</t>
  </si>
  <si>
    <t>Ловкость</t>
  </si>
  <si>
    <t>Телосложение</t>
  </si>
  <si>
    <r>
      <rPr>
        <b/>
        <sz val="14"/>
        <color theme="0"/>
        <rFont val="Arial"/>
        <family val="2"/>
        <charset val="204"/>
      </rPr>
      <t xml:space="preserve">КД 
</t>
    </r>
    <r>
      <rPr>
        <b/>
        <sz val="10"/>
        <color theme="0"/>
        <rFont val="Arial"/>
        <family val="2"/>
        <charset val="204"/>
      </rPr>
      <t>Класс Доспеха</t>
    </r>
  </si>
  <si>
    <t>=</t>
  </si>
  <si>
    <t>Интелект</t>
  </si>
  <si>
    <t>Бонус Доспеха</t>
  </si>
  <si>
    <t>Бонус щита</t>
  </si>
  <si>
    <t>Модификатор ловкости</t>
  </si>
  <si>
    <t>Модификатор размера</t>
  </si>
  <si>
    <t>Природный доспех</t>
  </si>
  <si>
    <t xml:space="preserve">Модификатор отклонения </t>
  </si>
  <si>
    <t>Доп. Модификатор</t>
  </si>
  <si>
    <t>Мудрость</t>
  </si>
  <si>
    <t>Харизма</t>
  </si>
  <si>
    <t>Инициатива</t>
  </si>
  <si>
    <t>+</t>
  </si>
  <si>
    <t>Расовые/классовые черты</t>
  </si>
  <si>
    <t>Навыки</t>
  </si>
  <si>
    <t>Макс рангов</t>
  </si>
  <si>
    <t>/</t>
  </si>
  <si>
    <t>Наименовние навыка</t>
  </si>
  <si>
    <t>Бонус навыка</t>
  </si>
  <si>
    <t>Ключевой параметр</t>
  </si>
  <si>
    <t>Ранги</t>
  </si>
  <si>
    <t>Расовые</t>
  </si>
  <si>
    <t>Прочее</t>
  </si>
  <si>
    <t>Баланс</t>
  </si>
  <si>
    <t>Бесшумное передвижение</t>
  </si>
  <si>
    <t>Верховая езда</t>
  </si>
  <si>
    <t>Выживание</t>
  </si>
  <si>
    <t>Дипломатия</t>
  </si>
  <si>
    <t>Дрессировка</t>
  </si>
  <si>
    <t>Запугивание</t>
  </si>
  <si>
    <t>Изворотлипость</t>
  </si>
  <si>
    <t>Исп. Веревки</t>
  </si>
  <si>
    <t>Использование магический устройст</t>
  </si>
  <si>
    <t>Колдовство</t>
  </si>
  <si>
    <t>Концентрация</t>
  </si>
  <si>
    <t>Выносливость</t>
  </si>
  <si>
    <t>Кувырок</t>
  </si>
  <si>
    <t>Лазание</t>
  </si>
  <si>
    <t>Лечение</t>
  </si>
  <si>
    <t>Ловкость рук</t>
  </si>
  <si>
    <t>Маскировка</t>
  </si>
  <si>
    <t>Маханика</t>
  </si>
  <si>
    <t>Обман</t>
  </si>
  <si>
    <t>Определить</t>
  </si>
  <si>
    <t>Открыть замок</t>
  </si>
  <si>
    <t>Оценка</t>
  </si>
  <si>
    <t>Плавание</t>
  </si>
  <si>
    <t>Подделывание</t>
  </si>
  <si>
    <t>Поиск</t>
  </si>
  <si>
    <t>Проницательность</t>
  </si>
  <si>
    <t>Прыжок</t>
  </si>
  <si>
    <t>Расшифровать</t>
  </si>
  <si>
    <t>Сбор информации</t>
  </si>
  <si>
    <t>Слух</t>
  </si>
  <si>
    <t>Спрятаться</t>
  </si>
  <si>
    <t>Ремесло (?)</t>
  </si>
  <si>
    <t>Актерство (?)</t>
  </si>
  <si>
    <t>Обаяние</t>
  </si>
  <si>
    <t>Профессия (?)</t>
  </si>
  <si>
    <t>Знания (?)</t>
  </si>
  <si>
    <t>Спас-броски</t>
  </si>
  <si>
    <t>Общий</t>
  </si>
  <si>
    <t>Базовое сохранение</t>
  </si>
  <si>
    <t>Мод способностей</t>
  </si>
  <si>
    <t>Магический мод</t>
  </si>
  <si>
    <t>Разные моды</t>
  </si>
  <si>
    <t>Температурный мод</t>
  </si>
  <si>
    <t>Условные модификаторы</t>
  </si>
  <si>
    <t>Базовый бонус атаки</t>
  </si>
  <si>
    <t>Устойчивость к магии</t>
  </si>
  <si>
    <t xml:space="preserve">Стойкость </t>
  </si>
  <si>
    <t>Захват</t>
  </si>
  <si>
    <t>Рефлекс (Ловкость)</t>
  </si>
  <si>
    <t xml:space="preserve">Базовый бонус атаки </t>
  </si>
  <si>
    <t>Модификатор силы</t>
  </si>
  <si>
    <t>Воля (Мудрость)</t>
  </si>
  <si>
    <t>Атака</t>
  </si>
  <si>
    <t>Бонус атаки</t>
  </si>
  <si>
    <t xml:space="preserve">Повреждение </t>
  </si>
  <si>
    <t>Крит</t>
  </si>
  <si>
    <t>Диапазон</t>
  </si>
  <si>
    <t>Тип</t>
  </si>
  <si>
    <t>Заметки</t>
  </si>
  <si>
    <t>Опыт</t>
  </si>
  <si>
    <t>Gear</t>
  </si>
  <si>
    <t>Experiance</t>
  </si>
  <si>
    <t>Снаряжение</t>
  </si>
  <si>
    <t>Расположение</t>
  </si>
  <si>
    <t>Масса</t>
  </si>
  <si>
    <t>Боеприпасы</t>
  </si>
  <si>
    <t>Заклинания</t>
  </si>
  <si>
    <t>Изученые</t>
  </si>
  <si>
    <t>В день</t>
  </si>
  <si>
    <t>Бонус</t>
  </si>
  <si>
    <t>Saves</t>
  </si>
  <si>
    <t>Failure</t>
  </si>
  <si>
    <t>Снаряжение не при себе</t>
  </si>
  <si>
    <t>Clerics</t>
  </si>
  <si>
    <t>Домен</t>
  </si>
  <si>
    <t>Великая Сила</t>
  </si>
  <si>
    <t>Магические предметы</t>
  </si>
  <si>
    <t>Изгнать/запретить нежити</t>
  </si>
  <si>
    <t>Голова (повязка, шляпа, шлем или филактерий)</t>
  </si>
  <si>
    <t>Руки (перчатки или рукавицы)</t>
  </si>
  <si>
    <t>Раз в день</t>
  </si>
  <si>
    <t>Токарная проверка</t>
  </si>
  <si>
    <t>Урон при повороте</t>
  </si>
  <si>
    <t>Глаза (линзы или очки)</t>
  </si>
  <si>
    <t>Руки/запястья (наручи или браслеты)</t>
  </si>
  <si>
    <t>Ярость</t>
  </si>
  <si>
    <t>Шея (Амулет, Брошь, Медальон, Периапт или Скарабей)</t>
  </si>
  <si>
    <t>Тело (мантия или доспехи)</t>
  </si>
  <si>
    <t>Продолжительность</t>
  </si>
  <si>
    <t>Бонус силы/концентрации</t>
  </si>
  <si>
    <t>Плечи (плащ, накидка или мантия)</t>
  </si>
  <si>
    <t>Торс (жилет, облачение или рубашка)</t>
  </si>
  <si>
    <t>Will Bonus</t>
  </si>
  <si>
    <t>КБ штраф</t>
  </si>
  <si>
    <t>Использовано</t>
  </si>
  <si>
    <t>Кольцо 1</t>
  </si>
  <si>
    <t>Талия (пояс или пояс)</t>
  </si>
  <si>
    <t>Прошедшие раунды</t>
  </si>
  <si>
    <t>Языки</t>
  </si>
  <si>
    <t>Кольцо 2</t>
  </si>
  <si>
    <t>Ноги (сапоги, туфли или тапочки)</t>
  </si>
  <si>
    <t>Золото:</t>
  </si>
  <si>
    <t>Драгоценные камни:</t>
  </si>
  <si>
    <t>Фото</t>
  </si>
  <si>
    <t>Итог.параметр</t>
  </si>
  <si>
    <t>Мод.</t>
  </si>
  <si>
    <t>Врем. парм.</t>
  </si>
  <si>
    <t>Верм. мод.</t>
  </si>
  <si>
    <t>Мод. Ловк.</t>
  </si>
  <si>
    <t>Мод. размера</t>
  </si>
  <si>
    <t>Мод. Откл.</t>
  </si>
  <si>
    <t>Доп. Мод.</t>
  </si>
  <si>
    <t>Ловк</t>
  </si>
  <si>
    <t>Бесш. передвижение</t>
  </si>
  <si>
    <t>Мудр</t>
  </si>
  <si>
    <t>Хар</t>
  </si>
  <si>
    <t>Испол. магический устройст</t>
  </si>
  <si>
    <t>Инт</t>
  </si>
  <si>
    <t>Вын</t>
  </si>
  <si>
    <t>Первая</t>
  </si>
  <si>
    <t>Вторая</t>
  </si>
  <si>
    <t>Третья</t>
  </si>
  <si>
    <t>Четвертая</t>
  </si>
  <si>
    <t>Пятая</t>
  </si>
  <si>
    <t xml:space="preserve">Базовое </t>
  </si>
  <si>
    <t>Мод способ.</t>
  </si>
  <si>
    <t>Маг-кий мод</t>
  </si>
  <si>
    <t>Темп. мод</t>
  </si>
  <si>
    <t xml:space="preserve">Бонус атаки </t>
  </si>
  <si>
    <t>Мод. силы</t>
  </si>
  <si>
    <t>x2 19/20</t>
  </si>
  <si>
    <t>Длинный лук</t>
  </si>
  <si>
    <t>1d6+1</t>
  </si>
  <si>
    <t>x3 20</t>
  </si>
  <si>
    <t>Круг</t>
  </si>
  <si>
    <t>Жрец</t>
  </si>
  <si>
    <t>Бард</t>
  </si>
  <si>
    <t>Друид</t>
  </si>
  <si>
    <t>Маг</t>
  </si>
  <si>
    <t>Паладин</t>
  </si>
  <si>
    <t>Рейнджер</t>
  </si>
  <si>
    <t>Чародей</t>
  </si>
  <si>
    <t>Заклинаний в день</t>
  </si>
  <si>
    <t>Спасбросок</t>
  </si>
  <si>
    <t>—</t>
  </si>
  <si>
    <t>Спб Стойк</t>
  </si>
  <si>
    <t>Спб Рефл</t>
  </si>
  <si>
    <t>Спб Воли</t>
  </si>
  <si>
    <t>Инвентарь</t>
  </si>
  <si>
    <t>Деньги:</t>
  </si>
  <si>
    <t xml:space="preserve">Общие Черты </t>
  </si>
  <si>
    <t xml:space="preserve">Необходимые Условия </t>
  </si>
  <si>
    <t>Преимущества</t>
  </si>
  <si>
    <t>Акробатический</t>
  </si>
  <si>
    <t xml:space="preserve"> — </t>
  </si>
  <si>
    <t>+2 бонус к проверкам Прыжков и Падение/Кульбиты</t>
  </si>
  <si>
    <t>Активация в Бою</t>
  </si>
  <si>
    <t>+4 бонус к проверкам Концентрации при активации в защите</t>
  </si>
  <si>
    <t>Аннулирование Материалов</t>
  </si>
  <si>
    <t xml:space="preserve"> —</t>
  </si>
  <si>
    <t xml:space="preserve"> Активация заклинаний без материальных компонентов</t>
  </si>
  <si>
    <t>Атлетичный</t>
  </si>
  <si>
    <t>+2 бонус к проверкам Взбирания и Плавания</t>
  </si>
  <si>
    <t>Бег</t>
  </si>
  <si>
    <t>Бежите с 5 кратной скоростью, +4 бонус к проверкам Прыжков с разбегом</t>
  </si>
  <si>
    <t xml:space="preserve">Близость к Животным </t>
  </si>
  <si>
    <t xml:space="preserve">— </t>
  </si>
  <si>
    <t>+2 бонус к проверкам Езды Верхом и Приручения Животных</t>
  </si>
  <si>
    <t>Боевые Рефлексы¹</t>
  </si>
  <si>
    <t>Дополнительные благоприятные атаки1</t>
  </si>
  <si>
    <t>Боевая Экспертность¹</t>
  </si>
  <si>
    <t xml:space="preserve"> Интл 13 </t>
  </si>
  <si>
    <t>Перенос бонуса атаки к КД (макс. 5 пунктов)</t>
  </si>
  <si>
    <t>Улучшенное Обезоруживание¹</t>
  </si>
  <si>
    <t xml:space="preserve"> Боевая Экспертность </t>
  </si>
  <si>
    <t>+4 бонус к проверкам обезоруживания; нет благоприятнойатаки</t>
  </si>
  <si>
    <r>
      <t>Улучшенный Финт</t>
    </r>
    <r>
      <rPr>
        <sz val="18"/>
        <color theme="1"/>
        <rFont val="Times New Roman"/>
        <family val="1"/>
        <charset val="204"/>
      </rPr>
      <t>¹</t>
    </r>
  </si>
  <si>
    <t xml:space="preserve"> Боевая Экспертность</t>
  </si>
  <si>
    <t xml:space="preserve"> Финт в сражении как действие передвижения</t>
  </si>
  <si>
    <r>
      <t>Улучшенное Опрокидывание</t>
    </r>
    <r>
      <rPr>
        <sz val="20"/>
        <color theme="1"/>
        <rFont val="Times New Roman"/>
        <family val="1"/>
        <charset val="204"/>
      </rPr>
      <t>¹</t>
    </r>
  </si>
  <si>
    <t>+4 бонус к проверкам опрокидывания; нет благоприятной атаки</t>
  </si>
  <si>
    <t>Ураганная Атака¹</t>
  </si>
  <si>
    <t xml:space="preserve"> Ловк 13, Боевая Экспертность, Уворачивание, Подвижность, Энергичная Атака, базовый бонус атаки +4</t>
  </si>
  <si>
    <t>Одна рукопашная атака против каждого оппонента в пределах зоны поражения</t>
  </si>
  <si>
    <t>Ускоренная Перезарядка¹</t>
  </si>
  <si>
    <t xml:space="preserve"> Оружейная Квалификация с арбалетом</t>
  </si>
  <si>
    <t>Более ускоренная перезарядка арбалета</t>
  </si>
  <si>
    <t>+4 бонус к проверкам и спасброскам при противостояниивременным повреждениям</t>
  </si>
  <si>
    <t>Крепкий Орешек</t>
  </si>
  <si>
    <t xml:space="preserve">Выносливость </t>
  </si>
  <si>
    <t>Оставаться в сознании от –1 до –9 хп.</t>
  </si>
  <si>
    <t>Выстрел Вблизи¹</t>
  </si>
  <si>
    <t>+1 бонус к стрелковым атакам и повреждениям в пределах 9 метров</t>
  </si>
  <si>
    <t>Выстрел на Удаленное Расстояние¹</t>
  </si>
  <si>
    <t xml:space="preserve">Выстрел Вблизи </t>
  </si>
  <si>
    <t>Повышение диапазона поражения на 50% или 100%</t>
  </si>
  <si>
    <t>Прицельный Выстрел¹</t>
  </si>
  <si>
    <t>Нет штрафа –4 при стрельбе в рукопашном бою</t>
  </si>
  <si>
    <t>Быстрый Выстрел¹</t>
  </si>
  <si>
    <t xml:space="preserve">Ловк 13, Выстрел Вблизи </t>
  </si>
  <si>
    <t>Одна дополнительная стрелковая атака каждый раунд</t>
  </si>
  <si>
    <t xml:space="preserve">Множественный Выстрел¹ </t>
  </si>
  <si>
    <t>Ловк 17, Выстрел Вблизи, Быстрый Выстрел, базовый бонус атаки +6</t>
  </si>
  <si>
    <t>Выстрел двух или более стрел одновременно</t>
  </si>
  <si>
    <t>Стрельба на Бегу¹</t>
  </si>
  <si>
    <t>Ловк 13, Выстрел Вблизи, Подвижность,Уворачивание, базовый бонус атаки +4</t>
  </si>
  <si>
    <t>Передвижение до и после стрелковой атаки</t>
  </si>
  <si>
    <t>Улучшенный Прицельный Выстрел¹</t>
  </si>
  <si>
    <t>Ловк 19, Выстрел Вблизи, Прицельный Выстрел, базовый бонус атаки +11</t>
  </si>
  <si>
    <t>Игнорирование при стрелковых атаках все укрытия кроме полного укрытия/прикрытия</t>
  </si>
  <si>
    <t xml:space="preserve">Железная Воля </t>
  </si>
  <si>
    <t>+2 бонус к спасброскам Воли</t>
  </si>
  <si>
    <t xml:space="preserve">Измененный Призыв </t>
  </si>
  <si>
    <t xml:space="preserve">Фокусировка в Заклинаниях (колдовство) </t>
  </si>
  <si>
    <t>Призванные существа получают +4 Сила и +4 Тело</t>
  </si>
  <si>
    <t>Искусное Обращение с Оружием¹˒²</t>
  </si>
  <si>
    <t>Квалификация с оружием, базовый бонус атаки +1</t>
  </si>
  <si>
    <t>Используете модификатор Ловк вместо Силы при бросках атаки с облегченным рукопашным оружием</t>
  </si>
  <si>
    <t>Квалификация в Военном Оружии²</t>
  </si>
  <si>
    <t>Нет штрафов с выбранным военным оружием</t>
  </si>
  <si>
    <t xml:space="preserve">Квалификация в Доспехах (легких) </t>
  </si>
  <si>
    <t>Нет штрафов из-за доспехов к броскам атаки</t>
  </si>
  <si>
    <t xml:space="preserve">Квалификация в Доспехах (средних) </t>
  </si>
  <si>
    <t>Квалификация в Доспехах (тяжелых)</t>
  </si>
  <si>
    <t xml:space="preserve">Квалификация в Простом Оружии </t>
  </si>
  <si>
    <t>Нет штрафов с выбранным простым оружием</t>
  </si>
  <si>
    <t xml:space="preserve">Квалификация в Щитах </t>
  </si>
  <si>
    <t xml:space="preserve">Улучшенный Удар Щитом¹ </t>
  </si>
  <si>
    <t>Сохранение бонуса щита к КД при ударе щитом</t>
  </si>
  <si>
    <t xml:space="preserve">Квалификация в Ростовых Щитах </t>
  </si>
  <si>
    <t>Квалификация в Экзотическом Оружии¹˒²</t>
  </si>
  <si>
    <t xml:space="preserve">Базовый бонус атаки +1 </t>
  </si>
  <si>
    <t>Нет штрафов с выбранным экзотическим оружием</t>
  </si>
  <si>
    <t xml:space="preserve">Лидерство </t>
  </si>
  <si>
    <t xml:space="preserve">Персонаж 6-го уровня </t>
  </si>
  <si>
    <t>Привлечение последователей и приверженцев</t>
  </si>
  <si>
    <t xml:space="preserve">Ловкий </t>
  </si>
  <si>
    <t>+2 бонус к проверкам Баланса и Искусства Побега</t>
  </si>
  <si>
    <t>Мастерство в Заклинаниях²</t>
  </si>
  <si>
    <t xml:space="preserve"> Маг 1-го уровня </t>
  </si>
  <si>
    <t>Способность подготавливать некоторые заклинания без книги заклинаний</t>
  </si>
  <si>
    <t xml:space="preserve">Молниеносные Рефлексы </t>
  </si>
  <si>
    <t>+2 бонус к спасброскам Рефлекса</t>
  </si>
  <si>
    <t>Мощная Атака¹</t>
  </si>
  <si>
    <t xml:space="preserve">Сила 13 </t>
  </si>
  <si>
    <t>Переносить бонус атаки в повреждение (не выше базового бонуса атаки)</t>
  </si>
  <si>
    <t>Рассекающий Удар¹</t>
  </si>
  <si>
    <t xml:space="preserve">Мощная Атака </t>
  </si>
  <si>
    <t>Дополнительная рукопашная атака после падения противника</t>
  </si>
  <si>
    <t xml:space="preserve">Мощный Рассекающий Удар¹ </t>
  </si>
  <si>
    <t>Мощная Атака, Рассекающий Удар, базовый бонус атаки +4</t>
  </si>
  <si>
    <t>Неограниченное количество рассекающих ударов в раунд</t>
  </si>
  <si>
    <t>Улучшенный Натиск¹</t>
  </si>
  <si>
    <t>+4 бонус к проверкам натиска; нет благоприятной атаки</t>
  </si>
  <si>
    <t>Улучшенное Набегание¹</t>
  </si>
  <si>
    <t>+4 бонус к проверкам набегания; нет благоприятной атаки</t>
  </si>
  <si>
    <t xml:space="preserve">Улучшенное Раскалывание¹ </t>
  </si>
  <si>
    <t>+4 бонус к проверкам раскалывания; нет благоприятной атаки</t>
  </si>
  <si>
    <t xml:space="preserve">Настороженность </t>
  </si>
  <si>
    <t>+2 бонус к проверкам Прислушивания и Отслеживания</t>
  </si>
  <si>
    <t xml:space="preserve">Неискренний </t>
  </si>
  <si>
    <t>+2 бонус к проверкам Маскировки и Подделки</t>
  </si>
  <si>
    <t xml:space="preserve">Переговорщик </t>
  </si>
  <si>
    <t>+2 бонус к проверкам Дипломатии и Чувства Мотива</t>
  </si>
  <si>
    <t xml:space="preserve">Повышенная Стойкость </t>
  </si>
  <si>
    <t>+2 бонус к спасброскам Стойкости</t>
  </si>
  <si>
    <t xml:space="preserve">Природное Заклинание </t>
  </si>
  <si>
    <t>Мудр 13, Способность применять облик животного</t>
  </si>
  <si>
    <t>Активация заклинаний в облике животного</t>
  </si>
  <si>
    <t xml:space="preserve">Проворные Руки </t>
  </si>
  <si>
    <t>+2 бонус к проверкам Использования Веревки и Ловкости Рук</t>
  </si>
  <si>
    <t xml:space="preserve">Проникновенность Заклинаний </t>
  </si>
  <si>
    <t>+2 бонус к проверкам уровня заклинателя при преодолении устойчивости к магии</t>
  </si>
  <si>
    <t>Повышенная Проникновенность Заклинаний</t>
  </si>
  <si>
    <t>+4 бонус к проверкам уровня заклинателя при преодолении устойчивости к магии</t>
  </si>
  <si>
    <t>Прочность³</t>
  </si>
  <si>
    <t>+3 хит-поинта</t>
  </si>
  <si>
    <t xml:space="preserve">Расследователь </t>
  </si>
  <si>
    <t>+2 бонус к проверкам Поиска и Сбора Информации</t>
  </si>
  <si>
    <t xml:space="preserve">Самодостаточный </t>
  </si>
  <si>
    <t>+2 бонус к проверкам Искусства Выживания и Лечения</t>
  </si>
  <si>
    <t xml:space="preserve">Сверх-изгнание³ </t>
  </si>
  <si>
    <t>Способность изгонять или подчинять существ</t>
  </si>
  <si>
    <t>4 дополнительных применения изгнания или подчинения в день</t>
  </si>
  <si>
    <t xml:space="preserve">Скрытный </t>
  </si>
  <si>
    <t>+2 бонус к проверкам Бесшумного Передвижения и Скрытности</t>
  </si>
  <si>
    <t xml:space="preserve">Способность к Магии </t>
  </si>
  <si>
    <t>+2 бонус к проверкам Использования Магических Устройств и Искусства Магии__</t>
  </si>
  <si>
    <t>Сражение Верхом¹</t>
  </si>
  <si>
    <t xml:space="preserve">1 ранг в Езде Верхом </t>
  </si>
  <si>
    <t>Нейтрализовать попадания по скакуну проверкой Езды Верхом</t>
  </si>
  <si>
    <t>Стрельба Верхом¹</t>
  </si>
  <si>
    <t xml:space="preserve">Сражение Верхом </t>
  </si>
  <si>
    <t>Половина штрафов к стрелковым атакам находясь верхомна скакуне</t>
  </si>
  <si>
    <t xml:space="preserve">Атака на Скаку¹ </t>
  </si>
  <si>
    <t>Передвижение до и после стремительного наступления верхом</t>
  </si>
  <si>
    <t>Энергичное Нападение¹</t>
  </si>
  <si>
    <t xml:space="preserve">Сражение Верхом, Атака на Скаку </t>
  </si>
  <si>
    <t>Двойное повреждение при стремительном наступлении верхом</t>
  </si>
  <si>
    <t xml:space="preserve">Растаптывание¹ </t>
  </si>
  <si>
    <t>Цель не может избежать набегания</t>
  </si>
  <si>
    <t>Сражение в Слепую¹</t>
  </si>
  <si>
    <t>Перебрасывание шанса промаха из-за укрытия</t>
  </si>
  <si>
    <t>Сражение с Оружием в Каждой Руке¹</t>
  </si>
  <si>
    <t xml:space="preserve">Ловк 15 </t>
  </si>
  <si>
    <t>Снижает штрафы при сражении с оружием в каждой рукена 2</t>
  </si>
  <si>
    <t>Защита с Оружием в Каждой Руке¹</t>
  </si>
  <si>
    <t xml:space="preserve">Сражение с Оружием в Каждой Руке </t>
  </si>
  <si>
    <t>Оружие в не основной руке дает +1 бонус щита к КД</t>
  </si>
  <si>
    <t>Улучшенное Сражение с Оружием в Каждой Руке¹</t>
  </si>
  <si>
    <t>Ловк 17, Сражение с Оружием в Каждой Руке, базовый бонус атаки +6</t>
  </si>
  <si>
    <t>Получаете вторую атаку с оружием в не основной руке</t>
  </si>
  <si>
    <t>Повышенное Сражение с Оружием в Каждой Руке¹</t>
  </si>
  <si>
    <t>Ловк 19, Сражение с Оружием в Каждой Руке, Улучшенное Сражение с Оружием в Каждой Руке, базовый бонус атаки +11</t>
  </si>
  <si>
    <t>Получаете третью атаку с оружием в не основной руке</t>
  </si>
  <si>
    <t xml:space="preserve">Убедительность </t>
  </si>
  <si>
    <t>+2 бонус к проверкам Блефа и Запугивания</t>
  </si>
  <si>
    <t xml:space="preserve">Уворачивание¹ </t>
  </si>
  <si>
    <t xml:space="preserve">Ловк 13 </t>
  </si>
  <si>
    <t>+1 бонус уворачивания к КД против указанной цели</t>
  </si>
  <si>
    <t>Подвижность¹</t>
  </si>
  <si>
    <t xml:space="preserve">Уворачивание </t>
  </si>
  <si>
    <t>+4 бонус уворачивания против некоторых благоприятных атак</t>
  </si>
  <si>
    <t>Энергичная Атака¹</t>
  </si>
  <si>
    <t xml:space="preserve">Подвижность, базовый бонус атаки +4 </t>
  </si>
  <si>
    <t>Передвижение до и после рукопашной атаки</t>
  </si>
  <si>
    <t xml:space="preserve">Улучшенное Изгнание </t>
  </si>
  <si>
    <t>+1 уровень к проверкам изгнания</t>
  </si>
  <si>
    <t>Улучшенная Инициатива¹</t>
  </si>
  <si>
    <t>+4 бонус к проверкам инициативы</t>
  </si>
  <si>
    <t xml:space="preserve">Улучшенное Контрзаклинание </t>
  </si>
  <si>
    <t>Использовать контрзаклинание против заклинаний той же школы</t>
  </si>
  <si>
    <t>Улучшенное Критическое Попадание¹˒²</t>
  </si>
  <si>
    <t>Квалификация в оружии, базовый бонус атаки +8</t>
  </si>
  <si>
    <t>Удвоенный диапазон угрозы у оружия</t>
  </si>
  <si>
    <t>Улучшенный Невооруженный Удар¹</t>
  </si>
  <si>
    <t>Принимается вооруженным, даже когда в руках нет оружия</t>
  </si>
  <si>
    <t xml:space="preserve">Улучшенный Захват¹ </t>
  </si>
  <si>
    <t xml:space="preserve">Ловк 13, Улучшенный Невооруженный Удар </t>
  </si>
  <si>
    <t>+4 бонус к проверкам захвата; нет благоприятной атаки</t>
  </si>
  <si>
    <t xml:space="preserve">Отклонение Стрел¹ </t>
  </si>
  <si>
    <t>Отклонение одной стрелковой атаки в раунд</t>
  </si>
  <si>
    <t>Ловить Стрелы¹</t>
  </si>
  <si>
    <t>Ловк 15, Отклонение Стрел, Улучшенный Невооруженный Удар</t>
  </si>
  <si>
    <t>Ловля отклоненной стрелковой атаки</t>
  </si>
  <si>
    <t>Ошеломляющий Удар¹</t>
  </si>
  <si>
    <t>Ловк 13, Мудр 13, Улучшенный Невооруженный Удар, базовый бонус атаки +8</t>
  </si>
  <si>
    <t>Ошеломление оппонента невооруженным ударом</t>
  </si>
  <si>
    <t xml:space="preserve">Усердный </t>
  </si>
  <si>
    <t>+2 бонус к проверкам Оценки и Расшифровки</t>
  </si>
  <si>
    <t>Ускоренная Готовность¹</t>
  </si>
  <si>
    <t>+1 Вынуть оружие из ножен свободное действие</t>
  </si>
  <si>
    <t>Фокусировка в Заклинаниях²</t>
  </si>
  <si>
    <t>+1 к КС спасбросков в выбранной школе магии</t>
  </si>
  <si>
    <t>Повышенная Фокусировка в Заклинания²</t>
  </si>
  <si>
    <t xml:space="preserve">Фокусировка в Навыке² </t>
  </si>
  <si>
    <t>+3 бонус к проверкам выбранного навыка</t>
  </si>
  <si>
    <t>Фокусировка на Оружии¹˒²</t>
  </si>
  <si>
    <t>+1 бонус к броскам атаки с выбранным оружием</t>
  </si>
  <si>
    <t xml:space="preserve">Специализация в Оружии¹˒² </t>
  </si>
  <si>
    <t>Квалификация с оружием, Фокусировка в Оружие, воин 4-го уровня</t>
  </si>
  <si>
    <t>+2 бонус к броскам повреждения с выбранным оружием</t>
  </si>
  <si>
    <t>Повышенная Фокусировка на Оружии¹˒²</t>
  </si>
  <si>
    <t>Квалификация с оружием, Фокусировка в Оружие, воин 8-го уровня</t>
  </si>
  <si>
    <t>+2 бонус к броскам атаки с выбранным оружием</t>
  </si>
  <si>
    <t>Повышенная Специализация в Оружии¹˒²</t>
  </si>
  <si>
    <t>Квалификация с оружием, Повышенная Фокусировка в Оружие, Специализация в Оружие, Фокусировка в Оружие, воин 12-го уровня</t>
  </si>
  <si>
    <t>+4 бонус к броскам повреждения с выбранным оружием</t>
  </si>
  <si>
    <t xml:space="preserve">Чтение Следов </t>
  </si>
  <si>
    <t>Использование навыка Искусство Выживания для чтения следов</t>
  </si>
  <si>
    <t xml:space="preserve">Шустрые Пальцы </t>
  </si>
  <si>
    <t>+2 бонус к проверкам Блокировки Устройств и Взлома Замков</t>
  </si>
  <si>
    <t xml:space="preserve">Черты по Созданию Предметов </t>
  </si>
  <si>
    <t xml:space="preserve">Изготовить кольцо </t>
  </si>
  <si>
    <t xml:space="preserve">Заклинатель 12 уровня </t>
  </si>
  <si>
    <t>Создание магических колец</t>
  </si>
  <si>
    <t xml:space="preserve">Написать свиток </t>
  </si>
  <si>
    <t xml:space="preserve">Заклинатель 1 уровня </t>
  </si>
  <si>
    <t>Создание магических свитков</t>
  </si>
  <si>
    <t>Создать волшебное оружие или доспех</t>
  </si>
  <si>
    <t xml:space="preserve">Заклинатель 5 уровня </t>
  </si>
  <si>
    <t>Создание магического оружия или доспехов</t>
  </si>
  <si>
    <t xml:space="preserve">Создать волшебную палочку </t>
  </si>
  <si>
    <t>Создание магических, волшебных палочек</t>
  </si>
  <si>
    <t xml:space="preserve">Создать жезл </t>
  </si>
  <si>
    <t xml:space="preserve">Заклинатель 9 уровня </t>
  </si>
  <si>
    <t>Создание магических жезлов</t>
  </si>
  <si>
    <t xml:space="preserve">Создать необычный предмет </t>
  </si>
  <si>
    <t xml:space="preserve">Заклинатель 3 уровня </t>
  </si>
  <si>
    <t>Создание магических, необычных предметов</t>
  </si>
  <si>
    <t xml:space="preserve">Создать посох </t>
  </si>
  <si>
    <t>Создание магических посохов</t>
  </si>
  <si>
    <t xml:space="preserve">Сварить снадобье/зелье </t>
  </si>
  <si>
    <t>Создание магических снадобий</t>
  </si>
  <si>
    <t xml:space="preserve">Метамагические Черты </t>
  </si>
  <si>
    <t xml:space="preserve">Заклинание про Себя </t>
  </si>
  <si>
    <t>Активация заклинаний без вербальных компонентов</t>
  </si>
  <si>
    <t xml:space="preserve">Максимизировать Заклинание </t>
  </si>
  <si>
    <t>Увеличить изменяемые числовые эффекты заклинания</t>
  </si>
  <si>
    <t xml:space="preserve">Неподвижное Заклинание </t>
  </si>
  <si>
    <t>Активация заклинаний без соматических компонентов</t>
  </si>
  <si>
    <t xml:space="preserve">Повысить заклинание </t>
  </si>
  <si>
    <t>Активация заклинания как более высокого уровня</t>
  </si>
  <si>
    <t xml:space="preserve">Продлить заклинание </t>
  </si>
  <si>
    <t>Удвоить длительность заклинания</t>
  </si>
  <si>
    <t xml:space="preserve">Расширить заклинание </t>
  </si>
  <si>
    <t>Удвоить зону поражения заклинания</t>
  </si>
  <si>
    <t xml:space="preserve">Увеличить заклинание </t>
  </si>
  <si>
    <t>Удвоить диапазон заклинания</t>
  </si>
  <si>
    <t xml:space="preserve">Усилить заклинание </t>
  </si>
  <si>
    <t>Увеличить изменяемые числовые эффекты заклинания на 50%</t>
  </si>
  <si>
    <t xml:space="preserve">Ускоренное заклинание </t>
  </si>
  <si>
    <t>Активация заклинания свободным действием</t>
  </si>
  <si>
    <t>1 Воин способен выбирать эту отличительную черту как одну из своих бонусных воинских черт.</t>
  </si>
  <si>
    <t>2 Вы можете брать эту черту несколько раз. Её эффекты не слаживаются. Каждый раз, когда вы берете эту черту, она применяется к новому оружию, навыку, школе магии или набору заклинаний.</t>
  </si>
  <si>
    <t>3 Вы можете брать эту черту несколько раз. Её эффекты слаживаются.</t>
  </si>
  <si>
    <t>Ур</t>
  </si>
  <si>
    <t>бонус</t>
  </si>
  <si>
    <t>Особое</t>
  </si>
  <si>
    <t>Взбирание</t>
  </si>
  <si>
    <t>Бонусная черта</t>
  </si>
  <si>
    <t>Езда Верхом</t>
  </si>
  <si>
    <t xml:space="preserve">Приручение животных </t>
  </si>
  <si>
    <t>Прыжки</t>
  </si>
  <si>
    <t xml:space="preserve">Плавание </t>
  </si>
  <si>
    <t>Ремесло</t>
  </si>
  <si>
    <t>Бонус Атаки</t>
  </si>
  <si>
    <t xml:space="preserve">Спб Стойк. </t>
  </si>
  <si>
    <t xml:space="preserve">Спб Рефл. </t>
  </si>
  <si>
    <t>Спб Воли.</t>
  </si>
  <si>
    <t xml:space="preserve">Особое </t>
  </si>
  <si>
    <r>
      <t xml:space="preserve">Владение бардовскими музыкой изнаниями, противопесня, повыситьотвагу +1, </t>
    </r>
    <r>
      <rPr>
        <i/>
        <sz val="12"/>
        <color theme="1"/>
        <rFont val="Times New Roman"/>
        <family val="1"/>
        <charset val="204"/>
      </rPr>
      <t>гипнотизирование</t>
    </r>
  </si>
  <si>
    <t xml:space="preserve"> </t>
  </si>
  <si>
    <t xml:space="preserve">Повысить способности </t>
  </si>
  <si>
    <t>Внушение</t>
  </si>
  <si>
    <t>Повысить отвагу +2</t>
  </si>
  <si>
    <t>Повысить боевой дух</t>
  </si>
  <si>
    <t>Песнь свободы</t>
  </si>
  <si>
    <t>Повысить отвагу + 3</t>
  </si>
  <si>
    <t>Повысить героизм</t>
  </si>
  <si>
    <t>Массовое Внушение</t>
  </si>
  <si>
    <t>Повысить отвагу + 4</t>
  </si>
  <si>
    <t>Навык</t>
  </si>
  <si>
    <t>Знаемые заклинания</t>
  </si>
  <si>
    <t xml:space="preserve">Актёрство </t>
  </si>
  <si>
    <t>Обн</t>
  </si>
  <si>
    <t xml:space="preserve">Дипломатия </t>
  </si>
  <si>
    <t xml:space="preserve">Обн </t>
  </si>
  <si>
    <t xml:space="preserve">Искусство Магии </t>
  </si>
  <si>
    <t xml:space="preserve">Интл </t>
  </si>
  <si>
    <t>2¹</t>
  </si>
  <si>
    <t>Использование МагическихУстройств</t>
  </si>
  <si>
    <t xml:space="preserve">Знание  </t>
  </si>
  <si>
    <t>Интл</t>
  </si>
  <si>
    <t xml:space="preserve">Маскировка </t>
  </si>
  <si>
    <t xml:space="preserve">Прислушивание </t>
  </si>
  <si>
    <t xml:space="preserve">Расшифровка </t>
  </si>
  <si>
    <t>Сбори нформации</t>
  </si>
  <si>
    <t>Ловкие Руки</t>
  </si>
  <si>
    <t>¹ Считается что у Барда достаточно Обаяния чтобы иметь
бонусные заклинания этого уровня.</t>
  </si>
  <si>
    <t>Варвар</t>
  </si>
  <si>
    <t>Спб
Стойк.</t>
  </si>
  <si>
    <t>Спб
Рефл.</t>
  </si>
  <si>
    <t>Спб
Воли</t>
  </si>
  <si>
    <t>Ярость 1/день; безграмотность, повышенное передвижение</t>
  </si>
  <si>
    <t>Сверхъестественное уворачивание</t>
  </si>
  <si>
    <t>Езда верхом</t>
  </si>
  <si>
    <t>Ощущение ловушек +1</t>
  </si>
  <si>
    <t>Ярость 2/день</t>
  </si>
  <si>
    <t>Искуство выживания</t>
  </si>
  <si>
    <t>Улучшенное сверхъестественное уворачивание</t>
  </si>
  <si>
    <t>Ощущение ловушек +2</t>
  </si>
  <si>
    <t>Снижение повреждений 1/—</t>
  </si>
  <si>
    <t>Ярость 3/день</t>
  </si>
  <si>
    <t>Ощущение ловушек +3</t>
  </si>
  <si>
    <t>Снижение повреждений 2/—</t>
  </si>
  <si>
    <t>Приручение животных</t>
  </si>
  <si>
    <t>Повышенная ярость</t>
  </si>
  <si>
    <t>Ярость 4/день, Ощущение ловушек +4</t>
  </si>
  <si>
    <t>Прислушивание</t>
  </si>
  <si>
    <t>Снижение повреждений 3/—</t>
  </si>
  <si>
    <t>Непробиваемая воля</t>
  </si>
  <si>
    <t>Ощущение ловушек +5</t>
  </si>
  <si>
    <t>Снижение повреждений 4/—, ярость 5/день,</t>
  </si>
  <si>
    <t>Неутомимая ярость</t>
  </si>
  <si>
    <t>Ощущение ловушек +6</t>
  </si>
  <si>
    <t>Снижение повреждений 5/—</t>
  </si>
  <si>
    <t>Могучая ярость, ярость 6/день</t>
  </si>
  <si>
    <t>Вор</t>
  </si>
  <si>
    <t>Спб.
Стойк.</t>
  </si>
  <si>
    <t>Спб.
Рефл.</t>
  </si>
  <si>
    <t>Спб.
Воли</t>
  </si>
  <si>
    <t>Коварная атака +1d6, обнаружение ловушек</t>
  </si>
  <si>
    <t xml:space="preserve">Баланс </t>
  </si>
  <si>
    <t>Уклонение</t>
  </si>
  <si>
    <t>Бесшумное Передвижение</t>
  </si>
  <si>
    <t xml:space="preserve">Ловк </t>
  </si>
  <si>
    <t>Коварная атака +2d6, ощущение ловушек +1</t>
  </si>
  <si>
    <t xml:space="preserve">Блеф </t>
  </si>
  <si>
    <t xml:space="preserve">Взбирание </t>
  </si>
  <si>
    <t>Коварная атака +3d6</t>
  </si>
  <si>
    <t xml:space="preserve">Взлом Замка </t>
  </si>
  <si>
    <t>Коварная атака +4d6</t>
  </si>
  <si>
    <t xml:space="preserve">Запугивание </t>
  </si>
  <si>
    <t xml:space="preserve">Использование Верёвки </t>
  </si>
  <si>
    <t>Коварная атака +5d6</t>
  </si>
  <si>
    <t xml:space="preserve">Использование Магических Устройств </t>
  </si>
  <si>
    <t>Особая способность</t>
  </si>
  <si>
    <t xml:space="preserve">Искусство Побега </t>
  </si>
  <si>
    <t>Коварная атака +6d6</t>
  </si>
  <si>
    <t>Ощущение ловушек +4</t>
  </si>
  <si>
    <t>Отслеживание</t>
  </si>
  <si>
    <t xml:space="preserve">Мудр </t>
  </si>
  <si>
    <t>Коварная атака +7d6, особая способность</t>
  </si>
  <si>
    <t xml:space="preserve">Оценка </t>
  </si>
  <si>
    <t xml:space="preserve">Падение/Акробатика </t>
  </si>
  <si>
    <t>Коварная атака +8d6, ощущение ловушек +5</t>
  </si>
  <si>
    <t xml:space="preserve">Подделка </t>
  </si>
  <si>
    <t>Коварная атака +9d6</t>
  </si>
  <si>
    <t xml:space="preserve">Поиск </t>
  </si>
  <si>
    <t>Коварная атака +10d6, особая способность</t>
  </si>
  <si>
    <t xml:space="preserve">Профессия </t>
  </si>
  <si>
    <t xml:space="preserve">Прыжки </t>
  </si>
  <si>
    <t xml:space="preserve">Раскодирование Шрифтов </t>
  </si>
  <si>
    <t xml:space="preserve">Ремесло </t>
  </si>
  <si>
    <t xml:space="preserve">Сбор Информации </t>
  </si>
  <si>
    <t xml:space="preserve">Блокировка Устройств </t>
  </si>
  <si>
    <t xml:space="preserve">Скрытность </t>
  </si>
  <si>
    <t xml:space="preserve">Ловкие Руки </t>
  </si>
  <si>
    <t xml:space="preserve">Чувство Мотива </t>
  </si>
  <si>
    <t>Спб Стойк.</t>
  </si>
  <si>
    <t>Спб Рефл.</t>
  </si>
  <si>
    <t>Заклинаний в День</t>
  </si>
  <si>
    <t>Чувство природы, животное спутник, дикая эмпатия</t>
  </si>
  <si>
    <t>Тело</t>
  </si>
  <si>
    <t>Передвижение по лесу</t>
  </si>
  <si>
    <t>Передвижение без следов</t>
  </si>
  <si>
    <t>Устойчивость к соблазнам природы</t>
  </si>
  <si>
    <t>Искусство Выживания</t>
  </si>
  <si>
    <t>Обращение в животное (1/день)</t>
  </si>
  <si>
    <t>Искусство Магии</t>
  </si>
  <si>
    <t>Обращение в животное (2/день)</t>
  </si>
  <si>
    <t>Обращение в животное (3/день)</t>
  </si>
  <si>
    <t>Знание (природа)</t>
  </si>
  <si>
    <t>Обращение в животное (Большое)</t>
  </si>
  <si>
    <t>Иммунитет к ядам</t>
  </si>
  <si>
    <t>Профессия</t>
  </si>
  <si>
    <t>Обращение в животное (4/день)</t>
  </si>
  <si>
    <t>Обращ. в животное (Крошечное)</t>
  </si>
  <si>
    <t>Приручение Животных</t>
  </si>
  <si>
    <t>Обращение в животное (Растение)</t>
  </si>
  <si>
    <t>Тысячи лиц</t>
  </si>
  <si>
    <t>Обращение в животное (5/день)</t>
  </si>
  <si>
    <t>Обращение в животное (Оргомное), Вечное тело</t>
  </si>
  <si>
    <t>Обращение в элементаль (1/день)</t>
  </si>
  <si>
    <t>Обращение в животное (6/день) элементаль (2/день)</t>
  </si>
  <si>
    <t>Обращение в элементаль (3/день, Огромная элементаль)</t>
  </si>
  <si>
    <t>ЖИВОТНОЕ-СПУТНИК ДРУИДА</t>
  </si>
  <si>
    <t>Уровень Класса</t>
  </si>
  <si>
    <t>Бонусные КХП</t>
  </si>
  <si>
    <t>Природная Корр. Доспеха</t>
  </si>
  <si>
    <t>Корр. Сила/ Ловк</t>
  </si>
  <si>
    <t>Доп. Трюки</t>
  </si>
  <si>
    <t>1-й–2-й</t>
  </si>
  <si>
    <t>Связь, совместные заклинания</t>
  </si>
  <si>
    <t>3-й–5-й</t>
  </si>
  <si>
    <t>6-й–8-й</t>
  </si>
  <si>
    <t>Преданность</t>
  </si>
  <si>
    <t>9-й–11-й</t>
  </si>
  <si>
    <t>Мультиатака</t>
  </si>
  <si>
    <t>12-й–14-й</t>
  </si>
  <si>
    <t>15-й–17-й</t>
  </si>
  <si>
    <t>Улучшенное уклонение</t>
  </si>
  <si>
    <t>18-й–20-й</t>
  </si>
  <si>
    <t>Боги</t>
  </si>
  <si>
    <t>Мировоззрение</t>
  </si>
  <si>
    <t>Основные Сферы</t>
  </si>
  <si>
    <t>Типичные Последователи</t>
  </si>
  <si>
    <t>ЗД</t>
  </si>
  <si>
    <t>Война, Добро, Закон</t>
  </si>
  <si>
    <t>Паладины, воины, монахи</t>
  </si>
  <si>
    <t>Добро, Земля, Закон, Защита</t>
  </si>
  <si>
    <t>Дварфы</t>
  </si>
  <si>
    <t>Изгнание Нежити</t>
  </si>
  <si>
    <t>1+1</t>
  </si>
  <si>
    <t>Добро, Закон, Защита</t>
  </si>
  <si>
    <t>Халфлинги</t>
  </si>
  <si>
    <t>2+1</t>
  </si>
  <si>
    <t>НД</t>
  </si>
  <si>
    <t>Добро, Животные, Растения, Солнце</t>
  </si>
  <si>
    <t>Эльфы, гномы, полуэльфы, халфлинги, рейнджеры, друиды.</t>
  </si>
  <si>
    <t>Добро, Защита, Мошенничество</t>
  </si>
  <si>
    <t>Гномы</t>
  </si>
  <si>
    <t>3+1</t>
  </si>
  <si>
    <t>Добро, Лечение, Сила, Солнце</t>
  </si>
  <si>
    <t>Рейнджеры, барды</t>
  </si>
  <si>
    <t>Знание (магия)</t>
  </si>
  <si>
    <t>ХД</t>
  </si>
  <si>
    <t>Война, Добро, Защита, Хаос</t>
  </si>
  <si>
    <t>Эльфы, полуэльфы, барды</t>
  </si>
  <si>
    <t>Знание (религия)</t>
  </si>
  <si>
    <t>Добро, Сила, Удача, Хаос</t>
  </si>
  <si>
    <t>Воины, варвары, воры, атлеты/спортсмены</t>
  </si>
  <si>
    <t>Знание (планы)</t>
  </si>
  <si>
    <t>4+1</t>
  </si>
  <si>
    <t>ЗН</t>
  </si>
  <si>
    <t>Закон, Магия, Смерть</t>
  </si>
  <si>
    <t>Маги, некромансеры, чародеи</t>
  </si>
  <si>
    <t>Закон, Защита, Разрушения, Сила</t>
  </si>
  <si>
    <t>Воины, монахи, солдаты</t>
  </si>
  <si>
    <t>Н</t>
  </si>
  <si>
    <t>Знание, Магия, Мошенничество</t>
  </si>
  <si>
    <t>Маги, чародеи, ученые</t>
  </si>
  <si>
    <t>Защита, Путешествие, Удача</t>
  </si>
  <si>
    <t>Барды, купцы, искатели приключений</t>
  </si>
  <si>
    <t>5+1</t>
  </si>
  <si>
    <t>Вода, Воздух, Животные, Земля, Растения, Огонь</t>
  </si>
  <si>
    <t>Друиды, варвары, рейнджеры</t>
  </si>
  <si>
    <t>ХН</t>
  </si>
  <si>
    <t>Мошенничество, Удача, Хаос</t>
  </si>
  <si>
    <t>Воры, барды, всяческие мошенники</t>
  </si>
  <si>
    <t>ЗЗ</t>
  </si>
  <si>
    <t>Война, Закон, Зло, Разрушения</t>
  </si>
  <si>
    <t>Злые воины и монахи</t>
  </si>
  <si>
    <t>НЗ</t>
  </si>
  <si>
    <t>Зло, Мошенничество, Смерть</t>
  </si>
  <si>
    <t>Злые некромансеры и воры</t>
  </si>
  <si>
    <t>Знание, Зло, Магия</t>
  </si>
  <si>
    <t>Злые маги и чародеи, воры и шпионы</t>
  </si>
  <si>
    <t>ХЗ</t>
  </si>
  <si>
    <t>Война, Зло, Мошенничество, Хаос</t>
  </si>
  <si>
    <t>Злые воины, варвары, воры</t>
  </si>
  <si>
    <t>Война, Зло, Сила, Хаос</t>
  </si>
  <si>
    <t>Полуорки, орки</t>
  </si>
  <si>
    <t>Талисман</t>
  </si>
  <si>
    <t>Знание</t>
  </si>
  <si>
    <t>(все навыки, каждый берётся индивидуально)</t>
  </si>
  <si>
    <t>Призыв Талисмана, Написать свиток</t>
  </si>
  <si>
    <t>Ворона</t>
  </si>
  <si>
    <t>У хозяина +3 бонус к Оценке</t>
  </si>
  <si>
    <t>Жаба</t>
  </si>
  <si>
    <t>У хозяина +3 хит-поинта</t>
  </si>
  <si>
    <t>Змея2</t>
  </si>
  <si>
    <t>У хозяина +3 бонус к Блефу</t>
  </si>
  <si>
    <t>Кошка</t>
  </si>
  <si>
    <t>У хозяина +3 бонус к Бесшумному Передвижению</t>
  </si>
  <si>
    <t>Расшифровка</t>
  </si>
  <si>
    <t xml:space="preserve"> Бонусная черта</t>
  </si>
  <si>
    <t>Крыса</t>
  </si>
  <si>
    <t>У хозяина +2 бонус к проверкам Стойкости</t>
  </si>
  <si>
    <t>Ласка</t>
  </si>
  <si>
    <t>У хозяина +2 бонус к проверкам Рефлекса</t>
  </si>
  <si>
    <t>Летуч. Мышь</t>
  </si>
  <si>
    <t>У хозяина +3 бонус к Прислушиванию</t>
  </si>
  <si>
    <t>Сова</t>
  </si>
  <si>
    <t>У хозяина +3 бонус к Отслежив. в сумерках и ночью</t>
  </si>
  <si>
    <t>Ястреб</t>
  </si>
  <si>
    <t>У хозяина +3 бонус к Отслежив. при дневн. свете</t>
  </si>
  <si>
    <t>Ящерица</t>
  </si>
  <si>
    <t>У хозяина +3 бонус к Взбиранию</t>
  </si>
  <si>
    <t>Магическое Слежение за Талисманом (Пдз): Если хозяин 13-го 
и выше уровня, он способен магически следить за своим талисма ном (так, будто он применяет заклинание магическое слежение) 
один раз в день</t>
  </si>
  <si>
    <t>Уровень Класса Хозяина</t>
  </si>
  <si>
    <t>Корр. Природного Доспеха</t>
  </si>
  <si>
    <t>1–2</t>
  </si>
  <si>
    <t>Настороженность, улучшенное уклонение, совместные заклинания, эмпатическая связь</t>
  </si>
  <si>
    <t>3–4</t>
  </si>
  <si>
    <t>Перенос касательных заклинаний</t>
  </si>
  <si>
    <t>5–6</t>
  </si>
  <si>
    <t>Общение с хозяином</t>
  </si>
  <si>
    <t>7–8</t>
  </si>
  <si>
    <t>Общение с животными своего типа</t>
  </si>
  <si>
    <t>9–10</t>
  </si>
  <si>
    <t>11–12</t>
  </si>
  <si>
    <t>Устойчивость к Магии</t>
  </si>
  <si>
    <t>13–14</t>
  </si>
  <si>
    <t>Магическое слежение за талисманом</t>
  </si>
  <si>
    <t>15–16</t>
  </si>
  <si>
    <t>17–18</t>
  </si>
  <si>
    <t>19–20</t>
  </si>
  <si>
    <t>Монах</t>
  </si>
  <si>
    <t>Бонус атаки Шквала ударов</t>
  </si>
  <si>
    <t>Невооруж Поврежд1</t>
  </si>
  <si>
    <t>Бонус КД</t>
  </si>
  <si>
    <t>Скорость без Доспехов</t>
  </si>
  <si>
    <t>Актёрство</t>
  </si>
  <si>
    <t>Бонусная черта, шквал ударов, невооруженный удар</t>
  </si>
  <si>
    <t>1d6</t>
  </si>
  <si>
    <t>+0 м.</t>
  </si>
  <si>
    <t>Бонусная черта, уклонение</t>
  </si>
  <si>
    <t>Неподвижный Разум</t>
  </si>
  <si>
    <t>+3 м.</t>
  </si>
  <si>
    <t>Замедленное Падение (6 м.), Удар Ци</t>
  </si>
  <si>
    <t>1d8</t>
  </si>
  <si>
    <t>Чистота тела</t>
  </si>
  <si>
    <t>Бонусная черта, замедленное Падение (9 м.)</t>
  </si>
  <si>
    <t>+6 м.</t>
  </si>
  <si>
    <t>Целостность Тела</t>
  </si>
  <si>
    <t>Искусство Побега</t>
  </si>
  <si>
    <t>Замедленное Падение (12м.)</t>
  </si>
  <si>
    <t>1d10</t>
  </si>
  <si>
    <t>Улучшенное Уклонение</t>
  </si>
  <si>
    <t>+9 м.</t>
  </si>
  <si>
    <t>Замедленное Падение (15 м.), удар Ци (законный)</t>
  </si>
  <si>
    <t>Алмазное Тело, повышенный шквал</t>
  </si>
  <si>
    <t>Замедленное Падение(18 м.), Поражающий Шаг</t>
  </si>
  <si>
    <t>2d6</t>
  </si>
  <si>
    <t>+12 м.</t>
  </si>
  <si>
    <t>Алмазная душа</t>
  </si>
  <si>
    <t>Замедленное Падение (21 м.)</t>
  </si>
  <si>
    <t>Содрагающая Длань</t>
  </si>
  <si>
    <t>+15 м.</t>
  </si>
  <si>
    <t>Падение/Кульбиты</t>
  </si>
  <si>
    <t>Замедленное Падение (24 м.), Удар Ци (адамнтиновый)</t>
  </si>
  <si>
    <t>2d8</t>
  </si>
  <si>
    <t>Скрытность</t>
  </si>
  <si>
    <t>Нестареющее Тело Язык солнца и луны</t>
  </si>
  <si>
    <t>Замедленное Падение (27 м.)</t>
  </si>
  <si>
    <t>+18 м.</t>
  </si>
  <si>
    <t>Пустота Тела</t>
  </si>
  <si>
    <t>Замедленное Падение (любое расстояние) Собственное Улучшение</t>
  </si>
  <si>
    <t>2d10</t>
  </si>
  <si>
    <t>Повр. (Маленький Монах)</t>
  </si>
  <si>
    <t>Повр. (Большой Монах)</t>
  </si>
  <si>
    <t>1d4</t>
  </si>
  <si>
    <t>3d6</t>
  </si>
  <si>
    <t>3d8</t>
  </si>
  <si>
    <t>4d8</t>
  </si>
  <si>
    <t>Спб. Стойк.</t>
  </si>
  <si>
    <t>Спб. Рефл.</t>
  </si>
  <si>
    <t>Спб. Воли</t>
  </si>
  <si>
    <t>Аура добра, обнаружение зла, поразить зло 1/день</t>
  </si>
  <si>
    <t>Излечивающее прикосновение, божественная изящность</t>
  </si>
  <si>
    <t>Знание (дворянство и королевский двор)</t>
  </si>
  <si>
    <t>Аура храбрости, божественное здоровье</t>
  </si>
  <si>
    <t>Изгнание нежити</t>
  </si>
  <si>
    <t>Необычный скакун, поразить зло 2/день</t>
  </si>
  <si>
    <t>Излечение болезни 1/неделю</t>
  </si>
  <si>
    <t>Обн, Интл</t>
  </si>
  <si>
    <t>Излечение болезни 2/неделю</t>
  </si>
  <si>
    <t>Чувство Мотива</t>
  </si>
  <si>
    <t>Поразить зло 3/день</t>
  </si>
  <si>
    <t>Излечение болезни 3/неделю</t>
  </si>
  <si>
    <t>Излечение болезни 4/неделю, поразить зло 4/день</t>
  </si>
  <si>
    <t>Излечение болезни 5/неделю</t>
  </si>
  <si>
    <t>Поразить зло 5/день</t>
  </si>
  <si>
    <t>СКАКУН ПАЛАДИНА</t>
  </si>
  <si>
    <t>Уровень Паладина</t>
  </si>
  <si>
    <t>Бонус КХП</t>
  </si>
  <si>
    <t>Корр. Природн. Доспех</t>
  </si>
  <si>
    <t>Корр. Силы</t>
  </si>
  <si>
    <t>5–7</t>
  </si>
  <si>
    <t>Улучшенное уклонение, совместные заклинания, эмпатическая связь, совместные спасброски</t>
  </si>
  <si>
    <t>8–10</t>
  </si>
  <si>
    <t>Повышенная скорость</t>
  </si>
  <si>
    <t>11–14</t>
  </si>
  <si>
    <t>Командование существами своего вида</t>
  </si>
  <si>
    <t>15–20</t>
  </si>
  <si>
    <t xml:space="preserve"> ИЗБРАННЫЕ ВРАГИ РЕЙНДЖЕРА</t>
  </si>
  <si>
    <t>Тип (Подтип)</t>
  </si>
  <si>
    <t>Примеры</t>
  </si>
  <si>
    <t>Великан</t>
  </si>
  <si>
    <t>Огр</t>
  </si>
  <si>
    <t>Внешний (воздушный)</t>
  </si>
  <si>
    <t>Стрелоястреб</t>
  </si>
  <si>
    <t>Чтение следов, 1-й избранный враг</t>
  </si>
  <si>
    <t>Внешний (водный)</t>
  </si>
  <si>
    <t>Тойанида</t>
  </si>
  <si>
    <t>Стиль боя</t>
  </si>
  <si>
    <t>Внешний (добрый)</t>
  </si>
  <si>
    <t>Ангел</t>
  </si>
  <si>
    <t>Внешний (законный)</t>
  </si>
  <si>
    <t>Формиан</t>
  </si>
  <si>
    <t>Знание (география)</t>
  </si>
  <si>
    <t>Животное-спутник</t>
  </si>
  <si>
    <t>Внешний (земной)</t>
  </si>
  <si>
    <t>Ксорн</t>
  </si>
  <si>
    <t>2-й избранный враг</t>
  </si>
  <si>
    <t>Внешний (злой)</t>
  </si>
  <si>
    <t>Дьявол</t>
  </si>
  <si>
    <t>Знание (устройство подземелий)</t>
  </si>
  <si>
    <t>Улучшенный стиль боя</t>
  </si>
  <si>
    <t>Внешний (местный)</t>
  </si>
  <si>
    <t>Тифлинг</t>
  </si>
  <si>
    <t>Лесное продвижение</t>
  </si>
  <si>
    <t>Внешний (огненный)</t>
  </si>
  <si>
    <t>Саламандра</t>
  </si>
  <si>
    <t>Использование Верёвки</t>
  </si>
  <si>
    <t>Быстрый следопыт</t>
  </si>
  <si>
    <t>Внешний (хаотичный)</t>
  </si>
  <si>
    <t>Демон</t>
  </si>
  <si>
    <t>Уворачивание</t>
  </si>
  <si>
    <t>Гуманоид (водный)</t>
  </si>
  <si>
    <t>Русал</t>
  </si>
  <si>
    <t>3-й избранный враг</t>
  </si>
  <si>
    <t>Гуманоид (гоблиноид)</t>
  </si>
  <si>
    <t>Хобгоблин</t>
  </si>
  <si>
    <t>Мастерство боя</t>
  </si>
  <si>
    <t>Гуманоид (гнолл)</t>
  </si>
  <si>
    <t>Гнолл</t>
  </si>
  <si>
    <t>Гуманоид (гном)</t>
  </si>
  <si>
    <t>Гном</t>
  </si>
  <si>
    <t>Камуфляж</t>
  </si>
  <si>
    <t>Гуманоид (дварф)</t>
  </si>
  <si>
    <t>Дварф</t>
  </si>
  <si>
    <t>Гуманоид (орк)</t>
  </si>
  <si>
    <t>Орк</t>
  </si>
  <si>
    <t>4-й избранный враг</t>
  </si>
  <si>
    <t>Гуманоид (рептилиевидный)</t>
  </si>
  <si>
    <t>Кобольд</t>
  </si>
  <si>
    <t>Гуманоид (человек)</t>
  </si>
  <si>
    <t>Человек</t>
  </si>
  <si>
    <t>Скрытность в поле зрения</t>
  </si>
  <si>
    <t>Гуманоид (халфлинг)</t>
  </si>
  <si>
    <t>Халфлинг</t>
  </si>
  <si>
    <t>Гуманоид (эльф)</t>
  </si>
  <si>
    <t>Эльф</t>
  </si>
  <si>
    <t>Дракон</t>
  </si>
  <si>
    <t>Чёрный дракон</t>
  </si>
  <si>
    <t>5-й избранный враг</t>
  </si>
  <si>
    <t>Животное</t>
  </si>
  <si>
    <t>Медведь</t>
  </si>
  <si>
    <t>Магический зверь</t>
  </si>
  <si>
    <t>Сместитель</t>
  </si>
  <si>
    <t>Механизм</t>
  </si>
  <si>
    <t>Голем</t>
  </si>
  <si>
    <t>Насекомое</t>
  </si>
  <si>
    <t>Ужасный паук</t>
  </si>
  <si>
    <t>Необычный</t>
  </si>
  <si>
    <t>Бихолдер</t>
  </si>
  <si>
    <t>Нежить</t>
  </si>
  <si>
    <t>Зомби</t>
  </si>
  <si>
    <t>Растение</t>
  </si>
  <si>
    <t>Шаркающая куча</t>
  </si>
  <si>
    <t>Слизь</t>
  </si>
  <si>
    <t>Желатиновый куб</t>
  </si>
  <si>
    <t>Фея</t>
  </si>
  <si>
    <t>Дриада</t>
  </si>
  <si>
    <t>Элементаль</t>
  </si>
  <si>
    <t>Невидимый преследователь</t>
  </si>
  <si>
    <t>Заклинаний в день:</t>
  </si>
  <si>
    <t>Блеф</t>
  </si>
  <si>
    <t>Призыв талисмана</t>
  </si>
  <si>
    <t>Количество Знаемых Заклинаний</t>
  </si>
  <si>
    <t>Расовые особенности</t>
  </si>
  <si>
    <t>У гномов +2 расовый бонус к спасброскам против иллюзий, так как гномы хорошо знакомы со всеми типами иллюзий.</t>
  </si>
  <si>
    <t>Обработка камня: Из-за своей расы дварфы прибавляют +2
бонус к проверки, что бы заметить необычную обработку
камня, такую как: закрывающиеся стены, каменные ловушки, новые конструкции (даже те, что на вид старые), неустойчивые поверхности, непрочные потолки, и тому подобное. Что-то, что, похоже, подражает камню, но не каменное
считается необычной обработкой камня.</t>
  </si>
  <si>
    <t>У гномов +1 расовый бонус против кобольдов и гоблинообразных (гоблины, хобгоблины, медвежатники): Часто сражаясь с этими расами, гномы накопили опыт битв применяемый в боях против них</t>
  </si>
  <si>
    <t>Дварф находящийся в 3 метрах от необычной обработки камня, делает проверку, будто активно ищет, дварф может использовать навык Поиск, обнаружить каменные ловушки как и вор.</t>
  </si>
  <si>
    <t>У гномов +1 к Классу Сложности для всех спасбросков с акти-вированных гномами. Их врожденная осведомленность с этими эффектами, делает иллюзии более сложными для рассмотрения. Эта корректировка суммируется с иными похожими эффектами, такими от черты Фокусировка в Заклинаниях</t>
  </si>
  <si>
    <t>Дварф интуитивно чувствует глубину, наклон туннеля, точно, так как человек на поверхности ощущает на склоне где подъем, где спуск. Так как у дварфов развито шестое чувство, отношение к камню, у них достаточно возможности в развитии
этого чувства в их подземных домах</t>
  </si>
  <si>
    <t xml:space="preserve">У гномов +4 бонус к уворачиванию против существ из типа великаны: Заметьте, что если персонаж может потерять бонус к Классу Доспехов, например из-за того, что, он оторопевший, он также теряет и свой бонус уворачивания тоже. </t>
  </si>
  <si>
    <t>Получает +4 бонус к проверкам от повышенного напора или опрокидывания (но, не когда взбирается, лети, едет верхом, или ещё как-то передвигается, не касаясь почвы)</t>
  </si>
  <si>
    <t>У гномов +2 расовый бонус к проверке Ремесло (Алхимия): Очень чувствительный нос гномов позволяет им отслеживать алхимические процессы по запаху.</t>
  </si>
  <si>
    <t>У дварфов +2 расовый бонус к спасброскам против ядов: Дварфы очень устойчивы к токсическим веществам</t>
  </si>
  <si>
    <t>У дварфов +2 расовый бонус к спасброскам против заклинаний и эффектов подобным заклинаниям</t>
  </si>
  <si>
    <t>У дварфов +1 к броскам атаки против орков (включая и полуорков) и гоблиноидов (гоблины, хобгоблины имедвежатники): Дварфы разработали особые боевые умения, способные более профессионально сражаться с их постоянными врагами.</t>
  </si>
  <si>
    <t>У дварфов +4 бонус к уворачиванию против атак существ из типа
вели-кан (таких как огры, тролли и холмовые
великаны)</t>
  </si>
  <si>
    <t>У дварфов +2 расовый бонус к проверке «Ремесло» относящемуся к камню или металлу: Дварфы особенно искусны с обработкой камня и металлов</t>
  </si>
  <si>
    <t>Макс ХП</t>
  </si>
  <si>
    <t>Прогресс уровня</t>
  </si>
  <si>
    <t xml:space="preserve">До следующего уровня </t>
  </si>
  <si>
    <t>Полугиганты получают расовый бонус +2 к спасброскам против всех огненных заклинаний и эффектов. Полугиганты привыкли переносить высокие температуры.</t>
  </si>
  <si>
    <t>Полувеликаны</t>
  </si>
  <si>
    <t>Аспект</t>
  </si>
  <si>
    <t>Драконорожденные</t>
  </si>
  <si>
    <t>Сердце</t>
  </si>
  <si>
    <t>Сердце (Св): Драконорождённый, выбравший сердце в качестве своего драконьего аспекта, получает оружие дыхания. Оружие дыхания — это яркая, сияющая линия, которая сверкает всеми металлическими цветами. Длина линии составляет 5 футов за каждый Hit Die драконорождённого, до максимума в 100 футов при 20 HD. Оружие дыхания наносит 1d8 очков урона, плюс дополнительные 1d8 очков за каждые 3 HD драконорождённого (2d8 при 3 HD, 3d8 при 6 HD и так далее). Урон может быть кислотой, холодом, электричеством или огнём, меняясь при каждом использовании по выбору драконорождённого. Успешный спасбросок по Рефлексу (DC 10 + 1/2 HD драконорождённого + его модификатор Con) уменьшает урон вдвое.</t>
  </si>
  <si>
    <t>Разум</t>
  </si>
  <si>
    <t>Крылья</t>
  </si>
  <si>
    <t>Разум (Ex): Драконорождённый, выбравший аспект разума, обостряет свои чувства, получая иммунитет к параличу и магическому сну. Он получает тёмное зрение до 30 футов и зрение при слабом освещении, а также расовый бонус +2 к проверкам Слушания, Поиска и Обнаружения.
При уровне HD 6 темновидение драконорождённого расширяется до 60 футов.
При уровне HD 9 темновидение драконорождённого простирается до 90 футов, а его способность видеть при слабом освещении позволяет ему видеть в три раза дальше человека в условиях слабого освещения.
При уровне 12 HD темновидение драконорождённого простирается до 120 футов, а её зрение при слабом освещении позволяет ей видеть в четыре раза дальше человека в условиях слабого освещения.
При уровне HD 15 драконорождённый получает слепое зрение на расстоянии до 30 футов.</t>
  </si>
  <si>
    <t xml:space="preserve">Крылья (Ex): Драконорождённый, выбравший аспект крыльев, вылупляется с полностью сформированными крыльями. Драконорождённый может использовать эти крылья для прыжков (давая расовый бонус +10 к проверкам прыжков) и для планирования. Те, у кого 6 HD или больше, могут использовать свои крылья для полёта.
</t>
  </si>
  <si>
    <t>Планирование</t>
  </si>
  <si>
    <t>Планирование: Драконорождённый может использовать свои крылья для планирования, сводя на нет урон от падения с любой высоты и позволяя 20 футов движения вперёд на каждые 5 футов спуска. Драконорождённый скользит со скоростью 30 футов со средней манёвренностью. Даже если манёвренность драконорождённого улучшается, он не может зависать во время планирования. Драконорождённый не может планировать, неся средний или тяжёлый груз.
Если драконорожденный теряет сознание или становится беспомощным в воздухе, его крылья естественным образом раскрываются, а мощные связки укрепляют их. Драконорожденный медленно спускается в тугом штопоре и получает всего 1d6 очков урона от падения, независимо от фактической высоты падения.</t>
  </si>
  <si>
    <t>Полет: Когда драконорождённый, выбравший аспект крыльев, достигает 6 HD, он получает скорость полёта 30 футов со средней маневренностью. Драконорождённый не может летать, неся средний или тяжёлый груз или будучи утомлённым или изнурённым.
Драконорождённый может безопасно летать в течение количества последовательных раундов, равного его модификатору Телосложения (минимум 1 раунд). Он может удвоить эту длину полета, но устаёт от такого напряжения. Драконорождённый также устаёт, проведя в общей сложности более 10 минут в день в полёте. Поскольку драконорождённый может планировать до, после и между раундами фактического полета, он может оставаться в воздухе в течение длительного времени, даже если он может использовать полет только в течение 1 раунда за раз, не уставая.
Когда она достигает 12 HD, драконорождённый имеет достаточно выносливости и мастерства, чтобы летать без устали. Она может летать со скоростью 30 футов (средняя маневренность) с не большим усилием, чем при ходьбе или беге.
Драконорождённый с полётом может совершить атаку пикированием. Атака пикированием работает как рывок, но драконорождённый должен переместиться минимум на 30 футов и опуститься минимум на 10 футов. Драконорождённый может совершить атаку пикированием только при использовании колющего оружия. Если атака пикированием попадает, она наносит двойной урон.</t>
  </si>
  <si>
    <t>Полет</t>
  </si>
  <si>
    <t>Бонус +2 уклонения к классу брони против существ типа дракона. У драконорожденных есть врожденное чувство того, как лучше всего защитить себя от потенциальных врагов.
Иммунитет к пугающему присутствию: Драконорождённые невосприимчивы к пугающему присутствию драконов, как если бы они сами были драконами.</t>
  </si>
  <si>
    <t>Гигант: Полугиганты не подвержены заклинаниям или эффектам, которые действуют только на гуманоидов, например, очарование или подчинение.</t>
  </si>
  <si>
    <t>Зрение при слабом освещении: полугигант может видеть в два раза дальше, чем человек, при свете звёзд, луны, факелов и в других условиях слабого освещения. Он сохраняет способность различать цвета и детали в таких условиях.</t>
  </si>
  <si>
    <t>Способность, похожая на пси-способность: 1 раз в день — топот. Уровень манифестатора равен ½ кубика хитов (минимум 1-й). Сопротивление спасброска зависит от харизмы.</t>
  </si>
  <si>
    <t>Незадано</t>
  </si>
  <si>
    <t>Регулировка уровня</t>
  </si>
  <si>
    <t>Хайрониус</t>
  </si>
  <si>
    <t xml:space="preserve"> бог доблести</t>
  </si>
  <si>
    <t>Морадин</t>
  </si>
  <si>
    <t xml:space="preserve"> бог дварфов</t>
  </si>
  <si>
    <t>Йондалла</t>
  </si>
  <si>
    <t xml:space="preserve"> богиня халфлингов</t>
  </si>
  <si>
    <t>Эхлонна</t>
  </si>
  <si>
    <t xml:space="preserve"> богиня лесной местности</t>
  </si>
  <si>
    <t>Гарл Глиттергольд</t>
  </si>
  <si>
    <t xml:space="preserve"> бог гномов</t>
  </si>
  <si>
    <t>Пелор</t>
  </si>
  <si>
    <t xml:space="preserve"> бог солнца</t>
  </si>
  <si>
    <t>Кореллон Ларесйан</t>
  </si>
  <si>
    <t xml:space="preserve"> бог эльфов</t>
  </si>
  <si>
    <t>Корд</t>
  </si>
  <si>
    <t xml:space="preserve"> бог силы</t>
  </si>
  <si>
    <t>Вии Джас</t>
  </si>
  <si>
    <t>Св. Кутберт</t>
  </si>
  <si>
    <t xml:space="preserve"> бог возмездия</t>
  </si>
  <si>
    <t>Боккоб</t>
  </si>
  <si>
    <t xml:space="preserve"> бог магии</t>
  </si>
  <si>
    <t>Фарлахнгун</t>
  </si>
  <si>
    <t xml:space="preserve"> бог дорог</t>
  </si>
  <si>
    <t>Обад-Хай</t>
  </si>
  <si>
    <t xml:space="preserve"> бог природы</t>
  </si>
  <si>
    <t>Олидаммара</t>
  </si>
  <si>
    <t xml:space="preserve"> бог воров</t>
  </si>
  <si>
    <t>Хекстор</t>
  </si>
  <si>
    <t xml:space="preserve"> бог тирании</t>
  </si>
  <si>
    <t>Нерулл</t>
  </si>
  <si>
    <t xml:space="preserve"> бог смерти</t>
  </si>
  <si>
    <t>Векна</t>
  </si>
  <si>
    <t xml:space="preserve"> бог тайн и секретов</t>
  </si>
  <si>
    <t>Эриснул</t>
  </si>
  <si>
    <t xml:space="preserve"> бог кровопролития</t>
  </si>
  <si>
    <t>Груумш</t>
  </si>
  <si>
    <t xml:space="preserve"> бог орков</t>
  </si>
  <si>
    <t xml:space="preserve"> богиня смерти,  магии</t>
  </si>
  <si>
    <t>Великие божества</t>
  </si>
  <si>
    <t>Средние божества</t>
  </si>
  <si>
    <t>Меньшие боги</t>
  </si>
  <si>
    <t>Полубожества</t>
  </si>
  <si>
    <t>Мёртвые боги</t>
  </si>
  <si>
    <t>Акади (Akadi)</t>
  </si>
  <si>
    <t xml:space="preserve"> Богиня воздуха, движения, скорости, летающих существ</t>
  </si>
  <si>
    <t>Бэйн (Bane)</t>
  </si>
  <si>
    <t xml:space="preserve"> Бог раздора, ненависти, тирании, страха</t>
  </si>
  <si>
    <t>Грумбар (Grumbar)</t>
  </si>
  <si>
    <t xml:space="preserve"> Бог земли, твёрдости, постоянства, клятв</t>
  </si>
  <si>
    <t>Истишия (Istishia)</t>
  </si>
  <si>
    <t xml:space="preserve"> Бог воды, чистоты, слабости</t>
  </si>
  <si>
    <t>Келемвор (Kelemvor)</t>
  </si>
  <si>
    <t xml:space="preserve"> Бог смерти, мертвых</t>
  </si>
  <si>
    <t>Коссут (Kossuth)</t>
  </si>
  <si>
    <t xml:space="preserve"> Бог огня</t>
  </si>
  <si>
    <t>Латандер (Lathander)</t>
  </si>
  <si>
    <t xml:space="preserve"> Бог весны, рассвета, рождения, молодости, здоровья, спорта</t>
  </si>
  <si>
    <t>Ллос (Lloth)</t>
  </si>
  <si>
    <t xml:space="preserve"> Богиня пауков, разрушения, дроу, темноты, предательства</t>
  </si>
  <si>
    <t>Мистра (Mystra)</t>
  </si>
  <si>
    <t xml:space="preserve"> Богиня магии</t>
  </si>
  <si>
    <t>Огма (Oghma)</t>
  </si>
  <si>
    <t xml:space="preserve"> Бог знаний, изобретений, вдохновения, бардов</t>
  </si>
  <si>
    <t>Сильванус (Silvanus)</t>
  </si>
  <si>
    <t xml:space="preserve"> Бог дикой природы, друидов</t>
  </si>
  <si>
    <t>Сирик (Cyric)</t>
  </si>
  <si>
    <t xml:space="preserve"> Бог убийства, лжи, интриг, жульничества, иллюзий</t>
  </si>
  <si>
    <t>Сунэ (Sune)</t>
  </si>
  <si>
    <t xml:space="preserve"> Богиня красоты, любви, страсти</t>
  </si>
  <si>
    <t>Сэлунэ(Selûne)</t>
  </si>
  <si>
    <t xml:space="preserve"> Богиня луны, звёзд, навигации, пророчеств, добрых и нейтральных оборотней</t>
  </si>
  <si>
    <t>Талос (Талос)</t>
  </si>
  <si>
    <t xml:space="preserve"> Бог грома, разрушения, восстаний, пожаров, землетрясений, вихрей</t>
  </si>
  <si>
    <t>Темпус (Tempus)</t>
  </si>
  <si>
    <t xml:space="preserve"> Бог войны</t>
  </si>
  <si>
    <t>Тир (Tyr)</t>
  </si>
  <si>
    <t xml:space="preserve"> Бог правосудия</t>
  </si>
  <si>
    <t>Убтао (Ubtao)</t>
  </si>
  <si>
    <t xml:space="preserve"> Бог создания, джунглей, Чулта, динозавров</t>
  </si>
  <si>
    <t>Чаунтия (Chauntea)</t>
  </si>
  <si>
    <t xml:space="preserve"> Богиня сельского хозяйства, лета, фермеров, садовников</t>
  </si>
  <si>
    <t>Шар (Shar)</t>
  </si>
  <si>
    <t xml:space="preserve"> Богиня тьмы, ночи, потери, забвения, секретов, подземелий, Андердарка</t>
  </si>
  <si>
    <t>Асмодей (Asmodeus)</t>
  </si>
  <si>
    <t xml:space="preserve"> Бог греха</t>
  </si>
  <si>
    <t>Бешаба (Beshaba)</t>
  </si>
  <si>
    <t xml:space="preserve"> Богиня неудачи, несчастных случаев</t>
  </si>
  <si>
    <t>Гонд (Gond)</t>
  </si>
  <si>
    <t xml:space="preserve"> Бог ремёсел, изобретений, кузнечества, конструирования</t>
  </si>
  <si>
    <t>Илматер (Ilmater)</t>
  </si>
  <si>
    <t xml:space="preserve"> Бог выносливости, страданий, мученичества, упорства</t>
  </si>
  <si>
    <t>Миеликки (Mielikki)</t>
  </si>
  <si>
    <t xml:space="preserve"> Богиня лесов, лесных существ, следопытов, дриад, осени</t>
  </si>
  <si>
    <t>Тимора (Tymora)</t>
  </si>
  <si>
    <t xml:space="preserve"> Богиня удачи, мастерства, победы, искателей приключений</t>
  </si>
  <si>
    <t>Амберли (Umberlee)</t>
  </si>
  <si>
    <t xml:space="preserve"> Богиня океанов, течений, волн, морских ветров</t>
  </si>
  <si>
    <t>Хельм (Helm)</t>
  </si>
  <si>
    <t xml:space="preserve"> Бог стражей, защитников, заступников, целителей</t>
  </si>
  <si>
    <t>Азут (Azuth)</t>
  </si>
  <si>
    <t xml:space="preserve"> Бог магов и прочих заклинателей</t>
  </si>
  <si>
    <t>Денеир (Deneir)</t>
  </si>
  <si>
    <t xml:space="preserve"> Бог глифов, литературы, писцов, художников, картографии</t>
  </si>
  <si>
    <t>Лиира (Lliira)</t>
  </si>
  <si>
    <t xml:space="preserve"> Богиня счастья, удовольствия, танца, праздников, свободы</t>
  </si>
  <si>
    <t>Ловиатар (Loviatar)</t>
  </si>
  <si>
    <t xml:space="preserve"> Богиня боли, агонии, пыток, страданий</t>
  </si>
  <si>
    <t>Малар (Malar)</t>
  </si>
  <si>
    <t xml:space="preserve"> Бог охотников, жажды крови, злых оборотней</t>
  </si>
  <si>
    <t>Маск (Mask)</t>
  </si>
  <si>
    <t xml:space="preserve"> Бог воров, кражи, теней</t>
  </si>
  <si>
    <t>Милил (Milil)</t>
  </si>
  <si>
    <t xml:space="preserve"> Бог поэзии, песен, ораторского искусства</t>
  </si>
  <si>
    <t>Аурил (Auril)</t>
  </si>
  <si>
    <t xml:space="preserve"> Богиня холода, зимы</t>
  </si>
  <si>
    <t>Талона (Talona)</t>
  </si>
  <si>
    <t xml:space="preserve"> Богиня болезней, яда</t>
  </si>
  <si>
    <t>Тиамат (Tiamat)</t>
  </si>
  <si>
    <t xml:space="preserve"> «Море», одно из воплощений первобытного хаоса</t>
  </si>
  <si>
    <t>Торм (Torm)</t>
  </si>
  <si>
    <t xml:space="preserve"> Бог долга, преданности, смирения, отваги, паладинов</t>
  </si>
  <si>
    <t>Уокин (Waukeen)</t>
  </si>
  <si>
    <t xml:space="preserve"> Богиня торговли, денег, богатства</t>
  </si>
  <si>
    <t>Шондакул (Shaundakul)</t>
  </si>
  <si>
    <t xml:space="preserve"> Бог путешествий, исследований, караванов, порталов</t>
  </si>
  <si>
    <t>Элдат (Eldath)</t>
  </si>
  <si>
    <t xml:space="preserve"> Богиня мира, тихих мест, родников, водопадов</t>
  </si>
  <si>
    <t>Валькур (Valkur)</t>
  </si>
  <si>
    <t xml:space="preserve"> Бог моряков, кораблей, попутных ветров, морских сражений</t>
  </si>
  <si>
    <t>Велшарун (Velsharoon)</t>
  </si>
  <si>
    <t xml:space="preserve"> Бог некромантии, некромантов, личей, нежити</t>
  </si>
  <si>
    <t>Гарагос (Garagos)</t>
  </si>
  <si>
    <t xml:space="preserve"> Бог войны, владения оружием, разрушения, грабежа</t>
  </si>
  <si>
    <t>Гаргот (Gargauth)</t>
  </si>
  <si>
    <t xml:space="preserve"> Бог предательства, жестокости, политической коррупции</t>
  </si>
  <si>
    <t>Гуэрон Уиндстром (Gwaeron Windstrom)</t>
  </si>
  <si>
    <t xml:space="preserve"> Бог следопытов Севера</t>
  </si>
  <si>
    <t>Джергал (Jergal)</t>
  </si>
  <si>
    <t xml:space="preserve"> Бог судьбы, церемониального погребения, страж могил</t>
  </si>
  <si>
    <t>Красный рыцарь (Red Knight)</t>
  </si>
  <si>
    <t xml:space="preserve"> Богиня стратегии, планирования, тактики</t>
  </si>
  <si>
    <t>Луруэ (Lurue)</t>
  </si>
  <si>
    <t xml:space="preserve"> Богиня говорящих зверей, разумных негуманоидных существ</t>
  </si>
  <si>
    <t>Нобанион (Nobanion)</t>
  </si>
  <si>
    <t xml:space="preserve"> Бог королевской власти, львов, добрых зверей</t>
  </si>
  <si>
    <t>Саврас (Savras)</t>
  </si>
  <si>
    <t xml:space="preserve"> Бог предсказаний, судьбы, истины</t>
  </si>
  <si>
    <t>Сиаморф (Siamorphe)</t>
  </si>
  <si>
    <t xml:space="preserve"> Богиня аристократии</t>
  </si>
  <si>
    <t>Улутиу (Ulutiu)</t>
  </si>
  <si>
    <t xml:space="preserve"> Бог ледников, жителей арктики</t>
  </si>
  <si>
    <t>Утгар (Uthgar)</t>
  </si>
  <si>
    <t xml:space="preserve"> Бог варваров Утгардта, физической силы</t>
  </si>
  <si>
    <t>Финдер Драконошпор (Finder Wyvernspur)</t>
  </si>
  <si>
    <t xml:space="preserve"> Бог жизненного цикла, преобразований искусства, сауриалов</t>
  </si>
  <si>
    <t>Хоар (Hoar)</t>
  </si>
  <si>
    <t xml:space="preserve"> Бог мести, возмездия, справедливости</t>
  </si>
  <si>
    <t>Шаресс (Sharess)</t>
  </si>
  <si>
    <t xml:space="preserve"> Богиня гедонизма, сексуального удовлетворения, увеселительных заведений, кошек</t>
  </si>
  <si>
    <t>Шиаллия (Shiallia)</t>
  </si>
  <si>
    <t xml:space="preserve"> Богиня лесных опушек, Великого Леса, Невервинтерского Леса</t>
  </si>
  <si>
    <t>Амонатор (Amaunator)</t>
  </si>
  <si>
    <t xml:space="preserve"> Древний нетерильский бог Порядка и Солнца</t>
  </si>
  <si>
    <t>Миркул (Myrkul)</t>
  </si>
  <si>
    <t xml:space="preserve"> Бывший бог смерти</t>
  </si>
  <si>
    <t>Баал (Bhaal)</t>
  </si>
  <si>
    <t xml:space="preserve"> Бывший бог убийства и насилия</t>
  </si>
  <si>
    <t>БОГИ Грехоковский пантеон</t>
  </si>
  <si>
    <t>БОГИ Фаэрун(забытые королевства)</t>
  </si>
  <si>
    <t>Стихия воздуха, летающие существа, движение, скорость</t>
  </si>
  <si>
    <t>Архоны воздушных элементалей, заводчики животных, рейнджеры, плуты, мореходы</t>
  </si>
  <si>
    <t>Борьба, ненависть, тирания, страх</t>
  </si>
  <si>
    <t>Завоеватели, злые воины и монахи, тираны, маги</t>
  </si>
  <si>
    <t>Стихия земли, прочность, неизменность, клятвы</t>
  </si>
  <si>
    <t>Стихийные архонты земли, воины, монахи, рейнджеры</t>
  </si>
  <si>
    <t>Стихия воды, очищение</t>
  </si>
  <si>
    <t>Барды, стихийные архоны (вода), моряки, путешественники</t>
  </si>
  <si>
    <t>Смерть и мёртвые</t>
  </si>
  <si>
    <t>умирающие, семьи умирающих, могильщики, охотники на нежить, гробовщики, плакальщики</t>
  </si>
  <si>
    <t>Стихия огня, очищение огнём</t>
  </si>
  <si>
    <t>Друиды, элементные архоны, огненные существа, тэйцы</t>
  </si>
  <si>
    <t>Атлетика, рождение, воображение, рассвет, обновление, самосовершенствование, весна, живучесть, молодость</t>
  </si>
  <si>
    <t>Аристократы, художники, атлеты, купцы, монахи, молодёжь</t>
  </si>
  <si>
    <t>Дроу, пауки, зло, тьма</t>
  </si>
  <si>
    <t>Дроу</t>
  </si>
  <si>
    <t>Магия, заклинания, плетение</t>
  </si>
  <si>
    <t xml:space="preserve">
Эльфы, полуэльфы, инкантатрикс, мистические странники, колдуны, танцоры заклинаний, передающие огонь заклинаний, волшебники</t>
  </si>
  <si>
    <t>Знание, барды, вдохновение, изобретательность</t>
  </si>
  <si>
    <t>Художники, барды, картографы, изобретатели, мудрецы, учёные, писцы и волшебники</t>
  </si>
  <si>
    <t>Дикая природа, друидизм</t>
  </si>
  <si>
    <t>Друиды, лесные люди, лесные эльфы</t>
  </si>
  <si>
    <t>Убийства, ложь, интрига, обман, иллюзии</t>
  </si>
  <si>
    <t>Бывшая паства Бэйна, Бхаала и Миркула, властолюбивый молодняк</t>
  </si>
  <si>
    <t>Красота, любовь, страсть</t>
  </si>
  <si>
    <t>Любовники, художники, полуэльфы, искатели приключений, монахи Солнечной Души</t>
  </si>
  <si>
    <t>Луна, незлые оборотни, навигация, искатели, звёзды, странствия</t>
  </si>
  <si>
    <t>Женщины-волшебницы, добрые и нейтральные оборотни, монахи Солнечной души, моряки и навигаторы</t>
  </si>
  <si>
    <t>Уничтожение, пожары, землетрясения, восстания, бури, ураганы</t>
  </si>
  <si>
    <t>Варвары, друиды, воины, полуорки, боящиеся природных катаклизмов</t>
  </si>
  <si>
    <t>Война, битва, воины</t>
  </si>
  <si>
    <t>воины, бойцы, варвары, рейнджеры, полуорки</t>
  </si>
  <si>
    <t>Бесстрашие, доверие, стратегия, тактика, писание</t>
  </si>
  <si>
    <t>Воины, монахи, паладины, рейнджеры, мудрецы, дварфы</t>
  </si>
  <si>
    <t>Созидание, джунгли, Чалт, жители Чалта, динозавры</t>
  </si>
  <si>
    <t>адепты, чалтане, друиды, жители джунглей, рейнджеры</t>
  </si>
  <si>
    <t>Сельское хозяйство, растениеводство, крестьяне, садовники, лето</t>
  </si>
  <si>
    <t>Крестьяне, друиды, фермеры, садовники</t>
  </si>
  <si>
    <t>тьма, ночь, пещеры, подземелья, забывчивость, потеря, секреты, Подземье</t>
  </si>
  <si>
    <t>анархисты, убийцы, мстители, монахи (Тёмная Луна), нигилисты, жулики, адепты тени, теневые танцоры</t>
  </si>
  <si>
    <t>Ад</t>
  </si>
  <si>
    <t>властные, могущественные фигуры, обладающие великим личным магнетизмом и политическим влиянием.</t>
  </si>
  <si>
    <t>Гремящяя шпала Двуручный артефакт</t>
  </si>
  <si>
    <t xml:space="preserve">Длинный меч мастерский </t>
  </si>
  <si>
    <t>Артефакт Плащ теней. 1 раунд невидимости если находишься в тени. Дает 1 раз в день темновидение</t>
  </si>
  <si>
    <t>надет</t>
  </si>
  <si>
    <t xml:space="preserve">Голова сатира </t>
  </si>
  <si>
    <t>на поясе</t>
  </si>
  <si>
    <t>Бутылка эля Дварф.</t>
  </si>
  <si>
    <t>2 громовых камня</t>
  </si>
  <si>
    <t xml:space="preserve">Полный клепаный доспех </t>
  </si>
  <si>
    <t>Плащ</t>
  </si>
  <si>
    <t xml:space="preserve">Разгрузка 4 ячейки </t>
  </si>
  <si>
    <t>Полный клепаный доспех</t>
  </si>
  <si>
    <t>Обший</t>
  </si>
  <si>
    <t>Эльфийский</t>
  </si>
  <si>
    <t>Кошачий</t>
  </si>
  <si>
    <t>­2</t>
  </si>
  <si>
    <t>–2</t>
  </si>
  <si>
    <t>­1</t>
  </si>
  <si>
    <t>–1</t>
  </si>
  <si>
    <t>Нет</t>
  </si>
  <si>
    <t>Бонус атаки Шквал ударов</t>
  </si>
  <si>
    <t>Урон</t>
  </si>
  <si>
    <t>Большой</t>
  </si>
  <si>
    <t>1d8+4</t>
  </si>
  <si>
    <t>амулет тишины
Тишина вокруг меня на 10 футов
Заклинание тишины</t>
  </si>
  <si>
    <t xml:space="preserve">Кольцо падения перышком
Кольцо +1 к защите </t>
  </si>
  <si>
    <t>Амулет Красный клык +2 КБ
Амулет +2 к модификатору тел.</t>
  </si>
  <si>
    <t>1d10+5</t>
  </si>
  <si>
    <t>дымная палочка 2</t>
  </si>
  <si>
    <t>Перстень
Дневник Тифлинга о Сиаме и артефакте приручения дракона</t>
  </si>
  <si>
    <t>2 зелье лечения 1d8
Среднее зелье лечения 2d8
Запутывающая торба</t>
  </si>
  <si>
    <t>27 медь | 5 серебро | 13 и 0 в банке золото | 0 платина</t>
  </si>
  <si>
    <t xml:space="preserve"> 3 колокольчика</t>
  </si>
  <si>
    <t xml:space="preserve">разгрузка:
лечение 2d8
лечение 1d8
Торба
Дымовая палка
</t>
  </si>
  <si>
    <t>6+3+1=10</t>
  </si>
  <si>
    <t xml:space="preserve">1. Нашение доспехов и владение оружием  
2. Повышенная воля +2 к спасброску Воля
3. Любимое оружее (Длинный меч) +1 к Броскам атаки 
    3.1 +1 на попадание от мастерского длинного меча 
4. Мощная атака + базовый бонус атаки к урону 
5.Выносливость +4 к спасброскам
6. Рассекающий удар (удар по упавшему)
7. Крепкий орешек - движение при -1 до -9 ХП 
8. Любимое оружее (Двуручный меч) +1 к броскам атаки 
    8.1 +1 на попадание и урон от Гремящей шпалы 
</t>
  </si>
  <si>
    <r>
      <t>6</t>
    </r>
    <r>
      <rPr>
        <b/>
        <vertAlign val="superscript"/>
        <sz val="18"/>
        <color theme="1"/>
        <rFont val="Times New Roman"/>
        <family val="1"/>
        <charset val="204"/>
      </rPr>
      <t>ББА</t>
    </r>
    <r>
      <rPr>
        <b/>
        <sz val="18"/>
        <color theme="1"/>
        <rFont val="Times New Roman"/>
        <family val="1"/>
        <charset val="204"/>
      </rPr>
      <t>+3</t>
    </r>
    <r>
      <rPr>
        <b/>
        <vertAlign val="superscript"/>
        <sz val="18"/>
        <color theme="1"/>
        <rFont val="Times New Roman"/>
        <family val="1"/>
        <charset val="204"/>
      </rPr>
      <t>МС</t>
    </r>
    <r>
      <rPr>
        <b/>
        <sz val="18"/>
        <color theme="1"/>
        <rFont val="Times New Roman"/>
        <family val="1"/>
        <charset val="204"/>
      </rPr>
      <t>+1</t>
    </r>
    <r>
      <rPr>
        <b/>
        <vertAlign val="superscript"/>
        <sz val="18"/>
        <color theme="1"/>
        <rFont val="Times New Roman"/>
        <family val="1"/>
        <charset val="204"/>
      </rPr>
      <t>О</t>
    </r>
    <r>
      <rPr>
        <b/>
        <sz val="18"/>
        <color theme="1"/>
        <rFont val="Times New Roman"/>
        <family val="1"/>
        <charset val="204"/>
      </rPr>
      <t>+1</t>
    </r>
    <r>
      <rPr>
        <b/>
        <vertAlign val="superscript"/>
        <sz val="18"/>
        <color theme="1"/>
        <rFont val="Times New Roman"/>
        <family val="1"/>
        <charset val="204"/>
      </rPr>
      <t>фит</t>
    </r>
    <r>
      <rPr>
        <b/>
        <sz val="18"/>
        <color theme="1"/>
        <rFont val="Times New Roman"/>
        <family val="1"/>
        <charset val="204"/>
      </rPr>
      <t>=11</t>
    </r>
  </si>
  <si>
    <t>Основная</t>
  </si>
  <si>
    <t>Основная + Бонусная черта</t>
  </si>
  <si>
    <t>Увеличение характеристик</t>
  </si>
  <si>
    <t>(+1 к любой характеристике)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</si>
</sst>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1">
    <font>
      <sz val="11"/>
      <color theme="1"/>
      <name val="Calibri"/>
      <family val="2"/>
      <scheme val="minor"/>
    </font>
    <font>
      <sz val="11"/>
      <color theme="1"/>
      <name val="Calibri"/>
      <family val="2"/>
      <charset val="204"/>
      <scheme val="minor"/>
    </font>
    <font>
      <sz val="10"/>
      <color rgb="FF000000"/>
      <name val="Arial"/>
      <family val="2"/>
      <charset val="204"/>
    </font>
    <font>
      <b/>
      <sz val="10"/>
      <color rgb="FFFFFFFF"/>
      <name val="Arial"/>
      <family val="2"/>
      <charset val="204"/>
    </font>
    <font>
      <b/>
      <sz val="10"/>
      <color rgb="FF000000"/>
      <name val="Arial"/>
      <family val="2"/>
      <charset val="204"/>
    </font>
    <font>
      <sz val="10"/>
      <color rgb="FFFFFFFF"/>
      <name val="Arial"/>
      <family val="2"/>
      <charset val="204"/>
    </font>
    <font>
      <b/>
      <sz val="11"/>
      <color theme="1"/>
      <name val="Calibri"/>
      <family val="2"/>
      <charset val="204"/>
      <scheme val="minor"/>
    </font>
    <font>
      <sz val="10"/>
      <name val="Arial"/>
      <family val="2"/>
      <charset val="204"/>
    </font>
    <font>
      <b/>
      <sz val="10"/>
      <name val="Arial"/>
      <family val="2"/>
      <charset val="204"/>
    </font>
    <font>
      <sz val="72"/>
      <color theme="1"/>
      <name val="Segoe Print"/>
      <charset val="204"/>
    </font>
    <font>
      <sz val="14"/>
      <color theme="0"/>
      <name val="Arial"/>
      <family val="2"/>
      <charset val="204"/>
    </font>
    <font>
      <b/>
      <sz val="16"/>
      <name val="Arial"/>
      <family val="2"/>
      <charset val="204"/>
    </font>
    <font>
      <b/>
      <sz val="10"/>
      <color theme="0"/>
      <name val="Arial"/>
      <family val="2"/>
      <charset val="204"/>
    </font>
    <font>
      <b/>
      <sz val="14"/>
      <color theme="0"/>
      <name val="Arial"/>
      <family val="2"/>
      <charset val="204"/>
    </font>
    <font>
      <b/>
      <sz val="20"/>
      <color theme="1"/>
      <name val="Calibri"/>
      <family val="2"/>
      <charset val="204"/>
      <scheme val="minor"/>
    </font>
    <font>
      <b/>
      <sz val="24"/>
      <color theme="1"/>
      <name val="Calibri"/>
      <family val="2"/>
      <charset val="204"/>
      <scheme val="minor"/>
    </font>
    <font>
      <b/>
      <sz val="18"/>
      <name val="Arial"/>
      <family val="2"/>
      <charset val="204"/>
    </font>
    <font>
      <b/>
      <sz val="18"/>
      <color theme="1"/>
      <name val="Calibri"/>
      <family val="2"/>
      <charset val="204"/>
      <scheme val="minor"/>
    </font>
    <font>
      <b/>
      <sz val="20"/>
      <color rgb="FFFFFFFF"/>
      <name val="Arial"/>
      <family val="2"/>
      <charset val="204"/>
    </font>
    <font>
      <sz val="20"/>
      <color theme="1"/>
      <name val="Calibri"/>
      <family val="2"/>
      <scheme val="minor"/>
    </font>
    <font>
      <sz val="16"/>
      <color theme="0"/>
      <name val="Arial"/>
      <family val="2"/>
      <charset val="204"/>
    </font>
    <font>
      <b/>
      <sz val="22"/>
      <color rgb="FFFFFFFF"/>
      <name val="Arial"/>
      <family val="2"/>
      <charset val="204"/>
    </font>
    <font>
      <sz val="11"/>
      <color theme="0"/>
      <name val="Calibri"/>
      <family val="2"/>
      <scheme val="minor"/>
    </font>
    <font>
      <b/>
      <sz val="18"/>
      <color rgb="FF000000"/>
      <name val="Arial"/>
      <family val="2"/>
      <charset val="204"/>
    </font>
    <font>
      <sz val="12"/>
      <color rgb="FF000000"/>
      <name val="Arial"/>
      <family val="2"/>
      <charset val="204"/>
    </font>
    <font>
      <b/>
      <sz val="10"/>
      <name val="Georgia"/>
      <family val="1"/>
      <charset val="204"/>
    </font>
    <font>
      <sz val="14"/>
      <name val="Arial"/>
      <family val="2"/>
      <charset val="204"/>
    </font>
    <font>
      <b/>
      <sz val="16"/>
      <color theme="0"/>
      <name val="Calibri"/>
      <family val="2"/>
      <charset val="204"/>
      <scheme val="minor"/>
    </font>
    <font>
      <b/>
      <sz val="12"/>
      <color theme="0"/>
      <name val="Calibri"/>
      <family val="2"/>
      <charset val="204"/>
      <scheme val="minor"/>
    </font>
    <font>
      <sz val="22"/>
      <color theme="1"/>
      <name val="Calibri"/>
      <family val="2"/>
      <scheme val="minor"/>
    </font>
    <font>
      <b/>
      <sz val="12"/>
      <color theme="1"/>
      <name val="Calibri"/>
      <family val="2"/>
      <charset val="204"/>
      <scheme val="minor"/>
    </font>
    <font>
      <sz val="20"/>
      <name val="Arial"/>
      <family val="2"/>
      <charset val="204"/>
    </font>
    <font>
      <sz val="20"/>
      <name val="Georgia"/>
      <family val="1"/>
      <charset val="204"/>
    </font>
    <font>
      <sz val="14"/>
      <color rgb="FF000000"/>
      <name val="Arial"/>
      <family val="2"/>
      <charset val="204"/>
    </font>
    <font>
      <b/>
      <sz val="20"/>
      <name val="Arial"/>
      <family val="2"/>
      <charset val="204"/>
    </font>
    <font>
      <b/>
      <sz val="18"/>
      <color theme="1"/>
      <name val="Calibri"/>
      <family val="2"/>
      <scheme val="minor"/>
    </font>
    <font>
      <b/>
      <sz val="14"/>
      <color rgb="FFFFFFFF"/>
      <name val="Arial"/>
      <family val="2"/>
      <charset val="204"/>
    </font>
    <font>
      <b/>
      <sz val="18"/>
      <color rgb="FFFFFFFF"/>
      <name val="Arial"/>
      <family val="2"/>
      <charset val="204"/>
    </font>
    <font>
      <sz val="18"/>
      <color theme="1"/>
      <name val="Calibri"/>
      <family val="2"/>
      <charset val="204"/>
      <scheme val="minor"/>
    </font>
    <font>
      <b/>
      <sz val="18"/>
      <color theme="1"/>
      <name val="Arial"/>
      <family val="2"/>
      <charset val="204"/>
    </font>
    <font>
      <b/>
      <sz val="26"/>
      <color theme="1"/>
      <name val="Calibri"/>
      <family val="2"/>
      <charset val="204"/>
      <scheme val="minor"/>
    </font>
    <font>
      <sz val="18"/>
      <color theme="1"/>
      <name val="Calibri"/>
      <family val="2"/>
      <scheme val="minor"/>
    </font>
    <font>
      <sz val="16"/>
      <color theme="1"/>
      <name val="Calibri"/>
      <family val="2"/>
      <scheme val="minor"/>
    </font>
    <font>
      <b/>
      <sz val="14"/>
      <color theme="1"/>
      <name val="Calibri"/>
      <family val="2"/>
      <charset val="204"/>
      <scheme val="minor"/>
    </font>
    <font>
      <sz val="15"/>
      <name val="Arial"/>
      <family val="2"/>
      <charset val="204"/>
    </font>
    <font>
      <b/>
      <sz val="16"/>
      <color theme="1"/>
      <name val="Times New Roman"/>
      <family val="1"/>
      <charset val="204"/>
    </font>
    <font>
      <sz val="16"/>
      <color theme="1"/>
      <name val="Times New Roman"/>
      <family val="1"/>
      <charset val="204"/>
    </font>
    <font>
      <sz val="18"/>
      <color theme="1"/>
      <name val="Times New Roman"/>
      <family val="1"/>
      <charset val="204"/>
    </font>
    <font>
      <sz val="20"/>
      <color theme="1"/>
      <name val="Times New Roman"/>
      <family val="1"/>
      <charset val="204"/>
    </font>
    <font>
      <b/>
      <sz val="12"/>
      <color theme="1"/>
      <name val="TimesNewRomanPS-BoldMT"/>
    </font>
    <font>
      <sz val="12"/>
      <color theme="1"/>
      <name val="TimesNewRomanPSMT"/>
    </font>
    <font>
      <sz val="12"/>
      <color theme="1"/>
      <name val="Calibri"/>
      <family val="2"/>
      <charset val="204"/>
      <scheme val="minor"/>
    </font>
    <font>
      <sz val="14"/>
      <color theme="1"/>
      <name val="Times New Roman"/>
      <family val="1"/>
      <charset val="204"/>
    </font>
    <font>
      <sz val="12"/>
      <color theme="1"/>
      <name val="Times New Roman"/>
      <family val="1"/>
      <charset val="204"/>
    </font>
    <font>
      <i/>
      <sz val="12"/>
      <color theme="1"/>
      <name val="Times New Roman"/>
      <family val="1"/>
      <charset val="204"/>
    </font>
    <font>
      <b/>
      <sz val="12"/>
      <color theme="1"/>
      <name val="Times New Roman"/>
      <family val="1"/>
      <charset val="204"/>
    </font>
    <font>
      <b/>
      <sz val="14"/>
      <color theme="1"/>
      <name val="Times New Roman"/>
      <family val="1"/>
      <charset val="204"/>
    </font>
    <font>
      <sz val="11"/>
      <name val="Calibri"/>
      <family val="2"/>
      <scheme val="minor"/>
    </font>
    <font>
      <b/>
      <sz val="16"/>
      <color theme="0"/>
      <name val="Times New Roman"/>
      <family val="1"/>
      <charset val="204"/>
    </font>
    <font>
      <sz val="11"/>
      <color theme="1"/>
      <name val="Times New Roman"/>
      <family val="1"/>
      <charset val="204"/>
    </font>
    <font>
      <b/>
      <sz val="14"/>
      <color theme="1"/>
      <name val="Tempus Sans ITC"/>
      <family val="5"/>
    </font>
    <font>
      <b/>
      <sz val="26"/>
      <color theme="0"/>
      <name val="Calibri"/>
      <family val="2"/>
      <charset val="204"/>
      <scheme val="minor"/>
    </font>
    <font>
      <b/>
      <sz val="11"/>
      <color theme="1"/>
      <name val="Times New Roman"/>
      <family val="1"/>
      <charset val="204"/>
    </font>
    <font>
      <b/>
      <sz val="26"/>
      <color theme="1"/>
      <name val="Times New Roman"/>
      <family val="1"/>
      <charset val="204"/>
    </font>
    <font>
      <b/>
      <sz val="20"/>
      <color theme="1"/>
      <name val="Times New Roman"/>
      <family val="1"/>
      <charset val="204"/>
    </font>
    <font>
      <b/>
      <sz val="11"/>
      <color theme="1"/>
      <name val="Calibri"/>
      <family val="2"/>
      <scheme val="minor"/>
    </font>
    <font>
      <b/>
      <sz val="14"/>
      <name val="Calibri"/>
      <family val="2"/>
      <charset val="204"/>
      <scheme val="minor"/>
    </font>
    <font>
      <b/>
      <sz val="14"/>
      <name val="Times New Roman"/>
      <family val="1"/>
      <charset val="204"/>
    </font>
    <font>
      <b/>
      <sz val="22"/>
      <color theme="1"/>
      <name val="Times New Roman"/>
      <family val="1"/>
      <charset val="204"/>
    </font>
    <font>
      <b/>
      <sz val="14"/>
      <color theme="0"/>
      <name val="Times New Roman"/>
      <family val="1"/>
      <charset val="204"/>
    </font>
    <font>
      <b/>
      <sz val="18"/>
      <color theme="0"/>
      <name val="Times New Roman"/>
      <family val="1"/>
      <charset val="204"/>
    </font>
    <font>
      <b/>
      <sz val="14"/>
      <color rgb="FFFFFFFF"/>
      <name val="Times New Roman"/>
      <family val="1"/>
      <charset val="204"/>
    </font>
    <font>
      <sz val="14"/>
      <name val="Times New Roman"/>
      <family val="1"/>
      <charset val="204"/>
    </font>
    <font>
      <sz val="22"/>
      <name val="Calibri"/>
      <family val="2"/>
      <scheme val="minor"/>
    </font>
    <font>
      <b/>
      <sz val="36"/>
      <color theme="1"/>
      <name val="Calibri"/>
      <family val="2"/>
      <charset val="204"/>
      <scheme val="minor"/>
    </font>
    <font>
      <sz val="12"/>
      <color theme="0" tint="-4.9989318521683403E-2"/>
      <name val="Calibri"/>
      <family val="2"/>
      <scheme val="minor"/>
    </font>
    <font>
      <sz val="1"/>
      <color theme="0" tint="-4.9989318521683403E-2"/>
      <name val="Calibri"/>
      <family val="2"/>
      <scheme val="minor"/>
    </font>
    <font>
      <b/>
      <sz val="16"/>
      <color rgb="FF000000"/>
      <name val="Times New Roman"/>
      <family val="1"/>
      <charset val="204"/>
    </font>
    <font>
      <b/>
      <sz val="16"/>
      <name val="Times New Roman"/>
      <family val="1"/>
      <charset val="204"/>
    </font>
    <font>
      <b/>
      <sz val="22"/>
      <color rgb="FFFFFFFF"/>
      <name val="Times New Roman"/>
      <family val="1"/>
      <charset val="204"/>
    </font>
    <font>
      <b/>
      <sz val="18"/>
      <color rgb="FFFFFFFF"/>
      <name val="Times New Roman"/>
      <family val="1"/>
      <charset val="204"/>
    </font>
    <font>
      <b/>
      <sz val="12"/>
      <name val="Times New Roman"/>
      <family val="1"/>
      <charset val="204"/>
    </font>
    <font>
      <sz val="14"/>
      <color theme="0"/>
      <name val="Times New Roman"/>
      <family val="1"/>
      <charset val="204"/>
    </font>
    <font>
      <sz val="16"/>
      <color theme="0"/>
      <name val="Times New Roman"/>
      <family val="1"/>
      <charset val="204"/>
    </font>
    <font>
      <sz val="18"/>
      <color theme="0"/>
      <name val="Times New Roman"/>
      <family val="1"/>
      <charset val="204"/>
    </font>
    <font>
      <b/>
      <sz val="18"/>
      <name val="Times New Roman"/>
      <family val="1"/>
      <charset val="204"/>
    </font>
    <font>
      <b/>
      <sz val="18"/>
      <color theme="1"/>
      <name val="Times New Roman"/>
      <family val="1"/>
      <charset val="204"/>
    </font>
    <font>
      <sz val="10"/>
      <name val="Times New Roman"/>
      <family val="1"/>
      <charset val="204"/>
    </font>
    <font>
      <b/>
      <sz val="14"/>
      <color rgb="FF000000"/>
      <name val="Times New Roman"/>
      <family val="1"/>
      <charset val="204"/>
    </font>
    <font>
      <b/>
      <sz val="16"/>
      <color rgb="FFFFFFFF"/>
      <name val="Times New Roman"/>
      <family val="1"/>
      <charset val="204"/>
    </font>
    <font>
      <sz val="16"/>
      <name val="Times New Roman"/>
      <family val="1"/>
      <charset val="204"/>
    </font>
    <font>
      <sz val="18"/>
      <name val="Times New Roman"/>
      <family val="1"/>
      <charset val="204"/>
    </font>
    <font>
      <b/>
      <sz val="24"/>
      <color theme="1"/>
      <name val="Times New Roman"/>
      <family val="1"/>
      <charset val="204"/>
    </font>
    <font>
      <sz val="11"/>
      <color theme="0" tint="-4.9989318521683403E-2"/>
      <name val="Calibri"/>
      <family val="2"/>
      <scheme val="minor"/>
    </font>
    <font>
      <sz val="72"/>
      <color theme="0" tint="-4.9989318521683403E-2"/>
      <name val="Segoe Print"/>
      <charset val="204"/>
    </font>
    <font>
      <b/>
      <sz val="36"/>
      <color theme="1"/>
      <name val="Times New Roman"/>
      <family val="1"/>
      <charset val="204"/>
    </font>
    <font>
      <sz val="9"/>
      <color indexed="81"/>
      <name val="Tahoma"/>
      <charset val="1"/>
    </font>
    <font>
      <sz val="18"/>
      <color indexed="81"/>
      <name val="Times New Roman"/>
      <family val="1"/>
      <charset val="204"/>
    </font>
    <font>
      <sz val="20"/>
      <color indexed="81"/>
      <name val="Times New Roman"/>
      <family val="1"/>
      <charset val="204"/>
    </font>
    <font>
      <sz val="11"/>
      <color theme="1"/>
      <name val="Calibri"/>
      <family val="2"/>
      <scheme val="minor"/>
    </font>
    <font>
      <b/>
      <sz val="18"/>
      <color rgb="FF000000"/>
      <name val="Times New Roman"/>
      <family val="1"/>
      <charset val="204"/>
    </font>
    <font>
      <sz val="1"/>
      <color theme="0" tint="-4.9989318521683403E-2"/>
      <name val="Times New Roman"/>
      <family val="1"/>
      <charset val="204"/>
    </font>
    <font>
      <sz val="1"/>
      <color theme="0" tint="-4.9989318521683403E-2"/>
      <name val="Segoe Print"/>
      <charset val="204"/>
    </font>
    <font>
      <b/>
      <sz val="14"/>
      <color indexed="81"/>
      <name val="Times New Roman"/>
      <family val="1"/>
      <charset val="204"/>
    </font>
    <font>
      <b/>
      <sz val="14"/>
      <name val="Arial"/>
      <family val="2"/>
      <charset val="204"/>
    </font>
    <font>
      <b/>
      <sz val="14"/>
      <color rgb="FF000000"/>
      <name val="Arial"/>
      <family val="2"/>
      <charset val="204"/>
    </font>
    <font>
      <b/>
      <sz val="16"/>
      <color theme="0" tint="-4.9989318521683403E-2"/>
      <name val="Times New Roman"/>
      <family val="1"/>
      <charset val="204"/>
    </font>
    <font>
      <sz val="8"/>
      <name val="Calibri"/>
      <family val="2"/>
      <scheme val="minor"/>
    </font>
    <font>
      <b/>
      <sz val="16"/>
      <color indexed="81"/>
      <name val="Times New Roman"/>
      <family val="1"/>
      <charset val="204"/>
    </font>
    <font>
      <b/>
      <sz val="18"/>
      <color indexed="81"/>
      <name val="Times New Roman"/>
      <family val="1"/>
      <charset val="204"/>
    </font>
    <font>
      <b/>
      <sz val="20"/>
      <color indexed="81"/>
      <name val="Times New Roman"/>
      <family val="1"/>
      <charset val="204"/>
    </font>
    <font>
      <sz val="16"/>
      <color indexed="81"/>
      <name val="Times New Roman"/>
      <family val="1"/>
      <charset val="204"/>
    </font>
    <font>
      <sz val="24"/>
      <color theme="1"/>
      <name val="Webdings"/>
      <family val="1"/>
      <charset val="2"/>
    </font>
    <font>
      <sz val="11"/>
      <color theme="1"/>
      <name val="Wingdings"/>
      <charset val="2"/>
    </font>
    <font>
      <sz val="20"/>
      <color theme="1"/>
      <name val="Wingdings"/>
      <charset val="2"/>
    </font>
    <font>
      <sz val="11"/>
      <color theme="1" tint="0.14999847407452621"/>
      <name val="Wingdings"/>
      <charset val="2"/>
    </font>
    <font>
      <b/>
      <sz val="16"/>
      <color theme="1" tint="0.14999847407452621"/>
      <name val="Times New Roman"/>
      <family val="1"/>
      <charset val="204"/>
    </font>
    <font>
      <b/>
      <sz val="20"/>
      <color theme="1" tint="0.14999847407452621"/>
      <name val="Times New Roman"/>
      <family val="1"/>
      <charset val="204"/>
    </font>
    <font>
      <sz val="32"/>
      <color theme="1" tint="0.14999847407452621"/>
      <name val="Wingdings"/>
      <charset val="2"/>
    </font>
    <font>
      <sz val="10"/>
      <color theme="1"/>
      <name val="Calibri"/>
      <family val="2"/>
      <scheme val="minor"/>
    </font>
    <font>
      <b/>
      <vertAlign val="superscript"/>
      <sz val="18"/>
      <color theme="1"/>
      <name val="Times New Roman"/>
      <family val="1"/>
      <charset val="204"/>
    </font>
  </fonts>
  <fills count="54">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rgb="FFDDDDDD"/>
        <bgColor indexed="64"/>
      </patternFill>
    </fill>
    <fill>
      <patternFill patternType="solid">
        <fgColor rgb="FFC0C0C0"/>
        <bgColor indexed="64"/>
      </patternFill>
    </fill>
    <fill>
      <patternFill patternType="solid">
        <fgColor rgb="FFDDDDDD"/>
        <bgColor rgb="FFDDDDDD"/>
      </patternFill>
    </fill>
    <fill>
      <patternFill patternType="solid">
        <fgColor rgb="FF969696"/>
        <bgColor rgb="FF969696"/>
      </patternFill>
    </fill>
    <fill>
      <patternFill patternType="solid">
        <fgColor rgb="FFC0C0C0"/>
        <bgColor rgb="FFC0C0C0"/>
      </patternFill>
    </fill>
    <fill>
      <patternFill patternType="solid">
        <fgColor rgb="FF000000"/>
        <bgColor rgb="FF000000"/>
      </patternFill>
    </fill>
    <fill>
      <patternFill patternType="solid">
        <fgColor rgb="FFFFFFFF"/>
        <bgColor rgb="FFFFFFFF"/>
      </patternFill>
    </fill>
    <fill>
      <patternFill patternType="solid">
        <fgColor theme="1"/>
        <bgColor indexed="64"/>
      </patternFill>
    </fill>
    <fill>
      <patternFill patternType="solid">
        <fgColor theme="2" tint="-9.9948118533890809E-2"/>
        <bgColor indexed="64"/>
      </patternFill>
    </fill>
    <fill>
      <patternFill patternType="solid">
        <fgColor theme="2"/>
        <bgColor rgb="FFDDDDDD"/>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rgb="FF7030A0"/>
        <bgColor indexed="64"/>
      </patternFill>
    </fill>
    <fill>
      <patternFill patternType="solid">
        <fgColor theme="3"/>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rgb="FFB17ED8"/>
        <bgColor indexed="64"/>
      </patternFill>
    </fill>
    <fill>
      <patternFill patternType="solid">
        <fgColor theme="9"/>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CE7878"/>
        <bgColor indexed="64"/>
      </patternFill>
    </fill>
    <fill>
      <patternFill patternType="solid">
        <fgColor rgb="FFE2A58A"/>
        <bgColor indexed="64"/>
      </patternFill>
    </fill>
    <fill>
      <patternFill patternType="solid">
        <fgColor theme="7" tint="0.59996337778862885"/>
        <bgColor indexed="64"/>
      </patternFill>
    </fill>
    <fill>
      <patternFill patternType="solid">
        <fgColor theme="6" tint="0.39997558519241921"/>
        <bgColor indexed="64"/>
      </patternFill>
    </fill>
    <fill>
      <patternFill patternType="solid">
        <fgColor theme="9" tint="0.59996337778862885"/>
        <bgColor indexed="64"/>
      </patternFill>
    </fill>
    <fill>
      <patternFill patternType="solid">
        <fgColor theme="3" tint="0.39997558519241921"/>
        <bgColor indexed="64"/>
      </patternFill>
    </fill>
    <fill>
      <patternFill patternType="solid">
        <fgColor rgb="FFD99795"/>
        <bgColor indexed="64"/>
      </patternFill>
    </fill>
    <fill>
      <patternFill patternType="solid">
        <fgColor theme="0" tint="-4.9989318521683403E-2"/>
        <bgColor indexed="64"/>
      </patternFill>
    </fill>
    <fill>
      <patternFill patternType="solid">
        <fgColor theme="2" tint="-9.9978637043366805E-2"/>
        <bgColor rgb="FFC0C0C0"/>
      </patternFill>
    </fill>
    <fill>
      <patternFill patternType="solid">
        <fgColor theme="2"/>
        <bgColor rgb="FFFFFFFF"/>
      </patternFill>
    </fill>
    <fill>
      <patternFill patternType="solid">
        <fgColor theme="2"/>
        <bgColor rgb="FFC0C0C0"/>
      </patternFill>
    </fill>
    <fill>
      <patternFill patternType="solid">
        <fgColor theme="2" tint="-9.9978637043366805E-2"/>
        <bgColor rgb="FFDDDDDD"/>
      </patternFill>
    </fill>
    <fill>
      <patternFill patternType="solid">
        <fgColor theme="1" tint="0.14999847407452621"/>
        <bgColor indexed="64"/>
      </patternFill>
    </fill>
    <fill>
      <patternFill patternType="solid">
        <fgColor theme="1" tint="0.14999847407452621"/>
        <bgColor rgb="FF000000"/>
      </patternFill>
    </fill>
    <fill>
      <patternFill patternType="solid">
        <fgColor theme="2" tint="-9.9978637043366805E-2"/>
        <bgColor rgb="FF969696"/>
      </patternFill>
    </fill>
    <fill>
      <patternFill patternType="solid">
        <fgColor rgb="FFC4B768"/>
        <bgColor indexed="64"/>
      </patternFill>
    </fill>
    <fill>
      <patternFill patternType="solid">
        <fgColor theme="0" tint="-0.34998626667073579"/>
        <bgColor indexed="64"/>
      </patternFill>
    </fill>
  </fills>
  <borders count="269">
    <border>
      <left/>
      <right/>
      <top/>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right style="thick">
        <color theme="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right style="medium">
        <color rgb="FF000000"/>
      </right>
      <top/>
      <bottom/>
      <diagonal/>
    </border>
    <border>
      <left style="thick">
        <color theme="2"/>
      </left>
      <right style="thick">
        <color theme="2"/>
      </right>
      <top style="thick">
        <color theme="2"/>
      </top>
      <bottom style="thick">
        <color theme="2"/>
      </bottom>
      <diagonal/>
    </border>
    <border>
      <left style="thick">
        <color theme="0"/>
      </left>
      <right/>
      <top style="thick">
        <color theme="0"/>
      </top>
      <bottom style="thick">
        <color theme="0"/>
      </bottom>
      <diagonal/>
    </border>
    <border>
      <left style="thick">
        <color theme="2"/>
      </left>
      <right style="thick">
        <color theme="2"/>
      </right>
      <top/>
      <bottom style="thick">
        <color theme="2"/>
      </bottom>
      <diagonal/>
    </border>
    <border>
      <left style="thick">
        <color rgb="FF000000"/>
      </left>
      <right style="thick">
        <color rgb="FF000000"/>
      </right>
      <top style="thick">
        <color rgb="FF000000"/>
      </top>
      <bottom style="thick">
        <color rgb="FF000000"/>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theme="1"/>
      </left>
      <right style="thick">
        <color theme="1"/>
      </right>
      <top style="thick">
        <color theme="1"/>
      </top>
      <bottom style="thick">
        <color theme="1"/>
      </bottom>
      <diagonal/>
    </border>
    <border>
      <left style="thick">
        <color theme="0"/>
      </left>
      <right/>
      <top/>
      <bottom/>
      <diagonal/>
    </border>
    <border>
      <left/>
      <right/>
      <top style="thick">
        <color auto="1"/>
      </top>
      <bottom style="thick">
        <color auto="1"/>
      </bottom>
      <diagonal/>
    </border>
    <border>
      <left style="thick">
        <color theme="0"/>
      </left>
      <right/>
      <top/>
      <bottom style="thick">
        <color auto="1"/>
      </bottom>
      <diagonal/>
    </border>
    <border>
      <left style="thick">
        <color theme="0"/>
      </left>
      <right/>
      <top style="thick">
        <color auto="1"/>
      </top>
      <bottom style="thick">
        <color auto="1"/>
      </bottom>
      <diagonal/>
    </border>
    <border>
      <left/>
      <right style="thick">
        <color theme="0"/>
      </right>
      <top/>
      <bottom style="thick">
        <color auto="1"/>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top style="thick">
        <color auto="1"/>
      </top>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medium">
        <color rgb="FF000000"/>
      </bottom>
      <diagonal/>
    </border>
    <border>
      <left style="thick">
        <color auto="1"/>
      </left>
      <right/>
      <top/>
      <bottom/>
      <diagonal/>
    </border>
    <border>
      <left/>
      <right style="thick">
        <color auto="1"/>
      </right>
      <top/>
      <bottom/>
      <diagonal/>
    </border>
    <border>
      <left style="thick">
        <color auto="1"/>
      </left>
      <right style="thick">
        <color theme="0"/>
      </right>
      <top/>
      <bottom style="thick">
        <color auto="1"/>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ck">
        <color auto="1"/>
      </right>
      <top style="thick">
        <color auto="1"/>
      </top>
      <bottom/>
      <diagonal/>
    </border>
    <border>
      <left/>
      <right style="thick">
        <color theme="1"/>
      </right>
      <top style="thick">
        <color theme="1"/>
      </top>
      <bottom style="thick">
        <color theme="1"/>
      </bottom>
      <diagonal/>
    </border>
    <border>
      <left/>
      <right/>
      <top/>
      <bottom style="thick">
        <color theme="1"/>
      </bottom>
      <diagonal/>
    </border>
    <border>
      <left/>
      <right/>
      <top/>
      <bottom style="thick">
        <color rgb="FF000000"/>
      </bottom>
      <diagonal/>
    </border>
    <border>
      <left style="medium">
        <color rgb="FF000000"/>
      </left>
      <right/>
      <top/>
      <bottom style="thin">
        <color rgb="FF000000"/>
      </bottom>
      <diagonal/>
    </border>
    <border>
      <left style="medium">
        <color auto="1"/>
      </left>
      <right/>
      <top/>
      <bottom/>
      <diagonal/>
    </border>
    <border>
      <left style="thick">
        <color auto="1"/>
      </left>
      <right/>
      <top style="thick">
        <color auto="1"/>
      </top>
      <bottom/>
      <diagonal/>
    </border>
    <border>
      <left style="thin">
        <color auto="1"/>
      </left>
      <right style="thick">
        <color auto="1"/>
      </right>
      <top style="thick">
        <color auto="1"/>
      </top>
      <bottom style="thin">
        <color auto="1"/>
      </bottom>
      <diagonal/>
    </border>
    <border>
      <left style="thick">
        <color auto="1"/>
      </left>
      <right style="thick">
        <color theme="2"/>
      </right>
      <top/>
      <bottom style="thick">
        <color theme="2"/>
      </bottom>
      <diagonal/>
    </border>
    <border>
      <left style="thin">
        <color theme="0"/>
      </left>
      <right style="thick">
        <color auto="1"/>
      </right>
      <top/>
      <bottom style="thin">
        <color theme="0"/>
      </bottom>
      <diagonal/>
    </border>
    <border>
      <left style="thin">
        <color theme="0"/>
      </left>
      <right style="thick">
        <color auto="1"/>
      </right>
      <top style="thin">
        <color theme="0"/>
      </top>
      <bottom style="thin">
        <color theme="0"/>
      </bottom>
      <diagonal/>
    </border>
    <border>
      <left style="thick">
        <color auto="1"/>
      </left>
      <right style="thick">
        <color theme="2"/>
      </right>
      <top/>
      <bottom style="thick">
        <color auto="1"/>
      </bottom>
      <diagonal/>
    </border>
    <border>
      <left style="thin">
        <color theme="0"/>
      </left>
      <right style="thick">
        <color auto="1"/>
      </right>
      <top style="thin">
        <color theme="0"/>
      </top>
      <bottom style="thick">
        <color auto="1"/>
      </bottom>
      <diagonal/>
    </border>
    <border>
      <left style="thick">
        <color theme="0"/>
      </left>
      <right/>
      <top/>
      <bottom style="thick">
        <color theme="0"/>
      </bottom>
      <diagonal/>
    </border>
    <border>
      <left style="thick">
        <color rgb="FF000000"/>
      </left>
      <right style="thick">
        <color rgb="FF000000"/>
      </right>
      <top style="thick">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medium">
        <color indexed="64"/>
      </left>
      <right style="medium">
        <color indexed="64"/>
      </right>
      <top style="medium">
        <color indexed="64"/>
      </top>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thin">
        <color auto="1"/>
      </bottom>
      <diagonal/>
    </border>
    <border>
      <left style="thin">
        <color auto="1"/>
      </left>
      <right/>
      <top/>
      <bottom/>
      <diagonal/>
    </border>
    <border>
      <left/>
      <right/>
      <top/>
      <bottom style="thin">
        <color auto="1"/>
      </bottom>
      <diagonal/>
    </border>
    <border>
      <left style="thin">
        <color auto="1"/>
      </left>
      <right/>
      <top/>
      <bottom style="medium">
        <color indexed="64"/>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indexed="64"/>
      </left>
      <right/>
      <top/>
      <bottom style="thick">
        <color auto="1"/>
      </bottom>
      <diagonal/>
    </border>
    <border>
      <left style="thin">
        <color auto="1"/>
      </left>
      <right/>
      <top style="thin">
        <color auto="1"/>
      </top>
      <bottom/>
      <diagonal/>
    </border>
    <border>
      <left/>
      <right style="medium">
        <color rgb="FF000000"/>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ck">
        <color theme="0" tint="-4.9989318521683403E-2"/>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bottom style="thick">
        <color theme="0" tint="-4.9989318521683403E-2"/>
      </bottom>
      <diagonal/>
    </border>
    <border>
      <left style="thick">
        <color theme="0" tint="-4.9989318521683403E-2"/>
      </left>
      <right style="thick">
        <color theme="0" tint="-4.9989318521683403E-2"/>
      </right>
      <top/>
      <bottom style="thick">
        <color theme="0" tint="-4.9989318521683403E-2"/>
      </bottom>
      <diagonal/>
    </border>
    <border>
      <left style="thick">
        <color theme="1" tint="0.14996795556505021"/>
      </left>
      <right style="thick">
        <color theme="1" tint="0.14996795556505021"/>
      </right>
      <top style="thick">
        <color theme="1" tint="0.14996795556505021"/>
      </top>
      <bottom style="thick">
        <color theme="1" tint="0.14996795556505021"/>
      </bottom>
      <diagonal/>
    </border>
    <border>
      <left style="thick">
        <color theme="0"/>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1" tint="0.14996795556505021"/>
      </top>
      <bottom style="thick">
        <color theme="0" tint="-4.9989318521683403E-2"/>
      </bottom>
      <diagonal/>
    </border>
    <border>
      <left style="thick">
        <color theme="0" tint="-4.9989318521683403E-2"/>
      </left>
      <right style="thick">
        <color theme="1" tint="0.14996795556505021"/>
      </right>
      <top style="thick">
        <color theme="0" tint="-4.9989318521683403E-2"/>
      </top>
      <bottom style="thick">
        <color theme="0" tint="-4.9989318521683403E-2"/>
      </bottom>
      <diagonal/>
    </border>
    <border>
      <left style="thick">
        <color theme="1" tint="0.14996795556505021"/>
      </left>
      <right style="thick">
        <color theme="1" tint="0.14996795556505021"/>
      </right>
      <top style="thick">
        <color theme="1" tint="0.14996795556505021"/>
      </top>
      <bottom/>
      <diagonal/>
    </border>
    <border>
      <left style="thick">
        <color theme="1" tint="0.14996795556505021"/>
      </left>
      <right style="thick">
        <color theme="1" tint="0.14996795556505021"/>
      </right>
      <top/>
      <bottom/>
      <diagonal/>
    </border>
    <border>
      <left style="thick">
        <color theme="1" tint="0.14996795556505021"/>
      </left>
      <right style="thick">
        <color theme="1" tint="0.14996795556505021"/>
      </right>
      <top/>
      <bottom style="thick">
        <color theme="1" tint="0.14996795556505021"/>
      </bottom>
      <diagonal/>
    </border>
    <border>
      <left style="thick">
        <color auto="1"/>
      </left>
      <right style="thick">
        <color auto="1"/>
      </right>
      <top style="thick">
        <color theme="1" tint="0.14996795556505021"/>
      </top>
      <bottom style="thick">
        <color theme="1" tint="0.14996795556505021"/>
      </bottom>
      <diagonal/>
    </border>
    <border>
      <left style="thick">
        <color theme="0" tint="-4.9989318521683403E-2"/>
      </left>
      <right/>
      <top/>
      <bottom style="thick">
        <color theme="0" tint="-4.9989318521683403E-2"/>
      </bottom>
      <diagonal/>
    </border>
    <border>
      <left style="thick">
        <color theme="0" tint="-4.9989318521683403E-2"/>
      </left>
      <right/>
      <top style="thick">
        <color theme="0" tint="-4.9989318521683403E-2"/>
      </top>
      <bottom style="thick">
        <color theme="0" tint="-4.9989318521683403E-2"/>
      </bottom>
      <diagonal/>
    </border>
    <border>
      <left style="medium">
        <color theme="0" tint="-4.9989318521683403E-2"/>
      </left>
      <right style="thick">
        <color theme="0" tint="-4.9989318521683403E-2"/>
      </right>
      <top style="thick">
        <color theme="1" tint="0.14996795556505021"/>
      </top>
      <bottom style="thick">
        <color theme="1" tint="0.14996795556505021"/>
      </bottom>
      <diagonal/>
    </border>
    <border>
      <left style="thick">
        <color theme="1" tint="0.14996795556505021"/>
      </left>
      <right style="medium">
        <color theme="0" tint="-4.9989318521683403E-2"/>
      </right>
      <top style="thick">
        <color theme="1" tint="0.14996795556505021"/>
      </top>
      <bottom style="medium">
        <color theme="0" tint="-4.9989318521683403E-2"/>
      </bottom>
      <diagonal/>
    </border>
    <border>
      <left style="thick">
        <color theme="1" tint="0.14996795556505021"/>
      </left>
      <right style="medium">
        <color theme="0" tint="-4.9989318521683403E-2"/>
      </right>
      <top style="medium">
        <color theme="0" tint="-4.9989318521683403E-2"/>
      </top>
      <bottom style="medium">
        <color theme="0" tint="-4.9989318521683403E-2"/>
      </bottom>
      <diagonal/>
    </border>
    <border>
      <left style="thick">
        <color theme="1" tint="0.14996795556505021"/>
      </left>
      <right style="medium">
        <color theme="0" tint="-4.9989318521683403E-2"/>
      </right>
      <top style="medium">
        <color theme="0" tint="-4.9989318521683403E-2"/>
      </top>
      <bottom style="thick">
        <color theme="1" tint="0.14996795556505021"/>
      </bottom>
      <diagonal/>
    </border>
    <border>
      <left style="thick">
        <color theme="1" tint="0.14996795556505021"/>
      </left>
      <right/>
      <top style="thick">
        <color theme="1" tint="0.14996795556505021"/>
      </top>
      <bottom style="thick">
        <color theme="1" tint="0.14996795556505021"/>
      </bottom>
      <diagonal/>
    </border>
    <border>
      <left/>
      <right style="thick">
        <color theme="1" tint="0.14996795556505021"/>
      </right>
      <top style="thick">
        <color theme="1" tint="0.14996795556505021"/>
      </top>
      <bottom style="thick">
        <color theme="1" tint="0.14996795556505021"/>
      </bottom>
      <diagonal/>
    </border>
    <border>
      <left style="thick">
        <color theme="1" tint="0.14993743705557422"/>
      </left>
      <right style="thick">
        <color theme="1" tint="0.14993743705557422"/>
      </right>
      <top style="thick">
        <color theme="1" tint="0.14993743705557422"/>
      </top>
      <bottom style="thick">
        <color theme="1" tint="0.14993743705557422"/>
      </bottom>
      <diagonal/>
    </border>
    <border>
      <left/>
      <right style="thick">
        <color theme="1" tint="0.14996795556505021"/>
      </right>
      <top/>
      <bottom/>
      <diagonal/>
    </border>
    <border>
      <left style="thick">
        <color theme="1" tint="0.14996795556505021"/>
      </left>
      <right style="thick">
        <color theme="1" tint="0.14993743705557422"/>
      </right>
      <top/>
      <bottom/>
      <diagonal/>
    </border>
    <border>
      <left/>
      <right style="medium">
        <color theme="1" tint="0.14996795556505021"/>
      </right>
      <top/>
      <bottom/>
      <diagonal/>
    </border>
    <border>
      <left style="medium">
        <color theme="1" tint="0.14996795556505021"/>
      </left>
      <right/>
      <top/>
      <bottom/>
      <diagonal/>
    </border>
    <border>
      <left/>
      <right style="medium">
        <color theme="1" tint="0.14993743705557422"/>
      </right>
      <top/>
      <bottom/>
      <diagonal/>
    </border>
    <border>
      <left style="medium">
        <color theme="1" tint="0.14993743705557422"/>
      </left>
      <right/>
      <top/>
      <bottom/>
      <diagonal/>
    </border>
    <border>
      <left/>
      <right style="medium">
        <color theme="1" tint="0.14993743705557422"/>
      </right>
      <top style="medium">
        <color theme="1" tint="0.14993743705557422"/>
      </top>
      <bottom style="thick">
        <color theme="1" tint="0.14996795556505021"/>
      </bottom>
      <diagonal/>
    </border>
    <border>
      <left style="thick">
        <color auto="1"/>
      </left>
      <right style="thick">
        <color theme="1" tint="0.14993743705557422"/>
      </right>
      <top style="thick">
        <color theme="1" tint="0.14996795556505021"/>
      </top>
      <bottom style="thick">
        <color theme="1" tint="0.14996795556505021"/>
      </bottom>
      <diagonal/>
    </border>
    <border>
      <left style="thick">
        <color theme="1" tint="0.14996795556505021"/>
      </left>
      <right style="thick">
        <color theme="1" tint="0.14993743705557422"/>
      </right>
      <top style="thick">
        <color theme="1" tint="0.14996795556505021"/>
      </top>
      <bottom style="thick">
        <color auto="1"/>
      </bottom>
      <diagonal/>
    </border>
    <border>
      <left style="thick">
        <color theme="1" tint="0.14996795556505021"/>
      </left>
      <right style="thick">
        <color theme="1" tint="0.14993743705557422"/>
      </right>
      <top style="thick">
        <color auto="1"/>
      </top>
      <bottom style="thick">
        <color auto="1"/>
      </bottom>
      <diagonal/>
    </border>
    <border>
      <left style="thick">
        <color theme="1" tint="0.14996795556505021"/>
      </left>
      <right style="thick">
        <color theme="1" tint="0.14993743705557422"/>
      </right>
      <top style="thick">
        <color auto="1"/>
      </top>
      <bottom style="thick">
        <color theme="1" tint="0.14996795556505021"/>
      </bottom>
      <diagonal/>
    </border>
    <border>
      <left/>
      <right style="thick">
        <color auto="1"/>
      </right>
      <top style="thick">
        <color theme="1" tint="0.14996795556505021"/>
      </top>
      <bottom style="thick">
        <color theme="1" tint="0.14996795556505021"/>
      </bottom>
      <diagonal/>
    </border>
    <border>
      <left/>
      <right style="medium">
        <color auto="1"/>
      </right>
      <top style="medium">
        <color auto="1"/>
      </top>
      <bottom/>
      <diagonal/>
    </border>
    <border>
      <left style="medium">
        <color theme="1" tint="0.14996795556505021"/>
      </left>
      <right/>
      <top style="medium">
        <color theme="1" tint="0.14996795556505021"/>
      </top>
      <bottom/>
      <diagonal/>
    </border>
    <border>
      <left/>
      <right style="medium">
        <color theme="1" tint="0.14996795556505021"/>
      </right>
      <top style="medium">
        <color theme="1" tint="0.14996795556505021"/>
      </top>
      <bottom/>
      <diagonal/>
    </border>
    <border>
      <left style="medium">
        <color theme="1" tint="0.14996795556505021"/>
      </left>
      <right/>
      <top/>
      <bottom style="medium">
        <color theme="1" tint="0.14996795556505021"/>
      </bottom>
      <diagonal/>
    </border>
    <border>
      <left/>
      <right style="medium">
        <color theme="1" tint="0.14996795556505021"/>
      </right>
      <top/>
      <bottom style="medium">
        <color theme="1" tint="0.14996795556505021"/>
      </bottom>
      <diagonal/>
    </border>
    <border>
      <left style="medium">
        <color theme="1" tint="0.14996795556505021"/>
      </left>
      <right/>
      <top style="medium">
        <color theme="1" tint="0.14996795556505021"/>
      </top>
      <bottom style="medium">
        <color theme="1" tint="0.14996795556505021"/>
      </bottom>
      <diagonal/>
    </border>
    <border>
      <left/>
      <right style="medium">
        <color theme="1" tint="0.14996795556505021"/>
      </right>
      <top style="medium">
        <color theme="1" tint="0.14996795556505021"/>
      </top>
      <bottom style="medium">
        <color theme="1" tint="0.14996795556505021"/>
      </bottom>
      <diagonal/>
    </border>
    <border>
      <left style="medium">
        <color theme="1" tint="0.14993743705557422"/>
      </left>
      <right style="medium">
        <color theme="1" tint="0.14996795556505021"/>
      </right>
      <top style="medium">
        <color theme="1" tint="0.14993743705557422"/>
      </top>
      <bottom style="medium">
        <color theme="1" tint="0.14993743705557422"/>
      </bottom>
      <diagonal/>
    </border>
    <border>
      <left style="medium">
        <color theme="1" tint="0.14996795556505021"/>
      </left>
      <right style="medium">
        <color theme="1" tint="0.14996795556505021"/>
      </right>
      <top style="medium">
        <color theme="1" tint="0.14993743705557422"/>
      </top>
      <bottom style="medium">
        <color theme="1" tint="0.14993743705557422"/>
      </bottom>
      <diagonal/>
    </border>
    <border>
      <left style="medium">
        <color theme="1" tint="0.14990691854609822"/>
      </left>
      <right style="medium">
        <color theme="1" tint="0.149937437055574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style="medium">
        <color theme="1" tint="0.14990691854609822"/>
      </bottom>
      <diagonal/>
    </border>
    <border>
      <left/>
      <right style="medium">
        <color auto="1"/>
      </right>
      <top style="thick">
        <color auto="1"/>
      </top>
      <bottom/>
      <diagonal/>
    </border>
    <border>
      <left/>
      <right style="medium">
        <color auto="1"/>
      </right>
      <top/>
      <bottom/>
      <diagonal/>
    </border>
    <border>
      <left style="medium">
        <color theme="1" tint="0.14996795556505021"/>
      </left>
      <right style="medium">
        <color theme="1" tint="0.14996795556505021"/>
      </right>
      <top style="medium">
        <color theme="1" tint="0.14993743705557422"/>
      </top>
      <bottom/>
      <diagonal/>
    </border>
    <border>
      <left style="medium">
        <color theme="1" tint="0.14996795556505021"/>
      </left>
      <right style="medium">
        <color theme="1" tint="0.14993743705557422"/>
      </right>
      <top style="medium">
        <color theme="1" tint="0.14993743705557422"/>
      </top>
      <bottom/>
      <diagonal/>
    </border>
    <border>
      <left style="medium">
        <color theme="1" tint="0.14990691854609822"/>
      </left>
      <right/>
      <top style="medium">
        <color theme="1" tint="0.14990691854609822"/>
      </top>
      <bottom style="medium">
        <color theme="1" tint="0.14990691854609822"/>
      </bottom>
      <diagonal/>
    </border>
    <border>
      <left/>
      <right/>
      <top style="medium">
        <color theme="1" tint="0.14990691854609822"/>
      </top>
      <bottom style="medium">
        <color theme="1" tint="0.14990691854609822"/>
      </bottom>
      <diagonal/>
    </border>
    <border>
      <left/>
      <right style="medium">
        <color theme="1" tint="0.149906918546098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diagonal/>
    </border>
    <border>
      <left style="medium">
        <color theme="1" tint="0.14993743705557422"/>
      </left>
      <right style="medium">
        <color theme="1" tint="0.14990691854609822"/>
      </right>
      <top style="medium">
        <color theme="1" tint="0.14990691854609822"/>
      </top>
      <bottom/>
      <diagonal/>
    </border>
    <border>
      <left style="medium">
        <color theme="1" tint="0.1498764000366222"/>
      </left>
      <right/>
      <top style="medium">
        <color theme="1" tint="0.1498764000366222"/>
      </top>
      <bottom style="medium">
        <color theme="1" tint="0.1498764000366222"/>
      </bottom>
      <diagonal/>
    </border>
    <border>
      <left/>
      <right style="medium">
        <color theme="1" tint="0.1498764000366222"/>
      </right>
      <top style="medium">
        <color theme="1" tint="0.1498764000366222"/>
      </top>
      <bottom style="medium">
        <color theme="1" tint="0.1498764000366222"/>
      </bottom>
      <diagonal/>
    </border>
    <border>
      <left style="medium">
        <color theme="1" tint="0.14993743705557422"/>
      </left>
      <right/>
      <top style="medium">
        <color theme="1" tint="0.14993743705557422"/>
      </top>
      <bottom/>
      <diagonal/>
    </border>
    <border>
      <left/>
      <right/>
      <top style="medium">
        <color theme="1" tint="0.14993743705557422"/>
      </top>
      <bottom/>
      <diagonal/>
    </border>
    <border>
      <left/>
      <right style="medium">
        <color theme="1" tint="0.14993743705557422"/>
      </right>
      <top style="medium">
        <color theme="1" tint="0.14993743705557422"/>
      </top>
      <bottom/>
      <diagonal/>
    </border>
    <border>
      <left style="medium">
        <color indexed="64"/>
      </left>
      <right style="medium">
        <color indexed="64"/>
      </right>
      <top/>
      <bottom/>
      <diagonal/>
    </border>
    <border>
      <left style="medium">
        <color theme="1" tint="0.14996795556505021"/>
      </left>
      <right/>
      <top style="thick">
        <color theme="1" tint="0.14996795556505021"/>
      </top>
      <bottom style="medium">
        <color theme="1" tint="0.14996795556505021"/>
      </bottom>
      <diagonal/>
    </border>
    <border>
      <left/>
      <right/>
      <top style="thick">
        <color theme="1" tint="0.14996795556505021"/>
      </top>
      <bottom style="medium">
        <color theme="1" tint="0.14996795556505021"/>
      </bottom>
      <diagonal/>
    </border>
    <border>
      <left/>
      <right style="medium">
        <color theme="1" tint="0.14996795556505021"/>
      </right>
      <top style="thick">
        <color theme="1" tint="0.14996795556505021"/>
      </top>
      <bottom style="medium">
        <color theme="1" tint="0.14996795556505021"/>
      </bottom>
      <diagonal/>
    </border>
    <border>
      <left style="thick">
        <color theme="1" tint="0.14996795556505021"/>
      </left>
      <right style="thick">
        <color theme="0" tint="-4.9989318521683403E-2"/>
      </right>
      <top style="thick">
        <color theme="1" tint="0.14996795556505021"/>
      </top>
      <bottom style="thick">
        <color theme="0" tint="-4.9989318521683403E-2"/>
      </bottom>
      <diagonal/>
    </border>
    <border>
      <left style="thick">
        <color theme="0" tint="-4.9989318521683403E-2"/>
      </left>
      <right style="thick">
        <color theme="0" tint="-4.9989318521683403E-2"/>
      </right>
      <top style="thick">
        <color theme="1" tint="0.14996795556505021"/>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1" tint="0.14996795556505021"/>
      </bottom>
      <diagonal/>
    </border>
    <border>
      <left style="medium">
        <color rgb="FF000000"/>
      </left>
      <right style="medium">
        <color rgb="FF000000"/>
      </right>
      <top style="medium">
        <color rgb="FF000000"/>
      </top>
      <bottom/>
      <diagonal/>
    </border>
    <border>
      <left style="thick">
        <color theme="0" tint="-4.9989318521683403E-2"/>
      </left>
      <right/>
      <top style="thick">
        <color theme="1" tint="0.14996795556505021"/>
      </top>
      <bottom style="thick">
        <color theme="0" tint="-4.9989318521683403E-2"/>
      </bottom>
      <diagonal/>
    </border>
    <border>
      <left style="thick">
        <color theme="0" tint="-4.9989318521683403E-2"/>
      </left>
      <right/>
      <top style="thick">
        <color theme="0" tint="-4.9989318521683403E-2"/>
      </top>
      <bottom style="thick">
        <color theme="1" tint="0.14996795556505021"/>
      </bottom>
      <diagonal/>
    </border>
    <border>
      <left style="thick">
        <color theme="1" tint="0.14993743705557422"/>
      </left>
      <right/>
      <top style="thick">
        <color theme="1" tint="0.14993743705557422"/>
      </top>
      <bottom/>
      <diagonal/>
    </border>
    <border>
      <left/>
      <right style="thick">
        <color theme="1" tint="0.14993743705557422"/>
      </right>
      <top style="thick">
        <color theme="1" tint="0.14993743705557422"/>
      </top>
      <bottom/>
      <diagonal/>
    </border>
    <border>
      <left style="thick">
        <color theme="1" tint="0.14993743705557422"/>
      </left>
      <right/>
      <top/>
      <bottom/>
      <diagonal/>
    </border>
    <border>
      <left/>
      <right style="thick">
        <color theme="1" tint="0.14993743705557422"/>
      </right>
      <top/>
      <bottom/>
      <diagonal/>
    </border>
    <border>
      <left style="thick">
        <color theme="1" tint="0.14993743705557422"/>
      </left>
      <right/>
      <top/>
      <bottom style="thick">
        <color theme="1" tint="0.14993743705557422"/>
      </bottom>
      <diagonal/>
    </border>
    <border>
      <left/>
      <right style="thick">
        <color theme="1" tint="0.14993743705557422"/>
      </right>
      <top/>
      <bottom style="thick">
        <color theme="1" tint="0.14993743705557422"/>
      </bottom>
      <diagonal/>
    </border>
    <border>
      <left/>
      <right style="thick">
        <color theme="0" tint="-4.9989318521683403E-2"/>
      </right>
      <top style="thick">
        <color theme="1" tint="0.14996795556505021"/>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1" tint="0.14996795556505021"/>
      </bottom>
      <diagonal/>
    </border>
    <border>
      <left style="medium">
        <color theme="1" tint="0.14996795556505021"/>
      </left>
      <right/>
      <top style="medium">
        <color theme="1" tint="0.14996795556505021"/>
      </top>
      <bottom style="medium">
        <color rgb="FF000000"/>
      </bottom>
      <diagonal/>
    </border>
    <border>
      <left/>
      <right style="medium">
        <color theme="1" tint="0.14996795556505021"/>
      </right>
      <top style="medium">
        <color theme="1" tint="0.14996795556505021"/>
      </top>
      <bottom style="medium">
        <color rgb="FF000000"/>
      </bottom>
      <diagonal/>
    </border>
    <border>
      <left style="medium">
        <color theme="1" tint="0.14996795556505021"/>
      </left>
      <right/>
      <top style="medium">
        <color rgb="FF000000"/>
      </top>
      <bottom style="medium">
        <color rgb="FF000000"/>
      </bottom>
      <diagonal/>
    </border>
    <border>
      <left/>
      <right/>
      <top/>
      <bottom style="medium">
        <color theme="1" tint="0.14996795556505021"/>
      </bottom>
      <diagonal/>
    </border>
    <border>
      <left style="thick">
        <color theme="1" tint="0.14990691854609822"/>
      </left>
      <right style="thick">
        <color theme="0" tint="-4.9989318521683403E-2"/>
      </right>
      <top style="thick">
        <color theme="1" tint="0.14996795556505021"/>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1" tint="0.14996795556505021"/>
      </bottom>
      <diagonal/>
    </border>
    <border>
      <left/>
      <right/>
      <top style="thick">
        <color theme="1" tint="0.14996795556505021"/>
      </top>
      <bottom style="thick">
        <color theme="1" tint="0.14996795556505021"/>
      </bottom>
      <diagonal/>
    </border>
    <border>
      <left style="thick">
        <color theme="1" tint="0.14993743705557422"/>
      </left>
      <right style="thick">
        <color theme="1" tint="0.14993743705557422"/>
      </right>
      <top/>
      <bottom/>
      <diagonal/>
    </border>
    <border>
      <left style="thick">
        <color theme="1" tint="0.14993743705557422"/>
      </left>
      <right style="thick">
        <color theme="1" tint="0.14993743705557422"/>
      </right>
      <top/>
      <bottom style="thick">
        <color auto="1"/>
      </bottom>
      <diagonal/>
    </border>
    <border>
      <left style="thick">
        <color theme="1" tint="0.14996795556505021"/>
      </left>
      <right style="thick">
        <color theme="1" tint="0.14993743705557422"/>
      </right>
      <top/>
      <bottom style="thick">
        <color auto="1"/>
      </bottom>
      <diagonal/>
    </border>
    <border>
      <left style="medium">
        <color theme="1" tint="0.14993743705557422"/>
      </left>
      <right/>
      <top/>
      <bottom style="medium">
        <color theme="1" tint="0.14993743705557422"/>
      </bottom>
      <diagonal/>
    </border>
    <border>
      <left/>
      <right/>
      <top/>
      <bottom style="medium">
        <color theme="1" tint="0.14993743705557422"/>
      </bottom>
      <diagonal/>
    </border>
    <border>
      <left/>
      <right style="medium">
        <color theme="1" tint="0.14993743705557422"/>
      </right>
      <top/>
      <bottom style="medium">
        <color theme="1" tint="0.14993743705557422"/>
      </bottom>
      <diagonal/>
    </border>
    <border>
      <left style="medium">
        <color theme="0" tint="-4.9989318521683403E-2"/>
      </left>
      <right style="medium">
        <color theme="0" tint="-4.9989318521683403E-2"/>
      </right>
      <top style="thick">
        <color theme="1" tint="0.14996795556505021"/>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thick">
        <color theme="1" tint="0.14996795556505021"/>
      </bottom>
      <diagonal/>
    </border>
    <border>
      <left/>
      <right/>
      <top style="thick">
        <color theme="1" tint="0.14996795556505021"/>
      </top>
      <bottom style="medium">
        <color theme="1" tint="0.14993743705557422"/>
      </bottom>
      <diagonal/>
    </border>
    <border>
      <left/>
      <right style="thick">
        <color theme="0"/>
      </right>
      <top style="thick">
        <color theme="1" tint="0.14996795556505021"/>
      </top>
      <bottom style="thick">
        <color theme="0" tint="-4.9989318521683403E-2"/>
      </bottom>
      <diagonal/>
    </border>
    <border>
      <left/>
      <right style="thick">
        <color theme="0"/>
      </right>
      <top style="thick">
        <color theme="0" tint="-4.9989318521683403E-2"/>
      </top>
      <bottom style="thick">
        <color theme="0" tint="-4.9989318521683403E-2"/>
      </bottom>
      <diagonal/>
    </border>
    <border>
      <left/>
      <right style="thick">
        <color theme="0"/>
      </right>
      <top style="thick">
        <color theme="0" tint="-4.9989318521683403E-2"/>
      </top>
      <bottom style="thick">
        <color theme="1" tint="0.14996795556505021"/>
      </bottom>
      <diagonal/>
    </border>
    <border>
      <left/>
      <right/>
      <top style="medium">
        <color theme="1" tint="0.14996795556505021"/>
      </top>
      <bottom style="medium">
        <color theme="1" tint="0.14996795556505021"/>
      </bottom>
      <diagonal/>
    </border>
    <border>
      <left style="medium">
        <color theme="1" tint="0.14996795556505021"/>
      </left>
      <right/>
      <top style="thick">
        <color theme="1" tint="0.1498764000366222"/>
      </top>
      <bottom style="medium">
        <color theme="1" tint="0.14996795556505021"/>
      </bottom>
      <diagonal/>
    </border>
    <border>
      <left/>
      <right/>
      <top style="thick">
        <color theme="1" tint="0.1498764000366222"/>
      </top>
      <bottom style="medium">
        <color theme="1" tint="0.14996795556505021"/>
      </bottom>
      <diagonal/>
    </border>
    <border>
      <left style="medium">
        <color theme="1" tint="0.14993743705557422"/>
      </left>
      <right/>
      <top style="thick">
        <color theme="1" tint="0.14996795556505021"/>
      </top>
      <bottom style="medium">
        <color theme="1" tint="0.14993743705557422"/>
      </bottom>
      <diagonal/>
    </border>
    <border>
      <left/>
      <right style="medium">
        <color theme="1" tint="0.14993743705557422"/>
      </right>
      <top style="thick">
        <color theme="1" tint="0.14996795556505021"/>
      </top>
      <bottom style="medium">
        <color theme="1" tint="0.14993743705557422"/>
      </bottom>
      <diagonal/>
    </border>
    <border>
      <left style="medium">
        <color theme="1" tint="0.14996795556505021"/>
      </left>
      <right/>
      <top/>
      <bottom style="medium">
        <color theme="1" tint="0.14993743705557422"/>
      </bottom>
      <diagonal/>
    </border>
    <border>
      <left/>
      <right style="medium">
        <color theme="1" tint="0.14996795556505021"/>
      </right>
      <top/>
      <bottom style="medium">
        <color theme="1" tint="0.14993743705557422"/>
      </bottom>
      <diagonal/>
    </border>
    <border>
      <left style="thick">
        <color theme="1" tint="0.14993743705557422"/>
      </left>
      <right style="thick">
        <color theme="1" tint="0.14996795556505021"/>
      </right>
      <top/>
      <bottom/>
      <diagonal/>
    </border>
    <border>
      <left/>
      <right style="thick">
        <color theme="1" tint="0.14996795556505021"/>
      </right>
      <top style="thick">
        <color auto="1"/>
      </top>
      <bottom style="thick">
        <color auto="1"/>
      </bottom>
      <diagonal/>
    </border>
    <border>
      <left style="thick">
        <color theme="0" tint="-4.9989318521683403E-2"/>
      </left>
      <right style="thick">
        <color theme="1" tint="0.14996795556505021"/>
      </right>
      <top style="thick">
        <color theme="0" tint="-4.9989318521683403E-2"/>
      </top>
      <bottom style="thick">
        <color theme="1" tint="4.9989318521683403E-2"/>
      </bottom>
      <diagonal/>
    </border>
    <border>
      <left style="medium">
        <color theme="1" tint="0.14993743705557422"/>
      </left>
      <right/>
      <top/>
      <bottom style="thick">
        <color theme="1" tint="0.14996795556505021"/>
      </bottom>
      <diagonal/>
    </border>
    <border>
      <left style="thick">
        <color theme="1" tint="0.14996795556505021"/>
      </left>
      <right/>
      <top style="medium">
        <color theme="1" tint="0.1498764000366222"/>
      </top>
      <bottom style="thick">
        <color theme="1" tint="0.14996795556505021"/>
      </bottom>
      <diagonal/>
    </border>
    <border>
      <left/>
      <right style="medium">
        <color theme="1" tint="0.14993743705557422"/>
      </right>
      <top style="medium">
        <color theme="1" tint="0.1498764000366222"/>
      </top>
      <bottom style="thick">
        <color theme="1" tint="0.14996795556505021"/>
      </bottom>
      <diagonal/>
    </border>
    <border>
      <left style="medium">
        <color theme="1" tint="0.14990691854609822"/>
      </left>
      <right/>
      <top style="medium">
        <color theme="1" tint="0.14993743705557422"/>
      </top>
      <bottom style="thick">
        <color theme="1" tint="0.1498764000366222"/>
      </bottom>
      <diagonal/>
    </border>
    <border>
      <left/>
      <right style="medium">
        <color theme="1" tint="0.14990691854609822"/>
      </right>
      <top style="medium">
        <color theme="1" tint="0.14993743705557422"/>
      </top>
      <bottom style="thick">
        <color theme="1" tint="0.1498764000366222"/>
      </bottom>
      <diagonal/>
    </border>
    <border>
      <left style="medium">
        <color theme="1" tint="0.14990691854609822"/>
      </left>
      <right/>
      <top style="medium">
        <color theme="1" tint="0.14993743705557422"/>
      </top>
      <bottom style="thick">
        <color theme="1" tint="0.14996795556505021"/>
      </bottom>
      <diagonal/>
    </border>
    <border>
      <left/>
      <right/>
      <top style="medium">
        <color theme="1" tint="0.14993743705557422"/>
      </top>
      <bottom style="thick">
        <color theme="1" tint="0.14996795556505021"/>
      </bottom>
      <diagonal/>
    </border>
    <border>
      <left style="thick">
        <color auto="1"/>
      </left>
      <right/>
      <top style="medium">
        <color theme="1" tint="0.1498764000366222"/>
      </top>
      <bottom style="thick">
        <color theme="1" tint="0.14996795556505021"/>
      </bottom>
      <diagonal/>
    </border>
    <border>
      <left/>
      <right style="thick">
        <color theme="1" tint="0.14996795556505021"/>
      </right>
      <top style="medium">
        <color theme="1" tint="0.1498764000366222"/>
      </top>
      <bottom style="thick">
        <color theme="1" tint="0.14996795556505021"/>
      </bottom>
      <diagonal/>
    </border>
    <border>
      <left/>
      <right/>
      <top/>
      <bottom style="medium">
        <color theme="1" tint="0.1498764000366222"/>
      </bottom>
      <diagonal/>
    </border>
    <border>
      <left style="medium">
        <color theme="1" tint="0.1498764000366222"/>
      </left>
      <right/>
      <top/>
      <bottom style="medium">
        <color theme="1" tint="0.1498764000366222"/>
      </bottom>
      <diagonal/>
    </border>
    <border>
      <left/>
      <right style="medium">
        <color theme="1" tint="0.1498764000366222"/>
      </right>
      <top/>
      <bottom style="medium">
        <color theme="1" tint="0.1498764000366222"/>
      </bottom>
      <diagonal/>
    </border>
    <border>
      <left style="medium">
        <color theme="1" tint="0.14996795556505021"/>
      </left>
      <right style="medium">
        <color theme="1" tint="0.14993743705557422"/>
      </right>
      <top style="medium">
        <color theme="1" tint="0.14993743705557422"/>
      </top>
      <bottom style="medium">
        <color theme="1" tint="0.14996795556505021"/>
      </bottom>
      <diagonal/>
    </border>
    <border>
      <left style="thick">
        <color theme="1" tint="0.14996795556505021"/>
      </left>
      <right/>
      <top/>
      <bottom/>
      <diagonal/>
    </border>
    <border>
      <left style="thick">
        <color theme="1" tint="0.14993743705557422"/>
      </left>
      <right/>
      <top/>
      <bottom style="thick">
        <color auto="1"/>
      </bottom>
      <diagonal/>
    </border>
    <border>
      <left/>
      <right style="thick">
        <color theme="1" tint="0.14996795556505021"/>
      </right>
      <top/>
      <bottom style="thick">
        <color auto="1"/>
      </bottom>
      <diagonal/>
    </border>
    <border>
      <left/>
      <right style="thick">
        <color theme="1" tint="0.14993743705557422"/>
      </right>
      <top/>
      <bottom style="thick">
        <color auto="1"/>
      </bottom>
      <diagonal/>
    </border>
    <border>
      <left style="thick">
        <color theme="1" tint="0.14996795556505021"/>
      </left>
      <right/>
      <top/>
      <bottom style="thick">
        <color auto="1"/>
      </bottom>
      <diagonal/>
    </border>
    <border>
      <left style="thick">
        <color theme="0"/>
      </left>
      <right/>
      <top style="thick">
        <color auto="1"/>
      </top>
      <bottom/>
      <diagonal/>
    </border>
    <border>
      <left style="thick">
        <color auto="1"/>
      </left>
      <right/>
      <top style="thick">
        <color auto="1"/>
      </top>
      <bottom style="thick">
        <color theme="1" tint="0.14996795556505021"/>
      </bottom>
      <diagonal/>
    </border>
    <border>
      <left/>
      <right/>
      <top style="thick">
        <color auto="1"/>
      </top>
      <bottom style="thick">
        <color theme="1" tint="0.14996795556505021"/>
      </bottom>
      <diagonal/>
    </border>
    <border>
      <left/>
      <right style="thick">
        <color theme="1" tint="0.14996795556505021"/>
      </right>
      <top style="thick">
        <color auto="1"/>
      </top>
      <bottom style="thick">
        <color theme="1" tint="0.14996795556505021"/>
      </bottom>
      <diagonal/>
    </border>
    <border>
      <left/>
      <right style="thick">
        <color auto="1"/>
      </right>
      <top style="thick">
        <color auto="1"/>
      </top>
      <bottom style="thick">
        <color theme="1" tint="0.14996795556505021"/>
      </bottom>
      <diagonal/>
    </border>
    <border>
      <left style="thick">
        <color theme="1" tint="0.14996795556505021"/>
      </left>
      <right/>
      <top style="thick">
        <color auto="1"/>
      </top>
      <bottom/>
      <diagonal/>
    </border>
    <border>
      <left style="thin">
        <color rgb="FF000000"/>
      </left>
      <right/>
      <top style="medium">
        <color theme="1" tint="0.14996795556505021"/>
      </top>
      <bottom style="medium">
        <color rgb="FF000000"/>
      </bottom>
      <diagonal/>
    </border>
    <border>
      <left/>
      <right style="medium">
        <color rgb="FF000000"/>
      </right>
      <top style="medium">
        <color theme="1" tint="0.14996795556505021"/>
      </top>
      <bottom style="medium">
        <color rgb="FF000000"/>
      </bottom>
      <diagonal/>
    </border>
    <border>
      <left style="thin">
        <color rgb="FF000000"/>
      </left>
      <right/>
      <top style="medium">
        <color rgb="FF000000"/>
      </top>
      <bottom style="medium">
        <color theme="1" tint="0.14996795556505021"/>
      </bottom>
      <diagonal/>
    </border>
    <border>
      <left/>
      <right/>
      <top style="medium">
        <color rgb="FF000000"/>
      </top>
      <bottom style="medium">
        <color theme="1" tint="0.14996795556505021"/>
      </bottom>
      <diagonal/>
    </border>
    <border>
      <left/>
      <right style="thin">
        <color rgb="FF000000"/>
      </right>
      <top style="medium">
        <color rgb="FF000000"/>
      </top>
      <bottom style="medium">
        <color theme="1" tint="0.14996795556505021"/>
      </bottom>
      <diagonal/>
    </border>
    <border>
      <left style="medium">
        <color theme="1" tint="0.14981536301767021"/>
      </left>
      <right style="medium">
        <color theme="1" tint="0.14996795556505021"/>
      </right>
      <top style="medium">
        <color theme="1" tint="0.1498458815271462"/>
      </top>
      <bottom style="medium">
        <color theme="1" tint="0.14996795556505021"/>
      </bottom>
      <diagonal/>
    </border>
    <border>
      <left style="medium">
        <color indexed="64"/>
      </left>
      <right/>
      <top style="medium">
        <color indexed="64"/>
      </top>
      <bottom/>
      <diagonal/>
    </border>
    <border>
      <left style="medium">
        <color theme="1" tint="0.14990691854609822"/>
      </left>
      <right style="medium">
        <color theme="1" tint="0.14990691854609822"/>
      </right>
      <top style="medium">
        <color theme="1" tint="0.14990691854609822"/>
      </top>
      <bottom style="medium">
        <color theme="1" tint="0.14990691854609822"/>
      </bottom>
      <diagonal/>
    </border>
    <border>
      <left style="medium">
        <color theme="1" tint="0.1498764000366222"/>
      </left>
      <right style="medium">
        <color theme="1" tint="0.1498764000366222"/>
      </right>
      <top style="medium">
        <color theme="1" tint="0.1498764000366222"/>
      </top>
      <bottom style="medium">
        <color theme="1" tint="0.1498764000366222"/>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theme="1" tint="0.14993743705557422"/>
      </left>
      <right style="thick">
        <color theme="1" tint="0.14993743705557422"/>
      </right>
      <top style="thick">
        <color theme="1" tint="0.14990691854609822"/>
      </top>
      <bottom style="thick">
        <color theme="1" tint="0.14993743705557422"/>
      </bottom>
      <diagonal/>
    </border>
    <border>
      <left style="medium">
        <color theme="1" tint="0.14996795556505021"/>
      </left>
      <right style="medium">
        <color theme="1" tint="0.14996795556505021"/>
      </right>
      <top style="medium">
        <color theme="1" tint="0.14996795556505021"/>
      </top>
      <bottom style="medium">
        <color theme="1" tint="0.14996795556505021"/>
      </bottom>
      <diagonal/>
    </border>
  </borders>
  <cellStyleXfs count="3">
    <xf numFmtId="0" fontId="0" fillId="0" borderId="0"/>
    <xf numFmtId="0" fontId="56" fillId="21" borderId="34">
      <alignment horizontal="center" vertical="center"/>
    </xf>
    <xf numFmtId="9" fontId="99" fillId="0" borderId="0" applyFont="0" applyFill="0" applyBorder="0" applyAlignment="0" applyProtection="0"/>
  </cellStyleXfs>
  <cellXfs count="1016">
    <xf numFmtId="0" fontId="0" fillId="0" borderId="0" xfId="0"/>
    <xf numFmtId="0" fontId="4" fillId="4" borderId="1" xfId="0" applyFont="1" applyFill="1" applyBorder="1" applyAlignment="1">
      <alignment horizontal="left" wrapText="1" readingOrder="1"/>
    </xf>
    <xf numFmtId="0" fontId="3" fillId="3" borderId="1" xfId="0" applyFont="1" applyFill="1" applyBorder="1" applyAlignment="1">
      <alignment horizontal="left" wrapText="1" readingOrder="1"/>
    </xf>
    <xf numFmtId="0" fontId="0" fillId="0" borderId="0" xfId="0" applyAlignment="1">
      <alignment wrapText="1"/>
    </xf>
    <xf numFmtId="0" fontId="10" fillId="11" borderId="27" xfId="0" applyFont="1" applyFill="1" applyBorder="1" applyAlignment="1">
      <alignment horizontal="center" vertical="center" wrapText="1"/>
    </xf>
    <xf numFmtId="0" fontId="10" fillId="11" borderId="27" xfId="0" applyFont="1" applyFill="1" applyBorder="1" applyAlignment="1">
      <alignment horizontal="center" vertical="center"/>
    </xf>
    <xf numFmtId="0" fontId="10" fillId="11" borderId="28" xfId="0" applyFont="1" applyFill="1" applyBorder="1" applyAlignment="1">
      <alignment horizontal="center" vertical="center" wrapText="1"/>
    </xf>
    <xf numFmtId="0" fontId="7" fillId="0" borderId="33" xfId="0" applyFont="1" applyBorder="1" applyAlignment="1">
      <alignment wrapText="1"/>
    </xf>
    <xf numFmtId="0" fontId="4" fillId="5" borderId="33" xfId="0" applyFont="1" applyFill="1" applyBorder="1" applyAlignment="1">
      <alignment horizontal="center" wrapText="1" readingOrder="1"/>
    </xf>
    <xf numFmtId="0" fontId="2" fillId="2" borderId="33" xfId="0" applyFont="1" applyFill="1" applyBorder="1" applyAlignment="1">
      <alignment horizontal="center" wrapText="1" readingOrder="1"/>
    </xf>
    <xf numFmtId="0" fontId="15" fillId="0" borderId="37" xfId="0" applyFont="1" applyBorder="1" applyAlignment="1">
      <alignment horizontal="center" vertical="center" wrapText="1"/>
    </xf>
    <xf numFmtId="0" fontId="16" fillId="0" borderId="9" xfId="0" applyFont="1" applyBorder="1" applyAlignment="1">
      <alignment horizontal="center" vertical="center" wrapText="1"/>
    </xf>
    <xf numFmtId="0" fontId="16" fillId="7" borderId="9" xfId="0" applyFont="1" applyFill="1" applyBorder="1" applyAlignment="1">
      <alignment horizontal="center" vertical="center"/>
    </xf>
    <xf numFmtId="0" fontId="7" fillId="8" borderId="21" xfId="0" applyFont="1" applyFill="1" applyBorder="1" applyAlignment="1">
      <alignment wrapText="1"/>
    </xf>
    <xf numFmtId="0" fontId="4" fillId="5" borderId="6" xfId="0" applyFont="1" applyFill="1" applyBorder="1" applyAlignment="1">
      <alignment horizontal="center" vertical="center" wrapText="1" readingOrder="1"/>
    </xf>
    <xf numFmtId="0" fontId="5" fillId="0" borderId="15" xfId="0" applyFont="1" applyBorder="1" applyAlignment="1">
      <alignment wrapText="1"/>
    </xf>
    <xf numFmtId="0" fontId="7" fillId="0" borderId="18" xfId="0" applyFont="1" applyBorder="1" applyAlignment="1">
      <alignment wrapText="1"/>
    </xf>
    <xf numFmtId="0" fontId="7" fillId="0" borderId="22" xfId="0" applyFont="1" applyBorder="1" applyAlignment="1">
      <alignment wrapText="1"/>
    </xf>
    <xf numFmtId="0" fontId="8" fillId="6" borderId="17" xfId="0" applyFont="1" applyFill="1" applyBorder="1" applyAlignment="1">
      <alignment wrapText="1"/>
    </xf>
    <xf numFmtId="0" fontId="25" fillId="6" borderId="20" xfId="0" applyFont="1" applyFill="1" applyBorder="1" applyAlignment="1">
      <alignment wrapText="1"/>
    </xf>
    <xf numFmtId="0" fontId="7" fillId="10" borderId="13" xfId="0" applyFont="1" applyFill="1" applyBorder="1" applyAlignment="1">
      <alignment horizontal="center" wrapText="1"/>
    </xf>
    <xf numFmtId="0" fontId="7" fillId="10" borderId="11" xfId="0" applyFont="1" applyFill="1" applyBorder="1" applyAlignment="1">
      <alignment horizontal="center" wrapText="1"/>
    </xf>
    <xf numFmtId="0" fontId="7" fillId="6" borderId="10" xfId="0" applyFont="1" applyFill="1" applyBorder="1" applyAlignment="1">
      <alignment wrapText="1"/>
    </xf>
    <xf numFmtId="0" fontId="7" fillId="6" borderId="11" xfId="0" applyFont="1" applyFill="1" applyBorder="1" applyAlignment="1">
      <alignment wrapText="1"/>
    </xf>
    <xf numFmtId="0" fontId="0" fillId="0" borderId="0" xfId="0" applyAlignment="1">
      <alignment wrapText="1"/>
    </xf>
    <xf numFmtId="0" fontId="4" fillId="2" borderId="6" xfId="0" applyFont="1" applyFill="1" applyBorder="1" applyAlignment="1">
      <alignment horizontal="center" vertical="center" wrapText="1" readingOrder="1"/>
    </xf>
    <xf numFmtId="0" fontId="17" fillId="0" borderId="0" xfId="0" applyFont="1" applyBorder="1" applyAlignment="1">
      <alignment horizontal="center" vertical="center" wrapText="1"/>
    </xf>
    <xf numFmtId="0" fontId="7" fillId="6" borderId="0" xfId="0" applyFont="1" applyFill="1" applyBorder="1" applyAlignment="1">
      <alignment horizontal="center" wrapText="1"/>
    </xf>
    <xf numFmtId="0" fontId="0" fillId="0" borderId="0" xfId="0" applyBorder="1" applyAlignment="1">
      <alignment wrapText="1"/>
    </xf>
    <xf numFmtId="0" fontId="7" fillId="10" borderId="0" xfId="0" applyFont="1" applyFill="1" applyBorder="1" applyAlignment="1">
      <alignment horizontal="center" wrapText="1"/>
    </xf>
    <xf numFmtId="0" fontId="8" fillId="6" borderId="8"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10" fillId="11" borderId="58" xfId="0" applyFont="1" applyFill="1" applyBorder="1" applyAlignment="1">
      <alignment horizontal="center" vertical="center"/>
    </xf>
    <xf numFmtId="0" fontId="0" fillId="0" borderId="56" xfId="0" applyBorder="1" applyAlignment="1">
      <alignment wrapText="1"/>
    </xf>
    <xf numFmtId="0" fontId="9" fillId="0" borderId="0" xfId="0" applyFont="1" applyBorder="1" applyAlignment="1">
      <alignment vertical="center" wrapText="1"/>
    </xf>
    <xf numFmtId="0" fontId="0" fillId="0" borderId="57" xfId="0" applyBorder="1" applyAlignment="1">
      <alignment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9" fillId="0" borderId="0" xfId="0" applyFont="1" applyBorder="1" applyAlignment="1">
      <alignment wrapText="1"/>
    </xf>
    <xf numFmtId="0" fontId="8" fillId="6" borderId="0" xfId="0" applyFont="1" applyFill="1" applyBorder="1" applyAlignment="1">
      <alignment horizontal="center" vertical="center" wrapText="1"/>
    </xf>
    <xf numFmtId="0" fontId="16" fillId="8" borderId="0" xfId="0" applyFont="1" applyFill="1" applyBorder="1" applyAlignment="1">
      <alignment horizontal="center" vertical="center"/>
    </xf>
    <xf numFmtId="0" fontId="8" fillId="7" borderId="0" xfId="0" applyFont="1" applyFill="1" applyBorder="1" applyAlignment="1">
      <alignment horizontal="center" vertical="center"/>
    </xf>
    <xf numFmtId="0" fontId="16" fillId="7" borderId="0" xfId="0" applyFont="1" applyFill="1" applyBorder="1" applyAlignment="1">
      <alignment horizontal="center" vertical="center"/>
    </xf>
    <xf numFmtId="0" fontId="16" fillId="8" borderId="0" xfId="0" applyFont="1" applyFill="1" applyBorder="1" applyAlignment="1">
      <alignment horizontal="center" vertical="center" wrapText="1"/>
    </xf>
    <xf numFmtId="0" fontId="7" fillId="7" borderId="0" xfId="0" applyFont="1" applyFill="1" applyBorder="1"/>
    <xf numFmtId="0" fontId="8" fillId="7" borderId="45" xfId="0" applyFont="1" applyFill="1" applyBorder="1" applyAlignment="1">
      <alignment horizontal="center" vertical="center"/>
    </xf>
    <xf numFmtId="0" fontId="7" fillId="7" borderId="45" xfId="0" applyFont="1" applyFill="1" applyBorder="1"/>
    <xf numFmtId="0" fontId="15" fillId="0" borderId="65" xfId="0" applyFont="1" applyBorder="1" applyAlignment="1">
      <alignment horizontal="center" vertical="center" wrapText="1"/>
    </xf>
    <xf numFmtId="0" fontId="13" fillId="11" borderId="34"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13" fillId="11" borderId="37" xfId="0" applyFont="1" applyFill="1" applyBorder="1" applyAlignment="1">
      <alignment horizontal="center" vertical="center" wrapText="1"/>
    </xf>
    <xf numFmtId="0" fontId="0" fillId="11" borderId="25" xfId="0" applyFill="1" applyBorder="1" applyAlignment="1">
      <alignment wrapText="1"/>
    </xf>
    <xf numFmtId="0" fontId="0" fillId="11" borderId="23" xfId="0" applyFill="1" applyBorder="1" applyAlignment="1">
      <alignment wrapText="1"/>
    </xf>
    <xf numFmtId="0" fontId="0" fillId="11" borderId="24" xfId="0" applyFill="1" applyBorder="1" applyAlignment="1">
      <alignment wrapText="1"/>
    </xf>
    <xf numFmtId="0" fontId="0" fillId="11" borderId="0" xfId="0" applyFill="1" applyAlignment="1">
      <alignment wrapText="1"/>
    </xf>
    <xf numFmtId="0" fontId="22" fillId="0" borderId="0" xfId="0" applyFont="1" applyFill="1" applyBorder="1" applyAlignment="1">
      <alignment wrapText="1"/>
    </xf>
    <xf numFmtId="0" fontId="0" fillId="11" borderId="46" xfId="0" applyFill="1" applyBorder="1" applyAlignment="1">
      <alignment wrapText="1"/>
    </xf>
    <xf numFmtId="0" fontId="0" fillId="11" borderId="64" xfId="0" applyFill="1" applyBorder="1" applyAlignment="1">
      <alignment wrapText="1"/>
    </xf>
    <xf numFmtId="0" fontId="27" fillId="11" borderId="0" xfId="0" applyFont="1" applyFill="1" applyBorder="1" applyAlignment="1">
      <alignment horizontal="center" vertical="center" wrapText="1"/>
    </xf>
    <xf numFmtId="0" fontId="28" fillId="11" borderId="0" xfId="0" applyFont="1" applyFill="1" applyBorder="1" applyAlignment="1">
      <alignment horizontal="center" vertical="center" wrapText="1"/>
    </xf>
    <xf numFmtId="0" fontId="30" fillId="14" borderId="0" xfId="0" applyFont="1" applyFill="1" applyBorder="1" applyAlignment="1">
      <alignment vertical="center" wrapText="1"/>
    </xf>
    <xf numFmtId="0" fontId="6" fillId="12" borderId="0" xfId="0" applyFont="1" applyFill="1" applyBorder="1" applyAlignment="1">
      <alignment horizontal="center" vertical="center" wrapText="1"/>
    </xf>
    <xf numFmtId="0" fontId="31" fillId="10" borderId="13" xfId="0" applyFont="1" applyFill="1" applyBorder="1" applyAlignment="1">
      <alignment horizontal="center" vertical="center" wrapText="1"/>
    </xf>
    <xf numFmtId="0" fontId="32" fillId="10" borderId="14"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32" fillId="10" borderId="9" xfId="0" applyFont="1" applyFill="1" applyBorder="1" applyAlignment="1">
      <alignment horizontal="center" vertical="center" wrapText="1"/>
    </xf>
    <xf numFmtId="0" fontId="31" fillId="10" borderId="11"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7" fillId="8" borderId="20" xfId="0" applyFont="1" applyFill="1" applyBorder="1" applyAlignment="1">
      <alignment vertical="center" wrapText="1"/>
    </xf>
    <xf numFmtId="0" fontId="7" fillId="8" borderId="21" xfId="0" applyFont="1" applyFill="1" applyBorder="1" applyAlignment="1">
      <alignment vertical="center" wrapText="1"/>
    </xf>
    <xf numFmtId="0" fontId="7" fillId="8" borderId="48" xfId="0" applyFont="1" applyFill="1" applyBorder="1" applyAlignment="1">
      <alignment vertical="center" wrapText="1"/>
    </xf>
    <xf numFmtId="0" fontId="31" fillId="8" borderId="21" xfId="0" applyFont="1" applyFill="1" applyBorder="1" applyAlignment="1">
      <alignment vertical="center" wrapText="1"/>
    </xf>
    <xf numFmtId="0" fontId="17" fillId="0" borderId="23" xfId="0" applyFont="1" applyBorder="1" applyAlignment="1">
      <alignment wrapText="1"/>
    </xf>
    <xf numFmtId="0" fontId="35" fillId="0" borderId="23" xfId="0" applyFont="1" applyBorder="1" applyAlignment="1">
      <alignment wrapText="1"/>
    </xf>
    <xf numFmtId="0" fontId="14" fillId="15" borderId="34"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21" fillId="3" borderId="69" xfId="0" applyFont="1" applyFill="1" applyBorder="1" applyAlignment="1">
      <alignment vertical="top" wrapText="1" readingOrder="1"/>
    </xf>
    <xf numFmtId="0" fontId="21" fillId="3" borderId="0" xfId="0" applyFont="1" applyFill="1" applyBorder="1" applyAlignment="1">
      <alignment vertical="top" wrapText="1" readingOrder="1"/>
    </xf>
    <xf numFmtId="0" fontId="36" fillId="3" borderId="0" xfId="0" applyFont="1" applyFill="1" applyBorder="1" applyAlignment="1">
      <alignment horizontal="center" vertical="center" wrapText="1" readingOrder="1"/>
    </xf>
    <xf numFmtId="0" fontId="37" fillId="3" borderId="0" xfId="0" applyFont="1" applyFill="1" applyBorder="1" applyAlignment="1">
      <alignment horizontal="center" vertical="center" wrapText="1" readingOrder="1"/>
    </xf>
    <xf numFmtId="0" fontId="14" fillId="15" borderId="21" xfId="0" applyFont="1" applyFill="1" applyBorder="1" applyAlignment="1">
      <alignment horizontal="center" vertical="center" wrapText="1"/>
    </xf>
    <xf numFmtId="0" fontId="11" fillId="8" borderId="21" xfId="0" applyFont="1" applyFill="1" applyBorder="1" applyAlignment="1">
      <alignment horizontal="center" vertical="center" wrapText="1"/>
    </xf>
    <xf numFmtId="1" fontId="11" fillId="8" borderId="21" xfId="0" applyNumberFormat="1"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1" fillId="10" borderId="21" xfId="0" applyFont="1" applyFill="1" applyBorder="1" applyAlignment="1">
      <alignment horizontal="center" vertical="center"/>
    </xf>
    <xf numFmtId="1" fontId="11" fillId="8" borderId="21" xfId="0" applyNumberFormat="1" applyFont="1" applyFill="1" applyBorder="1" applyAlignment="1" applyProtection="1">
      <alignment horizontal="center" vertical="center" wrapText="1"/>
      <protection locked="0" hidden="1"/>
    </xf>
    <xf numFmtId="0" fontId="11" fillId="10" borderId="21" xfId="0" applyFont="1" applyFill="1" applyBorder="1" applyAlignment="1" applyProtection="1">
      <alignment horizontal="center" vertical="center" wrapText="1"/>
      <protection locked="0"/>
    </xf>
    <xf numFmtId="0" fontId="9" fillId="0" borderId="66" xfId="0" applyFont="1" applyBorder="1" applyAlignment="1">
      <alignment vertical="center" wrapText="1"/>
    </xf>
    <xf numFmtId="0" fontId="38" fillId="0" borderId="71" xfId="0" applyFont="1" applyBorder="1" applyAlignment="1">
      <alignment vertical="center" wrapText="1"/>
    </xf>
    <xf numFmtId="0" fontId="17" fillId="0" borderId="72" xfId="0" applyFont="1" applyBorder="1" applyAlignment="1">
      <alignment horizontal="center" wrapText="1"/>
    </xf>
    <xf numFmtId="0" fontId="17" fillId="14" borderId="73" xfId="0" applyFont="1" applyFill="1" applyBorder="1" applyAlignment="1">
      <alignment horizontal="center" vertical="center" wrapText="1"/>
    </xf>
    <xf numFmtId="0" fontId="17" fillId="14" borderId="74" xfId="0" applyFont="1" applyFill="1" applyBorder="1" applyAlignment="1">
      <alignment horizontal="center" vertical="center" wrapText="1"/>
    </xf>
    <xf numFmtId="0" fontId="17" fillId="0" borderId="75" xfId="0" applyFont="1" applyBorder="1" applyAlignment="1">
      <alignment horizontal="center" wrapText="1"/>
    </xf>
    <xf numFmtId="0" fontId="17" fillId="14" borderId="76" xfId="0" applyFont="1" applyFill="1" applyBorder="1" applyAlignment="1">
      <alignment horizontal="center" vertical="center" wrapText="1"/>
    </xf>
    <xf numFmtId="0" fontId="3" fillId="9" borderId="19" xfId="0" applyFont="1" applyFill="1" applyBorder="1" applyAlignment="1">
      <alignment wrapText="1"/>
    </xf>
    <xf numFmtId="0" fontId="3" fillId="9" borderId="13" xfId="0" applyFont="1" applyFill="1" applyBorder="1" applyAlignment="1">
      <alignment wrapText="1"/>
    </xf>
    <xf numFmtId="0" fontId="31" fillId="10" borderId="55" xfId="0" applyFont="1" applyFill="1" applyBorder="1" applyAlignment="1">
      <alignment horizontal="center" vertical="center" wrapText="1"/>
    </xf>
    <xf numFmtId="0" fontId="2" fillId="4" borderId="49" xfId="0" applyFont="1" applyFill="1" applyBorder="1" applyAlignment="1">
      <alignment horizontal="left" wrapText="1" readingOrder="1"/>
    </xf>
    <xf numFmtId="0" fontId="2" fillId="4" borderId="4" xfId="0" applyFont="1" applyFill="1" applyBorder="1" applyAlignment="1">
      <alignment horizontal="left"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31" fillId="10" borderId="49" xfId="0" applyFont="1" applyFill="1" applyBorder="1" applyAlignment="1">
      <alignment horizontal="center" vertical="center" wrapText="1"/>
    </xf>
    <xf numFmtId="0" fontId="31" fillId="10" borderId="3" xfId="0" applyFont="1" applyFill="1" applyBorder="1" applyAlignment="1">
      <alignment horizontal="center" vertical="center" wrapText="1"/>
    </xf>
    <xf numFmtId="0" fontId="31" fillId="10" borderId="54" xfId="0" applyFont="1" applyFill="1" applyBorder="1" applyAlignment="1">
      <alignment horizontal="center" vertical="center" wrapText="1"/>
    </xf>
    <xf numFmtId="0" fontId="2" fillId="2" borderId="49" xfId="0" applyFont="1" applyFill="1" applyBorder="1" applyAlignment="1">
      <alignment horizontal="center" wrapText="1" readingOrder="1"/>
    </xf>
    <xf numFmtId="0" fontId="2" fillId="2" borderId="4" xfId="0" applyFont="1" applyFill="1" applyBorder="1" applyAlignment="1">
      <alignment horizontal="center" wrapText="1" readingOrder="1"/>
    </xf>
    <xf numFmtId="0" fontId="2" fillId="2" borderId="5" xfId="0" applyFont="1" applyFill="1" applyBorder="1" applyAlignment="1">
      <alignment horizontal="center" wrapText="1" readingOrder="1"/>
    </xf>
    <xf numFmtId="0" fontId="7" fillId="6" borderId="49" xfId="0" applyFont="1" applyFill="1" applyBorder="1" applyAlignment="1">
      <alignment horizontal="center" wrapText="1"/>
    </xf>
    <xf numFmtId="0" fontId="7" fillId="6" borderId="3" xfId="0" applyFont="1" applyFill="1" applyBorder="1" applyAlignment="1">
      <alignment horizontal="center" wrapText="1"/>
    </xf>
    <xf numFmtId="0" fontId="7" fillId="6" borderId="54" xfId="0" applyFont="1" applyFill="1" applyBorder="1" applyAlignment="1">
      <alignment horizontal="center" wrapText="1"/>
    </xf>
    <xf numFmtId="0" fontId="31" fillId="6" borderId="7" xfId="0" applyFont="1" applyFill="1" applyBorder="1" applyAlignment="1">
      <alignment horizontal="center" vertical="center" wrapText="1"/>
    </xf>
    <xf numFmtId="0" fontId="31" fillId="6" borderId="44" xfId="0" applyFont="1" applyFill="1" applyBorder="1" applyAlignment="1">
      <alignment horizontal="center" vertical="center" wrapText="1"/>
    </xf>
    <xf numFmtId="0" fontId="2" fillId="2" borderId="49" xfId="0" applyFont="1" applyFill="1" applyBorder="1" applyAlignment="1">
      <alignment horizontal="left" wrapText="1" readingOrder="1"/>
    </xf>
    <xf numFmtId="0" fontId="2" fillId="2" borderId="4" xfId="0" applyFont="1" applyFill="1" applyBorder="1" applyAlignment="1">
      <alignment horizontal="left" wrapText="1" readingOrder="1"/>
    </xf>
    <xf numFmtId="0" fontId="2" fillId="2" borderId="5" xfId="0" applyFont="1" applyFill="1" applyBorder="1" applyAlignment="1">
      <alignment horizontal="left" wrapText="1" readingOrder="1"/>
    </xf>
    <xf numFmtId="0" fontId="7" fillId="10" borderId="45" xfId="0" applyFont="1" applyFill="1" applyBorder="1" applyAlignment="1">
      <alignment wrapText="1"/>
    </xf>
    <xf numFmtId="0" fontId="7" fillId="10" borderId="9" xfId="0" applyFont="1" applyFill="1" applyBorder="1" applyAlignment="1">
      <alignment wrapText="1"/>
    </xf>
    <xf numFmtId="0" fontId="31" fillId="6" borderId="43" xfId="0" applyFont="1" applyFill="1" applyBorder="1" applyAlignment="1">
      <alignment horizontal="center" vertical="center" wrapText="1"/>
    </xf>
    <xf numFmtId="0" fontId="7" fillId="10" borderId="50" xfId="0" applyFont="1" applyFill="1" applyBorder="1" applyAlignment="1">
      <alignment wrapText="1"/>
    </xf>
    <xf numFmtId="0" fontId="7" fillId="10" borderId="2" xfId="0" applyFont="1" applyFill="1" applyBorder="1" applyAlignment="1">
      <alignment wrapText="1"/>
    </xf>
    <xf numFmtId="0" fontId="7" fillId="10" borderId="0" xfId="0" applyFont="1" applyFill="1" applyBorder="1" applyAlignment="1">
      <alignment wrapText="1"/>
    </xf>
    <xf numFmtId="0" fontId="7" fillId="6" borderId="45" xfId="0" applyFont="1" applyFill="1" applyBorder="1" applyAlignment="1">
      <alignment wrapText="1"/>
    </xf>
    <xf numFmtId="0" fontId="7" fillId="6" borderId="0" xfId="0" applyFont="1" applyFill="1" applyBorder="1" applyAlignment="1">
      <alignment wrapText="1"/>
    </xf>
    <xf numFmtId="0" fontId="7" fillId="6" borderId="9" xfId="0" applyFont="1" applyFill="1" applyBorder="1" applyAlignment="1">
      <alignment wrapText="1"/>
    </xf>
    <xf numFmtId="0" fontId="16" fillId="0" borderId="30"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30" xfId="0" applyFont="1" applyBorder="1" applyAlignment="1">
      <alignment horizontal="center" vertical="center" wrapText="1"/>
    </xf>
    <xf numFmtId="0" fontId="16" fillId="8" borderId="31" xfId="0" applyFont="1" applyFill="1" applyBorder="1" applyAlignment="1">
      <alignment horizontal="center" vertical="center" wrapText="1"/>
    </xf>
    <xf numFmtId="0" fontId="4" fillId="5" borderId="78" xfId="0" applyFont="1" applyFill="1" applyBorder="1" applyAlignment="1">
      <alignment horizontal="center" vertical="center" wrapText="1" readingOrder="1"/>
    </xf>
    <xf numFmtId="0" fontId="16" fillId="8" borderId="27" xfId="0" applyFont="1" applyFill="1" applyBorder="1" applyAlignment="1">
      <alignment horizontal="center" vertical="center" wrapText="1"/>
    </xf>
    <xf numFmtId="0" fontId="16" fillId="8" borderId="77" xfId="0" applyFont="1" applyFill="1" applyBorder="1" applyAlignment="1">
      <alignment horizontal="left" vertical="center" wrapText="1"/>
    </xf>
    <xf numFmtId="0" fontId="16" fillId="8" borderId="31" xfId="0" applyFont="1" applyFill="1" applyBorder="1" applyAlignment="1">
      <alignment horizontal="left" vertical="center" wrapText="1"/>
    </xf>
    <xf numFmtId="0" fontId="16" fillId="8" borderId="0" xfId="0" applyFont="1" applyFill="1" applyBorder="1" applyAlignment="1">
      <alignment horizontal="left" vertical="center" wrapText="1"/>
    </xf>
    <xf numFmtId="0" fontId="6" fillId="0" borderId="34" xfId="0" applyFont="1" applyBorder="1" applyAlignment="1">
      <alignment horizontal="center" vertical="center" wrapText="1"/>
    </xf>
    <xf numFmtId="0" fontId="30" fillId="16" borderId="0" xfId="0" applyFont="1" applyFill="1" applyBorder="1" applyAlignment="1">
      <alignment horizontal="center" vertical="center" wrapText="1"/>
    </xf>
    <xf numFmtId="0" fontId="15" fillId="15" borderId="37" xfId="0" applyFont="1" applyFill="1" applyBorder="1" applyAlignment="1">
      <alignment horizontal="center" vertical="center" wrapText="1"/>
    </xf>
    <xf numFmtId="0" fontId="41" fillId="0" borderId="0" xfId="0" applyFont="1" applyAlignment="1">
      <alignment vertical="center"/>
    </xf>
    <xf numFmtId="0" fontId="0" fillId="16" borderId="0" xfId="0" applyFill="1" applyBorder="1" applyAlignment="1">
      <alignment horizontal="center" vertical="center" wrapText="1"/>
    </xf>
    <xf numFmtId="0" fontId="10" fillId="11" borderId="25" xfId="0" applyFont="1" applyFill="1" applyBorder="1" applyAlignment="1">
      <alignment horizontal="center" vertical="center"/>
    </xf>
    <xf numFmtId="0" fontId="15" fillId="15" borderId="0" xfId="0" applyFont="1" applyFill="1" applyBorder="1" applyAlignment="1">
      <alignment horizontal="center" vertical="center" wrapText="1"/>
    </xf>
    <xf numFmtId="0" fontId="42" fillId="0" borderId="0" xfId="0" applyFont="1"/>
    <xf numFmtId="0" fontId="0" fillId="0" borderId="0" xfId="0" applyAlignment="1"/>
    <xf numFmtId="0" fontId="0" fillId="0" borderId="0" xfId="0" applyFill="1"/>
    <xf numFmtId="0" fontId="40" fillId="0" borderId="0" xfId="0" applyFont="1" applyAlignment="1">
      <alignment vertical="top" wrapText="1"/>
    </xf>
    <xf numFmtId="0" fontId="40" fillId="0" borderId="84" xfId="0" applyFont="1" applyBorder="1" applyAlignment="1">
      <alignment vertical="top" wrapText="1"/>
    </xf>
    <xf numFmtId="0" fontId="52" fillId="0" borderId="0" xfId="0" applyFont="1" applyAlignment="1">
      <alignment horizontal="center" vertical="center"/>
    </xf>
    <xf numFmtId="0" fontId="56" fillId="14" borderId="34" xfId="0" applyFont="1" applyFill="1" applyBorder="1" applyAlignment="1">
      <alignment horizontal="center" vertical="center" wrapText="1"/>
    </xf>
    <xf numFmtId="0" fontId="52" fillId="14" borderId="34" xfId="0" applyFont="1" applyFill="1" applyBorder="1" applyAlignment="1">
      <alignment horizontal="center" vertical="center" wrapText="1"/>
    </xf>
    <xf numFmtId="0" fontId="0" fillId="0" borderId="103" xfId="0" applyBorder="1" applyAlignment="1"/>
    <xf numFmtId="0" fontId="52" fillId="24" borderId="34" xfId="0" applyFont="1" applyFill="1" applyBorder="1" applyAlignment="1">
      <alignment horizontal="left" vertical="center" wrapText="1"/>
    </xf>
    <xf numFmtId="0" fontId="52" fillId="0" borderId="0" xfId="0" applyFont="1" applyFill="1" applyAlignment="1">
      <alignment horizontal="center" vertical="center"/>
    </xf>
    <xf numFmtId="0" fontId="52" fillId="27" borderId="34" xfId="0" applyFont="1" applyFill="1" applyBorder="1" applyAlignment="1">
      <alignment horizontal="center" vertical="center" wrapText="1"/>
    </xf>
    <xf numFmtId="0" fontId="52" fillId="27" borderId="34" xfId="0" applyFont="1" applyFill="1" applyBorder="1" applyAlignment="1">
      <alignment horizontal="center" vertical="center"/>
    </xf>
    <xf numFmtId="0" fontId="62" fillId="27" borderId="82" xfId="0" applyFont="1" applyFill="1" applyBorder="1" applyAlignment="1">
      <alignment horizontal="center" vertical="center" wrapText="1"/>
    </xf>
    <xf numFmtId="0" fontId="59" fillId="19" borderId="34" xfId="0" applyFont="1" applyFill="1" applyBorder="1" applyAlignment="1">
      <alignment horizontal="center" vertical="center" wrapText="1"/>
    </xf>
    <xf numFmtId="0" fontId="59" fillId="17" borderId="85" xfId="0" applyFont="1" applyFill="1" applyBorder="1" applyAlignment="1">
      <alignment horizontal="center" vertical="center" wrapText="1"/>
    </xf>
    <xf numFmtId="0" fontId="62" fillId="17" borderId="85" xfId="0" applyFont="1" applyFill="1" applyBorder="1" applyAlignment="1">
      <alignment horizontal="center" vertical="center" wrapText="1"/>
    </xf>
    <xf numFmtId="0" fontId="59" fillId="20" borderId="85" xfId="0" applyFont="1" applyFill="1" applyBorder="1" applyAlignment="1">
      <alignment horizontal="center" vertical="center" wrapText="1"/>
    </xf>
    <xf numFmtId="0" fontId="53" fillId="27" borderId="34" xfId="0" applyFont="1" applyFill="1" applyBorder="1" applyAlignment="1">
      <alignment horizontal="center" vertical="center" wrapText="1"/>
    </xf>
    <xf numFmtId="0" fontId="53" fillId="27" borderId="79" xfId="0" applyFont="1" applyFill="1" applyBorder="1" applyAlignment="1">
      <alignment horizontal="center" vertical="center" wrapText="1"/>
    </xf>
    <xf numFmtId="0" fontId="52" fillId="27" borderId="79" xfId="0" applyFont="1" applyFill="1" applyBorder="1" applyAlignment="1">
      <alignment horizontal="center" vertical="center"/>
    </xf>
    <xf numFmtId="0" fontId="56" fillId="27" borderId="79" xfId="0" applyFont="1" applyFill="1" applyBorder="1" applyAlignment="1">
      <alignment horizontal="center" vertical="center"/>
    </xf>
    <xf numFmtId="0" fontId="56" fillId="27" borderId="79" xfId="0" applyFont="1" applyFill="1" applyBorder="1" applyAlignment="1">
      <alignment horizontal="center" vertical="center" wrapText="1"/>
    </xf>
    <xf numFmtId="0" fontId="56" fillId="27" borderId="34" xfId="0" applyFont="1" applyFill="1" applyBorder="1" applyAlignment="1">
      <alignment horizontal="center" vertical="center" wrapText="1"/>
    </xf>
    <xf numFmtId="0" fontId="0" fillId="0" borderId="0" xfId="0" applyFill="1" applyAlignment="1">
      <alignment wrapText="1"/>
    </xf>
    <xf numFmtId="0" fontId="45" fillId="28" borderId="79" xfId="0" applyFont="1" applyFill="1" applyBorder="1" applyAlignment="1">
      <alignment vertical="center" wrapText="1"/>
    </xf>
    <xf numFmtId="0" fontId="45" fillId="28" borderId="80" xfId="0" applyFont="1" applyFill="1" applyBorder="1" applyAlignment="1">
      <alignment vertical="center" wrapText="1"/>
    </xf>
    <xf numFmtId="0" fontId="46" fillId="15" borderId="81" xfId="0" applyFont="1" applyFill="1" applyBorder="1" applyAlignment="1">
      <alignment vertical="center" wrapText="1"/>
    </xf>
    <xf numFmtId="0" fontId="46" fillId="15" borderId="82" xfId="0" applyFont="1" applyFill="1" applyBorder="1" applyAlignment="1">
      <alignment vertical="center" wrapText="1"/>
    </xf>
    <xf numFmtId="0" fontId="46" fillId="31" borderId="81" xfId="0" applyFont="1" applyFill="1" applyBorder="1" applyAlignment="1">
      <alignment vertical="center" wrapText="1"/>
    </xf>
    <xf numFmtId="0" fontId="46" fillId="31" borderId="82" xfId="0" applyFont="1" applyFill="1" applyBorder="1" applyAlignment="1">
      <alignment vertical="center" wrapText="1"/>
    </xf>
    <xf numFmtId="0" fontId="46" fillId="32" borderId="81" xfId="0" applyFont="1" applyFill="1" applyBorder="1" applyAlignment="1">
      <alignment vertical="center" wrapText="1"/>
    </xf>
    <xf numFmtId="0" fontId="46" fillId="32" borderId="82" xfId="0" applyFont="1" applyFill="1" applyBorder="1" applyAlignment="1">
      <alignment vertical="center" wrapText="1"/>
    </xf>
    <xf numFmtId="0" fontId="46" fillId="33" borderId="82" xfId="0" applyFont="1" applyFill="1" applyBorder="1" applyAlignment="1">
      <alignment vertical="center" wrapText="1"/>
    </xf>
    <xf numFmtId="0" fontId="46" fillId="33" borderId="81" xfId="0" applyFont="1" applyFill="1" applyBorder="1" applyAlignment="1">
      <alignment vertical="center" wrapText="1"/>
    </xf>
    <xf numFmtId="0" fontId="45" fillId="23" borderId="81" xfId="0" applyFont="1" applyFill="1" applyBorder="1" applyAlignment="1">
      <alignment vertical="center" wrapText="1"/>
    </xf>
    <xf numFmtId="0" fontId="45" fillId="23" borderId="82" xfId="0" applyFont="1" applyFill="1" applyBorder="1" applyAlignment="1">
      <alignment vertical="center" wrapText="1"/>
    </xf>
    <xf numFmtId="0" fontId="46" fillId="20" borderId="81" xfId="0" applyFont="1" applyFill="1" applyBorder="1" applyAlignment="1">
      <alignment vertical="center" wrapText="1"/>
    </xf>
    <xf numFmtId="0" fontId="46" fillId="20" borderId="82" xfId="0" applyFont="1" applyFill="1" applyBorder="1" applyAlignment="1">
      <alignment vertical="center" wrapText="1"/>
    </xf>
    <xf numFmtId="0" fontId="45" fillId="34" borderId="81" xfId="0" applyFont="1" applyFill="1" applyBorder="1" applyAlignment="1">
      <alignment vertical="center" wrapText="1"/>
    </xf>
    <xf numFmtId="0" fontId="45" fillId="34" borderId="82" xfId="0" applyFont="1" applyFill="1" applyBorder="1" applyAlignment="1">
      <alignment vertical="center" wrapText="1"/>
    </xf>
    <xf numFmtId="0" fontId="17" fillId="35" borderId="34" xfId="0" applyFont="1" applyFill="1" applyBorder="1" applyAlignment="1">
      <alignment horizontal="center" vertical="center" wrapText="1"/>
    </xf>
    <xf numFmtId="0" fontId="52" fillId="31" borderId="36" xfId="0" applyFont="1" applyFill="1" applyBorder="1" applyAlignment="1">
      <alignment horizontal="center" vertical="center"/>
    </xf>
    <xf numFmtId="0" fontId="52" fillId="31" borderId="34" xfId="0" applyFont="1" applyFill="1" applyBorder="1" applyAlignment="1">
      <alignment horizontal="center" vertical="center"/>
    </xf>
    <xf numFmtId="0" fontId="49" fillId="31" borderId="34" xfId="0" applyFont="1" applyFill="1" applyBorder="1" applyAlignment="1">
      <alignment horizontal="center" vertical="center" wrapText="1"/>
    </xf>
    <xf numFmtId="0" fontId="50" fillId="31" borderId="34" xfId="0" applyFont="1" applyFill="1" applyBorder="1" applyAlignment="1">
      <alignment horizontal="center" vertical="center" wrapText="1"/>
    </xf>
    <xf numFmtId="0" fontId="52" fillId="32" borderId="36" xfId="0" applyFont="1" applyFill="1" applyBorder="1" applyAlignment="1">
      <alignment horizontal="center" vertical="center"/>
    </xf>
    <xf numFmtId="0" fontId="52" fillId="32" borderId="34" xfId="0" applyFont="1" applyFill="1" applyBorder="1" applyAlignment="1">
      <alignment horizontal="center" vertical="center"/>
    </xf>
    <xf numFmtId="0" fontId="50" fillId="32" borderId="34" xfId="0" applyFont="1" applyFill="1" applyBorder="1" applyAlignment="1">
      <alignment horizontal="center" vertical="center" wrapText="1"/>
    </xf>
    <xf numFmtId="0" fontId="56" fillId="20" borderId="79" xfId="0" applyFont="1" applyFill="1" applyBorder="1" applyAlignment="1">
      <alignment horizontal="center" vertical="center"/>
    </xf>
    <xf numFmtId="0" fontId="55" fillId="20" borderId="79" xfId="0" applyFont="1" applyFill="1" applyBorder="1" applyAlignment="1">
      <alignment horizontal="center" vertical="center" wrapText="1"/>
    </xf>
    <xf numFmtId="0" fontId="56" fillId="20" borderId="79" xfId="0" applyFont="1" applyFill="1" applyBorder="1" applyAlignment="1">
      <alignment horizontal="center" vertical="center" wrapText="1"/>
    </xf>
    <xf numFmtId="0" fontId="53" fillId="20" borderId="79" xfId="0" applyFont="1" applyFill="1" applyBorder="1" applyAlignment="1">
      <alignment horizontal="center" vertical="center" wrapText="1"/>
    </xf>
    <xf numFmtId="0" fontId="52" fillId="20" borderId="79" xfId="0" applyFont="1" applyFill="1" applyBorder="1" applyAlignment="1">
      <alignment horizontal="center" vertical="center"/>
    </xf>
    <xf numFmtId="0" fontId="56" fillId="31" borderId="79" xfId="0" applyFont="1" applyFill="1" applyBorder="1" applyAlignment="1">
      <alignment horizontal="center" vertical="center" wrapText="1"/>
    </xf>
    <xf numFmtId="0" fontId="56" fillId="31" borderId="79" xfId="0" applyFont="1" applyFill="1" applyBorder="1" applyAlignment="1">
      <alignment horizontal="center" vertical="center"/>
    </xf>
    <xf numFmtId="0" fontId="0" fillId="31" borderId="0" xfId="0" applyFill="1"/>
    <xf numFmtId="0" fontId="56" fillId="31" borderId="34" xfId="0" applyFont="1" applyFill="1" applyBorder="1" applyAlignment="1">
      <alignment vertical="center" wrapText="1"/>
    </xf>
    <xf numFmtId="0" fontId="56" fillId="31" borderId="34" xfId="0" applyFont="1" applyFill="1" applyBorder="1" applyAlignment="1">
      <alignment vertical="center"/>
    </xf>
    <xf numFmtId="0" fontId="56" fillId="31" borderId="34" xfId="0" applyFont="1" applyFill="1" applyBorder="1" applyAlignment="1">
      <alignment horizontal="center" vertical="center"/>
    </xf>
    <xf numFmtId="0" fontId="62" fillId="31" borderId="82" xfId="0" applyFont="1" applyFill="1" applyBorder="1" applyAlignment="1">
      <alignment horizontal="center" vertical="center" wrapText="1"/>
    </xf>
    <xf numFmtId="0" fontId="62" fillId="31" borderId="81" xfId="0" applyFont="1" applyFill="1" applyBorder="1" applyAlignment="1">
      <alignment horizontal="center" vertical="center" wrapText="1"/>
    </xf>
    <xf numFmtId="0" fontId="43" fillId="31" borderId="106" xfId="0" applyFont="1" applyFill="1" applyBorder="1" applyAlignment="1">
      <alignment horizontal="center" vertical="center" wrapText="1"/>
    </xf>
    <xf numFmtId="0" fontId="43" fillId="31" borderId="85"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52" fillId="31" borderId="82" xfId="0" applyNumberFormat="1" applyFont="1" applyFill="1" applyBorder="1" applyAlignment="1">
      <alignment horizontal="center" vertical="center" wrapText="1"/>
    </xf>
    <xf numFmtId="0" fontId="52" fillId="31" borderId="81" xfId="0" applyFont="1" applyFill="1" applyBorder="1" applyAlignment="1">
      <alignment horizontal="center" vertical="center" wrapText="1"/>
    </xf>
    <xf numFmtId="0" fontId="52" fillId="31" borderId="82" xfId="0" applyFont="1" applyFill="1" applyBorder="1" applyAlignment="1">
      <alignment horizontal="center" vertical="center" wrapText="1"/>
    </xf>
    <xf numFmtId="0" fontId="52" fillId="31" borderId="81" xfId="0" applyNumberFormat="1" applyFont="1" applyFill="1" applyBorder="1" applyAlignment="1">
      <alignment horizontal="center" vertical="center" wrapText="1"/>
    </xf>
    <xf numFmtId="0" fontId="53" fillId="39" borderId="34" xfId="0" applyFont="1" applyFill="1" applyBorder="1" applyAlignment="1">
      <alignment horizontal="center" vertical="center" wrapText="1"/>
    </xf>
    <xf numFmtId="0" fontId="52" fillId="39" borderId="34" xfId="0" applyFont="1" applyFill="1" applyBorder="1" applyAlignment="1">
      <alignment horizontal="center" vertical="center" wrapText="1"/>
    </xf>
    <xf numFmtId="0" fontId="62" fillId="39" borderId="80" xfId="0" applyFont="1" applyFill="1" applyBorder="1" applyAlignment="1">
      <alignment horizontal="center" vertical="center" wrapText="1"/>
    </xf>
    <xf numFmtId="0" fontId="62" fillId="39" borderId="82" xfId="0" applyFont="1" applyFill="1" applyBorder="1" applyAlignment="1">
      <alignment horizontal="center" vertical="center" wrapText="1"/>
    </xf>
    <xf numFmtId="0" fontId="56" fillId="39" borderId="34" xfId="0" applyFont="1" applyFill="1" applyBorder="1" applyAlignment="1">
      <alignment horizontal="center" vertical="top" wrapText="1"/>
    </xf>
    <xf numFmtId="0" fontId="52" fillId="39" borderId="34" xfId="0" applyFont="1" applyFill="1" applyBorder="1" applyAlignment="1">
      <alignment horizontal="center" vertical="center"/>
    </xf>
    <xf numFmtId="0" fontId="52" fillId="32" borderId="34" xfId="0" applyFont="1" applyFill="1" applyBorder="1" applyAlignment="1">
      <alignment horizontal="center" vertical="center" wrapText="1"/>
    </xf>
    <xf numFmtId="0" fontId="56" fillId="41" borderId="79" xfId="0" applyFont="1" applyFill="1" applyBorder="1" applyAlignment="1">
      <alignment horizontal="center" vertical="center" wrapText="1"/>
    </xf>
    <xf numFmtId="0" fontId="56" fillId="41" borderId="79" xfId="0" applyFont="1" applyFill="1" applyBorder="1" applyAlignment="1">
      <alignment horizontal="center" vertical="center"/>
    </xf>
    <xf numFmtId="0" fontId="52" fillId="41" borderId="34" xfId="0" applyFont="1" applyFill="1" applyBorder="1" applyAlignment="1">
      <alignment horizontal="center" vertical="center" wrapText="1"/>
    </xf>
    <xf numFmtId="0" fontId="52" fillId="41" borderId="34" xfId="0" applyFont="1" applyFill="1" applyBorder="1" applyAlignment="1">
      <alignment horizontal="center" vertical="center"/>
    </xf>
    <xf numFmtId="0" fontId="52" fillId="41" borderId="99" xfId="0" applyFont="1" applyFill="1" applyBorder="1" applyAlignment="1">
      <alignment horizontal="center" vertical="center" wrapText="1"/>
    </xf>
    <xf numFmtId="0" fontId="62" fillId="41" borderId="82" xfId="0" applyFont="1" applyFill="1" applyBorder="1" applyAlignment="1">
      <alignment horizontal="center" vertical="center" wrapText="1"/>
    </xf>
    <xf numFmtId="0" fontId="62" fillId="41" borderId="79" xfId="0" applyFont="1" applyFill="1" applyBorder="1" applyAlignment="1">
      <alignment horizontal="center" vertical="center" wrapText="1"/>
    </xf>
    <xf numFmtId="0" fontId="62" fillId="41" borderId="81" xfId="0" applyFont="1" applyFill="1" applyBorder="1" applyAlignment="1">
      <alignment horizontal="center" vertical="center" wrapText="1"/>
    </xf>
    <xf numFmtId="0" fontId="52" fillId="41" borderId="82" xfId="0" applyFont="1" applyFill="1" applyBorder="1" applyAlignment="1">
      <alignment horizontal="center" vertical="center" wrapText="1"/>
    </xf>
    <xf numFmtId="0" fontId="52" fillId="41" borderId="79" xfId="0" applyFont="1" applyFill="1" applyBorder="1" applyAlignment="1">
      <alignment horizontal="center" vertical="center" wrapText="1"/>
    </xf>
    <xf numFmtId="0" fontId="52" fillId="41" borderId="82" xfId="0" applyNumberFormat="1" applyFont="1" applyFill="1" applyBorder="1" applyAlignment="1">
      <alignment horizontal="center" vertical="center" wrapText="1"/>
    </xf>
    <xf numFmtId="0" fontId="52" fillId="41" borderId="81" xfId="0" applyFont="1" applyFill="1" applyBorder="1" applyAlignment="1">
      <alignment horizontal="center" vertical="center" wrapText="1"/>
    </xf>
    <xf numFmtId="0" fontId="52" fillId="41" borderId="81" xfId="0" applyNumberFormat="1" applyFont="1" applyFill="1" applyBorder="1" applyAlignment="1">
      <alignment horizontal="center" vertical="center" wrapText="1"/>
    </xf>
    <xf numFmtId="0" fontId="52" fillId="35" borderId="34" xfId="0" applyFont="1" applyFill="1" applyBorder="1" applyAlignment="1">
      <alignment horizontal="center" vertical="center"/>
    </xf>
    <xf numFmtId="0" fontId="59" fillId="35" borderId="34" xfId="0" applyFont="1" applyFill="1" applyBorder="1" applyAlignment="1">
      <alignment horizontal="center" vertical="center"/>
    </xf>
    <xf numFmtId="0" fontId="52" fillId="35" borderId="34" xfId="0" applyFont="1" applyFill="1" applyBorder="1"/>
    <xf numFmtId="0" fontId="56" fillId="35" borderId="34" xfId="0" applyFont="1" applyFill="1" applyBorder="1" applyAlignment="1">
      <alignment horizontal="center" vertical="center"/>
    </xf>
    <xf numFmtId="0" fontId="62" fillId="42" borderId="34" xfId="0" applyFont="1" applyFill="1" applyBorder="1" applyAlignment="1">
      <alignment horizontal="center" vertical="center" wrapText="1"/>
    </xf>
    <xf numFmtId="0" fontId="59" fillId="42" borderId="34" xfId="0" applyFont="1" applyFill="1" applyBorder="1" applyAlignment="1">
      <alignment horizontal="center" vertical="center" wrapText="1"/>
    </xf>
    <xf numFmtId="0" fontId="1" fillId="18" borderId="85" xfId="0" applyFont="1" applyFill="1" applyBorder="1" applyAlignment="1">
      <alignment horizontal="center" vertical="center" wrapText="1"/>
    </xf>
    <xf numFmtId="0" fontId="1" fillId="40" borderId="85" xfId="0" applyFont="1" applyFill="1" applyBorder="1" applyAlignment="1">
      <alignment horizontal="center" vertical="center" wrapText="1"/>
    </xf>
    <xf numFmtId="0" fontId="0" fillId="49" borderId="46" xfId="0" applyFill="1" applyBorder="1" applyAlignment="1">
      <alignment wrapText="1"/>
    </xf>
    <xf numFmtId="0" fontId="0" fillId="49" borderId="129" xfId="0" applyFill="1" applyBorder="1" applyAlignment="1">
      <alignment wrapText="1"/>
    </xf>
    <xf numFmtId="0" fontId="0" fillId="49" borderId="130" xfId="0" applyFill="1" applyBorder="1" applyAlignment="1">
      <alignment wrapText="1"/>
    </xf>
    <xf numFmtId="0" fontId="0" fillId="44" borderId="0" xfId="0" applyFill="1" applyBorder="1" applyAlignment="1">
      <alignment wrapText="1"/>
    </xf>
    <xf numFmtId="0" fontId="0" fillId="44" borderId="0" xfId="0" applyFill="1" applyAlignment="1">
      <alignment wrapText="1"/>
    </xf>
    <xf numFmtId="0" fontId="13" fillId="49" borderId="159" xfId="0" applyFont="1" applyFill="1" applyBorder="1" applyAlignment="1">
      <alignment horizontal="center" vertical="center" wrapText="1"/>
    </xf>
    <xf numFmtId="0" fontId="15" fillId="14" borderId="160" xfId="0" applyFont="1" applyFill="1" applyBorder="1" applyAlignment="1">
      <alignment horizontal="center" vertical="center" wrapText="1"/>
    </xf>
    <xf numFmtId="0" fontId="13" fillId="49" borderId="161" xfId="0" applyFont="1" applyFill="1" applyBorder="1" applyAlignment="1">
      <alignment horizontal="center" vertical="center" wrapText="1"/>
    </xf>
    <xf numFmtId="0" fontId="15" fillId="14" borderId="162" xfId="0" applyFont="1" applyFill="1" applyBorder="1" applyAlignment="1">
      <alignment horizontal="center" vertical="center" wrapText="1"/>
    </xf>
    <xf numFmtId="0" fontId="14" fillId="14" borderId="162" xfId="0" applyFont="1" applyFill="1" applyBorder="1" applyAlignment="1">
      <alignment horizontal="center" vertical="center" wrapText="1"/>
    </xf>
    <xf numFmtId="0" fontId="13" fillId="49" borderId="163" xfId="0" applyFont="1" applyFill="1" applyBorder="1" applyAlignment="1">
      <alignment horizontal="center" vertical="center" wrapText="1"/>
    </xf>
    <xf numFmtId="0" fontId="15" fillId="14" borderId="164" xfId="0" applyFont="1" applyFill="1" applyBorder="1" applyAlignment="1">
      <alignment horizontal="center" vertical="center" wrapText="1"/>
    </xf>
    <xf numFmtId="0" fontId="15" fillId="14" borderId="167" xfId="0" applyFont="1" applyFill="1" applyBorder="1" applyAlignment="1">
      <alignment horizontal="center" vertical="center" wrapText="1"/>
    </xf>
    <xf numFmtId="0" fontId="15" fillId="14" borderId="168" xfId="0" applyFont="1" applyFill="1" applyBorder="1" applyAlignment="1">
      <alignment horizontal="center" vertical="center" wrapText="1"/>
    </xf>
    <xf numFmtId="0" fontId="15" fillId="14" borderId="172" xfId="0" applyFont="1" applyFill="1" applyBorder="1" applyAlignment="1">
      <alignment horizontal="center" vertical="center" wrapText="1"/>
    </xf>
    <xf numFmtId="0" fontId="15" fillId="14" borderId="173" xfId="0" applyFont="1" applyFill="1" applyBorder="1" applyAlignment="1">
      <alignment horizontal="center" vertical="center" wrapText="1"/>
    </xf>
    <xf numFmtId="0" fontId="78" fillId="14" borderId="119" xfId="0" applyFont="1" applyFill="1" applyBorder="1" applyAlignment="1">
      <alignment horizontal="center" vertical="center" wrapText="1"/>
    </xf>
    <xf numFmtId="0" fontId="78" fillId="14" borderId="128" xfId="0" applyFont="1" applyFill="1" applyBorder="1" applyAlignment="1">
      <alignment horizontal="center" vertical="center" wrapText="1"/>
    </xf>
    <xf numFmtId="0" fontId="78" fillId="14" borderId="125" xfId="0" applyFont="1" applyFill="1" applyBorder="1" applyAlignment="1">
      <alignment horizontal="center" vertical="center" wrapText="1"/>
    </xf>
    <xf numFmtId="0" fontId="78" fillId="14" borderId="126" xfId="0" applyFont="1" applyFill="1" applyBorder="1" applyAlignment="1">
      <alignment horizontal="center" vertical="center" wrapText="1"/>
    </xf>
    <xf numFmtId="0" fontId="58" fillId="49" borderId="186" xfId="0" applyFont="1" applyFill="1" applyBorder="1" applyAlignment="1">
      <alignment horizontal="center" vertical="center" wrapText="1"/>
    </xf>
    <xf numFmtId="0" fontId="69" fillId="49" borderId="119" xfId="0" applyFont="1" applyFill="1" applyBorder="1" applyAlignment="1">
      <alignment horizontal="center" vertical="center" wrapText="1"/>
    </xf>
    <xf numFmtId="0" fontId="69" fillId="49" borderId="128" xfId="0" applyFont="1" applyFill="1" applyBorder="1" applyAlignment="1">
      <alignment horizontal="center" vertical="center" wrapText="1"/>
    </xf>
    <xf numFmtId="0" fontId="85" fillId="45" borderId="203" xfId="0" applyFont="1" applyFill="1" applyBorder="1" applyAlignment="1">
      <alignment horizontal="center" vertical="center"/>
    </xf>
    <xf numFmtId="0" fontId="86" fillId="14" borderId="184" xfId="0" applyFont="1" applyFill="1" applyBorder="1" applyAlignment="1">
      <alignment horizontal="center" vertical="center" wrapText="1"/>
    </xf>
    <xf numFmtId="0" fontId="85" fillId="14" borderId="188" xfId="0" applyFont="1" applyFill="1" applyBorder="1" applyAlignment="1">
      <alignment horizontal="center" vertical="center" wrapText="1"/>
    </xf>
    <xf numFmtId="0" fontId="85" fillId="51" borderId="204" xfId="0" applyFont="1" applyFill="1" applyBorder="1" applyAlignment="1">
      <alignment horizontal="center" vertical="center"/>
    </xf>
    <xf numFmtId="0" fontId="85" fillId="51" borderId="119" xfId="0" applyFont="1" applyFill="1" applyBorder="1" applyAlignment="1">
      <alignment horizontal="center" vertical="center"/>
    </xf>
    <xf numFmtId="0" fontId="85" fillId="51" borderId="134" xfId="0" applyFont="1" applyFill="1" applyBorder="1" applyAlignment="1">
      <alignment horizontal="center" vertical="center"/>
    </xf>
    <xf numFmtId="0" fontId="85" fillId="45" borderId="204" xfId="0" applyFont="1" applyFill="1" applyBorder="1" applyAlignment="1">
      <alignment horizontal="center" vertical="center" wrapText="1"/>
    </xf>
    <xf numFmtId="0" fontId="86" fillId="14" borderId="119" xfId="0" applyFont="1" applyFill="1" applyBorder="1" applyAlignment="1">
      <alignment horizontal="center" vertical="center" wrapText="1"/>
    </xf>
    <xf numFmtId="0" fontId="85" fillId="14" borderId="134" xfId="0" applyFont="1" applyFill="1" applyBorder="1" applyAlignment="1">
      <alignment horizontal="center" vertical="center" wrapText="1"/>
    </xf>
    <xf numFmtId="0" fontId="85" fillId="51" borderId="205" xfId="0" applyFont="1" applyFill="1" applyBorder="1" applyAlignment="1">
      <alignment horizontal="center" vertical="center"/>
    </xf>
    <xf numFmtId="0" fontId="85" fillId="51" borderId="125" xfId="0" applyFont="1" applyFill="1" applyBorder="1" applyAlignment="1">
      <alignment horizontal="center" vertical="center"/>
    </xf>
    <xf numFmtId="0" fontId="85" fillId="51" borderId="189" xfId="0" applyFont="1" applyFill="1" applyBorder="1" applyAlignment="1">
      <alignment horizontal="center" vertical="center"/>
    </xf>
    <xf numFmtId="0" fontId="88" fillId="30" borderId="118" xfId="0" applyFont="1" applyFill="1" applyBorder="1" applyAlignment="1">
      <alignment horizontal="center" vertical="center" wrapText="1" readingOrder="1"/>
    </xf>
    <xf numFmtId="0" fontId="88" fillId="14" borderId="187" xfId="0" applyFont="1" applyFill="1" applyBorder="1" applyAlignment="1">
      <alignment horizontal="center" vertical="center" wrapText="1" readingOrder="1"/>
    </xf>
    <xf numFmtId="0" fontId="78" fillId="51" borderId="145" xfId="0" applyFont="1" applyFill="1" applyBorder="1" applyAlignment="1">
      <alignment horizontal="center" vertical="center"/>
    </xf>
    <xf numFmtId="0" fontId="78" fillId="51" borderId="0" xfId="0" applyFont="1" applyFill="1" applyBorder="1" applyAlignment="1">
      <alignment horizontal="center" vertical="center"/>
    </xf>
    <xf numFmtId="0" fontId="90" fillId="51" borderId="157" xfId="0" applyFont="1" applyFill="1" applyBorder="1" applyAlignment="1">
      <alignment vertical="center"/>
    </xf>
    <xf numFmtId="0" fontId="90" fillId="51" borderId="202" xfId="0" applyFont="1" applyFill="1" applyBorder="1" applyAlignment="1">
      <alignment vertical="center"/>
    </xf>
    <xf numFmtId="0" fontId="64" fillId="14" borderId="131" xfId="0" applyFont="1" applyFill="1" applyBorder="1" applyAlignment="1">
      <alignment horizontal="center" vertical="center" wrapText="1"/>
    </xf>
    <xf numFmtId="0" fontId="64" fillId="14" borderId="141" xfId="0" applyFont="1" applyFill="1" applyBorder="1" applyAlignment="1">
      <alignment horizontal="center" vertical="center" wrapText="1"/>
    </xf>
    <xf numFmtId="0" fontId="92" fillId="14" borderId="141" xfId="0" applyFont="1" applyFill="1" applyBorder="1" applyAlignment="1">
      <alignment horizontal="center" vertical="center" wrapText="1"/>
    </xf>
    <xf numFmtId="0" fontId="71" fillId="50" borderId="19" xfId="0" applyFont="1" applyFill="1" applyBorder="1" applyAlignment="1">
      <alignment horizontal="center" vertical="center" wrapText="1"/>
    </xf>
    <xf numFmtId="0" fontId="71" fillId="50" borderId="13" xfId="0" applyFont="1" applyFill="1" applyBorder="1" applyAlignment="1">
      <alignment horizontal="center" vertical="center" wrapText="1"/>
    </xf>
    <xf numFmtId="0" fontId="7" fillId="45" borderId="21" xfId="0" applyFont="1" applyFill="1" applyBorder="1" applyAlignment="1">
      <alignment vertical="center" wrapText="1"/>
    </xf>
    <xf numFmtId="0" fontId="7" fillId="45" borderId="21" xfId="0" applyFont="1" applyFill="1" applyBorder="1" applyAlignment="1">
      <alignment wrapText="1"/>
    </xf>
    <xf numFmtId="0" fontId="31" fillId="45" borderId="21" xfId="0" applyFont="1" applyFill="1" applyBorder="1" applyAlignment="1">
      <alignment vertical="center" wrapText="1"/>
    </xf>
    <xf numFmtId="0" fontId="0" fillId="44" borderId="56" xfId="0" applyFill="1" applyBorder="1" applyAlignment="1">
      <alignment wrapText="1"/>
    </xf>
    <xf numFmtId="0" fontId="59" fillId="44" borderId="0" xfId="0" applyFont="1" applyFill="1" applyBorder="1" applyAlignment="1">
      <alignment wrapText="1"/>
    </xf>
    <xf numFmtId="0" fontId="53" fillId="44" borderId="0" xfId="0" applyFont="1" applyFill="1" applyBorder="1" applyAlignment="1">
      <alignment vertical="center" wrapText="1"/>
    </xf>
    <xf numFmtId="0" fontId="59" fillId="44" borderId="0" xfId="0" applyFont="1" applyFill="1" applyAlignment="1">
      <alignment wrapText="1"/>
    </xf>
    <xf numFmtId="0" fontId="9" fillId="44" borderId="0" xfId="0" applyFont="1" applyFill="1" applyBorder="1" applyAlignment="1">
      <alignment vertical="center" wrapText="1"/>
    </xf>
    <xf numFmtId="0" fontId="93" fillId="44" borderId="0" xfId="0" applyFont="1" applyFill="1" applyBorder="1" applyAlignment="1">
      <alignment wrapText="1"/>
    </xf>
    <xf numFmtId="0" fontId="94" fillId="44" borderId="0" xfId="0" applyFont="1" applyFill="1" applyBorder="1" applyAlignment="1">
      <alignment vertical="center" wrapText="1"/>
    </xf>
    <xf numFmtId="0" fontId="75" fillId="44" borderId="0" xfId="0" applyFont="1" applyFill="1" applyBorder="1" applyAlignment="1" applyProtection="1">
      <alignment wrapText="1"/>
      <protection hidden="1"/>
    </xf>
    <xf numFmtId="0" fontId="76" fillId="44" borderId="0" xfId="0" applyFont="1" applyFill="1" applyBorder="1" applyAlignment="1" applyProtection="1">
      <alignment wrapText="1"/>
      <protection hidden="1"/>
    </xf>
    <xf numFmtId="0" fontId="57" fillId="44" borderId="0" xfId="0" applyFont="1" applyFill="1" applyAlignment="1">
      <alignment wrapText="1"/>
    </xf>
    <xf numFmtId="0" fontId="0" fillId="49" borderId="142" xfId="0" applyFill="1" applyBorder="1" applyAlignment="1">
      <alignment wrapText="1"/>
    </xf>
    <xf numFmtId="0" fontId="0" fillId="44" borderId="144" xfId="0" applyFill="1" applyBorder="1" applyAlignment="1">
      <alignment wrapText="1"/>
    </xf>
    <xf numFmtId="0" fontId="0" fillId="44" borderId="142" xfId="0" applyFill="1" applyBorder="1" applyAlignment="1">
      <alignment wrapText="1"/>
    </xf>
    <xf numFmtId="0" fontId="0" fillId="44" borderId="0" xfId="0" applyFill="1"/>
    <xf numFmtId="0" fontId="78" fillId="48" borderId="22" xfId="0" applyFont="1" applyFill="1" applyBorder="1" applyAlignment="1">
      <alignment horizontal="center" vertical="center" wrapText="1"/>
    </xf>
    <xf numFmtId="0" fontId="71" fillId="49" borderId="220" xfId="0" applyFont="1" applyFill="1" applyBorder="1" applyAlignment="1">
      <alignment horizontal="center" vertical="center" wrapText="1" readingOrder="1"/>
    </xf>
    <xf numFmtId="0" fontId="80" fillId="49" borderId="220" xfId="0" applyFont="1" applyFill="1" applyBorder="1" applyAlignment="1">
      <alignment horizontal="center" vertical="center" wrapText="1" readingOrder="1"/>
    </xf>
    <xf numFmtId="0" fontId="80" fillId="49" borderId="160" xfId="0" applyFont="1" applyFill="1" applyBorder="1" applyAlignment="1">
      <alignment horizontal="center" vertical="center" wrapText="1" readingOrder="1"/>
    </xf>
    <xf numFmtId="0" fontId="45" fillId="30" borderId="174" xfId="0" applyFont="1" applyFill="1" applyBorder="1" applyAlignment="1">
      <alignment horizontal="center" vertical="center" wrapText="1"/>
    </xf>
    <xf numFmtId="0" fontId="45" fillId="30" borderId="175" xfId="0" applyFont="1" applyFill="1" applyBorder="1" applyAlignment="1">
      <alignment horizontal="center" vertical="center" wrapText="1"/>
    </xf>
    <xf numFmtId="0" fontId="56" fillId="30" borderId="169" xfId="0" applyFont="1" applyFill="1" applyBorder="1" applyAlignment="1">
      <alignment horizontal="center" vertical="center" wrapText="1"/>
    </xf>
    <xf numFmtId="0" fontId="56" fillId="30" borderId="170" xfId="0" applyFont="1" applyFill="1" applyBorder="1" applyAlignment="1">
      <alignment horizontal="center" vertical="center" wrapText="1"/>
    </xf>
    <xf numFmtId="0" fontId="56" fillId="30" borderId="171" xfId="0" applyFont="1" applyFill="1" applyBorder="1" applyAlignment="1">
      <alignment horizontal="center" vertical="center" wrapText="1"/>
    </xf>
    <xf numFmtId="0" fontId="86" fillId="14" borderId="135" xfId="0" applyFont="1" applyFill="1" applyBorder="1" applyAlignment="1">
      <alignment wrapText="1"/>
    </xf>
    <xf numFmtId="0" fontId="86" fillId="14" borderId="133" xfId="0" applyFont="1" applyFill="1" applyBorder="1" applyAlignment="1">
      <alignment horizontal="center" vertical="center" wrapText="1"/>
    </xf>
    <xf numFmtId="0" fontId="86" fillId="14" borderId="150" xfId="0" applyFont="1" applyFill="1" applyBorder="1" applyAlignment="1">
      <alignment horizontal="center" vertical="center" wrapText="1"/>
    </xf>
    <xf numFmtId="0" fontId="86" fillId="14" borderId="134" xfId="0" applyFont="1" applyFill="1" applyBorder="1" applyAlignment="1">
      <alignment horizontal="center" vertical="center" wrapText="1"/>
    </xf>
    <xf numFmtId="0" fontId="86" fillId="14" borderId="151" xfId="0" applyFont="1" applyFill="1" applyBorder="1" applyAlignment="1">
      <alignment horizontal="center" vertical="center" wrapText="1"/>
    </xf>
    <xf numFmtId="0" fontId="86" fillId="14" borderId="152" xfId="0" applyFont="1" applyFill="1" applyBorder="1" applyAlignment="1">
      <alignment horizontal="center" vertical="center" wrapText="1"/>
    </xf>
    <xf numFmtId="0" fontId="82" fillId="49" borderId="217" xfId="0" applyFont="1" applyFill="1" applyBorder="1" applyAlignment="1">
      <alignment horizontal="center" vertical="center" wrapText="1"/>
    </xf>
    <xf numFmtId="0" fontId="85" fillId="45" borderId="121" xfId="0" applyFont="1" applyFill="1" applyBorder="1" applyAlignment="1">
      <alignment horizontal="center" vertical="center" wrapText="1"/>
    </xf>
    <xf numFmtId="0" fontId="85" fillId="45" borderId="122" xfId="0" applyFont="1" applyFill="1" applyBorder="1" applyAlignment="1">
      <alignment horizontal="center" vertical="center" wrapText="1"/>
    </xf>
    <xf numFmtId="0" fontId="86" fillId="14" borderId="122" xfId="0" applyFont="1" applyFill="1" applyBorder="1" applyAlignment="1">
      <alignment horizontal="center" vertical="center" wrapText="1"/>
    </xf>
    <xf numFmtId="0" fontId="86" fillId="14" borderId="127" xfId="0" applyFont="1" applyFill="1" applyBorder="1" applyAlignment="1">
      <alignment horizontal="center" vertical="center" wrapText="1"/>
    </xf>
    <xf numFmtId="0" fontId="82" fillId="49" borderId="218" xfId="0" applyFont="1" applyFill="1" applyBorder="1" applyAlignment="1">
      <alignment horizontal="center" vertical="center" wrapText="1"/>
    </xf>
    <xf numFmtId="0" fontId="85" fillId="45" borderId="120" xfId="0" applyFont="1" applyFill="1" applyBorder="1" applyAlignment="1">
      <alignment horizontal="center" vertical="center" wrapText="1"/>
    </xf>
    <xf numFmtId="0" fontId="85" fillId="45" borderId="119" xfId="0" applyFont="1" applyFill="1" applyBorder="1" applyAlignment="1">
      <alignment horizontal="center" vertical="center" wrapText="1"/>
    </xf>
    <xf numFmtId="0" fontId="86" fillId="14" borderId="128" xfId="0" applyFont="1" applyFill="1" applyBorder="1" applyAlignment="1">
      <alignment horizontal="center" vertical="center" wrapText="1"/>
    </xf>
    <xf numFmtId="0" fontId="82" fillId="49" borderId="219" xfId="0" applyFont="1" applyFill="1" applyBorder="1" applyAlignment="1">
      <alignment horizontal="center" vertical="center"/>
    </xf>
    <xf numFmtId="0" fontId="85" fillId="45" borderId="124" xfId="0" applyFont="1" applyFill="1" applyBorder="1" applyAlignment="1">
      <alignment horizontal="center" vertical="center" wrapText="1"/>
    </xf>
    <xf numFmtId="0" fontId="85" fillId="45" borderId="125" xfId="0" applyFont="1" applyFill="1" applyBorder="1" applyAlignment="1">
      <alignment horizontal="center" vertical="center" wrapText="1"/>
    </xf>
    <xf numFmtId="0" fontId="85" fillId="14" borderId="125" xfId="0" applyFont="1" applyFill="1" applyBorder="1" applyAlignment="1">
      <alignment horizontal="center" vertical="center" wrapText="1"/>
    </xf>
    <xf numFmtId="0" fontId="85" fillId="14" borderId="126" xfId="0" applyFont="1" applyFill="1" applyBorder="1" applyAlignment="1">
      <alignment horizontal="center" vertical="center" wrapText="1"/>
    </xf>
    <xf numFmtId="0" fontId="87" fillId="30" borderId="140" xfId="0" applyFont="1" applyFill="1" applyBorder="1" applyAlignment="1">
      <alignment horizontal="center" vertical="center" wrapText="1"/>
    </xf>
    <xf numFmtId="0" fontId="88" fillId="30" borderId="123" xfId="0" applyFont="1" applyFill="1" applyBorder="1" applyAlignment="1">
      <alignment horizontal="center" vertical="center" wrapText="1" readingOrder="1"/>
    </xf>
    <xf numFmtId="0" fontId="77" fillId="30" borderId="223" xfId="0" applyFont="1" applyFill="1" applyBorder="1" applyAlignment="1">
      <alignment horizontal="center" vertical="center" wrapText="1" readingOrder="1"/>
    </xf>
    <xf numFmtId="0" fontId="86" fillId="30" borderId="132" xfId="0" applyFont="1" applyFill="1" applyBorder="1" applyAlignment="1">
      <alignment horizontal="center" vertical="center" wrapText="1"/>
    </xf>
    <xf numFmtId="0" fontId="86" fillId="30" borderId="149" xfId="0" applyFont="1" applyFill="1" applyBorder="1" applyAlignment="1">
      <alignment horizontal="center" vertical="center" wrapText="1"/>
    </xf>
    <xf numFmtId="0" fontId="83" fillId="49" borderId="141" xfId="0" applyFont="1" applyFill="1" applyBorder="1" applyAlignment="1">
      <alignment horizontal="center" vertical="center" wrapText="1"/>
    </xf>
    <xf numFmtId="0" fontId="45" fillId="30" borderId="210" xfId="0" applyFont="1" applyFill="1" applyBorder="1" applyAlignment="1">
      <alignment horizontal="center" vertical="center" wrapText="1"/>
    </xf>
    <xf numFmtId="0" fontId="45" fillId="30" borderId="211" xfId="0" applyFont="1" applyFill="1" applyBorder="1" applyAlignment="1">
      <alignment horizontal="center" vertical="center" wrapText="1"/>
    </xf>
    <xf numFmtId="0" fontId="45" fillId="30" borderId="212" xfId="0" applyFont="1" applyFill="1" applyBorder="1" applyAlignment="1">
      <alignment horizontal="center" vertical="center" wrapText="1"/>
    </xf>
    <xf numFmtId="0" fontId="70" fillId="49" borderId="25" xfId="0" applyFont="1" applyFill="1" applyBorder="1" applyAlignment="1">
      <alignment horizontal="center" vertical="center"/>
    </xf>
    <xf numFmtId="0" fontId="45" fillId="14" borderId="179" xfId="0" applyFont="1" applyFill="1" applyBorder="1" applyAlignment="1">
      <alignment horizontal="center" vertical="center" wrapText="1"/>
    </xf>
    <xf numFmtId="0" fontId="86" fillId="14" borderId="179" xfId="0" applyFont="1" applyFill="1" applyBorder="1" applyAlignment="1">
      <alignment horizontal="center" vertical="center" wrapText="1"/>
    </xf>
    <xf numFmtId="0" fontId="86" fillId="30" borderId="136" xfId="0" applyFont="1" applyFill="1" applyBorder="1" applyAlignment="1">
      <alignment horizontal="center" vertical="center" wrapText="1"/>
    </xf>
    <xf numFmtId="0" fontId="86" fillId="30" borderId="137" xfId="0" applyFont="1" applyFill="1" applyBorder="1" applyAlignment="1">
      <alignment horizontal="center" vertical="center" wrapText="1"/>
    </xf>
    <xf numFmtId="0" fontId="86" fillId="30" borderId="138" xfId="0" applyFont="1" applyFill="1" applyBorder="1" applyAlignment="1">
      <alignment horizontal="center" vertical="center" wrapText="1"/>
    </xf>
    <xf numFmtId="0" fontId="59" fillId="0" borderId="0" xfId="0" applyFont="1" applyAlignment="1">
      <alignment horizontal="center" vertical="center"/>
    </xf>
    <xf numFmtId="0" fontId="46" fillId="41" borderId="34" xfId="0" applyFont="1" applyFill="1" applyBorder="1" applyAlignment="1">
      <alignment horizontal="center" vertical="center" wrapText="1"/>
    </xf>
    <xf numFmtId="0" fontId="46" fillId="41" borderId="34" xfId="0" applyFont="1" applyFill="1" applyBorder="1" applyAlignment="1">
      <alignment horizontal="center" vertical="center"/>
    </xf>
    <xf numFmtId="0" fontId="46" fillId="31" borderId="34" xfId="0" applyFont="1" applyFill="1" applyBorder="1" applyAlignment="1">
      <alignment horizontal="center" vertical="center" wrapText="1"/>
    </xf>
    <xf numFmtId="0" fontId="46" fillId="31" borderId="34" xfId="0" applyFont="1" applyFill="1" applyBorder="1" applyAlignment="1">
      <alignment horizontal="center" vertical="center"/>
    </xf>
    <xf numFmtId="0" fontId="83" fillId="49" borderId="139" xfId="0" applyFont="1" applyFill="1" applyBorder="1" applyAlignment="1">
      <alignment horizontal="center" vertical="center" wrapText="1"/>
    </xf>
    <xf numFmtId="0" fontId="58" fillId="49" borderId="141"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1" fillId="10" borderId="0"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79" fillId="49" borderId="220" xfId="0" applyFont="1" applyFill="1" applyBorder="1" applyAlignment="1">
      <alignment horizontal="center" vertical="center" wrapText="1" readingOrder="1"/>
    </xf>
    <xf numFmtId="0" fontId="9" fillId="44" borderId="0"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43" fillId="31" borderId="34" xfId="0" applyFont="1" applyFill="1" applyBorder="1" applyAlignment="1">
      <alignment horizontal="center" vertical="center" wrapText="1"/>
    </xf>
    <xf numFmtId="0" fontId="52" fillId="35" borderId="34" xfId="0" applyFont="1" applyFill="1" applyBorder="1" applyAlignment="1">
      <alignment horizontal="center" vertical="center" wrapText="1"/>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17" fillId="0" borderId="0" xfId="0" applyFont="1" applyAlignment="1">
      <alignment horizontal="center" vertical="center"/>
    </xf>
    <xf numFmtId="0" fontId="86" fillId="30" borderId="119" xfId="0" applyFont="1" applyFill="1" applyBorder="1" applyAlignment="1">
      <alignment horizontal="center" vertical="center" wrapText="1"/>
    </xf>
    <xf numFmtId="0" fontId="86" fillId="30" borderId="125" xfId="0" applyFont="1" applyFill="1" applyBorder="1" applyAlignment="1">
      <alignment horizontal="center" vertical="center" wrapText="1"/>
    </xf>
    <xf numFmtId="0" fontId="86" fillId="14" borderId="125" xfId="0" applyFont="1" applyFill="1" applyBorder="1" applyAlignment="1">
      <alignment horizontal="center" vertical="center" wrapText="1"/>
    </xf>
    <xf numFmtId="0" fontId="86" fillId="14" borderId="12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70" fillId="49" borderId="198" xfId="0" applyFont="1" applyFill="1" applyBorder="1" applyAlignment="1">
      <alignment horizontal="center" vertical="center" wrapText="1"/>
    </xf>
    <xf numFmtId="0" fontId="86" fillId="14" borderId="229" xfId="0" applyFont="1" applyFill="1" applyBorder="1" applyAlignment="1">
      <alignment horizontal="center" vertical="center" wrapText="1"/>
    </xf>
    <xf numFmtId="0" fontId="0" fillId="11" borderId="57" xfId="0" applyFill="1" applyBorder="1" applyAlignment="1">
      <alignment wrapText="1"/>
    </xf>
    <xf numFmtId="9" fontId="0" fillId="0" borderId="0" xfId="2" applyFont="1" applyAlignment="1">
      <alignment wrapText="1"/>
    </xf>
    <xf numFmtId="0" fontId="23" fillId="14" borderId="230" xfId="0" applyFont="1" applyFill="1" applyBorder="1" applyAlignment="1" applyProtection="1">
      <alignment horizontal="center" vertical="center" wrapText="1"/>
      <protection hidden="1"/>
    </xf>
    <xf numFmtId="0" fontId="101" fillId="44" borderId="0" xfId="0" applyFont="1" applyFill="1" applyAlignment="1">
      <alignment wrapText="1"/>
    </xf>
    <xf numFmtId="0" fontId="70" fillId="49" borderId="209" xfId="0" applyFont="1" applyFill="1" applyBorder="1" applyAlignment="1">
      <alignment horizontal="center" vertical="center" wrapText="1"/>
    </xf>
    <xf numFmtId="0" fontId="70" fillId="49" borderId="208"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2" fillId="48" borderId="45" xfId="0" applyFont="1" applyFill="1" applyBorder="1" applyAlignment="1">
      <alignment horizontal="center" vertical="center" wrapText="1"/>
    </xf>
    <xf numFmtId="0" fontId="72" fillId="48" borderId="0" xfId="0" applyFont="1" applyFill="1" applyBorder="1" applyAlignment="1">
      <alignment horizontal="center" vertical="center" wrapText="1"/>
    </xf>
    <xf numFmtId="0" fontId="72" fillId="48" borderId="9" xfId="0" applyFont="1" applyFill="1" applyBorder="1" applyAlignment="1">
      <alignment horizontal="center" vertical="center" wrapText="1"/>
    </xf>
    <xf numFmtId="0" fontId="76" fillId="44" borderId="0" xfId="0" applyFont="1" applyFill="1" applyAlignment="1">
      <alignment wrapText="1"/>
    </xf>
    <xf numFmtId="0" fontId="102" fillId="44" borderId="0" xfId="0" applyFont="1" applyFill="1" applyBorder="1" applyAlignment="1">
      <alignment vertical="center" wrapText="1"/>
    </xf>
    <xf numFmtId="0" fontId="45" fillId="44" borderId="0" xfId="0" applyFont="1" applyFill="1" applyBorder="1" applyAlignment="1">
      <alignment horizontal="center" vertical="center" wrapText="1"/>
    </xf>
    <xf numFmtId="0" fontId="45" fillId="12" borderId="242" xfId="0" applyFont="1" applyFill="1" applyBorder="1" applyAlignment="1">
      <alignment horizontal="center" vertical="center" wrapText="1"/>
    </xf>
    <xf numFmtId="0" fontId="46" fillId="0" borderId="0" xfId="0" applyFont="1" applyAlignment="1">
      <alignment vertical="center" wrapText="1"/>
    </xf>
    <xf numFmtId="0" fontId="70" fillId="49" borderId="0"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45" fillId="12" borderId="259" xfId="0" applyFont="1" applyFill="1" applyBorder="1" applyAlignment="1">
      <alignment horizontal="center" vertical="center" wrapText="1"/>
    </xf>
    <xf numFmtId="0" fontId="0" fillId="0" borderId="0" xfId="0" applyAlignment="1">
      <alignment horizontal="center" vertical="center"/>
    </xf>
    <xf numFmtId="0" fontId="14" fillId="14" borderId="0" xfId="0" applyFont="1" applyFill="1" applyBorder="1" applyAlignment="1">
      <alignment horizontal="center" vertical="center" wrapText="1"/>
    </xf>
    <xf numFmtId="0" fontId="70" fillId="49" borderId="261" xfId="0" applyFont="1" applyFill="1" applyBorder="1" applyAlignment="1">
      <alignment horizontal="center" vertical="center" wrapText="1"/>
    </xf>
    <xf numFmtId="0" fontId="14" fillId="14" borderId="261" xfId="0" applyFont="1" applyFill="1" applyBorder="1" applyAlignment="1">
      <alignment horizontal="center" vertical="center" wrapText="1"/>
    </xf>
    <xf numFmtId="0" fontId="57" fillId="44" borderId="0" xfId="0" applyFont="1" applyFill="1" applyBorder="1" applyAlignment="1">
      <alignment wrapText="1"/>
    </xf>
    <xf numFmtId="0" fontId="17" fillId="14" borderId="262" xfId="0" applyFont="1" applyFill="1" applyBorder="1" applyAlignment="1">
      <alignment horizontal="center" vertical="center" wrapText="1"/>
    </xf>
    <xf numFmtId="0" fontId="64" fillId="44" borderId="0" xfId="0" applyFont="1" applyFill="1" applyAlignment="1">
      <alignment horizontal="center" vertical="center" wrapText="1"/>
    </xf>
    <xf numFmtId="0" fontId="64" fillId="14" borderId="267" xfId="0" applyFont="1" applyFill="1" applyBorder="1" applyAlignment="1">
      <alignment horizontal="center" vertical="center" wrapText="1"/>
    </xf>
    <xf numFmtId="0" fontId="52" fillId="31" borderId="79" xfId="0" applyFont="1" applyFill="1" applyBorder="1" applyAlignment="1">
      <alignment horizontal="center" vertical="center" wrapText="1"/>
    </xf>
    <xf numFmtId="0" fontId="52" fillId="32" borderId="79" xfId="0" applyFont="1" applyFill="1" applyBorder="1" applyAlignment="1">
      <alignment horizontal="center" vertical="center" wrapText="1"/>
    </xf>
    <xf numFmtId="0" fontId="52" fillId="32" borderId="79" xfId="0" applyFont="1" applyFill="1" applyBorder="1" applyAlignment="1">
      <alignment horizontal="center" vertical="center"/>
    </xf>
    <xf numFmtId="0" fontId="52" fillId="31" borderId="79" xfId="0" applyFont="1" applyFill="1" applyBorder="1" applyAlignment="1">
      <alignment horizontal="center" vertical="center"/>
    </xf>
    <xf numFmtId="0" fontId="58" fillId="49" borderId="268" xfId="0" applyFont="1" applyFill="1" applyBorder="1" applyAlignment="1">
      <alignment horizontal="center" vertical="center" wrapText="1"/>
    </xf>
    <xf numFmtId="0" fontId="45" fillId="14" borderId="268" xfId="0" applyFont="1" applyFill="1" applyBorder="1" applyAlignment="1">
      <alignment horizontal="center" vertical="center" wrapText="1"/>
    </xf>
    <xf numFmtId="0" fontId="52" fillId="31" borderId="79" xfId="0" applyNumberFormat="1" applyFont="1" applyFill="1" applyBorder="1" applyAlignment="1">
      <alignment horizontal="center" vertical="center" wrapText="1"/>
    </xf>
    <xf numFmtId="0" fontId="52" fillId="41" borderId="79" xfId="0" applyNumberFormat="1" applyFont="1" applyFill="1" applyBorder="1" applyAlignment="1">
      <alignment horizontal="center" vertical="center" wrapText="1"/>
    </xf>
    <xf numFmtId="0" fontId="106" fillId="49" borderId="261" xfId="0" applyFont="1" applyFill="1" applyBorder="1" applyAlignment="1">
      <alignment horizontal="center" vertical="center" wrapText="1"/>
    </xf>
    <xf numFmtId="0" fontId="45" fillId="14" borderId="261" xfId="0" applyFont="1" applyFill="1" applyBorder="1" applyAlignment="1">
      <alignment horizontal="center" vertical="center" wrapText="1"/>
    </xf>
    <xf numFmtId="0" fontId="112" fillId="44" borderId="0" xfId="0" applyFont="1" applyFill="1" applyAlignment="1">
      <alignment horizontal="center" vertical="center" wrapText="1"/>
    </xf>
    <xf numFmtId="0" fontId="113" fillId="44" borderId="0" xfId="0" applyFont="1" applyFill="1" applyAlignment="1">
      <alignment wrapText="1"/>
    </xf>
    <xf numFmtId="0" fontId="114" fillId="44" borderId="0" xfId="0" applyFont="1" applyFill="1" applyAlignment="1">
      <alignment horizontal="center" vertical="center" wrapText="1"/>
    </xf>
    <xf numFmtId="0" fontId="115" fillId="44" borderId="0" xfId="0" applyFont="1" applyFill="1" applyAlignment="1">
      <alignment wrapText="1"/>
    </xf>
    <xf numFmtId="0" fontId="117" fillId="14" borderId="21" xfId="0" applyFont="1" applyFill="1" applyBorder="1" applyAlignment="1">
      <alignment horizontal="center" vertical="center" wrapText="1"/>
    </xf>
    <xf numFmtId="0" fontId="116" fillId="46" borderId="21" xfId="0" applyFont="1" applyFill="1" applyBorder="1" applyAlignment="1">
      <alignment horizontal="center" vertical="center" wrapText="1"/>
    </xf>
    <xf numFmtId="0" fontId="118" fillId="45" borderId="21" xfId="0" applyFont="1" applyFill="1" applyBorder="1" applyAlignment="1">
      <alignment horizontal="center" vertical="center" wrapText="1"/>
    </xf>
    <xf numFmtId="0" fontId="116" fillId="47" borderId="21" xfId="0" applyFont="1" applyFill="1" applyBorder="1" applyAlignment="1">
      <alignment horizontal="center" vertical="center" wrapText="1"/>
    </xf>
    <xf numFmtId="0" fontId="116" fillId="46" borderId="21" xfId="0" applyFont="1" applyFill="1" applyBorder="1" applyAlignment="1" applyProtection="1">
      <alignment horizontal="center" vertical="center" wrapText="1"/>
      <protection locked="0"/>
    </xf>
    <xf numFmtId="0" fontId="116" fillId="46" borderId="21" xfId="0" applyFont="1" applyFill="1" applyBorder="1" applyAlignment="1">
      <alignment horizontal="center" vertical="center"/>
    </xf>
    <xf numFmtId="1" fontId="78" fillId="45" borderId="21" xfId="0" applyNumberFormat="1" applyFont="1" applyFill="1" applyBorder="1" applyAlignment="1" applyProtection="1">
      <alignment horizontal="center" vertical="center" wrapText="1"/>
      <protection locked="0" hidden="1"/>
    </xf>
    <xf numFmtId="1" fontId="78" fillId="45" borderId="21" xfId="0" applyNumberFormat="1" applyFont="1" applyFill="1" applyBorder="1" applyAlignment="1">
      <alignment horizontal="center" vertical="center" wrapText="1"/>
    </xf>
    <xf numFmtId="0" fontId="49" fillId="31" borderId="35" xfId="0" applyFont="1" applyFill="1" applyBorder="1" applyAlignment="1">
      <alignment horizontal="center" vertical="center" wrapText="1"/>
    </xf>
    <xf numFmtId="0" fontId="50" fillId="32" borderId="35" xfId="0" applyFont="1" applyFill="1" applyBorder="1" applyAlignment="1">
      <alignment horizontal="center" vertical="center" wrapText="1"/>
    </xf>
    <xf numFmtId="0" fontId="50" fillId="31" borderId="35" xfId="0" applyFont="1" applyFill="1" applyBorder="1" applyAlignment="1">
      <alignment horizontal="center" vertical="center" wrapText="1"/>
    </xf>
    <xf numFmtId="0" fontId="51" fillId="32" borderId="35" xfId="0" applyFont="1" applyFill="1" applyBorder="1" applyAlignment="1">
      <alignment horizontal="center" vertical="center" wrapText="1"/>
    </xf>
    <xf numFmtId="0" fontId="0" fillId="32" borderId="123" xfId="0" applyFill="1" applyBorder="1" applyAlignment="1">
      <alignment horizontal="center" vertical="center"/>
    </xf>
    <xf numFmtId="0" fontId="62" fillId="31" borderId="123" xfId="0" applyFont="1" applyFill="1" applyBorder="1" applyAlignment="1">
      <alignment horizontal="center" vertical="center"/>
    </xf>
    <xf numFmtId="0" fontId="0" fillId="31" borderId="123" xfId="0" applyFill="1" applyBorder="1" applyAlignment="1">
      <alignment horizontal="center" vertical="center"/>
    </xf>
    <xf numFmtId="0" fontId="53" fillId="31" borderId="123" xfId="0" applyFont="1" applyFill="1" applyBorder="1" applyAlignment="1">
      <alignment horizontal="center" vertical="center" wrapText="1"/>
    </xf>
    <xf numFmtId="0" fontId="93" fillId="44" borderId="0" xfId="0" applyFont="1" applyFill="1" applyAlignment="1">
      <alignment wrapText="1"/>
    </xf>
    <xf numFmtId="0" fontId="19" fillId="15" borderId="56" xfId="0" applyFont="1" applyFill="1" applyBorder="1" applyAlignment="1">
      <alignment horizontal="center" vertical="center" wrapText="1"/>
    </xf>
    <xf numFmtId="0" fontId="19" fillId="15" borderId="0" xfId="0" applyFont="1" applyFill="1" applyBorder="1" applyAlignment="1">
      <alignment horizontal="center" vertical="center" wrapText="1"/>
    </xf>
    <xf numFmtId="0" fontId="19" fillId="15" borderId="57" xfId="0" applyFont="1" applyFill="1" applyBorder="1" applyAlignment="1">
      <alignment horizontal="center" vertical="center" wrapText="1"/>
    </xf>
    <xf numFmtId="0" fontId="19" fillId="15" borderId="35" xfId="0" applyFont="1" applyFill="1" applyBorder="1" applyAlignment="1">
      <alignment horizontal="center" vertical="center" wrapText="1"/>
    </xf>
    <xf numFmtId="0" fontId="19" fillId="15" borderId="36" xfId="0" applyFont="1" applyFill="1" applyBorder="1" applyAlignment="1">
      <alignment horizontal="center" vertical="center" wrapText="1"/>
    </xf>
    <xf numFmtId="0" fontId="10" fillId="11" borderId="25" xfId="0" applyFont="1" applyFill="1" applyBorder="1" applyAlignment="1">
      <alignment horizontal="center" vertical="center" wrapText="1"/>
    </xf>
    <xf numFmtId="0" fontId="10" fillId="11" borderId="42" xfId="0" applyFont="1" applyFill="1" applyBorder="1" applyAlignment="1">
      <alignment horizontal="center" vertical="center" wrapText="1"/>
    </xf>
    <xf numFmtId="0" fontId="10" fillId="11" borderId="40"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9" fillId="15" borderId="39" xfId="0" applyFont="1" applyFill="1" applyBorder="1" applyAlignment="1">
      <alignment horizontal="center" vertical="center" wrapText="1"/>
    </xf>
    <xf numFmtId="0" fontId="19" fillId="15" borderId="41" xfId="0" applyFont="1" applyFill="1" applyBorder="1" applyAlignment="1">
      <alignment wrapText="1"/>
    </xf>
    <xf numFmtId="0" fontId="19" fillId="15" borderId="39" xfId="0" applyFont="1" applyFill="1" applyBorder="1" applyAlignment="1">
      <alignment wrapText="1"/>
    </xf>
    <xf numFmtId="0" fontId="0" fillId="0" borderId="46" xfId="0" applyBorder="1" applyAlignment="1">
      <alignment horizontal="center" wrapText="1"/>
    </xf>
    <xf numFmtId="0" fontId="10" fillId="11" borderId="38" xfId="0" applyFont="1" applyFill="1" applyBorder="1" applyAlignment="1">
      <alignment horizontal="center" vertical="center" wrapText="1"/>
    </xf>
    <xf numFmtId="0" fontId="10" fillId="11" borderId="0" xfId="0" applyFont="1" applyFill="1" applyBorder="1" applyAlignment="1">
      <alignment horizontal="center" vertical="center" wrapText="1"/>
    </xf>
    <xf numFmtId="0" fontId="10" fillId="11" borderId="26" xfId="0" applyFont="1" applyFill="1" applyBorder="1" applyAlignment="1">
      <alignment horizontal="center" vertical="center" wrapText="1"/>
    </xf>
    <xf numFmtId="0" fontId="19" fillId="15" borderId="35" xfId="0" applyFont="1" applyFill="1" applyBorder="1" applyAlignment="1">
      <alignment horizontal="center" wrapText="1"/>
    </xf>
    <xf numFmtId="0" fontId="19" fillId="15" borderId="39" xfId="0" applyFont="1" applyFill="1" applyBorder="1" applyAlignment="1">
      <alignment horizontal="center" wrapText="1"/>
    </xf>
    <xf numFmtId="0" fontId="10" fillId="11" borderId="56" xfId="0" applyFont="1" applyFill="1" applyBorder="1" applyAlignment="1">
      <alignment horizontal="center" vertical="center" wrapText="1"/>
    </xf>
    <xf numFmtId="0" fontId="0" fillId="0" borderId="46" xfId="0" applyFill="1" applyBorder="1" applyAlignment="1">
      <alignment horizontal="center" wrapText="1"/>
    </xf>
    <xf numFmtId="0" fontId="33" fillId="2" borderId="5" xfId="0" applyFont="1" applyFill="1" applyBorder="1" applyAlignment="1">
      <alignment horizontal="center" vertical="center" wrapText="1" readingOrder="1"/>
    </xf>
    <xf numFmtId="0" fontId="33" fillId="2" borderId="3" xfId="0" applyFont="1" applyFill="1" applyBorder="1" applyAlignment="1">
      <alignment horizontal="center" vertical="center" wrapText="1" readingOrder="1"/>
    </xf>
    <xf numFmtId="0" fontId="33" fillId="2" borderId="51" xfId="0" applyFont="1" applyFill="1" applyBorder="1" applyAlignment="1">
      <alignment horizontal="center" vertical="center" wrapText="1" readingOrder="1"/>
    </xf>
    <xf numFmtId="0" fontId="33" fillId="2" borderId="52" xfId="0" applyFont="1" applyFill="1" applyBorder="1" applyAlignment="1">
      <alignment horizontal="center" vertical="center" wrapText="1" readingOrder="1"/>
    </xf>
    <xf numFmtId="0" fontId="33" fillId="2" borderId="53" xfId="0" applyFont="1" applyFill="1" applyBorder="1" applyAlignment="1">
      <alignment horizontal="center" vertical="center" wrapText="1" readingOrder="1"/>
    </xf>
    <xf numFmtId="0" fontId="31" fillId="14" borderId="13" xfId="0" applyFont="1" applyFill="1" applyBorder="1" applyAlignment="1">
      <alignment horizontal="center" vertical="center" wrapText="1"/>
    </xf>
    <xf numFmtId="0" fontId="31" fillId="14" borderId="14" xfId="0" applyFont="1" applyFill="1" applyBorder="1" applyAlignment="1">
      <alignment horizontal="center" vertical="center" wrapText="1"/>
    </xf>
    <xf numFmtId="0" fontId="9" fillId="0" borderId="0" xfId="0" applyFont="1" applyBorder="1" applyAlignment="1">
      <alignment horizontal="center" vertical="center" wrapText="1"/>
    </xf>
    <xf numFmtId="0" fontId="0" fillId="0" borderId="67" xfId="0" applyBorder="1" applyAlignment="1">
      <alignment horizontal="center" wrapText="1"/>
    </xf>
    <xf numFmtId="0" fontId="6" fillId="0" borderId="0" xfId="0" applyFont="1" applyBorder="1" applyAlignment="1">
      <alignment horizontal="center" wrapText="1"/>
    </xf>
    <xf numFmtId="0" fontId="14" fillId="0" borderId="0" xfId="0" applyFont="1" applyBorder="1" applyAlignment="1">
      <alignment horizontal="center" wrapText="1"/>
    </xf>
    <xf numFmtId="0" fontId="31" fillId="6" borderId="16" xfId="0" applyFont="1" applyFill="1" applyBorder="1" applyAlignment="1">
      <alignment vertical="center" wrapText="1"/>
    </xf>
    <xf numFmtId="0" fontId="31" fillId="6" borderId="17" xfId="0" applyFont="1" applyFill="1" applyBorder="1" applyAlignment="1">
      <alignment vertical="center" wrapText="1"/>
    </xf>
    <xf numFmtId="0" fontId="31" fillId="6" borderId="20" xfId="0" applyFont="1" applyFill="1" applyBorder="1" applyAlignment="1">
      <alignment vertical="center" wrapText="1"/>
    </xf>
    <xf numFmtId="0" fontId="26" fillId="0" borderId="16" xfId="0" applyFont="1" applyBorder="1" applyAlignment="1">
      <alignment horizontal="center" vertical="center" wrapText="1"/>
    </xf>
    <xf numFmtId="0" fontId="26" fillId="0" borderId="17" xfId="0" applyFont="1" applyBorder="1" applyAlignment="1">
      <alignment horizontal="center" vertical="center" wrapText="1"/>
    </xf>
    <xf numFmtId="0" fontId="26" fillId="0" borderId="20" xfId="0" applyFont="1" applyBorder="1" applyAlignment="1">
      <alignment horizontal="center" vertical="center" wrapText="1"/>
    </xf>
    <xf numFmtId="0" fontId="31" fillId="6" borderId="16"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31" fillId="6" borderId="20" xfId="0" applyFont="1" applyFill="1" applyBorder="1" applyAlignment="1">
      <alignment horizontal="center" vertical="center" wrapText="1"/>
    </xf>
    <xf numFmtId="0" fontId="31" fillId="6" borderId="49" xfId="0" applyFont="1" applyFill="1" applyBorder="1" applyAlignment="1">
      <alignment horizontal="center" vertical="center"/>
    </xf>
    <xf numFmtId="0" fontId="31" fillId="6" borderId="3" xfId="0" applyFont="1" applyFill="1" applyBorder="1" applyAlignment="1">
      <alignment horizontal="center" vertical="center"/>
    </xf>
    <xf numFmtId="0" fontId="31" fillId="6" borderId="4" xfId="0" applyFont="1" applyFill="1" applyBorder="1" applyAlignment="1">
      <alignment horizontal="center" vertical="center"/>
    </xf>
    <xf numFmtId="0" fontId="33" fillId="2" borderId="49" xfId="0" applyFont="1" applyFill="1" applyBorder="1" applyAlignment="1">
      <alignment horizontal="center" vertical="center" wrapText="1" readingOrder="1"/>
    </xf>
    <xf numFmtId="0" fontId="33" fillId="2" borderId="4" xfId="0" applyFont="1" applyFill="1" applyBorder="1" applyAlignment="1">
      <alignment horizontal="center" vertical="center" wrapText="1" readingOrder="1"/>
    </xf>
    <xf numFmtId="0" fontId="31" fillId="6" borderId="50" xfId="0" applyFont="1" applyFill="1" applyBorder="1" applyAlignment="1">
      <alignment horizontal="center" vertical="center"/>
    </xf>
    <xf numFmtId="0" fontId="31" fillId="6" borderId="2" xfId="0" applyFont="1" applyFill="1" applyBorder="1" applyAlignment="1">
      <alignment horizontal="center" vertical="center"/>
    </xf>
    <xf numFmtId="0" fontId="31" fillId="6" borderId="1" xfId="0" applyFont="1" applyFill="1" applyBorder="1" applyAlignment="1">
      <alignment horizontal="center" vertical="center"/>
    </xf>
    <xf numFmtId="0" fontId="33" fillId="2" borderId="8" xfId="0" applyFont="1" applyFill="1" applyBorder="1" applyAlignment="1">
      <alignment horizontal="center" vertical="center" wrapText="1" readingOrder="1"/>
    </xf>
    <xf numFmtId="0" fontId="33" fillId="2" borderId="0" xfId="0" applyFont="1" applyFill="1" applyBorder="1" applyAlignment="1">
      <alignment horizontal="center" vertical="center" wrapText="1" readingOrder="1"/>
    </xf>
    <xf numFmtId="0" fontId="33" fillId="2" borderId="9" xfId="0" applyFont="1" applyFill="1" applyBorder="1" applyAlignment="1">
      <alignment horizontal="center" vertical="center" wrapText="1" readingOrder="1"/>
    </xf>
    <xf numFmtId="0" fontId="19" fillId="0" borderId="16" xfId="0" applyFont="1" applyBorder="1" applyAlignment="1">
      <alignment vertical="center" wrapText="1"/>
    </xf>
    <xf numFmtId="0" fontId="19" fillId="0" borderId="17" xfId="0" applyFont="1" applyBorder="1" applyAlignment="1">
      <alignment vertical="center" wrapText="1"/>
    </xf>
    <xf numFmtId="0" fontId="19" fillId="0" borderId="20" xfId="0" applyFont="1" applyBorder="1" applyAlignment="1">
      <alignment vertical="center" wrapText="1"/>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20" xfId="0" applyFont="1" applyBorder="1" applyAlignment="1">
      <alignment horizontal="center" vertical="center"/>
    </xf>
    <xf numFmtId="0" fontId="31" fillId="6" borderId="16" xfId="0" applyFont="1" applyFill="1" applyBorder="1" applyAlignment="1">
      <alignment horizontal="center" vertical="center"/>
    </xf>
    <xf numFmtId="0" fontId="31" fillId="6" borderId="17" xfId="0" applyFont="1" applyFill="1" applyBorder="1" applyAlignment="1">
      <alignment horizontal="center" vertical="center"/>
    </xf>
    <xf numFmtId="0" fontId="31" fillId="6" borderId="20" xfId="0" applyFont="1" applyFill="1" applyBorder="1" applyAlignment="1">
      <alignment horizontal="center" vertical="center"/>
    </xf>
    <xf numFmtId="0" fontId="31" fillId="0" borderId="16" xfId="0" applyFont="1" applyBorder="1" applyAlignment="1">
      <alignment vertical="center" wrapText="1"/>
    </xf>
    <xf numFmtId="0" fontId="31" fillId="0" borderId="17" xfId="0" applyFont="1" applyBorder="1" applyAlignment="1">
      <alignment vertical="center" wrapText="1"/>
    </xf>
    <xf numFmtId="0" fontId="31" fillId="0" borderId="20" xfId="0" applyFont="1" applyBorder="1" applyAlignment="1">
      <alignment vertical="center" wrapText="1"/>
    </xf>
    <xf numFmtId="0" fontId="7" fillId="0" borderId="43" xfId="0" applyFont="1" applyBorder="1" applyAlignment="1">
      <alignment horizontal="center" wrapText="1"/>
    </xf>
    <xf numFmtId="0" fontId="7" fillId="0" borderId="7" xfId="0" applyFont="1" applyBorder="1" applyAlignment="1">
      <alignment horizontal="center" wrapText="1"/>
    </xf>
    <xf numFmtId="0" fontId="7" fillId="0" borderId="44" xfId="0" applyFont="1" applyBorder="1" applyAlignment="1">
      <alignment horizontal="center" wrapText="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33" fillId="2" borderId="54" xfId="0" applyFont="1" applyFill="1" applyBorder="1" applyAlignment="1">
      <alignment horizontal="center" vertical="center" wrapText="1" readingOrder="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13" borderId="16" xfId="0" applyFont="1" applyFill="1" applyBorder="1" applyAlignment="1">
      <alignment horizontal="center" vertical="center" wrapText="1"/>
    </xf>
    <xf numFmtId="0" fontId="31" fillId="13" borderId="17" xfId="0" applyFont="1" applyFill="1" applyBorder="1" applyAlignment="1">
      <alignment horizontal="center" vertic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0" borderId="59" xfId="0" applyFont="1" applyBorder="1" applyAlignment="1">
      <alignment horizontal="center"/>
    </xf>
    <xf numFmtId="0" fontId="3" fillId="3" borderId="68" xfId="0" applyFont="1" applyFill="1" applyBorder="1" applyAlignment="1">
      <alignment horizontal="center" wrapText="1" readingOrder="1"/>
    </xf>
    <xf numFmtId="0" fontId="3" fillId="3" borderId="11" xfId="0" applyFont="1" applyFill="1" applyBorder="1" applyAlignment="1">
      <alignment horizontal="center" wrapText="1" readingOrder="1"/>
    </xf>
    <xf numFmtId="0" fontId="31" fillId="6" borderId="60" xfId="0" applyFont="1" applyFill="1" applyBorder="1" applyAlignment="1">
      <alignment horizontal="center" vertical="center"/>
    </xf>
    <xf numFmtId="0" fontId="31" fillId="6" borderId="13" xfId="0" applyFont="1" applyFill="1" applyBorder="1" applyAlignment="1">
      <alignment horizontal="center" vertical="center"/>
    </xf>
    <xf numFmtId="0" fontId="31" fillId="6" borderId="13" xfId="0" applyFont="1" applyFill="1" applyBorder="1" applyAlignment="1">
      <alignment horizontal="center" vertical="center" wrapText="1"/>
    </xf>
    <xf numFmtId="0" fontId="31" fillId="6" borderId="14" xfId="0" applyFont="1" applyFill="1" applyBorder="1" applyAlignment="1">
      <alignment horizontal="center" vertical="center" wrapText="1"/>
    </xf>
    <xf numFmtId="0" fontId="31" fillId="10" borderId="8" xfId="0" applyFont="1" applyFill="1" applyBorder="1" applyAlignment="1">
      <alignment horizontal="center" vertical="center" wrapText="1"/>
    </xf>
    <xf numFmtId="0" fontId="31" fillId="10" borderId="0" xfId="0" applyFont="1" applyFill="1" applyBorder="1" applyAlignment="1">
      <alignment horizontal="center" vertical="center" wrapText="1"/>
    </xf>
    <xf numFmtId="0" fontId="31" fillId="10" borderId="9" xfId="0" applyFont="1" applyFill="1" applyBorder="1" applyAlignment="1">
      <alignment horizontal="center" vertical="center" wrapText="1"/>
    </xf>
    <xf numFmtId="0" fontId="31" fillId="6" borderId="8"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50"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4" fillId="4" borderId="61" xfId="0" applyFont="1" applyFill="1" applyBorder="1" applyAlignment="1">
      <alignment horizontal="left" wrapText="1" readingOrder="1"/>
    </xf>
    <xf numFmtId="0" fontId="4" fillId="4" borderId="62" xfId="0" applyFont="1" applyFill="1" applyBorder="1" applyAlignment="1">
      <alignment horizontal="left" wrapText="1" readingOrder="1"/>
    </xf>
    <xf numFmtId="0" fontId="4" fillId="4" borderId="63" xfId="0" applyFont="1" applyFill="1" applyBorder="1" applyAlignment="1">
      <alignment horizontal="left" wrapText="1" readingOrder="1"/>
    </xf>
    <xf numFmtId="0" fontId="31" fillId="0" borderId="1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20" xfId="0" applyFont="1" applyBorder="1" applyAlignment="1">
      <alignment horizontal="center" vertical="center" wrapText="1"/>
    </xf>
    <xf numFmtId="0" fontId="8" fillId="6" borderId="16" xfId="0" applyFont="1" applyFill="1" applyBorder="1" applyAlignment="1">
      <alignment horizontal="center" wrapText="1"/>
    </xf>
    <xf numFmtId="0" fontId="8" fillId="6" borderId="17" xfId="0" applyFont="1" applyFill="1" applyBorder="1" applyAlignment="1">
      <alignment horizontal="center" wrapText="1"/>
    </xf>
    <xf numFmtId="0" fontId="8" fillId="6" borderId="59" xfId="0" applyFont="1" applyFill="1" applyBorder="1" applyAlignment="1">
      <alignment horizontal="center" wrapText="1"/>
    </xf>
    <xf numFmtId="0" fontId="3" fillId="9" borderId="45" xfId="0" applyFont="1" applyFill="1" applyBorder="1" applyAlignment="1">
      <alignment horizontal="center" wrapText="1"/>
    </xf>
    <xf numFmtId="0" fontId="3" fillId="9" borderId="0" xfId="0" applyFont="1" applyFill="1" applyBorder="1" applyAlignment="1">
      <alignment horizontal="center" wrapText="1"/>
    </xf>
    <xf numFmtId="0" fontId="3" fillId="9" borderId="29" xfId="0" applyFont="1" applyFill="1" applyBorder="1" applyAlignment="1">
      <alignment horizontal="center" wrapText="1"/>
    </xf>
    <xf numFmtId="0" fontId="35" fillId="0" borderId="23" xfId="0" applyFont="1" applyBorder="1" applyAlignment="1">
      <alignment horizontal="center" wrapText="1"/>
    </xf>
    <xf numFmtId="0" fontId="20" fillId="11" borderId="35" xfId="0" applyFont="1" applyFill="1" applyBorder="1" applyAlignment="1">
      <alignment horizontal="center" vertical="center" wrapText="1"/>
    </xf>
    <xf numFmtId="0" fontId="20" fillId="11" borderId="39" xfId="0" applyFont="1" applyFill="1" applyBorder="1" applyAlignment="1">
      <alignment horizontal="center" vertical="center" wrapText="1"/>
    </xf>
    <xf numFmtId="0" fontId="20" fillId="11" borderId="36"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5" fillId="0" borderId="39" xfId="0" applyFont="1" applyBorder="1" applyAlignment="1">
      <alignment horizontal="center" wrapText="1"/>
    </xf>
    <xf numFmtId="0" fontId="6" fillId="12" borderId="70" xfId="0" applyFont="1" applyFill="1" applyBorder="1" applyAlignment="1">
      <alignment horizontal="left" vertical="top" wrapText="1"/>
    </xf>
    <xf numFmtId="0" fontId="24" fillId="4" borderId="46" xfId="0" applyFont="1" applyFill="1" applyBorder="1" applyAlignment="1">
      <alignment horizontal="center" vertical="center" wrapText="1" readingOrder="1"/>
    </xf>
    <xf numFmtId="0" fontId="17" fillId="15" borderId="23" xfId="0" applyFont="1" applyFill="1" applyBorder="1" applyAlignment="1">
      <alignment horizontal="center" vertical="center" wrapText="1"/>
    </xf>
    <xf numFmtId="0" fontId="18" fillId="3" borderId="8" xfId="0" applyFont="1" applyFill="1" applyBorder="1" applyAlignment="1">
      <alignment horizontal="center" vertical="center" wrapText="1" readingOrder="1"/>
    </xf>
    <xf numFmtId="0" fontId="18" fillId="3" borderId="0" xfId="0" applyFont="1" applyFill="1" applyBorder="1" applyAlignment="1">
      <alignment horizontal="center" vertical="center" wrapText="1" readingOrder="1"/>
    </xf>
    <xf numFmtId="0" fontId="23" fillId="15" borderId="23" xfId="0" applyFont="1" applyFill="1" applyBorder="1" applyAlignment="1" applyProtection="1">
      <alignment horizontal="center" vertical="center" wrapText="1"/>
      <protection hidden="1"/>
    </xf>
    <xf numFmtId="0" fontId="35" fillId="15" borderId="23" xfId="0" applyFont="1" applyFill="1" applyBorder="1" applyAlignment="1">
      <alignment horizontal="center" wrapText="1"/>
    </xf>
    <xf numFmtId="0" fontId="14" fillId="15" borderId="35" xfId="0" applyFont="1" applyFill="1" applyBorder="1" applyAlignment="1">
      <alignment horizontal="center" vertical="center" wrapText="1"/>
    </xf>
    <xf numFmtId="0" fontId="14" fillId="15" borderId="36" xfId="0" applyFont="1" applyFill="1" applyBorder="1" applyAlignment="1">
      <alignment horizontal="center" vertical="center" wrapText="1"/>
    </xf>
    <xf numFmtId="0" fontId="29" fillId="0" borderId="23" xfId="0" applyFont="1" applyBorder="1" applyAlignment="1">
      <alignment horizontal="center" wrapText="1"/>
    </xf>
    <xf numFmtId="0" fontId="34" fillId="6" borderId="49" xfId="0" applyFont="1" applyFill="1" applyBorder="1" applyAlignment="1">
      <alignment horizontal="center" vertical="center" wrapText="1"/>
    </xf>
    <xf numFmtId="0" fontId="34" fillId="6" borderId="3" xfId="0" applyFont="1" applyFill="1" applyBorder="1" applyAlignment="1">
      <alignment horizontal="center" vertical="center" wrapText="1"/>
    </xf>
    <xf numFmtId="0" fontId="34" fillId="6" borderId="54" xfId="0" applyFont="1" applyFill="1" applyBorder="1" applyAlignment="1">
      <alignment horizontal="center" vertical="center" wrapText="1"/>
    </xf>
    <xf numFmtId="0" fontId="16" fillId="0" borderId="50" xfId="0" applyFont="1" applyBorder="1" applyAlignment="1">
      <alignment horizontal="center" wrapText="1"/>
    </xf>
    <xf numFmtId="0" fontId="16" fillId="0" borderId="2" xfId="0" applyFont="1" applyBorder="1" applyAlignment="1">
      <alignment horizontal="center" wrapText="1"/>
    </xf>
    <xf numFmtId="0" fontId="16" fillId="0" borderId="47" xfId="0" applyFont="1" applyBorder="1" applyAlignment="1">
      <alignment horizontal="center" wrapText="1"/>
    </xf>
    <xf numFmtId="0" fontId="7" fillId="6" borderId="52" xfId="0" applyFont="1" applyFill="1" applyBorder="1" applyAlignment="1">
      <alignment wrapText="1"/>
    </xf>
    <xf numFmtId="0" fontId="7" fillId="6" borderId="53" xfId="0" applyFont="1" applyFill="1" applyBorder="1" applyAlignment="1">
      <alignment wrapText="1"/>
    </xf>
    <xf numFmtId="0" fontId="4" fillId="2" borderId="61" xfId="0" applyFont="1" applyFill="1" applyBorder="1" applyAlignment="1">
      <alignment horizontal="left" wrapText="1" readingOrder="1"/>
    </xf>
    <xf numFmtId="0" fontId="4" fillId="2" borderId="62" xfId="0" applyFont="1" applyFill="1" applyBorder="1" applyAlignment="1">
      <alignment horizontal="left" wrapText="1" readingOrder="1"/>
    </xf>
    <xf numFmtId="0" fontId="4" fillId="2" borderId="63" xfId="0" applyFont="1" applyFill="1" applyBorder="1" applyAlignment="1">
      <alignment horizontal="left" wrapText="1" readingOrder="1"/>
    </xf>
    <xf numFmtId="0" fontId="8" fillId="0" borderId="16" xfId="0" applyFont="1" applyBorder="1" applyAlignment="1">
      <alignment horizontal="center" wrapText="1"/>
    </xf>
    <xf numFmtId="0" fontId="8" fillId="0" borderId="17" xfId="0" applyFont="1" applyBorder="1" applyAlignment="1">
      <alignment horizontal="center" wrapText="1"/>
    </xf>
    <xf numFmtId="0" fontId="8" fillId="0" borderId="20" xfId="0" applyFont="1" applyBorder="1" applyAlignment="1">
      <alignment horizontal="center" wrapText="1"/>
    </xf>
    <xf numFmtId="0" fontId="44" fillId="6" borderId="70" xfId="0" applyFont="1" applyFill="1" applyBorder="1" applyAlignment="1">
      <alignment horizontal="center" vertical="center" wrapText="1"/>
    </xf>
    <xf numFmtId="0" fontId="44" fillId="6" borderId="46" xfId="0" applyFont="1" applyFill="1" applyBorder="1" applyAlignment="1">
      <alignment horizontal="center" vertical="center" wrapText="1"/>
    </xf>
    <xf numFmtId="0" fontId="44" fillId="6" borderId="64" xfId="0" applyFont="1" applyFill="1" applyBorder="1" applyAlignment="1">
      <alignment horizontal="center" vertical="center" wrapText="1"/>
    </xf>
    <xf numFmtId="0" fontId="44" fillId="6" borderId="56" xfId="0" applyFont="1" applyFill="1" applyBorder="1" applyAlignment="1">
      <alignment horizontal="center" vertical="center" wrapText="1"/>
    </xf>
    <xf numFmtId="0" fontId="44" fillId="6" borderId="0" xfId="0" applyFont="1" applyFill="1" applyBorder="1" applyAlignment="1">
      <alignment horizontal="center" vertical="center" wrapText="1"/>
    </xf>
    <xf numFmtId="0" fontId="44" fillId="6" borderId="57" xfId="0" applyFont="1" applyFill="1" applyBorder="1" applyAlignment="1">
      <alignment horizontal="center" vertical="center" wrapText="1"/>
    </xf>
    <xf numFmtId="0" fontId="44" fillId="6" borderId="25" xfId="0" applyFont="1" applyFill="1" applyBorder="1" applyAlignment="1">
      <alignment horizontal="center" vertical="center" wrapText="1"/>
    </xf>
    <xf numFmtId="0" fontId="44" fillId="6" borderId="23" xfId="0" applyFont="1" applyFill="1" applyBorder="1" applyAlignment="1">
      <alignment horizontal="center" vertical="center" wrapText="1"/>
    </xf>
    <xf numFmtId="0" fontId="44" fillId="6" borderId="24"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4" fillId="2" borderId="5" xfId="0" applyFont="1" applyFill="1" applyBorder="1" applyAlignment="1">
      <alignment horizontal="center" vertical="center" wrapText="1" readingOrder="1"/>
    </xf>
    <xf numFmtId="0" fontId="4" fillId="2" borderId="4" xfId="0" applyFont="1" applyFill="1" applyBorder="1" applyAlignment="1">
      <alignment horizontal="center" vertical="center" wrapText="1" readingOrder="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2" xfId="0" applyFont="1" applyBorder="1" applyAlignment="1">
      <alignment horizontal="center" wrapText="1"/>
    </xf>
    <xf numFmtId="0" fontId="18" fillId="9" borderId="2" xfId="0" applyFont="1" applyFill="1" applyBorder="1" applyAlignment="1">
      <alignment horizontal="center" wrapText="1"/>
    </xf>
    <xf numFmtId="0" fontId="4" fillId="2" borderId="5" xfId="0" applyFont="1" applyFill="1" applyBorder="1" applyAlignment="1">
      <alignment horizontal="center" vertical="center" readingOrder="1"/>
    </xf>
    <xf numFmtId="0" fontId="4" fillId="2" borderId="4" xfId="0" applyFont="1" applyFill="1" applyBorder="1" applyAlignment="1">
      <alignment horizontal="center" vertical="center" readingOrder="1"/>
    </xf>
    <xf numFmtId="0" fontId="84" fillId="49" borderId="147" xfId="0" applyFont="1" applyFill="1" applyBorder="1" applyAlignment="1">
      <alignment horizontal="center" vertical="center" wrapText="1"/>
    </xf>
    <xf numFmtId="0" fontId="84" fillId="49" borderId="0" xfId="0" applyFont="1" applyFill="1" applyBorder="1" applyAlignment="1">
      <alignment horizontal="center" vertical="center" wrapText="1"/>
    </xf>
    <xf numFmtId="9" fontId="47" fillId="14" borderId="240" xfId="2" applyFont="1" applyFill="1" applyBorder="1" applyAlignment="1">
      <alignment horizontal="center" vertical="center" wrapText="1"/>
    </xf>
    <xf numFmtId="9" fontId="47" fillId="14" borderId="239" xfId="2" applyFont="1" applyFill="1" applyBorder="1" applyAlignment="1">
      <alignment horizontal="center" vertical="center" wrapText="1"/>
    </xf>
    <xf numFmtId="9" fontId="47" fillId="14" borderId="241" xfId="2" applyFont="1" applyFill="1" applyBorder="1" applyAlignment="1">
      <alignment horizontal="center" vertical="center" wrapText="1"/>
    </xf>
    <xf numFmtId="0" fontId="17" fillId="14" borderId="231" xfId="0" applyFont="1" applyFill="1" applyBorder="1" applyAlignment="1">
      <alignment horizontal="center" vertical="center" wrapText="1"/>
    </xf>
    <xf numFmtId="0" fontId="17" fillId="14" borderId="232" xfId="0" applyFont="1" applyFill="1" applyBorder="1" applyAlignment="1">
      <alignment horizontal="center" vertical="center" wrapText="1"/>
    </xf>
    <xf numFmtId="0" fontId="17" fillId="14" borderId="237" xfId="0" applyFont="1" applyFill="1" applyBorder="1" applyAlignment="1">
      <alignment horizontal="center" vertical="center" wrapText="1"/>
    </xf>
    <xf numFmtId="0" fontId="17" fillId="14" borderId="238" xfId="0" applyFont="1" applyFill="1" applyBorder="1" applyAlignment="1">
      <alignment horizontal="center" vertical="center" wrapText="1"/>
    </xf>
    <xf numFmtId="0" fontId="45" fillId="12" borderId="221" xfId="0" applyFont="1" applyFill="1" applyBorder="1" applyAlignment="1">
      <alignment horizontal="center" vertical="center" wrapText="1"/>
    </xf>
    <xf numFmtId="0" fontId="45" fillId="12" borderId="222" xfId="0" applyFont="1" applyFill="1" applyBorder="1" applyAlignment="1">
      <alignment horizontal="center" vertical="center" wrapText="1"/>
    </xf>
    <xf numFmtId="0" fontId="45" fillId="12" borderId="181" xfId="0" applyFont="1" applyFill="1" applyBorder="1" applyAlignment="1">
      <alignment horizontal="center" vertical="center" wrapText="1"/>
    </xf>
    <xf numFmtId="0" fontId="45" fillId="12" borderId="182" xfId="0" applyFont="1" applyFill="1" applyBorder="1" applyAlignment="1">
      <alignment horizontal="center" vertical="center" wrapText="1"/>
    </xf>
    <xf numFmtId="0" fontId="86" fillId="14" borderId="233" xfId="0" applyFont="1" applyFill="1" applyBorder="1" applyAlignment="1">
      <alignment horizontal="center" vertical="center" wrapText="1"/>
    </xf>
    <xf numFmtId="0" fontId="86" fillId="14" borderId="234" xfId="0" applyFont="1" applyFill="1" applyBorder="1" applyAlignment="1">
      <alignment horizontal="center" vertical="center" wrapText="1"/>
    </xf>
    <xf numFmtId="0" fontId="86" fillId="14" borderId="235" xfId="0" applyFont="1" applyFill="1" applyBorder="1" applyAlignment="1">
      <alignment horizontal="center" vertical="center" wrapText="1"/>
    </xf>
    <xf numFmtId="0" fontId="86" fillId="14" borderId="236" xfId="0" applyFont="1" applyFill="1" applyBorder="1" applyAlignment="1">
      <alignment horizontal="center" vertical="center" wrapText="1"/>
    </xf>
    <xf numFmtId="0" fontId="86" fillId="14" borderId="148" xfId="0" applyFont="1" applyFill="1" applyBorder="1" applyAlignment="1">
      <alignment horizontal="center" vertical="center" wrapText="1"/>
    </xf>
    <xf numFmtId="0" fontId="77" fillId="30" borderId="216" xfId="0" applyFont="1" applyFill="1" applyBorder="1" applyAlignment="1">
      <alignment horizontal="center" vertical="center" wrapText="1" readingOrder="1"/>
    </xf>
    <xf numFmtId="0" fontId="77" fillId="30" borderId="224" xfId="0" applyFont="1" applyFill="1" applyBorder="1" applyAlignment="1">
      <alignment horizontal="center" vertical="center" wrapText="1" readingOrder="1"/>
    </xf>
    <xf numFmtId="4" fontId="68" fillId="14" borderId="70" xfId="0" applyNumberFormat="1" applyFont="1" applyFill="1" applyBorder="1" applyAlignment="1">
      <alignment horizontal="center" vertical="center" wrapText="1"/>
    </xf>
    <xf numFmtId="4" fontId="68" fillId="14" borderId="46" xfId="0" applyNumberFormat="1" applyFont="1" applyFill="1" applyBorder="1" applyAlignment="1">
      <alignment horizontal="center" vertical="center" wrapText="1"/>
    </xf>
    <xf numFmtId="4" fontId="68" fillId="14" borderId="64" xfId="0" applyNumberFormat="1" applyFont="1" applyFill="1" applyBorder="1" applyAlignment="1">
      <alignment horizontal="center" vertical="center" wrapText="1"/>
    </xf>
    <xf numFmtId="4" fontId="68" fillId="14" borderId="56" xfId="0" applyNumberFormat="1" applyFont="1" applyFill="1" applyBorder="1" applyAlignment="1">
      <alignment horizontal="center" vertical="center" wrapText="1"/>
    </xf>
    <xf numFmtId="4" fontId="68" fillId="14" borderId="0" xfId="0" applyNumberFormat="1" applyFont="1" applyFill="1" applyBorder="1" applyAlignment="1">
      <alignment horizontal="center" vertical="center" wrapText="1"/>
    </xf>
    <xf numFmtId="4" fontId="68" fillId="14" borderId="57" xfId="0" applyNumberFormat="1" applyFont="1" applyFill="1" applyBorder="1" applyAlignment="1">
      <alignment horizontal="center" vertical="center" wrapText="1"/>
    </xf>
    <xf numFmtId="4" fontId="68" fillId="14" borderId="25" xfId="0" applyNumberFormat="1" applyFont="1" applyFill="1" applyBorder="1" applyAlignment="1">
      <alignment horizontal="center" vertical="center" wrapText="1"/>
    </xf>
    <xf numFmtId="4" fontId="68" fillId="14" borderId="23" xfId="0" applyNumberFormat="1" applyFont="1" applyFill="1" applyBorder="1" applyAlignment="1">
      <alignment horizontal="center" vertical="center" wrapText="1"/>
    </xf>
    <xf numFmtId="4" fontId="68" fillId="14" borderId="24" xfId="0" applyNumberFormat="1" applyFont="1" applyFill="1" applyBorder="1" applyAlignment="1">
      <alignment horizontal="center" vertical="center" wrapText="1"/>
    </xf>
    <xf numFmtId="0" fontId="86" fillId="14" borderId="147" xfId="0" applyFont="1" applyFill="1" applyBorder="1" applyAlignment="1">
      <alignment horizontal="center" vertical="center" wrapText="1"/>
    </xf>
    <xf numFmtId="0" fontId="86" fillId="14" borderId="0" xfId="0" applyFont="1" applyFill="1" applyBorder="1" applyAlignment="1">
      <alignment horizontal="center" vertical="center" wrapText="1"/>
    </xf>
    <xf numFmtId="0" fontId="86" fillId="14" borderId="146" xfId="0" applyFont="1" applyFill="1" applyBorder="1" applyAlignment="1">
      <alignment horizontal="center" vertical="center" wrapText="1"/>
    </xf>
    <xf numFmtId="0" fontId="86" fillId="12" borderId="180" xfId="0" applyFont="1" applyFill="1" applyBorder="1" applyAlignment="1">
      <alignment horizontal="center" vertical="center" wrapText="1"/>
    </xf>
    <xf numFmtId="0" fontId="86" fillId="12" borderId="181" xfId="0" applyFont="1" applyFill="1" applyBorder="1" applyAlignment="1">
      <alignment horizontal="center" vertical="center" wrapText="1"/>
    </xf>
    <xf numFmtId="0" fontId="86" fillId="12" borderId="182" xfId="0" applyFont="1" applyFill="1" applyBorder="1" applyAlignment="1">
      <alignment horizontal="center" vertical="center" wrapText="1"/>
    </xf>
    <xf numFmtId="0" fontId="0" fillId="44" borderId="0" xfId="0" applyFill="1" applyBorder="1" applyAlignment="1">
      <alignment horizontal="center" wrapText="1"/>
    </xf>
    <xf numFmtId="0" fontId="100" fillId="30" borderId="169" xfId="0" applyFont="1" applyFill="1" applyBorder="1" applyAlignment="1">
      <alignment horizontal="center" vertical="center" wrapText="1" readingOrder="1"/>
    </xf>
    <xf numFmtId="0" fontId="100" fillId="30" borderId="170" xfId="0" applyFont="1" applyFill="1" applyBorder="1" applyAlignment="1">
      <alignment horizontal="center" vertical="center" wrapText="1" readingOrder="1"/>
    </xf>
    <xf numFmtId="0" fontId="100" fillId="30" borderId="171" xfId="0" applyFont="1" applyFill="1" applyBorder="1" applyAlignment="1">
      <alignment horizontal="center" vertical="center" wrapText="1" readingOrder="1"/>
    </xf>
    <xf numFmtId="0" fontId="77" fillId="30" borderId="262" xfId="0" applyFont="1" applyFill="1" applyBorder="1" applyAlignment="1">
      <alignment horizontal="center" vertical="center" wrapText="1" readingOrder="1"/>
    </xf>
    <xf numFmtId="0" fontId="18" fillId="49" borderId="83" xfId="0" applyFont="1" applyFill="1" applyBorder="1" applyAlignment="1">
      <alignment horizontal="center" vertical="center" wrapText="1" readingOrder="1"/>
    </xf>
    <xf numFmtId="0" fontId="18" fillId="49" borderId="154" xfId="0" applyFont="1" applyFill="1" applyBorder="1" applyAlignment="1">
      <alignment horizontal="center" vertical="center" wrapText="1" readingOrder="1"/>
    </xf>
    <xf numFmtId="0" fontId="91" fillId="13" borderId="46" xfId="0" applyFont="1" applyFill="1" applyBorder="1" applyAlignment="1">
      <alignment horizontal="left" vertical="top" wrapText="1"/>
    </xf>
    <xf numFmtId="0" fontId="91" fillId="13" borderId="165" xfId="0" applyFont="1" applyFill="1" applyBorder="1" applyAlignment="1">
      <alignment horizontal="left" vertical="top" wrapText="1"/>
    </xf>
    <xf numFmtId="0" fontId="91" fillId="13" borderId="0" xfId="0" applyFont="1" applyFill="1" applyAlignment="1">
      <alignment horizontal="left" vertical="top" wrapText="1"/>
    </xf>
    <xf numFmtId="0" fontId="91" fillId="13" borderId="166" xfId="0" applyFont="1" applyFill="1" applyBorder="1" applyAlignment="1">
      <alignment horizontal="left" vertical="top" wrapText="1"/>
    </xf>
    <xf numFmtId="0" fontId="91" fillId="13" borderId="84" xfId="0" applyFont="1" applyFill="1" applyBorder="1" applyAlignment="1">
      <alignment horizontal="left" vertical="top" wrapText="1"/>
    </xf>
    <xf numFmtId="0" fontId="91" fillId="13" borderId="82" xfId="0" applyFont="1" applyFill="1" applyBorder="1" applyAlignment="1">
      <alignment horizontal="left" vertical="top" wrapText="1"/>
    </xf>
    <xf numFmtId="0" fontId="86" fillId="12" borderId="139" xfId="0" applyFont="1" applyFill="1" applyBorder="1" applyAlignment="1">
      <alignment horizontal="center" vertical="center" wrapText="1"/>
    </xf>
    <xf numFmtId="0" fontId="86" fillId="12" borderId="153" xfId="0" applyFont="1" applyFill="1" applyBorder="1" applyAlignment="1">
      <alignment horizontal="center" vertical="center" wrapText="1"/>
    </xf>
    <xf numFmtId="0" fontId="86" fillId="14" borderId="176" xfId="0" applyFont="1" applyFill="1" applyBorder="1" applyAlignment="1">
      <alignment horizontal="center" vertical="center" wrapText="1"/>
    </xf>
    <xf numFmtId="0" fontId="86" fillId="14" borderId="177" xfId="0" applyFont="1" applyFill="1" applyBorder="1" applyAlignment="1">
      <alignment horizontal="center" vertical="center" wrapText="1"/>
    </xf>
    <xf numFmtId="0" fontId="86" fillId="14" borderId="178" xfId="0" applyFont="1" applyFill="1" applyBorder="1" applyAlignment="1">
      <alignment horizontal="center" vertical="center" wrapText="1"/>
    </xf>
    <xf numFmtId="0" fontId="78" fillId="48" borderId="10" xfId="0" applyFont="1" applyFill="1" applyBorder="1" applyAlignment="1">
      <alignment horizontal="center" vertical="center" wrapText="1"/>
    </xf>
    <xf numFmtId="0" fontId="78" fillId="48" borderId="12" xfId="0" applyFont="1" applyFill="1" applyBorder="1" applyAlignment="1">
      <alignment horizontal="center" vertical="center" wrapText="1"/>
    </xf>
    <xf numFmtId="0" fontId="116" fillId="46" borderId="16" xfId="0" applyFont="1" applyFill="1" applyBorder="1" applyAlignment="1">
      <alignment horizontal="center" vertical="center" wrapText="1"/>
    </xf>
    <xf numFmtId="0" fontId="116" fillId="46" borderId="20" xfId="0" applyFont="1" applyFill="1" applyBorder="1" applyAlignment="1">
      <alignment horizontal="center" vertical="center" wrapText="1"/>
    </xf>
    <xf numFmtId="0" fontId="79" fillId="49" borderId="159" xfId="0" applyFont="1" applyFill="1" applyBorder="1" applyAlignment="1">
      <alignment horizontal="center" vertical="center" wrapText="1" readingOrder="1"/>
    </xf>
    <xf numFmtId="0" fontId="79" fillId="49" borderId="220" xfId="0" applyFont="1" applyFill="1" applyBorder="1" applyAlignment="1">
      <alignment horizontal="center" vertical="center" wrapText="1" readingOrder="1"/>
    </xf>
    <xf numFmtId="0" fontId="14" fillId="14" borderId="225" xfId="0" applyFont="1" applyFill="1" applyBorder="1" applyAlignment="1">
      <alignment horizontal="center" vertical="center" wrapText="1"/>
    </xf>
    <xf numFmtId="0" fontId="14" fillId="14" borderId="226" xfId="0" applyFont="1" applyFill="1" applyBorder="1" applyAlignment="1">
      <alignment horizontal="center" vertical="center" wrapText="1"/>
    </xf>
    <xf numFmtId="0" fontId="86" fillId="14" borderId="129" xfId="0" applyFont="1" applyFill="1" applyBorder="1" applyAlignment="1">
      <alignment horizontal="center" vertical="center" wrapText="1"/>
    </xf>
    <xf numFmtId="0" fontId="86" fillId="14" borderId="130" xfId="0" applyFont="1" applyFill="1" applyBorder="1" applyAlignment="1">
      <alignment horizontal="center" vertical="center" wrapText="1"/>
    </xf>
    <xf numFmtId="0" fontId="86" fillId="14" borderId="131" xfId="0" applyFont="1" applyFill="1" applyBorder="1" applyAlignment="1">
      <alignment horizontal="center" vertical="center" wrapText="1"/>
    </xf>
    <xf numFmtId="0" fontId="84" fillId="49" borderId="155" xfId="0" applyFont="1" applyFill="1" applyBorder="1" applyAlignment="1">
      <alignment horizontal="center" vertical="center" wrapText="1"/>
    </xf>
    <xf numFmtId="0" fontId="84" fillId="49" borderId="156" xfId="0" applyFont="1" applyFill="1" applyBorder="1" applyAlignment="1">
      <alignment horizontal="center" vertical="center" wrapText="1"/>
    </xf>
    <xf numFmtId="0" fontId="14" fillId="14" borderId="157" xfId="0" applyFont="1" applyFill="1" applyBorder="1" applyAlignment="1">
      <alignment horizontal="center" vertical="center" wrapText="1"/>
    </xf>
    <xf numFmtId="0" fontId="14" fillId="14" borderId="158" xfId="0" applyFont="1" applyFill="1" applyBorder="1" applyAlignment="1">
      <alignment horizontal="center" vertical="center" wrapText="1"/>
    </xf>
    <xf numFmtId="0" fontId="70" fillId="49" borderId="184" xfId="0" applyFont="1" applyFill="1" applyBorder="1" applyAlignment="1">
      <alignment horizontal="center" vertical="center" wrapText="1"/>
    </xf>
    <xf numFmtId="0" fontId="70" fillId="49" borderId="127" xfId="0" applyFont="1" applyFill="1" applyBorder="1" applyAlignment="1">
      <alignment horizontal="center" vertical="center" wrapText="1"/>
    </xf>
    <xf numFmtId="0" fontId="58" fillId="49" borderId="184" xfId="0" applyFont="1" applyFill="1" applyBorder="1" applyAlignment="1">
      <alignment horizontal="center" vertical="center" wrapText="1"/>
    </xf>
    <xf numFmtId="0" fontId="58" fillId="49" borderId="119" xfId="0" applyFont="1" applyFill="1" applyBorder="1" applyAlignment="1">
      <alignment horizontal="center" vertical="center" wrapText="1"/>
    </xf>
    <xf numFmtId="0" fontId="58" fillId="49" borderId="183"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58" fillId="49" borderId="127" xfId="0" applyFont="1" applyFill="1" applyBorder="1" applyAlignment="1">
      <alignment horizontal="center" vertical="center" wrapText="1"/>
    </xf>
    <xf numFmtId="0" fontId="58" fillId="49" borderId="128" xfId="0" applyFont="1" applyFill="1" applyBorder="1" applyAlignment="1">
      <alignment horizontal="center" vertical="center" wrapText="1"/>
    </xf>
    <xf numFmtId="0" fontId="73" fillId="14" borderId="214" xfId="0" applyFont="1" applyFill="1" applyBorder="1" applyAlignment="1">
      <alignment horizontal="center" wrapText="1"/>
    </xf>
    <xf numFmtId="0" fontId="29" fillId="30" borderId="215" xfId="0" applyFont="1" applyFill="1" applyBorder="1" applyAlignment="1">
      <alignment horizontal="center" wrapText="1"/>
    </xf>
    <xf numFmtId="0" fontId="29" fillId="30" borderId="214" xfId="0" applyFont="1" applyFill="1" applyBorder="1" applyAlignment="1">
      <alignment horizontal="center" wrapText="1"/>
    </xf>
    <xf numFmtId="0" fontId="72" fillId="48" borderId="3" xfId="0" applyFont="1" applyFill="1" applyBorder="1" applyAlignment="1">
      <alignment horizontal="center" vertical="center" wrapText="1"/>
    </xf>
    <xf numFmtId="0" fontId="72" fillId="48" borderId="54" xfId="0" applyFont="1" applyFill="1" applyBorder="1" applyAlignment="1">
      <alignment horizontal="center" vertical="center" wrapText="1"/>
    </xf>
    <xf numFmtId="0" fontId="72" fillId="48" borderId="49"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0" fillId="49" borderId="244" xfId="0" applyFont="1" applyFill="1" applyBorder="1" applyAlignment="1">
      <alignment horizontal="center" vertical="center" wrapText="1"/>
    </xf>
    <xf numFmtId="0" fontId="70" fillId="49" borderId="245" xfId="0" applyFont="1" applyFill="1" applyBorder="1" applyAlignment="1">
      <alignment horizontal="center" vertical="center" wrapText="1"/>
    </xf>
    <xf numFmtId="0" fontId="70" fillId="49" borderId="243" xfId="0" applyFont="1" applyFill="1" applyBorder="1" applyAlignment="1">
      <alignment horizontal="center" vertical="center" wrapText="1"/>
    </xf>
    <xf numFmtId="0" fontId="70" fillId="49" borderId="0" xfId="0" applyFont="1" applyFill="1" applyBorder="1" applyAlignment="1">
      <alignment horizontal="center" vertical="center" wrapText="1"/>
    </xf>
    <xf numFmtId="0" fontId="70" fillId="49" borderId="193" xfId="0" applyFont="1" applyFill="1" applyBorder="1" applyAlignment="1">
      <alignment horizontal="center" vertical="center" wrapText="1"/>
    </xf>
    <xf numFmtId="0" fontId="70" fillId="49" borderId="192" xfId="0" applyFont="1" applyFill="1" applyBorder="1" applyAlignment="1">
      <alignment horizontal="center" vertical="center" wrapText="1"/>
    </xf>
    <xf numFmtId="0" fontId="70" fillId="49" borderId="247" xfId="0" applyFont="1" applyFill="1" applyBorder="1" applyAlignment="1">
      <alignment horizontal="center" vertical="center" wrapText="1"/>
    </xf>
    <xf numFmtId="0" fontId="70" fillId="49" borderId="246" xfId="0" applyFont="1" applyFill="1" applyBorder="1" applyAlignment="1">
      <alignment horizontal="center" vertical="center" wrapText="1"/>
    </xf>
    <xf numFmtId="0" fontId="70" fillId="49" borderId="23" xfId="0" applyFont="1" applyFill="1" applyBorder="1" applyAlignment="1">
      <alignment horizontal="center" vertical="center" wrapText="1"/>
    </xf>
    <xf numFmtId="0" fontId="70" fillId="49" borderId="213" xfId="0" applyFont="1" applyFill="1" applyBorder="1" applyAlignment="1">
      <alignment horizontal="center" vertical="center" wrapText="1"/>
    </xf>
    <xf numFmtId="0" fontId="70" fillId="49" borderId="214" xfId="0" applyFont="1" applyFill="1" applyBorder="1" applyAlignment="1">
      <alignment horizontal="center" vertical="center" wrapText="1"/>
    </xf>
    <xf numFmtId="0" fontId="70" fillId="49" borderId="19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83" fillId="49" borderId="123" xfId="0" applyFont="1" applyFill="1" applyBorder="1" applyAlignment="1">
      <alignment horizontal="center" vertical="center" wrapText="1"/>
    </xf>
    <xf numFmtId="0" fontId="80" fillId="50" borderId="0" xfId="0" applyFont="1" applyFill="1" applyBorder="1" applyAlignment="1">
      <alignment horizontal="center" vertical="center" wrapText="1"/>
    </xf>
    <xf numFmtId="0" fontId="80" fillId="50" borderId="2" xfId="0" applyFont="1" applyFill="1" applyBorder="1" applyAlignment="1">
      <alignment horizontal="center" vertical="center" wrapText="1"/>
    </xf>
    <xf numFmtId="0" fontId="70" fillId="49" borderId="207" xfId="0" applyFont="1" applyFill="1" applyBorder="1" applyAlignment="1">
      <alignment horizontal="center" vertical="center" wrapText="1"/>
    </xf>
    <xf numFmtId="0" fontId="70" fillId="49" borderId="227" xfId="0" applyFont="1" applyFill="1" applyBorder="1" applyAlignment="1">
      <alignment horizontal="center" vertical="center" wrapText="1"/>
    </xf>
    <xf numFmtId="0" fontId="81" fillId="14" borderId="199" xfId="0" applyFont="1" applyFill="1" applyBorder="1" applyAlignment="1">
      <alignment horizontal="center" vertical="center"/>
    </xf>
    <xf numFmtId="0" fontId="81" fillId="14" borderId="200" xfId="0" applyFont="1" applyFill="1" applyBorder="1" applyAlignment="1">
      <alignment horizontal="center" vertical="center"/>
    </xf>
    <xf numFmtId="0" fontId="88" fillId="14" borderId="117" xfId="0" applyFont="1" applyFill="1" applyBorder="1" applyAlignment="1">
      <alignment horizontal="center" vertical="center" wrapText="1" readingOrder="1"/>
    </xf>
    <xf numFmtId="0" fontId="88" fillId="14" borderId="118" xfId="0" applyFont="1" applyFill="1" applyBorder="1" applyAlignment="1">
      <alignment horizontal="center" vertical="center" wrapText="1" readingOrder="1"/>
    </xf>
    <xf numFmtId="0" fontId="77" fillId="14" borderId="201" xfId="0" applyFont="1" applyFill="1" applyBorder="1" applyAlignment="1">
      <alignment horizontal="center" vertical="center" wrapText="1" readingOrder="1"/>
    </xf>
    <xf numFmtId="0" fontId="77" fillId="14" borderId="3" xfId="0" applyFont="1" applyFill="1" applyBorder="1" applyAlignment="1">
      <alignment horizontal="center" vertical="center" wrapText="1" readingOrder="1"/>
    </xf>
    <xf numFmtId="0" fontId="91" fillId="14" borderId="190" xfId="0" applyFont="1" applyFill="1" applyBorder="1" applyAlignment="1">
      <alignment horizontal="center" vertical="center" wrapText="1"/>
    </xf>
    <xf numFmtId="0" fontId="91" fillId="14" borderId="191" xfId="0" applyFont="1" applyFill="1" applyBorder="1" applyAlignment="1">
      <alignment horizontal="center" vertical="center" wrapText="1"/>
    </xf>
    <xf numFmtId="0" fontId="91" fillId="14" borderId="192" xfId="0" applyFont="1" applyFill="1" applyBorder="1" applyAlignment="1">
      <alignment horizontal="center" vertical="center" wrapText="1"/>
    </xf>
    <xf numFmtId="0" fontId="91" fillId="14" borderId="193" xfId="0" applyFont="1" applyFill="1" applyBorder="1" applyAlignment="1">
      <alignment horizontal="center" vertical="center" wrapText="1"/>
    </xf>
    <xf numFmtId="0" fontId="91" fillId="14" borderId="194" xfId="0" applyFont="1" applyFill="1" applyBorder="1" applyAlignment="1">
      <alignment horizontal="center" vertical="center" wrapText="1"/>
    </xf>
    <xf numFmtId="0" fontId="91" fillId="14" borderId="195" xfId="0" applyFont="1" applyFill="1" applyBorder="1" applyAlignment="1">
      <alignment horizontal="center" vertical="center" wrapText="1"/>
    </xf>
    <xf numFmtId="0" fontId="77" fillId="14" borderId="201" xfId="0" applyFont="1" applyFill="1" applyBorder="1" applyAlignment="1">
      <alignment horizontal="center" vertical="center" readingOrder="1"/>
    </xf>
    <xf numFmtId="0" fontId="77" fillId="14" borderId="3" xfId="0" applyFont="1" applyFill="1" applyBorder="1" applyAlignment="1">
      <alignment horizontal="center" vertical="center" readingOrder="1"/>
    </xf>
    <xf numFmtId="0" fontId="70" fillId="49" borderId="143" xfId="0" applyFont="1" applyFill="1" applyBorder="1" applyAlignment="1">
      <alignment horizontal="center" vertical="center" wrapText="1"/>
    </xf>
    <xf numFmtId="0" fontId="86" fillId="14" borderId="207" xfId="0" applyFont="1" applyFill="1" applyBorder="1" applyAlignment="1">
      <alignment horizontal="center" vertical="center" wrapText="1"/>
    </xf>
    <xf numFmtId="0" fontId="86" fillId="14" borderId="227" xfId="0" applyFont="1" applyFill="1" applyBorder="1" applyAlignment="1">
      <alignment horizontal="center" vertical="center" wrapText="1"/>
    </xf>
    <xf numFmtId="0" fontId="47" fillId="14" borderId="143" xfId="0" applyFont="1" applyFill="1" applyBorder="1" applyAlignment="1">
      <alignment horizontal="center" vertical="center" wrapText="1"/>
    </xf>
    <xf numFmtId="0" fontId="47" fillId="14" borderId="207" xfId="0" applyFont="1" applyFill="1" applyBorder="1" applyAlignment="1">
      <alignment horizontal="center" vertical="center" wrapText="1"/>
    </xf>
    <xf numFmtId="0" fontId="86" fillId="14" borderId="56" xfId="0" applyFont="1" applyFill="1" applyBorder="1" applyAlignment="1">
      <alignment horizontal="center" vertical="center" wrapText="1"/>
    </xf>
    <xf numFmtId="0" fontId="86" fillId="14" borderId="57" xfId="0" applyFont="1" applyFill="1" applyBorder="1" applyAlignment="1">
      <alignment horizontal="center" vertical="center" wrapText="1"/>
    </xf>
    <xf numFmtId="0" fontId="86" fillId="14" borderId="35" xfId="0" applyFont="1" applyFill="1" applyBorder="1" applyAlignment="1">
      <alignment horizontal="center" vertical="center" wrapText="1"/>
    </xf>
    <xf numFmtId="0" fontId="86" fillId="14" borderId="228" xfId="0" applyFont="1" applyFill="1" applyBorder="1" applyAlignment="1">
      <alignment horizontal="center" vertical="center" wrapText="1"/>
    </xf>
    <xf numFmtId="0" fontId="53" fillId="44" borderId="2" xfId="0" applyFont="1" applyFill="1" applyBorder="1" applyAlignment="1">
      <alignment horizontal="center" vertical="center" wrapText="1"/>
    </xf>
    <xf numFmtId="0" fontId="86" fillId="14" borderId="0" xfId="0" applyFont="1" applyFill="1" applyAlignment="1">
      <alignment horizontal="center" vertical="center" wrapText="1"/>
    </xf>
    <xf numFmtId="0" fontId="58" fillId="49" borderId="159" xfId="0" applyFont="1" applyFill="1" applyBorder="1" applyAlignment="1">
      <alignment horizontal="center" vertical="center" wrapText="1"/>
    </xf>
    <xf numFmtId="0" fontId="58" fillId="49" borderId="160" xfId="0" applyFont="1" applyFill="1" applyBorder="1" applyAlignment="1">
      <alignment horizontal="center" vertical="center" wrapText="1"/>
    </xf>
    <xf numFmtId="0" fontId="45" fillId="14" borderId="159" xfId="0" applyFont="1" applyFill="1" applyBorder="1" applyAlignment="1">
      <alignment horizontal="center" vertical="center" wrapText="1"/>
    </xf>
    <xf numFmtId="0" fontId="45" fillId="14" borderId="160" xfId="0" applyFont="1" applyFill="1" applyBorder="1" applyAlignment="1">
      <alignment horizontal="center" vertical="center" wrapText="1"/>
    </xf>
    <xf numFmtId="0" fontId="106" fillId="49" borderId="155" xfId="0" applyFont="1" applyFill="1" applyBorder="1" applyAlignment="1">
      <alignment horizontal="center" vertical="center" wrapText="1"/>
    </xf>
    <xf numFmtId="0" fontId="106" fillId="49" borderId="157" xfId="0" applyFont="1" applyFill="1" applyBorder="1" applyAlignment="1">
      <alignment horizontal="center" vertical="center" wrapText="1"/>
    </xf>
    <xf numFmtId="0" fontId="47" fillId="14" borderId="248" xfId="0" applyFont="1" applyFill="1" applyBorder="1" applyAlignment="1">
      <alignment horizontal="center" wrapText="1"/>
    </xf>
    <xf numFmtId="0" fontId="47" fillId="14" borderId="46" xfId="0" applyFont="1" applyFill="1" applyBorder="1" applyAlignment="1">
      <alignment horizontal="center" wrapText="1"/>
    </xf>
    <xf numFmtId="0" fontId="47" fillId="14" borderId="139" xfId="0" applyFont="1" applyFill="1" applyBorder="1" applyAlignment="1">
      <alignment horizontal="center" wrapText="1"/>
    </xf>
    <xf numFmtId="0" fontId="47" fillId="14" borderId="206" xfId="0" applyFont="1" applyFill="1" applyBorder="1" applyAlignment="1">
      <alignment horizontal="center" wrapText="1"/>
    </xf>
    <xf numFmtId="0" fontId="47" fillId="14" borderId="249" xfId="0" applyFont="1" applyFill="1" applyBorder="1" applyAlignment="1">
      <alignment horizontal="center" vertical="center" wrapText="1"/>
    </xf>
    <xf numFmtId="0" fontId="47" fillId="14" borderId="250" xfId="0" applyFont="1" applyFill="1" applyBorder="1" applyAlignment="1">
      <alignment horizontal="center" vertical="center" wrapText="1"/>
    </xf>
    <xf numFmtId="0" fontId="47" fillId="14" borderId="251" xfId="0" applyFont="1" applyFill="1" applyBorder="1" applyAlignment="1">
      <alignment horizontal="center" vertical="center" wrapText="1"/>
    </xf>
    <xf numFmtId="0" fontId="47" fillId="14" borderId="252" xfId="0" applyFont="1" applyFill="1" applyBorder="1" applyAlignment="1">
      <alignment horizontal="center" vertical="center" wrapText="1"/>
    </xf>
    <xf numFmtId="0" fontId="47" fillId="14" borderId="253" xfId="0" applyFont="1" applyFill="1" applyBorder="1" applyAlignment="1">
      <alignment horizontal="center" vertical="center" wrapText="1"/>
    </xf>
    <xf numFmtId="0" fontId="47" fillId="14" borderId="64" xfId="0" applyFont="1" applyFill="1" applyBorder="1" applyAlignment="1">
      <alignment horizontal="center" vertical="center" wrapText="1"/>
    </xf>
    <xf numFmtId="0" fontId="47" fillId="14" borderId="35" xfId="0" applyFont="1" applyFill="1" applyBorder="1" applyAlignment="1">
      <alignment horizontal="center" vertical="center" wrapText="1"/>
    </xf>
    <xf numFmtId="0" fontId="47" fillId="14" borderId="36" xfId="0" applyFont="1" applyFill="1" applyBorder="1" applyAlignment="1">
      <alignment horizontal="center" vertical="center" wrapText="1"/>
    </xf>
    <xf numFmtId="0" fontId="47" fillId="14" borderId="39" xfId="0" applyFont="1" applyFill="1" applyBorder="1" applyAlignment="1">
      <alignment horizontal="center" vertical="center" wrapText="1"/>
    </xf>
    <xf numFmtId="0" fontId="47" fillId="14" borderId="228" xfId="0" applyFont="1" applyFill="1" applyBorder="1" applyAlignment="1">
      <alignment horizontal="center" vertical="center" wrapText="1"/>
    </xf>
    <xf numFmtId="0" fontId="47" fillId="14" borderId="56" xfId="0" applyFont="1" applyFill="1" applyBorder="1" applyAlignment="1">
      <alignment horizontal="center" vertical="center" wrapText="1"/>
    </xf>
    <xf numFmtId="0" fontId="47" fillId="14" borderId="0" xfId="0" applyFont="1" applyFill="1" applyBorder="1" applyAlignment="1">
      <alignment horizontal="center" vertical="center" wrapText="1"/>
    </xf>
    <xf numFmtId="0" fontId="47" fillId="14" borderId="57" xfId="0" applyFont="1" applyFill="1" applyBorder="1" applyAlignment="1">
      <alignment horizontal="center" vertical="center" wrapText="1"/>
    </xf>
    <xf numFmtId="0" fontId="47" fillId="14" borderId="0" xfId="0" applyFont="1" applyFill="1" applyAlignment="1">
      <alignment horizontal="center" vertical="center" wrapText="1"/>
    </xf>
    <xf numFmtId="0" fontId="77" fillId="30" borderId="254" xfId="0" applyFont="1" applyFill="1" applyBorder="1" applyAlignment="1">
      <alignment horizontal="center" vertical="center" wrapText="1"/>
    </xf>
    <xf numFmtId="0" fontId="77" fillId="30" borderId="255" xfId="0" applyFont="1" applyFill="1" applyBorder="1" applyAlignment="1">
      <alignment horizontal="center" vertical="center" wrapText="1"/>
    </xf>
    <xf numFmtId="0" fontId="78" fillId="46" borderId="159" xfId="0" applyFont="1" applyFill="1" applyBorder="1" applyAlignment="1">
      <alignment horizontal="center" vertical="center" wrapText="1"/>
    </xf>
    <xf numFmtId="0" fontId="78" fillId="46" borderId="220" xfId="0" applyFont="1" applyFill="1" applyBorder="1" applyAlignment="1">
      <alignment horizontal="center" vertical="center" wrapText="1"/>
    </xf>
    <xf numFmtId="0" fontId="78" fillId="46" borderId="160" xfId="0" applyFont="1" applyFill="1" applyBorder="1" applyAlignment="1">
      <alignment horizontal="center" vertical="center" wrapText="1"/>
    </xf>
    <xf numFmtId="0" fontId="72" fillId="48" borderId="256" xfId="0" applyFont="1" applyFill="1" applyBorder="1" applyAlignment="1">
      <alignment horizontal="center" vertical="center" wrapText="1"/>
    </xf>
    <xf numFmtId="0" fontId="72" fillId="48" borderId="257" xfId="0" applyFont="1" applyFill="1" applyBorder="1" applyAlignment="1">
      <alignment horizontal="center" vertical="center" wrapText="1"/>
    </xf>
    <xf numFmtId="0" fontId="72" fillId="48" borderId="258" xfId="0" applyFont="1" applyFill="1" applyBorder="1" applyAlignment="1">
      <alignment horizontal="center" vertical="center" wrapText="1"/>
    </xf>
    <xf numFmtId="0" fontId="67" fillId="46" borderId="5" xfId="0" applyFont="1" applyFill="1" applyBorder="1" applyAlignment="1">
      <alignment horizontal="center" vertical="center" wrapText="1"/>
    </xf>
    <xf numFmtId="0" fontId="67" fillId="46" borderId="4" xfId="0" applyFont="1" applyFill="1" applyBorder="1" applyAlignment="1">
      <alignment horizontal="center" vertical="center" wrapText="1"/>
    </xf>
    <xf numFmtId="0" fontId="88" fillId="14" borderId="5" xfId="0" applyFont="1" applyFill="1" applyBorder="1" applyAlignment="1">
      <alignment horizontal="center" vertical="center" wrapText="1"/>
    </xf>
    <xf numFmtId="0" fontId="88" fillId="14" borderId="4" xfId="0" applyFont="1" applyFill="1" applyBorder="1" applyAlignment="1">
      <alignment horizontal="center" vertical="center" wrapText="1"/>
    </xf>
    <xf numFmtId="0" fontId="88" fillId="14" borderId="49" xfId="0" applyFont="1" applyFill="1" applyBorder="1" applyAlignment="1">
      <alignment horizontal="center" vertical="center" wrapText="1"/>
    </xf>
    <xf numFmtId="0" fontId="77" fillId="14" borderId="49" xfId="0" applyFont="1" applyFill="1" applyBorder="1" applyAlignment="1">
      <alignment horizontal="center" vertical="center" wrapText="1"/>
    </xf>
    <xf numFmtId="0" fontId="77" fillId="14" borderId="4" xfId="0" applyFont="1" applyFill="1" applyBorder="1" applyAlignment="1">
      <alignment horizontal="center" vertical="center" wrapText="1"/>
    </xf>
    <xf numFmtId="0" fontId="77" fillId="14" borderId="5" xfId="0" applyFont="1" applyFill="1" applyBorder="1" applyAlignment="1">
      <alignment horizontal="center" vertical="center" wrapText="1"/>
    </xf>
    <xf numFmtId="0" fontId="77" fillId="30" borderId="49" xfId="0" applyFont="1" applyFill="1" applyBorder="1" applyAlignment="1">
      <alignment horizontal="center" vertical="center" wrapText="1"/>
    </xf>
    <xf numFmtId="0" fontId="77" fillId="30" borderId="4" xfId="0" applyFont="1" applyFill="1" applyBorder="1" applyAlignment="1">
      <alignment horizontal="center" vertical="center" wrapText="1"/>
    </xf>
    <xf numFmtId="0" fontId="77" fillId="30" borderId="5" xfId="0" applyFont="1" applyFill="1" applyBorder="1" applyAlignment="1">
      <alignment horizontal="center" vertical="center" wrapText="1"/>
    </xf>
    <xf numFmtId="0" fontId="77" fillId="30" borderId="3" xfId="0" applyFont="1" applyFill="1" applyBorder="1" applyAlignment="1">
      <alignment horizontal="center" vertical="center" wrapText="1"/>
    </xf>
    <xf numFmtId="0" fontId="72" fillId="46" borderId="49" xfId="0" applyFont="1" applyFill="1" applyBorder="1" applyAlignment="1">
      <alignment horizontal="center" vertical="center" wrapText="1"/>
    </xf>
    <xf numFmtId="0" fontId="72" fillId="46" borderId="3" xfId="0" applyFont="1" applyFill="1" applyBorder="1" applyAlignment="1">
      <alignment horizontal="center" vertical="center" wrapText="1"/>
    </xf>
    <xf numFmtId="0" fontId="72" fillId="46" borderId="54"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7" fillId="14" borderId="16" xfId="0" applyFont="1" applyFill="1" applyBorder="1" applyAlignment="1">
      <alignment horizontal="center" vertical="center" wrapText="1"/>
    </xf>
    <xf numFmtId="0" fontId="7" fillId="14" borderId="17" xfId="0" applyFont="1" applyFill="1" applyBorder="1" applyAlignment="1">
      <alignment horizontal="center" vertical="center" wrapText="1"/>
    </xf>
    <xf numFmtId="0" fontId="7" fillId="14" borderId="20" xfId="0" applyFont="1" applyFill="1" applyBorder="1" applyAlignment="1">
      <alignment horizontal="center" vertical="center" wrapText="1"/>
    </xf>
    <xf numFmtId="0" fontId="80" fillId="49" borderId="68" xfId="0" applyFont="1" applyFill="1" applyBorder="1" applyAlignment="1">
      <alignment horizontal="center" vertical="center" wrapText="1"/>
    </xf>
    <xf numFmtId="0" fontId="80" fillId="49" borderId="11" xfId="0" applyFont="1" applyFill="1" applyBorder="1" applyAlignment="1">
      <alignment horizontal="center" vertical="center" wrapText="1"/>
    </xf>
    <xf numFmtId="0" fontId="72" fillId="48" borderId="60" xfId="0" applyFont="1" applyFill="1" applyBorder="1" applyAlignment="1">
      <alignment horizontal="center" vertical="center"/>
    </xf>
    <xf numFmtId="0" fontId="72" fillId="48" borderId="13" xfId="0" applyFont="1" applyFill="1" applyBorder="1" applyAlignment="1">
      <alignment horizontal="center" vertical="center"/>
    </xf>
    <xf numFmtId="0" fontId="72" fillId="48" borderId="13" xfId="0" applyFont="1" applyFill="1" applyBorder="1" applyAlignment="1">
      <alignment horizontal="center" vertical="center" wrapText="1"/>
    </xf>
    <xf numFmtId="0" fontId="72" fillId="48" borderId="14" xfId="0" applyFont="1" applyFill="1" applyBorder="1" applyAlignment="1">
      <alignment horizontal="center" vertical="center" wrapText="1"/>
    </xf>
    <xf numFmtId="0" fontId="72" fillId="10" borderId="50" xfId="0" applyFont="1" applyFill="1" applyBorder="1" applyAlignment="1">
      <alignment horizontal="center" vertical="center" wrapText="1"/>
    </xf>
    <xf numFmtId="0" fontId="72" fillId="10" borderId="2" xfId="0" applyFont="1" applyFill="1" applyBorder="1" applyAlignment="1">
      <alignment horizontal="center" vertical="center" wrapText="1"/>
    </xf>
    <xf numFmtId="0" fontId="72" fillId="10" borderId="47" xfId="0" applyFont="1" applyFill="1" applyBorder="1" applyAlignment="1">
      <alignment horizontal="center" vertical="center" wrapText="1"/>
    </xf>
    <xf numFmtId="0" fontId="72" fillId="10" borderId="8" xfId="0" applyFont="1" applyFill="1" applyBorder="1" applyAlignment="1">
      <alignment horizontal="center" vertical="center" wrapText="1"/>
    </xf>
    <xf numFmtId="0" fontId="72" fillId="10" borderId="0" xfId="0" applyFont="1" applyFill="1" applyAlignment="1">
      <alignment horizontal="center" vertical="center" wrapText="1"/>
    </xf>
    <xf numFmtId="0" fontId="72" fillId="10" borderId="9" xfId="0" applyFont="1" applyFill="1" applyBorder="1" applyAlignment="1">
      <alignment horizontal="center" vertical="center" wrapText="1"/>
    </xf>
    <xf numFmtId="0" fontId="72" fillId="13" borderId="8" xfId="0" applyFont="1" applyFill="1" applyBorder="1" applyAlignment="1">
      <alignment horizontal="center" vertical="center" wrapText="1"/>
    </xf>
    <xf numFmtId="0" fontId="72" fillId="13" borderId="0" xfId="0" applyFont="1" applyFill="1" applyAlignment="1">
      <alignment horizontal="center" vertical="center" wrapText="1"/>
    </xf>
    <xf numFmtId="0" fontId="72" fillId="13" borderId="9" xfId="0" applyFont="1" applyFill="1" applyBorder="1" applyAlignment="1">
      <alignment horizontal="center" vertical="center" wrapText="1"/>
    </xf>
    <xf numFmtId="0" fontId="34" fillId="13" borderId="16" xfId="0" applyFont="1" applyFill="1" applyBorder="1" applyAlignment="1">
      <alignment horizontal="center" vertical="center" wrapText="1"/>
    </xf>
    <xf numFmtId="0" fontId="34" fillId="13" borderId="17" xfId="0" applyFont="1" applyFill="1" applyBorder="1" applyAlignment="1">
      <alignment horizontal="center" vertical="center" wrapText="1"/>
    </xf>
    <xf numFmtId="0" fontId="34" fillId="13" borderId="20" xfId="0" applyFont="1" applyFill="1" applyBorder="1" applyAlignment="1">
      <alignment horizontal="center" vertical="center" wrapText="1"/>
    </xf>
    <xf numFmtId="0" fontId="7" fillId="14" borderId="21" xfId="0" applyFont="1" applyFill="1" applyBorder="1" applyAlignment="1">
      <alignment horizontal="center" wrapText="1"/>
    </xf>
    <xf numFmtId="0" fontId="16" fillId="0" borderId="21" xfId="0" applyFont="1" applyBorder="1" applyAlignment="1">
      <alignment horizontal="center" wrapText="1"/>
    </xf>
    <xf numFmtId="0" fontId="26" fillId="13" borderId="21" xfId="0" applyFont="1" applyFill="1" applyBorder="1" applyAlignment="1">
      <alignment horizontal="center" vertical="center"/>
    </xf>
    <xf numFmtId="0" fontId="105" fillId="15" borderId="21" xfId="0" applyFont="1" applyFill="1" applyBorder="1" applyAlignment="1">
      <alignment horizontal="center" vertical="center" wrapText="1" readingOrder="1"/>
    </xf>
    <xf numFmtId="0" fontId="7" fillId="14" borderId="21" xfId="0" applyFont="1" applyFill="1" applyBorder="1" applyAlignment="1">
      <alignment horizontal="center" vertical="center" wrapText="1"/>
    </xf>
    <xf numFmtId="0" fontId="31" fillId="0" borderId="21" xfId="0" applyFont="1" applyBorder="1" applyAlignment="1">
      <alignment vertical="center" wrapText="1"/>
    </xf>
    <xf numFmtId="0" fontId="31" fillId="0" borderId="21" xfId="0" applyFont="1" applyBorder="1" applyAlignment="1">
      <alignment horizontal="center" vertical="center" wrapText="1"/>
    </xf>
    <xf numFmtId="0" fontId="31" fillId="14" borderId="21" xfId="0" applyFont="1" applyFill="1" applyBorder="1" applyAlignment="1">
      <alignment horizontal="center" vertical="center" wrapText="1"/>
    </xf>
    <xf numFmtId="0" fontId="19" fillId="14" borderId="21" xfId="0" applyFont="1" applyFill="1" applyBorder="1" applyAlignment="1">
      <alignment horizontal="center" vertical="center" wrapText="1"/>
    </xf>
    <xf numFmtId="0" fontId="31" fillId="0" borderId="21" xfId="0" applyFont="1" applyFill="1" applyBorder="1" applyAlignment="1">
      <alignment vertical="center" wrapText="1"/>
    </xf>
    <xf numFmtId="0" fontId="31" fillId="14" borderId="21" xfId="0" applyFont="1" applyFill="1" applyBorder="1" applyAlignment="1">
      <alignment vertical="center" wrapText="1"/>
    </xf>
    <xf numFmtId="0" fontId="31" fillId="13" borderId="21" xfId="0" applyFont="1" applyFill="1" applyBorder="1" applyAlignment="1">
      <alignment vertical="center" wrapText="1"/>
    </xf>
    <xf numFmtId="0" fontId="7" fillId="0" borderId="21" xfId="0" applyFont="1" applyBorder="1" applyAlignment="1">
      <alignment horizontal="center" vertical="center" wrapText="1"/>
    </xf>
    <xf numFmtId="0" fontId="80" fillId="50" borderId="0" xfId="0" applyFont="1" applyFill="1" applyBorder="1" applyAlignment="1">
      <alignment horizontal="center" vertical="center" wrapText="1" readingOrder="1"/>
    </xf>
    <xf numFmtId="0" fontId="80" fillId="50" borderId="29" xfId="0" applyFont="1" applyFill="1" applyBorder="1" applyAlignment="1">
      <alignment horizontal="center" vertical="center" wrapText="1" readingOrder="1"/>
    </xf>
    <xf numFmtId="0" fontId="8" fillId="48" borderId="19" xfId="0" applyFont="1" applyFill="1" applyBorder="1" applyAlignment="1">
      <alignment horizontal="center" vertical="center" wrapText="1"/>
    </xf>
    <xf numFmtId="0" fontId="8" fillId="48" borderId="13" xfId="0" applyFont="1" applyFill="1" applyBorder="1" applyAlignment="1">
      <alignment horizontal="center" vertical="center" wrapText="1"/>
    </xf>
    <xf numFmtId="0" fontId="8" fillId="48" borderId="116" xfId="0" applyFont="1" applyFill="1" applyBorder="1" applyAlignment="1">
      <alignment horizontal="center" vertical="center" wrapText="1"/>
    </xf>
    <xf numFmtId="0" fontId="4" fillId="30" borderId="117" xfId="0" applyFont="1" applyFill="1" applyBorder="1" applyAlignment="1">
      <alignment horizontal="center" vertical="center" wrapText="1" readingOrder="1"/>
    </xf>
    <xf numFmtId="0" fontId="4" fillId="30" borderId="7" xfId="0" applyFont="1" applyFill="1" applyBorder="1" applyAlignment="1">
      <alignment horizontal="center" vertical="center" wrapText="1" readingOrder="1"/>
    </xf>
    <xf numFmtId="0" fontId="4" fillId="30" borderId="118" xfId="0" applyFont="1" applyFill="1" applyBorder="1" applyAlignment="1">
      <alignment horizontal="center" vertical="center" wrapText="1" readingOrder="1"/>
    </xf>
    <xf numFmtId="0" fontId="31" fillId="13" borderId="21" xfId="0" applyFont="1" applyFill="1" applyBorder="1" applyAlignment="1">
      <alignment horizontal="center" vertical="center" wrapText="1"/>
    </xf>
    <xf numFmtId="0" fontId="105" fillId="2" borderId="21" xfId="0" applyFont="1" applyFill="1" applyBorder="1" applyAlignment="1">
      <alignment horizontal="center" vertical="center" wrapText="1" readingOrder="1"/>
    </xf>
    <xf numFmtId="0" fontId="119" fillId="0" borderId="21" xfId="0" applyFont="1" applyBorder="1" applyAlignment="1">
      <alignment horizontal="center" vertical="center" wrapText="1"/>
    </xf>
    <xf numFmtId="0" fontId="8" fillId="30" borderId="19" xfId="0" applyFont="1" applyFill="1" applyBorder="1" applyAlignment="1">
      <alignment horizontal="center" wrapText="1"/>
    </xf>
    <xf numFmtId="0" fontId="8" fillId="30" borderId="13" xfId="0" applyFont="1" applyFill="1" applyBorder="1" applyAlignment="1">
      <alignment horizontal="center" wrapText="1"/>
    </xf>
    <xf numFmtId="0" fontId="8" fillId="30" borderId="14" xfId="0" applyFont="1" applyFill="1" applyBorder="1" applyAlignment="1">
      <alignment horizontal="center" wrapText="1"/>
    </xf>
    <xf numFmtId="0" fontId="104" fillId="0" borderId="21" xfId="0" applyFont="1" applyBorder="1" applyAlignment="1">
      <alignment horizontal="center" vertical="center" wrapText="1"/>
    </xf>
    <xf numFmtId="0" fontId="26" fillId="14" borderId="21" xfId="0" applyFont="1" applyFill="1" applyBorder="1" applyAlignment="1">
      <alignment horizontal="center" vertical="center" wrapText="1"/>
    </xf>
    <xf numFmtId="0" fontId="16" fillId="0" borderId="21" xfId="0" applyFont="1" applyBorder="1" applyAlignment="1">
      <alignment horizontal="center" vertical="center" wrapText="1"/>
    </xf>
    <xf numFmtId="0" fontId="42" fillId="14" borderId="87" xfId="0" applyFont="1" applyFill="1" applyBorder="1" applyAlignment="1">
      <alignment horizontal="center" vertical="center"/>
    </xf>
    <xf numFmtId="0" fontId="42" fillId="14" borderId="88" xfId="0" applyFont="1" applyFill="1" applyBorder="1" applyAlignment="1">
      <alignment horizontal="center" vertical="center"/>
    </xf>
    <xf numFmtId="0" fontId="42" fillId="14" borderId="80" xfId="0" applyFont="1" applyFill="1" applyBorder="1" applyAlignment="1">
      <alignment horizontal="center" vertical="center"/>
    </xf>
    <xf numFmtId="0" fontId="42" fillId="14" borderId="87" xfId="0" applyFont="1" applyFill="1" applyBorder="1" applyAlignment="1">
      <alignment horizontal="center" vertical="center" wrapText="1"/>
    </xf>
    <xf numFmtId="0" fontId="41" fillId="35" borderId="34" xfId="0" applyFont="1" applyFill="1" applyBorder="1" applyAlignment="1">
      <alignment horizontal="center" vertical="center" wrapText="1"/>
    </xf>
    <xf numFmtId="0" fontId="0" fillId="36" borderId="101" xfId="0" applyFill="1" applyBorder="1" applyAlignment="1">
      <alignment horizontal="center" vertical="center" wrapText="1"/>
    </xf>
    <xf numFmtId="0" fontId="0" fillId="36" borderId="107" xfId="0" applyFill="1" applyBorder="1" applyAlignment="1">
      <alignment horizontal="center" vertical="center" wrapText="1"/>
    </xf>
    <xf numFmtId="0" fontId="42" fillId="36" borderId="100" xfId="0" applyFont="1" applyFill="1" applyBorder="1" applyAlignment="1">
      <alignment horizontal="center" vertical="center" wrapText="1"/>
    </xf>
    <xf numFmtId="0" fontId="42" fillId="36" borderId="99" xfId="0" applyFont="1" applyFill="1" applyBorder="1" applyAlignment="1">
      <alignment horizontal="center" vertical="center" wrapText="1"/>
    </xf>
    <xf numFmtId="0" fontId="74" fillId="31" borderId="34" xfId="0" applyFont="1" applyFill="1" applyBorder="1" applyAlignment="1">
      <alignment horizontal="center" vertical="center" wrapText="1"/>
    </xf>
    <xf numFmtId="0" fontId="40" fillId="31" borderId="34" xfId="0" applyFont="1" applyFill="1" applyBorder="1" applyAlignment="1">
      <alignment horizontal="center" vertical="center" wrapText="1"/>
    </xf>
    <xf numFmtId="0" fontId="14" fillId="35" borderId="34" xfId="0" applyFont="1" applyFill="1" applyBorder="1" applyAlignment="1">
      <alignment horizontal="center" wrapText="1"/>
    </xf>
    <xf numFmtId="0" fontId="43" fillId="31" borderId="56" xfId="0" applyFont="1" applyFill="1" applyBorder="1" applyAlignment="1">
      <alignment horizontal="center" vertical="center" wrapText="1"/>
    </xf>
    <xf numFmtId="0" fontId="43" fillId="31" borderId="0" xfId="0" applyFont="1" applyFill="1" applyBorder="1" applyAlignment="1">
      <alignment horizontal="center" vertical="center" wrapText="1"/>
    </xf>
    <xf numFmtId="0" fontId="65" fillId="27" borderId="83" xfId="0" applyFont="1" applyFill="1" applyBorder="1" applyAlignment="1">
      <alignment horizontal="center" wrapText="1"/>
    </xf>
    <xf numFmtId="0" fontId="65" fillId="27" borderId="83" xfId="0" applyFont="1" applyFill="1" applyBorder="1" applyAlignment="1">
      <alignment horizontal="center"/>
    </xf>
    <xf numFmtId="0" fontId="65" fillId="27" borderId="0" xfId="0" applyFont="1" applyFill="1" applyAlignment="1">
      <alignment horizont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52" fillId="23" borderId="87" xfId="0" applyFont="1" applyFill="1" applyBorder="1" applyAlignment="1">
      <alignment horizontal="center" vertical="center" wrapText="1"/>
    </xf>
    <xf numFmtId="0" fontId="52" fillId="23" borderId="88" xfId="0" applyFont="1" applyFill="1" applyBorder="1" applyAlignment="1">
      <alignment horizontal="center" vertical="center" wrapText="1"/>
    </xf>
    <xf numFmtId="0" fontId="52" fillId="23" borderId="80" xfId="0" applyFont="1" applyFill="1" applyBorder="1" applyAlignment="1">
      <alignment horizontal="center" vertical="center" wrapText="1"/>
    </xf>
    <xf numFmtId="0" fontId="55" fillId="31" borderId="79" xfId="0" applyFont="1" applyFill="1" applyBorder="1" applyAlignment="1">
      <alignment horizontal="center" vertical="center" wrapText="1"/>
    </xf>
    <xf numFmtId="0" fontId="52" fillId="23" borderId="87" xfId="0" applyFont="1" applyFill="1" applyBorder="1" applyAlignment="1">
      <alignment horizontal="center" vertical="center"/>
    </xf>
    <xf numFmtId="0" fontId="52" fillId="23" borderId="88" xfId="0" applyFont="1" applyFill="1" applyBorder="1" applyAlignment="1">
      <alignment horizontal="center" vertical="center"/>
    </xf>
    <xf numFmtId="0" fontId="52" fillId="23" borderId="80" xfId="0" applyFont="1" applyFill="1" applyBorder="1" applyAlignment="1">
      <alignment horizontal="center" vertical="center"/>
    </xf>
    <xf numFmtId="0" fontId="67" fillId="20" borderId="79"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0" borderId="87" xfId="0" applyFont="1" applyFill="1" applyBorder="1" applyAlignment="1">
      <alignment horizontal="center" vertical="center"/>
    </xf>
    <xf numFmtId="0" fontId="52" fillId="20" borderId="88" xfId="0" applyFont="1" applyFill="1" applyBorder="1" applyAlignment="1">
      <alignment horizontal="center" vertical="center"/>
    </xf>
    <xf numFmtId="0" fontId="52" fillId="20" borderId="80" xfId="0" applyFont="1" applyFill="1" applyBorder="1" applyAlignment="1">
      <alignment horizontal="center" vertical="center"/>
    </xf>
    <xf numFmtId="0" fontId="55" fillId="31" borderId="98" xfId="0" applyFont="1" applyFill="1" applyBorder="1" applyAlignment="1">
      <alignment horizontal="center" vertical="center" wrapText="1"/>
    </xf>
    <xf numFmtId="0" fontId="55" fillId="31" borderId="81" xfId="0" applyFont="1" applyFill="1" applyBorder="1" applyAlignment="1">
      <alignment horizontal="center" vertical="center" wrapText="1"/>
    </xf>
    <xf numFmtId="0" fontId="56" fillId="36" borderId="85" xfId="0" applyFont="1" applyFill="1" applyBorder="1" applyAlignment="1">
      <alignment horizontal="center" vertical="center" wrapText="1"/>
    </xf>
    <xf numFmtId="0" fontId="74" fillId="37" borderId="0" xfId="0" applyFont="1" applyFill="1" applyAlignment="1">
      <alignment horizontal="center" vertical="center" wrapText="1"/>
    </xf>
    <xf numFmtId="0" fontId="40" fillId="37" borderId="0" xfId="0" applyFont="1" applyFill="1" applyAlignment="1">
      <alignment horizontal="center" vertical="center" wrapText="1"/>
    </xf>
    <xf numFmtId="0" fontId="40" fillId="37" borderId="86" xfId="0" applyFont="1" applyFill="1" applyBorder="1" applyAlignment="1">
      <alignment horizontal="center" vertical="center" wrapText="1"/>
    </xf>
    <xf numFmtId="0" fontId="56" fillId="35" borderId="79" xfId="0" applyFont="1" applyFill="1" applyBorder="1" applyAlignment="1">
      <alignment horizontal="center" vertical="center"/>
    </xf>
    <xf numFmtId="0" fontId="95" fillId="38" borderId="79" xfId="0" applyFont="1" applyFill="1" applyBorder="1" applyAlignment="1">
      <alignment horizontal="center" vertical="center" wrapText="1"/>
    </xf>
    <xf numFmtId="0" fontId="63" fillId="38" borderId="79" xfId="0" applyFont="1" applyFill="1" applyBorder="1" applyAlignment="1">
      <alignment horizontal="center" vertical="center" wrapText="1"/>
    </xf>
    <xf numFmtId="0" fontId="56" fillId="43" borderId="79" xfId="0" applyFont="1" applyFill="1" applyBorder="1" applyAlignment="1">
      <alignment horizontal="center" vertical="center" wrapText="1"/>
    </xf>
    <xf numFmtId="0" fontId="86" fillId="43" borderId="79" xfId="0" applyFont="1" applyFill="1" applyBorder="1" applyAlignment="1">
      <alignment horizontal="center" vertical="center" wrapText="1"/>
    </xf>
    <xf numFmtId="0" fontId="64" fillId="35" borderId="79" xfId="0" applyFont="1" applyFill="1" applyBorder="1" applyAlignment="1">
      <alignment horizontal="center" vertical="center" wrapText="1"/>
    </xf>
    <xf numFmtId="0" fontId="64" fillId="35" borderId="87" xfId="0" applyFont="1" applyFill="1" applyBorder="1" applyAlignment="1">
      <alignment horizontal="center" vertical="center" wrapText="1"/>
    </xf>
    <xf numFmtId="0" fontId="56" fillId="31" borderId="69" xfId="0" applyFont="1" applyFill="1" applyBorder="1" applyAlignment="1">
      <alignment horizontal="center" vertical="center" wrapText="1"/>
    </xf>
    <xf numFmtId="0" fontId="56" fillId="31" borderId="0" xfId="0" applyFont="1" applyFill="1" applyBorder="1" applyAlignment="1">
      <alignment horizontal="center" vertical="center" wrapText="1"/>
    </xf>
    <xf numFmtId="0" fontId="56" fillId="31" borderId="114" xfId="0" applyFont="1" applyFill="1" applyBorder="1" applyAlignment="1">
      <alignment horizontal="center" vertical="center" wrapText="1"/>
    </xf>
    <xf numFmtId="0" fontId="56" fillId="31" borderId="23" xfId="0" applyFont="1" applyFill="1" applyBorder="1" applyAlignment="1">
      <alignment horizontal="center" vertical="center" wrapText="1"/>
    </xf>
    <xf numFmtId="0" fontId="56" fillId="35" borderId="87" xfId="0" applyFont="1" applyFill="1" applyBorder="1" applyAlignment="1">
      <alignment horizontal="center" vertical="center"/>
    </xf>
    <xf numFmtId="0" fontId="52" fillId="35" borderId="79" xfId="0" applyFont="1" applyFill="1" applyBorder="1" applyAlignment="1">
      <alignment horizontal="center" vertical="center" wrapText="1"/>
    </xf>
    <xf numFmtId="0" fontId="52" fillId="35" borderId="87" xfId="0" applyFont="1" applyFill="1" applyBorder="1" applyAlignment="1">
      <alignment horizontal="center" vertical="center" wrapText="1"/>
    </xf>
    <xf numFmtId="0" fontId="61" fillId="22" borderId="90" xfId="0" applyFont="1" applyFill="1" applyBorder="1" applyAlignment="1">
      <alignment horizontal="center" vertical="center" wrapText="1"/>
    </xf>
    <xf numFmtId="0" fontId="61" fillId="22" borderId="91" xfId="0" applyFont="1" applyFill="1" applyBorder="1" applyAlignment="1">
      <alignment horizontal="center" vertical="center" wrapText="1"/>
    </xf>
    <xf numFmtId="0" fontId="61" fillId="22" borderId="92" xfId="0" applyFont="1" applyFill="1" applyBorder="1" applyAlignment="1">
      <alignment horizontal="center" vertical="center" wrapText="1"/>
    </xf>
    <xf numFmtId="0" fontId="61" fillId="22" borderId="93" xfId="0" applyFont="1" applyFill="1" applyBorder="1" applyAlignment="1">
      <alignment horizontal="center" vertical="center" wrapText="1"/>
    </xf>
    <xf numFmtId="0" fontId="61" fillId="22" borderId="79" xfId="0" applyFont="1" applyFill="1" applyBorder="1" applyAlignment="1">
      <alignment horizontal="center" vertical="center" wrapText="1"/>
    </xf>
    <xf numFmtId="0" fontId="61" fillId="22" borderId="94" xfId="0" applyFont="1" applyFill="1" applyBorder="1" applyAlignment="1">
      <alignment horizontal="center" vertical="center" wrapText="1"/>
    </xf>
    <xf numFmtId="0" fontId="61" fillId="22" borderId="95" xfId="0" applyFont="1" applyFill="1" applyBorder="1" applyAlignment="1">
      <alignment horizontal="center" vertical="center" wrapText="1"/>
    </xf>
    <xf numFmtId="0" fontId="61" fillId="22" borderId="96" xfId="0" applyFont="1" applyFill="1" applyBorder="1" applyAlignment="1">
      <alignment horizontal="center" vertical="center" wrapText="1"/>
    </xf>
    <xf numFmtId="0" fontId="61" fillId="22" borderId="97" xfId="0" applyFont="1" applyFill="1" applyBorder="1" applyAlignment="1">
      <alignment horizontal="center" vertical="center" wrapText="1"/>
    </xf>
    <xf numFmtId="0" fontId="0" fillId="43" borderId="34" xfId="0" applyFill="1" applyBorder="1" applyAlignment="1">
      <alignment horizontal="center" vertical="center" wrapText="1"/>
    </xf>
    <xf numFmtId="0" fontId="0" fillId="43" borderId="100" xfId="0" applyFill="1" applyBorder="1" applyAlignment="1">
      <alignment horizontal="center" vertical="center" wrapText="1"/>
    </xf>
    <xf numFmtId="0" fontId="42" fillId="43" borderId="34" xfId="0" applyFont="1" applyFill="1" applyBorder="1" applyAlignment="1">
      <alignment horizontal="center" vertical="center" wrapText="1"/>
    </xf>
    <xf numFmtId="0" fontId="42" fillId="43" borderId="100" xfId="0" applyFont="1" applyFill="1" applyBorder="1" applyAlignment="1">
      <alignment horizontal="center" vertical="center" wrapText="1"/>
    </xf>
    <xf numFmtId="0" fontId="14" fillId="35" borderId="81" xfId="0" applyFont="1" applyFill="1" applyBorder="1" applyAlignment="1">
      <alignment horizontal="center" wrapText="1"/>
    </xf>
    <xf numFmtId="0" fontId="14" fillId="35" borderId="89" xfId="0" applyFont="1" applyFill="1" applyBorder="1" applyAlignment="1">
      <alignment horizontal="center" wrapText="1"/>
    </xf>
    <xf numFmtId="0" fontId="14" fillId="35" borderId="79" xfId="0" applyFont="1" applyFill="1" applyBorder="1" applyAlignment="1">
      <alignment horizontal="center" wrapText="1"/>
    </xf>
    <xf numFmtId="0" fontId="14" fillId="35" borderId="87" xfId="0" applyFont="1" applyFill="1" applyBorder="1" applyAlignment="1">
      <alignment horizontal="center" wrapText="1"/>
    </xf>
    <xf numFmtId="0" fontId="43" fillId="31" borderId="34" xfId="0" applyFont="1" applyFill="1" applyBorder="1" applyAlignment="1">
      <alignment horizontal="center" vertical="center" wrapText="1"/>
    </xf>
    <xf numFmtId="0" fontId="0" fillId="0" borderId="46" xfId="0" applyBorder="1" applyAlignment="1">
      <alignment horizontal="center" vertical="center"/>
    </xf>
    <xf numFmtId="0" fontId="0" fillId="0" borderId="103" xfId="0" applyBorder="1" applyAlignment="1">
      <alignment horizontal="center" vertical="center"/>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21" borderId="34" xfId="0" applyFont="1" applyFill="1" applyBorder="1" applyAlignment="1">
      <alignment horizontal="center" vertical="center" wrapText="1"/>
    </xf>
    <xf numFmtId="0" fontId="65" fillId="39" borderId="34" xfId="0" applyFont="1" applyFill="1" applyBorder="1" applyAlignment="1">
      <alignment horizontal="center" vertical="center"/>
    </xf>
    <xf numFmtId="0" fontId="65" fillId="21" borderId="34" xfId="0" applyFont="1" applyFill="1" applyBorder="1" applyAlignment="1">
      <alignment horizontal="center" vertical="center"/>
    </xf>
    <xf numFmtId="0" fontId="52" fillId="35" borderId="34" xfId="0" applyFont="1" applyFill="1" applyBorder="1" applyAlignment="1">
      <alignment horizontal="center" vertical="center" wrapText="1"/>
    </xf>
    <xf numFmtId="0" fontId="52" fillId="35" borderId="35" xfId="0" applyFont="1" applyFill="1" applyBorder="1" applyAlignment="1">
      <alignment horizontal="center" vertical="center" wrapText="1"/>
    </xf>
    <xf numFmtId="0" fontId="40" fillId="29" borderId="34" xfId="0" applyFont="1" applyFill="1" applyBorder="1" applyAlignment="1">
      <alignment horizontal="center" vertical="center" wrapText="1"/>
    </xf>
    <xf numFmtId="0" fontId="43" fillId="31" borderId="100" xfId="0" applyFont="1" applyFill="1" applyBorder="1" applyAlignment="1">
      <alignment horizontal="center" vertical="center" wrapText="1"/>
    </xf>
    <xf numFmtId="0" fontId="14" fillId="35" borderId="100" xfId="0" applyFont="1" applyFill="1" applyBorder="1" applyAlignment="1">
      <alignment horizontal="center" wrapText="1"/>
    </xf>
    <xf numFmtId="0" fontId="14" fillId="35" borderId="70" xfId="0" applyFont="1" applyFill="1" applyBorder="1" applyAlignment="1">
      <alignment horizontal="center" wrapText="1"/>
    </xf>
    <xf numFmtId="0" fontId="62" fillId="17" borderId="115" xfId="0" applyFont="1" applyFill="1" applyBorder="1" applyAlignment="1">
      <alignment horizontal="center" vertical="center" wrapText="1"/>
    </xf>
    <xf numFmtId="0" fontId="62" fillId="17" borderId="264" xfId="0" applyFont="1" applyFill="1" applyBorder="1" applyAlignment="1">
      <alignment horizontal="center" vertical="center" wrapText="1"/>
    </xf>
    <xf numFmtId="0" fontId="62" fillId="17" borderId="265" xfId="0" applyFont="1" applyFill="1" applyBorder="1" applyAlignment="1">
      <alignment horizontal="center" vertical="center" wrapText="1"/>
    </xf>
    <xf numFmtId="0" fontId="62" fillId="17" borderId="266" xfId="0" applyFont="1" applyFill="1" applyBorder="1" applyAlignment="1">
      <alignment horizontal="center" vertical="center" wrapText="1"/>
    </xf>
    <xf numFmtId="0" fontId="62" fillId="17" borderId="106" xfId="0" applyFont="1" applyFill="1" applyBorder="1" applyAlignment="1">
      <alignment horizontal="center" vertical="center" wrapText="1"/>
    </xf>
    <xf numFmtId="0" fontId="62" fillId="17" borderId="85" xfId="0" applyFont="1" applyFill="1" applyBorder="1" applyAlignment="1">
      <alignment horizontal="center" wrapText="1"/>
    </xf>
    <xf numFmtId="0" fontId="55" fillId="17" borderId="0" xfId="0" applyFont="1" applyFill="1" applyAlignment="1">
      <alignment horizontal="center" vertical="center"/>
    </xf>
    <xf numFmtId="0" fontId="55" fillId="17" borderId="103" xfId="0" applyFont="1" applyFill="1" applyBorder="1" applyAlignment="1">
      <alignment horizontal="center" vertical="center"/>
    </xf>
    <xf numFmtId="0" fontId="62" fillId="17" borderId="102" xfId="0" applyFont="1" applyFill="1" applyBorder="1" applyAlignment="1">
      <alignment horizontal="center" vertical="center"/>
    </xf>
    <xf numFmtId="0" fontId="62" fillId="17" borderId="0" xfId="0" applyFont="1" applyFill="1" applyBorder="1" applyAlignment="1">
      <alignment horizontal="center" vertical="center"/>
    </xf>
    <xf numFmtId="0" fontId="62" fillId="17" borderId="263" xfId="0" applyFont="1" applyFill="1" applyBorder="1" applyAlignment="1">
      <alignment horizontal="center" vertical="center"/>
    </xf>
    <xf numFmtId="0" fontId="62" fillId="17" borderId="103" xfId="0" applyFont="1" applyFill="1" applyBorder="1" applyAlignment="1">
      <alignment horizontal="center" vertical="center"/>
    </xf>
    <xf numFmtId="0" fontId="52" fillId="31" borderId="36"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9" borderId="34" xfId="0" applyFont="1" applyFill="1" applyBorder="1" applyAlignment="1">
      <alignment horizontal="center" vertical="center"/>
    </xf>
    <xf numFmtId="0" fontId="56" fillId="21" borderId="34" xfId="0" applyFont="1" applyFill="1" applyBorder="1" applyAlignment="1">
      <alignment horizontal="center" vertical="center"/>
    </xf>
    <xf numFmtId="0" fontId="40" fillId="20" borderId="34" xfId="0" applyFont="1" applyFill="1" applyBorder="1" applyAlignment="1">
      <alignment horizontal="center" vertical="center" wrapText="1"/>
    </xf>
    <xf numFmtId="0" fontId="52" fillId="43" borderId="34" xfId="0" applyFont="1" applyFill="1" applyBorder="1" applyAlignment="1">
      <alignment horizontal="center" vertical="center" wrapText="1"/>
    </xf>
    <xf numFmtId="0" fontId="46" fillId="43" borderId="34" xfId="0" applyFont="1" applyFill="1" applyBorder="1" applyAlignment="1">
      <alignment horizontal="center" vertical="center" wrapText="1"/>
    </xf>
    <xf numFmtId="0" fontId="59" fillId="35" borderId="34" xfId="0" applyFont="1" applyFill="1" applyBorder="1" applyAlignment="1">
      <alignment horizontal="center" vertical="center" wrapText="1"/>
    </xf>
    <xf numFmtId="0" fontId="59" fillId="42" borderId="34" xfId="0" applyFont="1" applyFill="1" applyBorder="1" applyAlignment="1">
      <alignment horizontal="center" wrapText="1"/>
    </xf>
    <xf numFmtId="0" fontId="59" fillId="42" borderId="34" xfId="0" applyFont="1" applyFill="1" applyBorder="1" applyAlignment="1">
      <alignment horizontal="center"/>
    </xf>
    <xf numFmtId="0" fontId="62" fillId="31" borderId="102" xfId="0" applyFont="1" applyFill="1" applyBorder="1" applyAlignment="1">
      <alignment horizontal="center" vertical="center" wrapText="1"/>
    </xf>
    <xf numFmtId="0" fontId="62" fillId="31" borderId="104" xfId="0" applyFont="1" applyFill="1" applyBorder="1" applyAlignment="1">
      <alignment horizontal="center" vertical="center" wrapText="1"/>
    </xf>
    <xf numFmtId="0" fontId="62" fillId="31" borderId="0" xfId="0" applyFont="1" applyFill="1" applyBorder="1" applyAlignment="1">
      <alignment horizontal="center" vertical="center" wrapText="1"/>
    </xf>
    <xf numFmtId="0" fontId="62" fillId="31" borderId="84" xfId="0" applyFont="1" applyFill="1" applyBorder="1" applyAlignment="1">
      <alignment horizontal="center" vertical="center" wrapText="1"/>
    </xf>
    <xf numFmtId="0" fontId="62" fillId="39" borderId="0" xfId="0" applyFont="1" applyFill="1" applyAlignment="1">
      <alignment horizontal="center" vertical="center"/>
    </xf>
    <xf numFmtId="0" fontId="62" fillId="21" borderId="0" xfId="0" applyFont="1" applyFill="1" applyAlignment="1">
      <alignment horizontal="center" vertical="center"/>
    </xf>
    <xf numFmtId="0" fontId="62" fillId="21" borderId="84" xfId="0" applyFont="1" applyFill="1" applyBorder="1" applyAlignment="1">
      <alignment horizontal="center" vertical="center"/>
    </xf>
    <xf numFmtId="0" fontId="63" fillId="35" borderId="34" xfId="0" applyFont="1" applyFill="1" applyBorder="1" applyAlignment="1">
      <alignment horizontal="center" vertical="center" wrapText="1"/>
    </xf>
    <xf numFmtId="0" fontId="0" fillId="43" borderId="106" xfId="0" applyFill="1" applyBorder="1" applyAlignment="1">
      <alignment horizontal="center" vertical="center" wrapText="1"/>
    </xf>
    <xf numFmtId="0" fontId="42" fillId="43" borderId="85"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64" fillId="35" borderId="34" xfId="0" applyFont="1" applyFill="1" applyBorder="1" applyAlignment="1">
      <alignment horizontal="center" vertical="center" wrapText="1"/>
    </xf>
    <xf numFmtId="0" fontId="6" fillId="31" borderId="87" xfId="0" applyFont="1" applyFill="1" applyBorder="1" applyAlignment="1">
      <alignment horizontal="center" vertical="center" wrapText="1"/>
    </xf>
    <xf numFmtId="0" fontId="6" fillId="31" borderId="88"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63" fillId="23" borderId="34" xfId="0" applyFont="1" applyFill="1" applyBorder="1" applyAlignment="1">
      <alignment horizontal="center" vertical="center" wrapText="1"/>
    </xf>
    <xf numFmtId="0" fontId="60" fillId="14" borderId="34" xfId="0" applyFont="1" applyFill="1" applyBorder="1" applyAlignment="1">
      <alignment horizontal="center" vertical="center"/>
    </xf>
    <xf numFmtId="0" fontId="52" fillId="35" borderId="34" xfId="0" applyFont="1" applyFill="1" applyBorder="1" applyAlignment="1">
      <alignment vertical="center" wrapText="1"/>
    </xf>
    <xf numFmtId="0" fontId="40" fillId="26" borderId="111" xfId="0" applyFont="1" applyFill="1" applyBorder="1" applyAlignment="1">
      <alignment horizontal="center" vertical="center" wrapText="1"/>
    </xf>
    <xf numFmtId="0" fontId="40" fillId="26" borderId="112" xfId="0" applyFont="1" applyFill="1" applyBorder="1" applyAlignment="1">
      <alignment horizontal="center" vertical="center" wrapText="1"/>
    </xf>
    <xf numFmtId="0" fontId="40" fillId="26" borderId="113" xfId="0" applyFont="1" applyFill="1" applyBorder="1" applyAlignment="1">
      <alignment horizontal="center" vertical="center" wrapText="1"/>
    </xf>
    <xf numFmtId="0" fontId="0" fillId="43" borderId="108" xfId="0" applyFill="1" applyBorder="1" applyAlignment="1">
      <alignment horizontal="center" vertical="center" wrapText="1"/>
    </xf>
    <xf numFmtId="0" fontId="0" fillId="43" borderId="109" xfId="0" applyFill="1" applyBorder="1" applyAlignment="1">
      <alignment horizontal="center" vertical="center" wrapText="1"/>
    </xf>
    <xf numFmtId="0" fontId="42" fillId="43" borderId="71" xfId="0" applyFont="1" applyFill="1" applyBorder="1" applyAlignment="1">
      <alignment horizontal="center" vertical="center" wrapText="1"/>
    </xf>
    <xf numFmtId="0" fontId="42" fillId="43" borderId="110" xfId="0" applyFont="1" applyFill="1" applyBorder="1" applyAlignment="1">
      <alignment horizontal="center" vertical="center" wrapText="1"/>
    </xf>
    <xf numFmtId="0" fontId="14" fillId="35" borderId="111" xfId="0" applyFont="1" applyFill="1" applyBorder="1" applyAlignment="1">
      <alignment horizontal="center" vertical="center" wrapText="1"/>
    </xf>
    <xf numFmtId="0" fontId="14" fillId="35" borderId="112" xfId="0" applyFont="1" applyFill="1" applyBorder="1" applyAlignment="1">
      <alignment horizontal="center" vertical="center" wrapText="1"/>
    </xf>
    <xf numFmtId="0" fontId="14" fillId="35" borderId="113"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0" fillId="18" borderId="111" xfId="0" applyFont="1" applyFill="1" applyBorder="1" applyAlignment="1">
      <alignment horizontal="center" vertical="center" wrapText="1"/>
    </xf>
    <xf numFmtId="0" fontId="40" fillId="18" borderId="112" xfId="0" applyFont="1" applyFill="1" applyBorder="1" applyAlignment="1">
      <alignment horizontal="center" vertical="center" wrapText="1"/>
    </xf>
    <xf numFmtId="0" fontId="40" fillId="18" borderId="113" xfId="0" applyFont="1" applyFill="1" applyBorder="1" applyAlignment="1">
      <alignment horizontal="center" vertical="center" wrapText="1"/>
    </xf>
    <xf numFmtId="0" fontId="0" fillId="43" borderId="101" xfId="0" applyFill="1" applyBorder="1" applyAlignment="1">
      <alignment horizontal="center" vertical="center" wrapText="1"/>
    </xf>
    <xf numFmtId="0" fontId="0" fillId="43" borderId="107" xfId="0" applyFill="1" applyBorder="1" applyAlignment="1">
      <alignment horizontal="center" vertical="center" wrapText="1"/>
    </xf>
    <xf numFmtId="0" fontId="42" fillId="43" borderId="101" xfId="0" applyFont="1" applyFill="1" applyBorder="1" applyAlignment="1">
      <alignment horizontal="center" vertical="center" wrapText="1"/>
    </xf>
    <xf numFmtId="0" fontId="42" fillId="43" borderId="107"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56" fillId="35" borderId="34"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40" fillId="27" borderId="85" xfId="0" applyFont="1" applyFill="1" applyBorder="1" applyAlignment="1">
      <alignment horizontal="center" vertical="center" wrapText="1"/>
    </xf>
    <xf numFmtId="0" fontId="40" fillId="27" borderId="105" xfId="0" applyFont="1" applyFill="1" applyBorder="1" applyAlignment="1">
      <alignment horizontal="center" vertical="center" wrapText="1"/>
    </xf>
    <xf numFmtId="0" fontId="40" fillId="27" borderId="115" xfId="0" applyFont="1" applyFill="1" applyBorder="1" applyAlignment="1">
      <alignment horizontal="center" vertical="center" wrapText="1"/>
    </xf>
    <xf numFmtId="0" fontId="0" fillId="43" borderId="85" xfId="0" applyFill="1" applyBorder="1" applyAlignment="1">
      <alignment horizontal="center" vertical="center" wrapText="1"/>
    </xf>
    <xf numFmtId="0" fontId="0" fillId="43" borderId="105" xfId="0" applyFill="1" applyBorder="1" applyAlignment="1">
      <alignment horizontal="center" vertical="center" wrapText="1"/>
    </xf>
    <xf numFmtId="0" fontId="42" fillId="43" borderId="105" xfId="0" applyFont="1" applyFill="1" applyBorder="1" applyAlignment="1">
      <alignment horizontal="center" vertical="center" wrapText="1"/>
    </xf>
    <xf numFmtId="0" fontId="66" fillId="31" borderId="34" xfId="0" applyFont="1" applyFill="1" applyBorder="1" applyAlignment="1">
      <alignment horizontal="center" vertical="center" wrapText="1"/>
    </xf>
    <xf numFmtId="0" fontId="64" fillId="53" borderId="87" xfId="0" applyFont="1" applyFill="1" applyBorder="1" applyAlignment="1">
      <alignment horizontal="center" vertical="center"/>
    </xf>
    <xf numFmtId="0" fontId="64" fillId="53" borderId="88" xfId="0" applyFont="1" applyFill="1" applyBorder="1" applyAlignment="1">
      <alignment horizontal="center" vertical="center"/>
    </xf>
    <xf numFmtId="0" fontId="64" fillId="53" borderId="80" xfId="0" applyFont="1" applyFill="1" applyBorder="1" applyAlignment="1">
      <alignment horizontal="center" vertical="center"/>
    </xf>
    <xf numFmtId="0" fontId="86" fillId="30" borderId="87" xfId="0" applyFont="1" applyFill="1" applyBorder="1" applyAlignment="1">
      <alignment horizontal="center" vertical="center"/>
    </xf>
    <xf numFmtId="0" fontId="86" fillId="30" borderId="88" xfId="0" applyFont="1" applyFill="1" applyBorder="1" applyAlignment="1">
      <alignment horizontal="center" vertical="center"/>
    </xf>
    <xf numFmtId="0" fontId="86" fillId="30" borderId="80" xfId="0" applyFont="1" applyFill="1" applyBorder="1" applyAlignment="1">
      <alignment horizontal="center" vertical="center"/>
    </xf>
    <xf numFmtId="0" fontId="46" fillId="14" borderId="87" xfId="0" applyFont="1" applyFill="1" applyBorder="1" applyAlignment="1">
      <alignment horizontal="center" vertical="center" wrapText="1"/>
    </xf>
    <xf numFmtId="0" fontId="46" fillId="14" borderId="88" xfId="0" applyFont="1" applyFill="1" applyBorder="1" applyAlignment="1">
      <alignment horizontal="center" vertical="center" wrapText="1"/>
    </xf>
    <xf numFmtId="0" fontId="46" fillId="14" borderId="80" xfId="0" applyFont="1" applyFill="1" applyBorder="1" applyAlignment="1">
      <alignment horizontal="center" vertical="center" wrapText="1"/>
    </xf>
    <xf numFmtId="0" fontId="64" fillId="52" borderId="87" xfId="0" applyFont="1" applyFill="1" applyBorder="1" applyAlignment="1">
      <alignment horizontal="center" vertical="center"/>
    </xf>
    <xf numFmtId="0" fontId="64" fillId="52" borderId="88" xfId="0" applyFont="1" applyFill="1" applyBorder="1" applyAlignment="1">
      <alignment horizontal="center" vertical="center"/>
    </xf>
    <xf numFmtId="0" fontId="64" fillId="52" borderId="80" xfId="0" applyFont="1" applyFill="1" applyBorder="1" applyAlignment="1">
      <alignment horizontal="center" vertical="center"/>
    </xf>
    <xf numFmtId="0" fontId="64" fillId="37" borderId="87" xfId="0" applyFont="1" applyFill="1" applyBorder="1" applyAlignment="1">
      <alignment horizontal="center" vertical="center"/>
    </xf>
    <xf numFmtId="0" fontId="64" fillId="37" borderId="88" xfId="0" applyFont="1" applyFill="1" applyBorder="1" applyAlignment="1">
      <alignment horizontal="center" vertical="center"/>
    </xf>
    <xf numFmtId="0" fontId="86" fillId="30" borderId="89" xfId="0" applyFont="1" applyFill="1" applyBorder="1" applyAlignment="1">
      <alignment horizontal="center" vertical="center"/>
    </xf>
    <xf numFmtId="0" fontId="86" fillId="30" borderId="84" xfId="0" applyFont="1" applyFill="1" applyBorder="1" applyAlignment="1">
      <alignment horizontal="center" vertical="center"/>
    </xf>
    <xf numFmtId="0" fontId="64" fillId="26" borderId="260" xfId="0" applyFont="1" applyFill="1" applyBorder="1" applyAlignment="1">
      <alignment horizontal="center" vertical="center"/>
    </xf>
    <xf numFmtId="0" fontId="64" fillId="26" borderId="83" xfId="0" applyFont="1" applyFill="1" applyBorder="1" applyAlignment="1">
      <alignment horizontal="center" vertical="center"/>
    </xf>
    <xf numFmtId="0" fontId="64" fillId="26" borderId="154" xfId="0" applyFont="1" applyFill="1" applyBorder="1" applyAlignment="1">
      <alignment horizontal="center" vertical="center"/>
    </xf>
    <xf numFmtId="0" fontId="64" fillId="26" borderId="89" xfId="0" applyFont="1" applyFill="1" applyBorder="1" applyAlignment="1">
      <alignment horizontal="center" vertical="center"/>
    </xf>
    <xf numFmtId="0" fontId="64" fillId="26" borderId="84" xfId="0" applyFont="1" applyFill="1" applyBorder="1" applyAlignment="1">
      <alignment horizontal="center" vertical="center"/>
    </xf>
    <xf numFmtId="0" fontId="64" fillId="26" borderId="82" xfId="0" applyFont="1" applyFill="1" applyBorder="1" applyAlignment="1">
      <alignment horizontal="center" vertical="center"/>
    </xf>
    <xf numFmtId="0" fontId="64" fillId="30" borderId="87" xfId="0" applyFont="1" applyFill="1" applyBorder="1" applyAlignment="1">
      <alignment horizontal="center" vertical="center"/>
    </xf>
    <xf numFmtId="0" fontId="64" fillId="30" borderId="88" xfId="0" applyFont="1" applyFill="1" applyBorder="1" applyAlignment="1">
      <alignment horizontal="center" vertical="center"/>
    </xf>
    <xf numFmtId="0" fontId="64" fillId="30" borderId="80" xfId="0" applyFont="1" applyFill="1" applyBorder="1" applyAlignment="1">
      <alignment horizontal="center" vertical="center"/>
    </xf>
    <xf numFmtId="0" fontId="46" fillId="14" borderId="83" xfId="0" applyFont="1" applyFill="1" applyBorder="1" applyAlignment="1">
      <alignment horizontal="center" vertical="center" wrapText="1"/>
    </xf>
    <xf numFmtId="0" fontId="46" fillId="14" borderId="154" xfId="0" applyFont="1" applyFill="1" applyBorder="1" applyAlignment="1">
      <alignment horizontal="center" vertical="center" wrapText="1"/>
    </xf>
    <xf numFmtId="0" fontId="46" fillId="14" borderId="0" xfId="0" applyFont="1" applyFill="1" applyBorder="1" applyAlignment="1">
      <alignment horizontal="center" vertical="center" wrapText="1"/>
    </xf>
    <xf numFmtId="0" fontId="46" fillId="14" borderId="166" xfId="0" applyFont="1" applyFill="1" applyBorder="1" applyAlignment="1">
      <alignment horizontal="center" vertical="center" wrapText="1"/>
    </xf>
    <xf numFmtId="0" fontId="46" fillId="14" borderId="84" xfId="0" applyFont="1" applyFill="1" applyBorder="1" applyAlignment="1">
      <alignment horizontal="center" vertical="center" wrapText="1"/>
    </xf>
    <xf numFmtId="0" fontId="46" fillId="14" borderId="82" xfId="0" applyFont="1" applyFill="1" applyBorder="1" applyAlignment="1">
      <alignment horizontal="center" vertical="center" wrapText="1"/>
    </xf>
    <xf numFmtId="0" fontId="46" fillId="14" borderId="88" xfId="0" applyFont="1" applyFill="1" applyBorder="1" applyAlignment="1">
      <alignment horizontal="center" vertical="center"/>
    </xf>
    <xf numFmtId="0" fontId="46" fillId="14" borderId="80" xfId="0" applyFont="1" applyFill="1" applyBorder="1" applyAlignment="1">
      <alignment horizontal="center" vertical="center"/>
    </xf>
    <xf numFmtId="0" fontId="46" fillId="14" borderId="87" xfId="0" applyFont="1" applyFill="1" applyBorder="1" applyAlignment="1">
      <alignment horizontal="center" vertical="center"/>
    </xf>
    <xf numFmtId="0" fontId="45" fillId="14" borderId="87" xfId="0" applyFont="1" applyFill="1" applyBorder="1" applyAlignment="1">
      <alignment horizontal="center" vertical="center" wrapText="1"/>
    </xf>
    <xf numFmtId="0" fontId="45" fillId="14" borderId="88" xfId="0" applyFont="1" applyFill="1" applyBorder="1" applyAlignment="1">
      <alignment horizontal="center" vertical="center" wrapText="1"/>
    </xf>
    <xf numFmtId="0" fontId="45" fillId="14" borderId="80" xfId="0" applyFont="1" applyFill="1" applyBorder="1" applyAlignment="1">
      <alignment horizontal="center" vertical="center" wrapText="1"/>
    </xf>
  </cellXfs>
  <cellStyles count="3">
    <cellStyle name="Магия" xfId="1"/>
    <cellStyle name="Обычный" xfId="0" builtinId="0"/>
    <cellStyle name="Процентный" xfId="2" builtinId="5"/>
  </cellStyles>
  <dxfs count="32">
    <dxf>
      <fill>
        <patternFill>
          <bgColor theme="2"/>
        </patternFill>
      </fill>
      <border>
        <left style="thin">
          <color theme="1" tint="0.14996795556505021"/>
        </left>
        <right style="thin">
          <color theme="1" tint="0.14996795556505021"/>
        </right>
        <top style="thin">
          <color theme="1" tint="0.14996795556505021"/>
        </top>
        <vertical/>
        <horizontal/>
      </border>
    </dxf>
    <dxf>
      <font>
        <color theme="0" tint="-4.9989318521683403E-2"/>
      </font>
    </dxf>
    <dxf>
      <font>
        <color theme="0" tint="-4.9989318521683403E-2"/>
      </font>
    </dxf>
    <dxf>
      <font>
        <color theme="1" tint="0.14996795556505021"/>
      </font>
      <fill>
        <patternFill>
          <bgColor theme="2"/>
        </patternFill>
      </fill>
      <border>
        <left style="thin">
          <color auto="1"/>
        </left>
        <right style="thin">
          <color auto="1"/>
        </right>
        <top style="thin">
          <color auto="1"/>
        </top>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fgColor auto="1"/>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auto="1"/>
          <bgColor theme="2"/>
        </patternFill>
      </fill>
      <border>
        <left style="thin">
          <color auto="1"/>
        </left>
        <right style="thin">
          <color auto="1"/>
        </right>
        <top style="thin">
          <color auto="1"/>
        </top>
        <bottom style="thin">
          <color auto="1"/>
        </bottom>
        <vertical/>
        <horizontal/>
      </border>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s>
  <tableStyles count="0" defaultTableStyle="TableStyleMedium2" defaultPivotStyle="PivotStyleLight16"/>
  <colors>
    <mruColors>
      <color rgb="FFFF3300"/>
      <color rgb="FFFFCC66"/>
      <color rgb="FFC4B768"/>
      <color rgb="FFCE7878"/>
      <color rgb="FFD99795"/>
      <color rgb="FFE2A58A"/>
      <color rgb="FFB17ED8"/>
      <color rgb="FFD894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Spin" dx="22" fmlaLink="$O$22" max="30000" page="10" val="0"/>
</file>

<file path=xl/ctrlProps/ctrlProp32.xml><?xml version="1.0" encoding="utf-8"?>
<formControlPr xmlns="http://schemas.microsoft.com/office/spreadsheetml/2009/9/main" objectType="Spin" dx="22" fmlaLink="$O$23" max="30000" page="10" val="0"/>
</file>

<file path=xl/ctrlProps/ctrlProp33.xml><?xml version="1.0" encoding="utf-8"?>
<formControlPr xmlns="http://schemas.microsoft.com/office/spreadsheetml/2009/9/main" objectType="Spin" dx="22" fmlaLink="$O$24" max="30000" page="10" val="0"/>
</file>

<file path=xl/ctrlProps/ctrlProp34.xml><?xml version="1.0" encoding="utf-8"?>
<formControlPr xmlns="http://schemas.microsoft.com/office/spreadsheetml/2009/9/main" objectType="Spin" dx="22" fmlaLink="$O$25" max="30000" page="10" val="0"/>
</file>

<file path=xl/ctrlProps/ctrlProp35.xml><?xml version="1.0" encoding="utf-8"?>
<formControlPr xmlns="http://schemas.microsoft.com/office/spreadsheetml/2009/9/main" objectType="Spin" dx="22" fmlaLink="$O$26" max="30000" page="10" val="0"/>
</file>

<file path=xl/ctrlProps/ctrlProp36.xml><?xml version="1.0" encoding="utf-8"?>
<formControlPr xmlns="http://schemas.microsoft.com/office/spreadsheetml/2009/9/main" objectType="Spin" dx="22" fmlaLink="$O$27" max="30000" page="10" val="0"/>
</file>

<file path=xl/ctrlProps/ctrlProp37.xml><?xml version="1.0" encoding="utf-8"?>
<formControlPr xmlns="http://schemas.microsoft.com/office/spreadsheetml/2009/9/main" objectType="Spin" dx="22" fmlaLink="$O$28" max="30000" page="10" val="0"/>
</file>

<file path=xl/ctrlProps/ctrlProp38.xml><?xml version="1.0" encoding="utf-8"?>
<formControlPr xmlns="http://schemas.microsoft.com/office/spreadsheetml/2009/9/main" objectType="Spin" dx="22" fmlaLink="$O$29" max="30000" page="10" val="0"/>
</file>

<file path=xl/ctrlProps/ctrlProp39.xml><?xml version="1.0" encoding="utf-8"?>
<formControlPr xmlns="http://schemas.microsoft.com/office/spreadsheetml/2009/9/main" objectType="Spin" dx="22" fmlaLink="$O$30" max="30000" page="10" val="0"/>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Spin" dx="22" fmlaLink="$O$31" max="30000" page="10" val="0"/>
</file>

<file path=xl/ctrlProps/ctrlProp41.xml><?xml version="1.0" encoding="utf-8"?>
<formControlPr xmlns="http://schemas.microsoft.com/office/spreadsheetml/2009/9/main" objectType="Spin" dx="22" fmlaLink="$O$32" max="30000" page="10" val="0"/>
</file>

<file path=xl/ctrlProps/ctrlProp42.xml><?xml version="1.0" encoding="utf-8"?>
<formControlPr xmlns="http://schemas.microsoft.com/office/spreadsheetml/2009/9/main" objectType="Spin" dx="22" fmlaLink="$O$33" max="30000" page="10" val="0"/>
</file>

<file path=xl/ctrlProps/ctrlProp43.xml><?xml version="1.0" encoding="utf-8"?>
<formControlPr xmlns="http://schemas.microsoft.com/office/spreadsheetml/2009/9/main" objectType="Spin" dx="22" fmlaLink="$O$34" max="30000" page="10" val="0"/>
</file>

<file path=xl/ctrlProps/ctrlProp44.xml><?xml version="1.0" encoding="utf-8"?>
<formControlPr xmlns="http://schemas.microsoft.com/office/spreadsheetml/2009/9/main" objectType="Spin" dx="22" fmlaLink="$O$35" max="30000" page="10" val="0"/>
</file>

<file path=xl/ctrlProps/ctrlProp45.xml><?xml version="1.0" encoding="utf-8"?>
<formControlPr xmlns="http://schemas.microsoft.com/office/spreadsheetml/2009/9/main" objectType="Spin" dx="22" fmlaLink="$O$37" max="30000" page="10" val="0"/>
</file>

<file path=xl/ctrlProps/ctrlProp46.xml><?xml version="1.0" encoding="utf-8"?>
<formControlPr xmlns="http://schemas.microsoft.com/office/spreadsheetml/2009/9/main" objectType="Spin" dx="22" fmlaLink="$O$38" max="30000" page="10" val="0"/>
</file>

<file path=xl/ctrlProps/ctrlProp47.xml><?xml version="1.0" encoding="utf-8"?>
<formControlPr xmlns="http://schemas.microsoft.com/office/spreadsheetml/2009/9/main" objectType="Spin" dx="22" fmlaLink="$O$39" max="30000" page="10" val="0"/>
</file>

<file path=xl/ctrlProps/ctrlProp48.xml><?xml version="1.0" encoding="utf-8"?>
<formControlPr xmlns="http://schemas.microsoft.com/office/spreadsheetml/2009/9/main" objectType="Spin" dx="22" fmlaLink="$O$40" max="30000" page="10" val="0"/>
</file>

<file path=xl/ctrlProps/ctrlProp49.xml><?xml version="1.0" encoding="utf-8"?>
<formControlPr xmlns="http://schemas.microsoft.com/office/spreadsheetml/2009/9/main" objectType="Spin" dx="22" fmlaLink="$O$41" max="30000" page="10" val="0"/>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Spin" dx="22" fmlaLink="$O$42" max="30000" page="10" val="0"/>
</file>

<file path=xl/ctrlProps/ctrlProp51.xml><?xml version="1.0" encoding="utf-8"?>
<formControlPr xmlns="http://schemas.microsoft.com/office/spreadsheetml/2009/9/main" objectType="Spin" dx="22" fmlaLink="$O$43" max="30000" page="10" val="0"/>
</file>

<file path=xl/ctrlProps/ctrlProp52.xml><?xml version="1.0" encoding="utf-8"?>
<formControlPr xmlns="http://schemas.microsoft.com/office/spreadsheetml/2009/9/main" objectType="Spin" dx="22" fmlaLink="$O$44" max="30000" page="10" val="0"/>
</file>

<file path=xl/ctrlProps/ctrlProp53.xml><?xml version="1.0" encoding="utf-8"?>
<formControlPr xmlns="http://schemas.microsoft.com/office/spreadsheetml/2009/9/main" objectType="Spin" dx="22" fmlaLink="$O$45" max="30000" page="10" val="0"/>
</file>

<file path=xl/ctrlProps/ctrlProp54.xml><?xml version="1.0" encoding="utf-8"?>
<formControlPr xmlns="http://schemas.microsoft.com/office/spreadsheetml/2009/9/main" objectType="Spin" dx="22" fmlaLink="$O$46" max="30000" page="10" val="0"/>
</file>

<file path=xl/ctrlProps/ctrlProp55.xml><?xml version="1.0" encoding="utf-8"?>
<formControlPr xmlns="http://schemas.microsoft.com/office/spreadsheetml/2009/9/main" objectType="Spin" dx="22" fmlaLink="$O$47" max="30000" page="10" val="0"/>
</file>

<file path=xl/ctrlProps/ctrlProp56.xml><?xml version="1.0" encoding="utf-8"?>
<formControlPr xmlns="http://schemas.microsoft.com/office/spreadsheetml/2009/9/main" objectType="Spin" dx="22" fmlaLink="$O$48" max="30000" page="10" val="0"/>
</file>

<file path=xl/ctrlProps/ctrlProp57.xml><?xml version="1.0" encoding="utf-8"?>
<formControlPr xmlns="http://schemas.microsoft.com/office/spreadsheetml/2009/9/main" objectType="Spin" dx="22" fmlaLink="$O$49" max="30000" page="10" val="0"/>
</file>

<file path=xl/ctrlProps/ctrlProp58.xml><?xml version="1.0" encoding="utf-8"?>
<formControlPr xmlns="http://schemas.microsoft.com/office/spreadsheetml/2009/9/main" objectType="Spin" dx="22" fmlaLink="$O$50" max="30000" page="10" val="0"/>
</file>

<file path=xl/ctrlProps/ctrlProp59.xml><?xml version="1.0" encoding="utf-8"?>
<formControlPr xmlns="http://schemas.microsoft.com/office/spreadsheetml/2009/9/main" objectType="Spin" dx="22" fmlaLink="$O$51" max="30000" page="10" val="0"/>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Spin" dx="22" fmlaLink="$O$52" max="30000" page="10" val="0"/>
</file>

<file path=xl/ctrlProps/ctrlProp61.xml><?xml version="1.0" encoding="utf-8"?>
<formControlPr xmlns="http://schemas.microsoft.com/office/spreadsheetml/2009/9/main" objectType="Spin" dx="22" fmlaLink="$O$53" max="30000" page="10" val="0"/>
</file>

<file path=xl/ctrlProps/ctrlProp62.xml><?xml version="1.0" encoding="utf-8"?>
<formControlPr xmlns="http://schemas.microsoft.com/office/spreadsheetml/2009/9/main" objectType="Spin" dx="22" fmlaLink="$O$54" max="30000" page="10" val="0"/>
</file>

<file path=xl/ctrlProps/ctrlProp63.xml><?xml version="1.0" encoding="utf-8"?>
<formControlPr xmlns="http://schemas.microsoft.com/office/spreadsheetml/2009/9/main" objectType="Spin" dx="22" fmlaLink="$O$55" max="30000" page="10" val="0"/>
</file>

<file path=xl/ctrlProps/ctrlProp64.xml><?xml version="1.0" encoding="utf-8"?>
<formControlPr xmlns="http://schemas.microsoft.com/office/spreadsheetml/2009/9/main" objectType="Spin" dx="22" fmlaLink="$O$56" max="30000" page="10" val="0"/>
</file>

<file path=xl/ctrlProps/ctrlProp65.xml><?xml version="1.0" encoding="utf-8"?>
<formControlPr xmlns="http://schemas.microsoft.com/office/spreadsheetml/2009/9/main" objectType="Spin" dx="22" fmlaLink="$O$57" max="30000" page="10" val="0"/>
</file>

<file path=xl/ctrlProps/ctrlProp66.xml><?xml version="1.0" encoding="utf-8"?>
<formControlPr xmlns="http://schemas.microsoft.com/office/spreadsheetml/2009/9/main" objectType="Spin" dx="22" fmlaLink="$O$58" max="30000" page="10" val="0"/>
</file>

<file path=xl/ctrlProps/ctrlProp67.xml><?xml version="1.0" encoding="utf-8"?>
<formControlPr xmlns="http://schemas.microsoft.com/office/spreadsheetml/2009/9/main" objectType="Spin" dx="22" fmlaLink="$O$59" max="30000" page="10" val="0"/>
</file>

<file path=xl/ctrlProps/ctrlProp68.xml><?xml version="1.0" encoding="utf-8"?>
<formControlPr xmlns="http://schemas.microsoft.com/office/spreadsheetml/2009/9/main" objectType="Spin" dx="22" fmlaLink="$O$60" max="30000" page="10" val="0"/>
</file>

<file path=xl/ctrlProps/ctrlProp69.xml><?xml version="1.0" encoding="utf-8"?>
<formControlPr xmlns="http://schemas.microsoft.com/office/spreadsheetml/2009/9/main" objectType="Spin" dx="22" fmlaLink="$O$61" max="30000" page="10" val="0"/>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Spin" dx="22" fmlaLink="$O$62" max="30000" page="10" val="0"/>
</file>

<file path=xl/ctrlProps/ctrlProp71.xml><?xml version="1.0" encoding="utf-8"?>
<formControlPr xmlns="http://schemas.microsoft.com/office/spreadsheetml/2009/9/main" objectType="Spin" dx="22" fmlaLink="$O$63" max="30000" page="10" val="0"/>
</file>

<file path=xl/ctrlProps/ctrlProp72.xml><?xml version="1.0" encoding="utf-8"?>
<formControlPr xmlns="http://schemas.microsoft.com/office/spreadsheetml/2009/9/main" objectType="Spin" dx="22" fmlaLink="$O$64" max="30000" page="10" val="0"/>
</file>

<file path=xl/ctrlProps/ctrlProp73.xml><?xml version="1.0" encoding="utf-8"?>
<formControlPr xmlns="http://schemas.microsoft.com/office/spreadsheetml/2009/9/main" objectType="Spin" dx="22" fmlaLink="$O$65" max="30000" page="10" val="0"/>
</file>

<file path=xl/ctrlProps/ctrlProp74.xml><?xml version="1.0" encoding="utf-8"?>
<formControlPr xmlns="http://schemas.microsoft.com/office/spreadsheetml/2009/9/main" objectType="Spin" dx="22" fmlaLink="$D$14" max="30000" page="10" val="13"/>
</file>

<file path=xl/ctrlProps/ctrlProp75.xml><?xml version="1.0" encoding="utf-8"?>
<formControlPr xmlns="http://schemas.microsoft.com/office/spreadsheetml/2009/9/main" objectType="Spin" dx="22" fmlaLink="$D$13" max="30000" page="10" val="12"/>
</file>

<file path=xl/ctrlProps/ctrlProp76.xml><?xml version="1.0" encoding="utf-8"?>
<formControlPr xmlns="http://schemas.microsoft.com/office/spreadsheetml/2009/9/main" objectType="Spin" dx="22" fmlaLink="$D$12" max="30000" page="10" val="15"/>
</file>

<file path=xl/ctrlProps/ctrlProp77.xml><?xml version="1.0" encoding="utf-8"?>
<formControlPr xmlns="http://schemas.microsoft.com/office/spreadsheetml/2009/9/main" objectType="Spin" dx="22" fmlaLink="$D$15" max="30000" page="10" val="9"/>
</file>

<file path=xl/ctrlProps/ctrlProp78.xml><?xml version="1.0" encoding="utf-8"?>
<formControlPr xmlns="http://schemas.microsoft.com/office/spreadsheetml/2009/9/main" objectType="Spin" dx="22" fmlaLink="$D$16" max="30000" page="10" val="8"/>
</file>

<file path=xl/ctrlProps/ctrlProp79.xml><?xml version="1.0" encoding="utf-8"?>
<formControlPr xmlns="http://schemas.microsoft.com/office/spreadsheetml/2009/9/main" objectType="Spin" dx="22" fmlaLink="$D$17" max="30000" page="10" val="12"/>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Spin" dx="22" fmlaLink="$O$36" max="30000" page="10" val="0"/>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21</xdr:col>
      <xdr:colOff>19673</xdr:colOff>
      <xdr:row>1</xdr:row>
      <xdr:rowOff>190500</xdr:rowOff>
    </xdr:from>
    <xdr:to>
      <xdr:col>26</xdr:col>
      <xdr:colOff>919845</xdr:colOff>
      <xdr:row>5</xdr:row>
      <xdr:rowOff>273843</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 xmlns:a1611="http://schemas.microsoft.com/office/drawing/2016/11/main" r:id="rId2"/>
            </a:ext>
          </a:extLst>
        </a:blip>
        <a:stretch>
          <a:fillRect/>
        </a:stretch>
      </xdr:blipFill>
      <xdr:spPr>
        <a:xfrm>
          <a:off x="22784423" y="500063"/>
          <a:ext cx="5960328" cy="167878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20</xdr:col>
          <xdr:colOff>533400</xdr:colOff>
          <xdr:row>83</xdr:row>
          <xdr:rowOff>314325</xdr:rowOff>
        </xdr:from>
        <xdr:to>
          <xdr:col>20</xdr:col>
          <xdr:colOff>800100</xdr:colOff>
          <xdr:row>85</xdr:row>
          <xdr:rowOff>85725</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0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83</xdr:row>
          <xdr:rowOff>314325</xdr:rowOff>
        </xdr:from>
        <xdr:to>
          <xdr:col>20</xdr:col>
          <xdr:colOff>1371600</xdr:colOff>
          <xdr:row>85</xdr:row>
          <xdr:rowOff>85725</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0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83</xdr:row>
          <xdr:rowOff>314325</xdr:rowOff>
        </xdr:from>
        <xdr:to>
          <xdr:col>20</xdr:col>
          <xdr:colOff>990600</xdr:colOff>
          <xdr:row>85</xdr:row>
          <xdr:rowOff>85725</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0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914400</xdr:colOff>
          <xdr:row>83</xdr:row>
          <xdr:rowOff>314325</xdr:rowOff>
        </xdr:from>
        <xdr:to>
          <xdr:col>20</xdr:col>
          <xdr:colOff>1181100</xdr:colOff>
          <xdr:row>85</xdr:row>
          <xdr:rowOff>85725</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1285875</xdr:colOff>
          <xdr:row>83</xdr:row>
          <xdr:rowOff>314325</xdr:rowOff>
        </xdr:from>
        <xdr:to>
          <xdr:col>21</xdr:col>
          <xdr:colOff>28575</xdr:colOff>
          <xdr:row>85</xdr:row>
          <xdr:rowOff>85725</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0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83</xdr:row>
          <xdr:rowOff>314325</xdr:rowOff>
        </xdr:from>
        <xdr:to>
          <xdr:col>21</xdr:col>
          <xdr:colOff>314325</xdr:colOff>
          <xdr:row>85</xdr:row>
          <xdr:rowOff>85725</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0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83</xdr:row>
          <xdr:rowOff>314325</xdr:rowOff>
        </xdr:from>
        <xdr:to>
          <xdr:col>21</xdr:col>
          <xdr:colOff>866775</xdr:colOff>
          <xdr:row>85</xdr:row>
          <xdr:rowOff>85725</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0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83</xdr:row>
          <xdr:rowOff>314325</xdr:rowOff>
        </xdr:from>
        <xdr:to>
          <xdr:col>21</xdr:col>
          <xdr:colOff>504825</xdr:colOff>
          <xdr:row>85</xdr:row>
          <xdr:rowOff>85725</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0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83</xdr:row>
          <xdr:rowOff>314325</xdr:rowOff>
        </xdr:from>
        <xdr:to>
          <xdr:col>21</xdr:col>
          <xdr:colOff>695325</xdr:colOff>
          <xdr:row>85</xdr:row>
          <xdr:rowOff>85725</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0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83</xdr:row>
          <xdr:rowOff>314325</xdr:rowOff>
        </xdr:from>
        <xdr:to>
          <xdr:col>22</xdr:col>
          <xdr:colOff>314325</xdr:colOff>
          <xdr:row>85</xdr:row>
          <xdr:rowOff>85725</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83</xdr:row>
          <xdr:rowOff>314325</xdr:rowOff>
        </xdr:from>
        <xdr:to>
          <xdr:col>22</xdr:col>
          <xdr:colOff>885825</xdr:colOff>
          <xdr:row>85</xdr:row>
          <xdr:rowOff>85725</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83</xdr:row>
          <xdr:rowOff>314325</xdr:rowOff>
        </xdr:from>
        <xdr:to>
          <xdr:col>22</xdr:col>
          <xdr:colOff>504825</xdr:colOff>
          <xdr:row>85</xdr:row>
          <xdr:rowOff>85725</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83</xdr:row>
          <xdr:rowOff>314325</xdr:rowOff>
        </xdr:from>
        <xdr:to>
          <xdr:col>22</xdr:col>
          <xdr:colOff>695325</xdr:colOff>
          <xdr:row>85</xdr:row>
          <xdr:rowOff>85725</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0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83</xdr:row>
          <xdr:rowOff>314325</xdr:rowOff>
        </xdr:from>
        <xdr:to>
          <xdr:col>23</xdr:col>
          <xdr:colOff>314325</xdr:colOff>
          <xdr:row>85</xdr:row>
          <xdr:rowOff>85725</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83</xdr:row>
          <xdr:rowOff>314325</xdr:rowOff>
        </xdr:from>
        <xdr:to>
          <xdr:col>23</xdr:col>
          <xdr:colOff>885825</xdr:colOff>
          <xdr:row>85</xdr:row>
          <xdr:rowOff>85725</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83</xdr:row>
          <xdr:rowOff>314325</xdr:rowOff>
        </xdr:from>
        <xdr:to>
          <xdr:col>23</xdr:col>
          <xdr:colOff>504825</xdr:colOff>
          <xdr:row>85</xdr:row>
          <xdr:rowOff>85725</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83</xdr:row>
          <xdr:rowOff>314325</xdr:rowOff>
        </xdr:from>
        <xdr:to>
          <xdr:col>23</xdr:col>
          <xdr:colOff>695325</xdr:colOff>
          <xdr:row>85</xdr:row>
          <xdr:rowOff>85725</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0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83</xdr:row>
          <xdr:rowOff>314325</xdr:rowOff>
        </xdr:from>
        <xdr:to>
          <xdr:col>23</xdr:col>
          <xdr:colOff>981075</xdr:colOff>
          <xdr:row>85</xdr:row>
          <xdr:rowOff>85725</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0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83</xdr:row>
          <xdr:rowOff>314325</xdr:rowOff>
        </xdr:from>
        <xdr:to>
          <xdr:col>24</xdr:col>
          <xdr:colOff>314325</xdr:colOff>
          <xdr:row>85</xdr:row>
          <xdr:rowOff>85725</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0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83</xdr:row>
          <xdr:rowOff>314325</xdr:rowOff>
        </xdr:from>
        <xdr:to>
          <xdr:col>24</xdr:col>
          <xdr:colOff>885825</xdr:colOff>
          <xdr:row>85</xdr:row>
          <xdr:rowOff>85725</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0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83</xdr:row>
          <xdr:rowOff>314325</xdr:rowOff>
        </xdr:from>
        <xdr:to>
          <xdr:col>24</xdr:col>
          <xdr:colOff>504825</xdr:colOff>
          <xdr:row>85</xdr:row>
          <xdr:rowOff>85725</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0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83</xdr:row>
          <xdr:rowOff>314325</xdr:rowOff>
        </xdr:from>
        <xdr:to>
          <xdr:col>24</xdr:col>
          <xdr:colOff>695325</xdr:colOff>
          <xdr:row>85</xdr:row>
          <xdr:rowOff>85725</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83</xdr:row>
          <xdr:rowOff>314325</xdr:rowOff>
        </xdr:from>
        <xdr:to>
          <xdr:col>24</xdr:col>
          <xdr:colOff>981075</xdr:colOff>
          <xdr:row>85</xdr:row>
          <xdr:rowOff>85725</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83</xdr:row>
          <xdr:rowOff>314325</xdr:rowOff>
        </xdr:from>
        <xdr:to>
          <xdr:col>25</xdr:col>
          <xdr:colOff>314325</xdr:colOff>
          <xdr:row>85</xdr:row>
          <xdr:rowOff>85725</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83</xdr:row>
          <xdr:rowOff>314325</xdr:rowOff>
        </xdr:from>
        <xdr:to>
          <xdr:col>25</xdr:col>
          <xdr:colOff>885825</xdr:colOff>
          <xdr:row>85</xdr:row>
          <xdr:rowOff>85725</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0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83</xdr:row>
          <xdr:rowOff>314325</xdr:rowOff>
        </xdr:from>
        <xdr:to>
          <xdr:col>25</xdr:col>
          <xdr:colOff>504825</xdr:colOff>
          <xdr:row>85</xdr:row>
          <xdr:rowOff>85725</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0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83</xdr:row>
          <xdr:rowOff>314325</xdr:rowOff>
        </xdr:from>
        <xdr:to>
          <xdr:col>25</xdr:col>
          <xdr:colOff>695325</xdr:colOff>
          <xdr:row>85</xdr:row>
          <xdr:rowOff>85725</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0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83</xdr:row>
          <xdr:rowOff>314325</xdr:rowOff>
        </xdr:from>
        <xdr:to>
          <xdr:col>25</xdr:col>
          <xdr:colOff>981075</xdr:colOff>
          <xdr:row>85</xdr:row>
          <xdr:rowOff>85725</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0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83</xdr:row>
          <xdr:rowOff>314325</xdr:rowOff>
        </xdr:from>
        <xdr:to>
          <xdr:col>22</xdr:col>
          <xdr:colOff>981075</xdr:colOff>
          <xdr:row>85</xdr:row>
          <xdr:rowOff>85725</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0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83</xdr:row>
          <xdr:rowOff>314325</xdr:rowOff>
        </xdr:from>
        <xdr:to>
          <xdr:col>22</xdr:col>
          <xdr:colOff>9525</xdr:colOff>
          <xdr:row>85</xdr:row>
          <xdr:rowOff>85725</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0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21</xdr:row>
          <xdr:rowOff>38100</xdr:rowOff>
        </xdr:from>
        <xdr:to>
          <xdr:col>15</xdr:col>
          <xdr:colOff>0</xdr:colOff>
          <xdr:row>21</xdr:row>
          <xdr:rowOff>342900</xdr:rowOff>
        </xdr:to>
        <xdr:sp macro="" textlink="">
          <xdr:nvSpPr>
            <xdr:cNvPr id="1781" name="Spinner 757" hidden="1">
              <a:extLst>
                <a:ext uri="{63B3BB69-23CF-44E3-9099-C40C66FF867C}">
                  <a14:compatExt spid="_x0000_s1781"/>
                </a:ext>
                <a:ext uri="{FF2B5EF4-FFF2-40B4-BE49-F238E27FC236}">
                  <a16:creationId xmlns:a16="http://schemas.microsoft.com/office/drawing/2014/main" id="{00000000-0008-0000-0000-0000F506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22</xdr:row>
          <xdr:rowOff>9525</xdr:rowOff>
        </xdr:from>
        <xdr:to>
          <xdr:col>15</xdr:col>
          <xdr:colOff>0</xdr:colOff>
          <xdr:row>22</xdr:row>
          <xdr:rowOff>342900</xdr:rowOff>
        </xdr:to>
        <xdr:sp macro="" textlink="">
          <xdr:nvSpPr>
            <xdr:cNvPr id="1825" name="Spinner 801" hidden="1">
              <a:extLst>
                <a:ext uri="{63B3BB69-23CF-44E3-9099-C40C66FF867C}">
                  <a14:compatExt spid="_x0000_s1825"/>
                </a:ext>
                <a:ext uri="{FF2B5EF4-FFF2-40B4-BE49-F238E27FC236}">
                  <a16:creationId xmlns:a16="http://schemas.microsoft.com/office/drawing/2014/main" id="{00000000-0008-0000-0000-00002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23</xdr:row>
          <xdr:rowOff>19050</xdr:rowOff>
        </xdr:from>
        <xdr:to>
          <xdr:col>15</xdr:col>
          <xdr:colOff>0</xdr:colOff>
          <xdr:row>23</xdr:row>
          <xdr:rowOff>333375</xdr:rowOff>
        </xdr:to>
        <xdr:sp macro="" textlink="">
          <xdr:nvSpPr>
            <xdr:cNvPr id="1827" name="Spinner 803" hidden="1">
              <a:extLst>
                <a:ext uri="{63B3BB69-23CF-44E3-9099-C40C66FF867C}">
                  <a14:compatExt spid="_x0000_s1827"/>
                </a:ext>
                <a:ext uri="{FF2B5EF4-FFF2-40B4-BE49-F238E27FC236}">
                  <a16:creationId xmlns:a16="http://schemas.microsoft.com/office/drawing/2014/main" id="{00000000-0008-0000-0000-00002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24</xdr:row>
          <xdr:rowOff>19050</xdr:rowOff>
        </xdr:from>
        <xdr:to>
          <xdr:col>15</xdr:col>
          <xdr:colOff>0</xdr:colOff>
          <xdr:row>24</xdr:row>
          <xdr:rowOff>333375</xdr:rowOff>
        </xdr:to>
        <xdr:sp macro="" textlink="">
          <xdr:nvSpPr>
            <xdr:cNvPr id="1828" name="Spinner 804" hidden="1">
              <a:extLst>
                <a:ext uri="{63B3BB69-23CF-44E3-9099-C40C66FF867C}">
                  <a14:compatExt spid="_x0000_s1828"/>
                </a:ext>
                <a:ext uri="{FF2B5EF4-FFF2-40B4-BE49-F238E27FC236}">
                  <a16:creationId xmlns:a16="http://schemas.microsoft.com/office/drawing/2014/main" id="{00000000-0008-0000-0000-00002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25</xdr:row>
          <xdr:rowOff>19050</xdr:rowOff>
        </xdr:from>
        <xdr:to>
          <xdr:col>15</xdr:col>
          <xdr:colOff>0</xdr:colOff>
          <xdr:row>25</xdr:row>
          <xdr:rowOff>333375</xdr:rowOff>
        </xdr:to>
        <xdr:sp macro="" textlink="">
          <xdr:nvSpPr>
            <xdr:cNvPr id="1829" name="Spinner 805" hidden="1">
              <a:extLst>
                <a:ext uri="{63B3BB69-23CF-44E3-9099-C40C66FF867C}">
                  <a14:compatExt spid="_x0000_s1829"/>
                </a:ext>
                <a:ext uri="{FF2B5EF4-FFF2-40B4-BE49-F238E27FC236}">
                  <a16:creationId xmlns:a16="http://schemas.microsoft.com/office/drawing/2014/main" id="{00000000-0008-0000-0000-00002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26</xdr:row>
          <xdr:rowOff>19050</xdr:rowOff>
        </xdr:from>
        <xdr:to>
          <xdr:col>15</xdr:col>
          <xdr:colOff>0</xdr:colOff>
          <xdr:row>26</xdr:row>
          <xdr:rowOff>333375</xdr:rowOff>
        </xdr:to>
        <xdr:sp macro="" textlink="">
          <xdr:nvSpPr>
            <xdr:cNvPr id="1830" name="Spinner 806" hidden="1">
              <a:extLst>
                <a:ext uri="{63B3BB69-23CF-44E3-9099-C40C66FF867C}">
                  <a14:compatExt spid="_x0000_s1830"/>
                </a:ext>
                <a:ext uri="{FF2B5EF4-FFF2-40B4-BE49-F238E27FC236}">
                  <a16:creationId xmlns:a16="http://schemas.microsoft.com/office/drawing/2014/main" id="{00000000-0008-0000-0000-00002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27</xdr:row>
          <xdr:rowOff>85725</xdr:rowOff>
        </xdr:from>
        <xdr:to>
          <xdr:col>15</xdr:col>
          <xdr:colOff>0</xdr:colOff>
          <xdr:row>27</xdr:row>
          <xdr:rowOff>400050</xdr:rowOff>
        </xdr:to>
        <xdr:sp macro="" textlink="">
          <xdr:nvSpPr>
            <xdr:cNvPr id="1831" name="Spinner 807" hidden="1">
              <a:extLst>
                <a:ext uri="{63B3BB69-23CF-44E3-9099-C40C66FF867C}">
                  <a14:compatExt spid="_x0000_s1831"/>
                </a:ext>
                <a:ext uri="{FF2B5EF4-FFF2-40B4-BE49-F238E27FC236}">
                  <a16:creationId xmlns:a16="http://schemas.microsoft.com/office/drawing/2014/main" id="{00000000-0008-0000-0000-00002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28</xdr:row>
          <xdr:rowOff>9525</xdr:rowOff>
        </xdr:from>
        <xdr:to>
          <xdr:col>14</xdr:col>
          <xdr:colOff>1304925</xdr:colOff>
          <xdr:row>29</xdr:row>
          <xdr:rowOff>0</xdr:rowOff>
        </xdr:to>
        <xdr:sp macro="" textlink="">
          <xdr:nvSpPr>
            <xdr:cNvPr id="1832" name="Spinner 808" hidden="1">
              <a:extLst>
                <a:ext uri="{63B3BB69-23CF-44E3-9099-C40C66FF867C}">
                  <a14:compatExt spid="_x0000_s1832"/>
                </a:ext>
                <a:ext uri="{FF2B5EF4-FFF2-40B4-BE49-F238E27FC236}">
                  <a16:creationId xmlns:a16="http://schemas.microsoft.com/office/drawing/2014/main" id="{00000000-0008-0000-0000-00002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29</xdr:row>
          <xdr:rowOff>76200</xdr:rowOff>
        </xdr:from>
        <xdr:to>
          <xdr:col>15</xdr:col>
          <xdr:colOff>0</xdr:colOff>
          <xdr:row>29</xdr:row>
          <xdr:rowOff>390525</xdr:rowOff>
        </xdr:to>
        <xdr:sp macro="" textlink="">
          <xdr:nvSpPr>
            <xdr:cNvPr id="1833" name="Spinner 809" hidden="1">
              <a:extLst>
                <a:ext uri="{63B3BB69-23CF-44E3-9099-C40C66FF867C}">
                  <a14:compatExt spid="_x0000_s1833"/>
                </a:ext>
                <a:ext uri="{FF2B5EF4-FFF2-40B4-BE49-F238E27FC236}">
                  <a16:creationId xmlns:a16="http://schemas.microsoft.com/office/drawing/2014/main" id="{00000000-0008-0000-0000-00002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30</xdr:row>
          <xdr:rowOff>95250</xdr:rowOff>
        </xdr:from>
        <xdr:to>
          <xdr:col>14</xdr:col>
          <xdr:colOff>1314450</xdr:colOff>
          <xdr:row>30</xdr:row>
          <xdr:rowOff>419100</xdr:rowOff>
        </xdr:to>
        <xdr:sp macro="" textlink="">
          <xdr:nvSpPr>
            <xdr:cNvPr id="1834" name="Spinner 810" hidden="1">
              <a:extLst>
                <a:ext uri="{63B3BB69-23CF-44E3-9099-C40C66FF867C}">
                  <a14:compatExt spid="_x0000_s1834"/>
                </a:ext>
                <a:ext uri="{FF2B5EF4-FFF2-40B4-BE49-F238E27FC236}">
                  <a16:creationId xmlns:a16="http://schemas.microsoft.com/office/drawing/2014/main" id="{00000000-0008-0000-0000-00002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31</xdr:row>
          <xdr:rowOff>19050</xdr:rowOff>
        </xdr:from>
        <xdr:to>
          <xdr:col>15</xdr:col>
          <xdr:colOff>0</xdr:colOff>
          <xdr:row>31</xdr:row>
          <xdr:rowOff>333375</xdr:rowOff>
        </xdr:to>
        <xdr:sp macro="" textlink="">
          <xdr:nvSpPr>
            <xdr:cNvPr id="1835" name="Spinner 811" hidden="1">
              <a:extLst>
                <a:ext uri="{63B3BB69-23CF-44E3-9099-C40C66FF867C}">
                  <a14:compatExt spid="_x0000_s1835"/>
                </a:ext>
                <a:ext uri="{FF2B5EF4-FFF2-40B4-BE49-F238E27FC236}">
                  <a16:creationId xmlns:a16="http://schemas.microsoft.com/office/drawing/2014/main" id="{00000000-0008-0000-0000-00002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32</xdr:row>
          <xdr:rowOff>19050</xdr:rowOff>
        </xdr:from>
        <xdr:to>
          <xdr:col>15</xdr:col>
          <xdr:colOff>0</xdr:colOff>
          <xdr:row>32</xdr:row>
          <xdr:rowOff>333375</xdr:rowOff>
        </xdr:to>
        <xdr:sp macro="" textlink="">
          <xdr:nvSpPr>
            <xdr:cNvPr id="1836" name="Spinner 812" hidden="1">
              <a:extLst>
                <a:ext uri="{63B3BB69-23CF-44E3-9099-C40C66FF867C}">
                  <a14:compatExt spid="_x0000_s1836"/>
                </a:ext>
                <a:ext uri="{FF2B5EF4-FFF2-40B4-BE49-F238E27FC236}">
                  <a16:creationId xmlns:a16="http://schemas.microsoft.com/office/drawing/2014/main" id="{00000000-0008-0000-0000-00002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33</xdr:row>
          <xdr:rowOff>19050</xdr:rowOff>
        </xdr:from>
        <xdr:to>
          <xdr:col>15</xdr:col>
          <xdr:colOff>0</xdr:colOff>
          <xdr:row>33</xdr:row>
          <xdr:rowOff>333375</xdr:rowOff>
        </xdr:to>
        <xdr:sp macro="" textlink="">
          <xdr:nvSpPr>
            <xdr:cNvPr id="1837" name="Spinner 813" hidden="1">
              <a:extLst>
                <a:ext uri="{63B3BB69-23CF-44E3-9099-C40C66FF867C}">
                  <a14:compatExt spid="_x0000_s1837"/>
                </a:ext>
                <a:ext uri="{FF2B5EF4-FFF2-40B4-BE49-F238E27FC236}">
                  <a16:creationId xmlns:a16="http://schemas.microsoft.com/office/drawing/2014/main" id="{00000000-0008-0000-0000-00002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34</xdr:row>
          <xdr:rowOff>19050</xdr:rowOff>
        </xdr:from>
        <xdr:to>
          <xdr:col>15</xdr:col>
          <xdr:colOff>0</xdr:colOff>
          <xdr:row>34</xdr:row>
          <xdr:rowOff>333375</xdr:rowOff>
        </xdr:to>
        <xdr:sp macro="" textlink="">
          <xdr:nvSpPr>
            <xdr:cNvPr id="1838" name="Spinner 814" hidden="1">
              <a:extLst>
                <a:ext uri="{63B3BB69-23CF-44E3-9099-C40C66FF867C}">
                  <a14:compatExt spid="_x0000_s1838"/>
                </a:ext>
                <a:ext uri="{FF2B5EF4-FFF2-40B4-BE49-F238E27FC236}">
                  <a16:creationId xmlns:a16="http://schemas.microsoft.com/office/drawing/2014/main" id="{00000000-0008-0000-0000-00002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36</xdr:row>
          <xdr:rowOff>19050</xdr:rowOff>
        </xdr:from>
        <xdr:to>
          <xdr:col>15</xdr:col>
          <xdr:colOff>0</xdr:colOff>
          <xdr:row>36</xdr:row>
          <xdr:rowOff>333375</xdr:rowOff>
        </xdr:to>
        <xdr:sp macro="" textlink="">
          <xdr:nvSpPr>
            <xdr:cNvPr id="1840" name="Spinner 816" hidden="1">
              <a:extLst>
                <a:ext uri="{63B3BB69-23CF-44E3-9099-C40C66FF867C}">
                  <a14:compatExt spid="_x0000_s1840"/>
                </a:ext>
                <a:ext uri="{FF2B5EF4-FFF2-40B4-BE49-F238E27FC236}">
                  <a16:creationId xmlns:a16="http://schemas.microsoft.com/office/drawing/2014/main" id="{00000000-0008-0000-0000-00003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37</xdr:row>
          <xdr:rowOff>19050</xdr:rowOff>
        </xdr:from>
        <xdr:to>
          <xdr:col>15</xdr:col>
          <xdr:colOff>0</xdr:colOff>
          <xdr:row>37</xdr:row>
          <xdr:rowOff>333375</xdr:rowOff>
        </xdr:to>
        <xdr:sp macro="" textlink="">
          <xdr:nvSpPr>
            <xdr:cNvPr id="1841" name="Spinner 817" hidden="1">
              <a:extLst>
                <a:ext uri="{63B3BB69-23CF-44E3-9099-C40C66FF867C}">
                  <a14:compatExt spid="_x0000_s1841"/>
                </a:ext>
                <a:ext uri="{FF2B5EF4-FFF2-40B4-BE49-F238E27FC236}">
                  <a16:creationId xmlns:a16="http://schemas.microsoft.com/office/drawing/2014/main" id="{00000000-0008-0000-0000-00003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38</xdr:row>
          <xdr:rowOff>19050</xdr:rowOff>
        </xdr:from>
        <xdr:to>
          <xdr:col>15</xdr:col>
          <xdr:colOff>0</xdr:colOff>
          <xdr:row>38</xdr:row>
          <xdr:rowOff>333375</xdr:rowOff>
        </xdr:to>
        <xdr:sp macro="" textlink="">
          <xdr:nvSpPr>
            <xdr:cNvPr id="1842" name="Spinner 818" hidden="1">
              <a:extLst>
                <a:ext uri="{63B3BB69-23CF-44E3-9099-C40C66FF867C}">
                  <a14:compatExt spid="_x0000_s1842"/>
                </a:ext>
                <a:ext uri="{FF2B5EF4-FFF2-40B4-BE49-F238E27FC236}">
                  <a16:creationId xmlns:a16="http://schemas.microsoft.com/office/drawing/2014/main" id="{00000000-0008-0000-0000-00003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39</xdr:row>
          <xdr:rowOff>19050</xdr:rowOff>
        </xdr:from>
        <xdr:to>
          <xdr:col>15</xdr:col>
          <xdr:colOff>0</xdr:colOff>
          <xdr:row>39</xdr:row>
          <xdr:rowOff>333375</xdr:rowOff>
        </xdr:to>
        <xdr:sp macro="" textlink="">
          <xdr:nvSpPr>
            <xdr:cNvPr id="1843" name="Spinner 819" hidden="1">
              <a:extLst>
                <a:ext uri="{63B3BB69-23CF-44E3-9099-C40C66FF867C}">
                  <a14:compatExt spid="_x0000_s1843"/>
                </a:ext>
                <a:ext uri="{FF2B5EF4-FFF2-40B4-BE49-F238E27FC236}">
                  <a16:creationId xmlns:a16="http://schemas.microsoft.com/office/drawing/2014/main" id="{00000000-0008-0000-0000-00003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40</xdr:row>
          <xdr:rowOff>19050</xdr:rowOff>
        </xdr:from>
        <xdr:to>
          <xdr:col>15</xdr:col>
          <xdr:colOff>0</xdr:colOff>
          <xdr:row>40</xdr:row>
          <xdr:rowOff>333375</xdr:rowOff>
        </xdr:to>
        <xdr:sp macro="" textlink="">
          <xdr:nvSpPr>
            <xdr:cNvPr id="1844" name="Spinner 820" hidden="1">
              <a:extLst>
                <a:ext uri="{63B3BB69-23CF-44E3-9099-C40C66FF867C}">
                  <a14:compatExt spid="_x0000_s1844"/>
                </a:ext>
                <a:ext uri="{FF2B5EF4-FFF2-40B4-BE49-F238E27FC236}">
                  <a16:creationId xmlns:a16="http://schemas.microsoft.com/office/drawing/2014/main" id="{00000000-0008-0000-0000-00003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41</xdr:row>
          <xdr:rowOff>19050</xdr:rowOff>
        </xdr:from>
        <xdr:to>
          <xdr:col>15</xdr:col>
          <xdr:colOff>0</xdr:colOff>
          <xdr:row>41</xdr:row>
          <xdr:rowOff>333375</xdr:rowOff>
        </xdr:to>
        <xdr:sp macro="" textlink="">
          <xdr:nvSpPr>
            <xdr:cNvPr id="1845" name="Spinner 821" hidden="1">
              <a:extLst>
                <a:ext uri="{63B3BB69-23CF-44E3-9099-C40C66FF867C}">
                  <a14:compatExt spid="_x0000_s1845"/>
                </a:ext>
                <a:ext uri="{FF2B5EF4-FFF2-40B4-BE49-F238E27FC236}">
                  <a16:creationId xmlns:a16="http://schemas.microsoft.com/office/drawing/2014/main" id="{00000000-0008-0000-0000-00003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42</xdr:row>
          <xdr:rowOff>19050</xdr:rowOff>
        </xdr:from>
        <xdr:to>
          <xdr:col>15</xdr:col>
          <xdr:colOff>0</xdr:colOff>
          <xdr:row>42</xdr:row>
          <xdr:rowOff>333375</xdr:rowOff>
        </xdr:to>
        <xdr:sp macro="" textlink="">
          <xdr:nvSpPr>
            <xdr:cNvPr id="1846" name="Spinner 822" hidden="1">
              <a:extLst>
                <a:ext uri="{63B3BB69-23CF-44E3-9099-C40C66FF867C}">
                  <a14:compatExt spid="_x0000_s1846"/>
                </a:ext>
                <a:ext uri="{FF2B5EF4-FFF2-40B4-BE49-F238E27FC236}">
                  <a16:creationId xmlns:a16="http://schemas.microsoft.com/office/drawing/2014/main" id="{00000000-0008-0000-0000-00003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43</xdr:row>
          <xdr:rowOff>19050</xdr:rowOff>
        </xdr:from>
        <xdr:to>
          <xdr:col>15</xdr:col>
          <xdr:colOff>0</xdr:colOff>
          <xdr:row>43</xdr:row>
          <xdr:rowOff>333375</xdr:rowOff>
        </xdr:to>
        <xdr:sp macro="" textlink="">
          <xdr:nvSpPr>
            <xdr:cNvPr id="1847" name="Spinner 823" hidden="1">
              <a:extLst>
                <a:ext uri="{63B3BB69-23CF-44E3-9099-C40C66FF867C}">
                  <a14:compatExt spid="_x0000_s1847"/>
                </a:ext>
                <a:ext uri="{FF2B5EF4-FFF2-40B4-BE49-F238E27FC236}">
                  <a16:creationId xmlns:a16="http://schemas.microsoft.com/office/drawing/2014/main" id="{00000000-0008-0000-0000-00003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44</xdr:row>
          <xdr:rowOff>19050</xdr:rowOff>
        </xdr:from>
        <xdr:to>
          <xdr:col>15</xdr:col>
          <xdr:colOff>0</xdr:colOff>
          <xdr:row>44</xdr:row>
          <xdr:rowOff>333375</xdr:rowOff>
        </xdr:to>
        <xdr:sp macro="" textlink="">
          <xdr:nvSpPr>
            <xdr:cNvPr id="1848" name="Spinner 824" hidden="1">
              <a:extLst>
                <a:ext uri="{63B3BB69-23CF-44E3-9099-C40C66FF867C}">
                  <a14:compatExt spid="_x0000_s1848"/>
                </a:ext>
                <a:ext uri="{FF2B5EF4-FFF2-40B4-BE49-F238E27FC236}">
                  <a16:creationId xmlns:a16="http://schemas.microsoft.com/office/drawing/2014/main" id="{00000000-0008-0000-0000-00003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45</xdr:row>
          <xdr:rowOff>76200</xdr:rowOff>
        </xdr:from>
        <xdr:to>
          <xdr:col>15</xdr:col>
          <xdr:colOff>0</xdr:colOff>
          <xdr:row>45</xdr:row>
          <xdr:rowOff>390525</xdr:rowOff>
        </xdr:to>
        <xdr:sp macro="" textlink="">
          <xdr:nvSpPr>
            <xdr:cNvPr id="1849" name="Spinner 825" hidden="1">
              <a:extLst>
                <a:ext uri="{63B3BB69-23CF-44E3-9099-C40C66FF867C}">
                  <a14:compatExt spid="_x0000_s1849"/>
                </a:ext>
                <a:ext uri="{FF2B5EF4-FFF2-40B4-BE49-F238E27FC236}">
                  <a16:creationId xmlns:a16="http://schemas.microsoft.com/office/drawing/2014/main" id="{00000000-0008-0000-0000-00003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46</xdr:row>
          <xdr:rowOff>9525</xdr:rowOff>
        </xdr:from>
        <xdr:to>
          <xdr:col>14</xdr:col>
          <xdr:colOff>1323975</xdr:colOff>
          <xdr:row>46</xdr:row>
          <xdr:rowOff>333375</xdr:rowOff>
        </xdr:to>
        <xdr:sp macro="" textlink="">
          <xdr:nvSpPr>
            <xdr:cNvPr id="1850" name="Spinner 826" hidden="1">
              <a:extLst>
                <a:ext uri="{63B3BB69-23CF-44E3-9099-C40C66FF867C}">
                  <a14:compatExt spid="_x0000_s1850"/>
                </a:ext>
                <a:ext uri="{FF2B5EF4-FFF2-40B4-BE49-F238E27FC236}">
                  <a16:creationId xmlns:a16="http://schemas.microsoft.com/office/drawing/2014/main" id="{00000000-0008-0000-0000-00003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47</xdr:row>
          <xdr:rowOff>28575</xdr:rowOff>
        </xdr:from>
        <xdr:to>
          <xdr:col>15</xdr:col>
          <xdr:colOff>0</xdr:colOff>
          <xdr:row>47</xdr:row>
          <xdr:rowOff>333375</xdr:rowOff>
        </xdr:to>
        <xdr:sp macro="" textlink="">
          <xdr:nvSpPr>
            <xdr:cNvPr id="1851" name="Spinner 827" hidden="1">
              <a:extLst>
                <a:ext uri="{63B3BB69-23CF-44E3-9099-C40C66FF867C}">
                  <a14:compatExt spid="_x0000_s1851"/>
                </a:ext>
                <a:ext uri="{FF2B5EF4-FFF2-40B4-BE49-F238E27FC236}">
                  <a16:creationId xmlns:a16="http://schemas.microsoft.com/office/drawing/2014/main" id="{00000000-0008-0000-0000-00003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48</xdr:row>
          <xdr:rowOff>19050</xdr:rowOff>
        </xdr:from>
        <xdr:to>
          <xdr:col>15</xdr:col>
          <xdr:colOff>0</xdr:colOff>
          <xdr:row>48</xdr:row>
          <xdr:rowOff>333375</xdr:rowOff>
        </xdr:to>
        <xdr:sp macro="" textlink="">
          <xdr:nvSpPr>
            <xdr:cNvPr id="1852" name="Spinner 828" hidden="1">
              <a:extLst>
                <a:ext uri="{63B3BB69-23CF-44E3-9099-C40C66FF867C}">
                  <a14:compatExt spid="_x0000_s1852"/>
                </a:ext>
                <a:ext uri="{FF2B5EF4-FFF2-40B4-BE49-F238E27FC236}">
                  <a16:creationId xmlns:a16="http://schemas.microsoft.com/office/drawing/2014/main" id="{00000000-0008-0000-0000-00003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49</xdr:row>
          <xdr:rowOff>19050</xdr:rowOff>
        </xdr:from>
        <xdr:to>
          <xdr:col>15</xdr:col>
          <xdr:colOff>0</xdr:colOff>
          <xdr:row>49</xdr:row>
          <xdr:rowOff>333375</xdr:rowOff>
        </xdr:to>
        <xdr:sp macro="" textlink="">
          <xdr:nvSpPr>
            <xdr:cNvPr id="1853" name="Spinner 829" hidden="1">
              <a:extLst>
                <a:ext uri="{63B3BB69-23CF-44E3-9099-C40C66FF867C}">
                  <a14:compatExt spid="_x0000_s1853"/>
                </a:ext>
                <a:ext uri="{FF2B5EF4-FFF2-40B4-BE49-F238E27FC236}">
                  <a16:creationId xmlns:a16="http://schemas.microsoft.com/office/drawing/2014/main" id="{00000000-0008-0000-0000-00003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50</xdr:row>
          <xdr:rowOff>19050</xdr:rowOff>
        </xdr:from>
        <xdr:to>
          <xdr:col>15</xdr:col>
          <xdr:colOff>0</xdr:colOff>
          <xdr:row>50</xdr:row>
          <xdr:rowOff>333375</xdr:rowOff>
        </xdr:to>
        <xdr:sp macro="" textlink="">
          <xdr:nvSpPr>
            <xdr:cNvPr id="1854" name="Spinner 830" hidden="1">
              <a:extLst>
                <a:ext uri="{63B3BB69-23CF-44E3-9099-C40C66FF867C}">
                  <a14:compatExt spid="_x0000_s1854"/>
                </a:ext>
                <a:ext uri="{FF2B5EF4-FFF2-40B4-BE49-F238E27FC236}">
                  <a16:creationId xmlns:a16="http://schemas.microsoft.com/office/drawing/2014/main" id="{00000000-0008-0000-0000-00003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51</xdr:row>
          <xdr:rowOff>19050</xdr:rowOff>
        </xdr:from>
        <xdr:to>
          <xdr:col>15</xdr:col>
          <xdr:colOff>0</xdr:colOff>
          <xdr:row>51</xdr:row>
          <xdr:rowOff>333375</xdr:rowOff>
        </xdr:to>
        <xdr:sp macro="" textlink="">
          <xdr:nvSpPr>
            <xdr:cNvPr id="1855" name="Spinner 831" hidden="1">
              <a:extLst>
                <a:ext uri="{63B3BB69-23CF-44E3-9099-C40C66FF867C}">
                  <a14:compatExt spid="_x0000_s1855"/>
                </a:ext>
                <a:ext uri="{FF2B5EF4-FFF2-40B4-BE49-F238E27FC236}">
                  <a16:creationId xmlns:a16="http://schemas.microsoft.com/office/drawing/2014/main" id="{00000000-0008-0000-0000-00003F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52</xdr:row>
          <xdr:rowOff>19050</xdr:rowOff>
        </xdr:from>
        <xdr:to>
          <xdr:col>15</xdr:col>
          <xdr:colOff>0</xdr:colOff>
          <xdr:row>52</xdr:row>
          <xdr:rowOff>333375</xdr:rowOff>
        </xdr:to>
        <xdr:sp macro="" textlink="">
          <xdr:nvSpPr>
            <xdr:cNvPr id="1856" name="Spinner 832" hidden="1">
              <a:extLst>
                <a:ext uri="{63B3BB69-23CF-44E3-9099-C40C66FF867C}">
                  <a14:compatExt spid="_x0000_s1856"/>
                </a:ext>
                <a:ext uri="{FF2B5EF4-FFF2-40B4-BE49-F238E27FC236}">
                  <a16:creationId xmlns:a16="http://schemas.microsoft.com/office/drawing/2014/main" id="{00000000-0008-0000-0000-00004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53</xdr:row>
          <xdr:rowOff>19050</xdr:rowOff>
        </xdr:from>
        <xdr:to>
          <xdr:col>15</xdr:col>
          <xdr:colOff>0</xdr:colOff>
          <xdr:row>53</xdr:row>
          <xdr:rowOff>333375</xdr:rowOff>
        </xdr:to>
        <xdr:sp macro="" textlink="">
          <xdr:nvSpPr>
            <xdr:cNvPr id="1857" name="Spinner 833" hidden="1">
              <a:extLst>
                <a:ext uri="{63B3BB69-23CF-44E3-9099-C40C66FF867C}">
                  <a14:compatExt spid="_x0000_s1857"/>
                </a:ext>
                <a:ext uri="{FF2B5EF4-FFF2-40B4-BE49-F238E27FC236}">
                  <a16:creationId xmlns:a16="http://schemas.microsoft.com/office/drawing/2014/main" id="{00000000-0008-0000-0000-00004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54</xdr:row>
          <xdr:rowOff>19050</xdr:rowOff>
        </xdr:from>
        <xdr:to>
          <xdr:col>15</xdr:col>
          <xdr:colOff>0</xdr:colOff>
          <xdr:row>54</xdr:row>
          <xdr:rowOff>333375</xdr:rowOff>
        </xdr:to>
        <xdr:sp macro="" textlink="">
          <xdr:nvSpPr>
            <xdr:cNvPr id="1858" name="Spinner 834" hidden="1">
              <a:extLst>
                <a:ext uri="{63B3BB69-23CF-44E3-9099-C40C66FF867C}">
                  <a14:compatExt spid="_x0000_s1858"/>
                </a:ext>
                <a:ext uri="{FF2B5EF4-FFF2-40B4-BE49-F238E27FC236}">
                  <a16:creationId xmlns:a16="http://schemas.microsoft.com/office/drawing/2014/main" id="{00000000-0008-0000-0000-00004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55</xdr:row>
          <xdr:rowOff>19050</xdr:rowOff>
        </xdr:from>
        <xdr:to>
          <xdr:col>15</xdr:col>
          <xdr:colOff>0</xdr:colOff>
          <xdr:row>55</xdr:row>
          <xdr:rowOff>333375</xdr:rowOff>
        </xdr:to>
        <xdr:sp macro="" textlink="">
          <xdr:nvSpPr>
            <xdr:cNvPr id="1859" name="Spinner 835" hidden="1">
              <a:extLst>
                <a:ext uri="{63B3BB69-23CF-44E3-9099-C40C66FF867C}">
                  <a14:compatExt spid="_x0000_s1859"/>
                </a:ext>
                <a:ext uri="{FF2B5EF4-FFF2-40B4-BE49-F238E27FC236}">
                  <a16:creationId xmlns:a16="http://schemas.microsoft.com/office/drawing/2014/main" id="{00000000-0008-0000-0000-00004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56</xdr:row>
          <xdr:rowOff>19050</xdr:rowOff>
        </xdr:from>
        <xdr:to>
          <xdr:col>15</xdr:col>
          <xdr:colOff>0</xdr:colOff>
          <xdr:row>56</xdr:row>
          <xdr:rowOff>333375</xdr:rowOff>
        </xdr:to>
        <xdr:sp macro="" textlink="">
          <xdr:nvSpPr>
            <xdr:cNvPr id="1860" name="Spinner 836" hidden="1">
              <a:extLst>
                <a:ext uri="{63B3BB69-23CF-44E3-9099-C40C66FF867C}">
                  <a14:compatExt spid="_x0000_s1860"/>
                </a:ext>
                <a:ext uri="{FF2B5EF4-FFF2-40B4-BE49-F238E27FC236}">
                  <a16:creationId xmlns:a16="http://schemas.microsoft.com/office/drawing/2014/main" id="{00000000-0008-0000-0000-00004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57</xdr:row>
          <xdr:rowOff>38100</xdr:rowOff>
        </xdr:from>
        <xdr:to>
          <xdr:col>15</xdr:col>
          <xdr:colOff>0</xdr:colOff>
          <xdr:row>57</xdr:row>
          <xdr:rowOff>352425</xdr:rowOff>
        </xdr:to>
        <xdr:sp macro="" textlink="">
          <xdr:nvSpPr>
            <xdr:cNvPr id="1861" name="Spinner 837" hidden="1">
              <a:extLst>
                <a:ext uri="{63B3BB69-23CF-44E3-9099-C40C66FF867C}">
                  <a14:compatExt spid="_x0000_s1861"/>
                </a:ext>
                <a:ext uri="{FF2B5EF4-FFF2-40B4-BE49-F238E27FC236}">
                  <a16:creationId xmlns:a16="http://schemas.microsoft.com/office/drawing/2014/main" id="{00000000-0008-0000-0000-00004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58</xdr:row>
          <xdr:rowOff>19050</xdr:rowOff>
        </xdr:from>
        <xdr:to>
          <xdr:col>14</xdr:col>
          <xdr:colOff>1304925</xdr:colOff>
          <xdr:row>58</xdr:row>
          <xdr:rowOff>342900</xdr:rowOff>
        </xdr:to>
        <xdr:sp macro="" textlink="">
          <xdr:nvSpPr>
            <xdr:cNvPr id="1862" name="Spinner 838" hidden="1">
              <a:extLst>
                <a:ext uri="{63B3BB69-23CF-44E3-9099-C40C66FF867C}">
                  <a14:compatExt spid="_x0000_s1862"/>
                </a:ext>
                <a:ext uri="{FF2B5EF4-FFF2-40B4-BE49-F238E27FC236}">
                  <a16:creationId xmlns:a16="http://schemas.microsoft.com/office/drawing/2014/main" id="{00000000-0008-0000-0000-00004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59</xdr:row>
          <xdr:rowOff>19050</xdr:rowOff>
        </xdr:from>
        <xdr:to>
          <xdr:col>15</xdr:col>
          <xdr:colOff>0</xdr:colOff>
          <xdr:row>59</xdr:row>
          <xdr:rowOff>333375</xdr:rowOff>
        </xdr:to>
        <xdr:sp macro="" textlink="">
          <xdr:nvSpPr>
            <xdr:cNvPr id="1863" name="Spinner 839" hidden="1">
              <a:extLst>
                <a:ext uri="{63B3BB69-23CF-44E3-9099-C40C66FF867C}">
                  <a14:compatExt spid="_x0000_s1863"/>
                </a:ext>
                <a:ext uri="{FF2B5EF4-FFF2-40B4-BE49-F238E27FC236}">
                  <a16:creationId xmlns:a16="http://schemas.microsoft.com/office/drawing/2014/main" id="{00000000-0008-0000-0000-00004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60</xdr:row>
          <xdr:rowOff>19050</xdr:rowOff>
        </xdr:from>
        <xdr:to>
          <xdr:col>15</xdr:col>
          <xdr:colOff>0</xdr:colOff>
          <xdr:row>60</xdr:row>
          <xdr:rowOff>333375</xdr:rowOff>
        </xdr:to>
        <xdr:sp macro="" textlink="">
          <xdr:nvSpPr>
            <xdr:cNvPr id="1864" name="Spinner 840" hidden="1">
              <a:extLst>
                <a:ext uri="{63B3BB69-23CF-44E3-9099-C40C66FF867C}">
                  <a14:compatExt spid="_x0000_s1864"/>
                </a:ext>
                <a:ext uri="{FF2B5EF4-FFF2-40B4-BE49-F238E27FC236}">
                  <a16:creationId xmlns:a16="http://schemas.microsoft.com/office/drawing/2014/main" id="{00000000-0008-0000-0000-00004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61</xdr:row>
          <xdr:rowOff>57150</xdr:rowOff>
        </xdr:from>
        <xdr:to>
          <xdr:col>15</xdr:col>
          <xdr:colOff>0</xdr:colOff>
          <xdr:row>61</xdr:row>
          <xdr:rowOff>371475</xdr:rowOff>
        </xdr:to>
        <xdr:sp macro="" textlink="">
          <xdr:nvSpPr>
            <xdr:cNvPr id="1865" name="Spinner 841" hidden="1">
              <a:extLst>
                <a:ext uri="{63B3BB69-23CF-44E3-9099-C40C66FF867C}">
                  <a14:compatExt spid="_x0000_s1865"/>
                </a:ext>
                <a:ext uri="{FF2B5EF4-FFF2-40B4-BE49-F238E27FC236}">
                  <a16:creationId xmlns:a16="http://schemas.microsoft.com/office/drawing/2014/main" id="{00000000-0008-0000-0000-00004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62</xdr:row>
          <xdr:rowOff>95250</xdr:rowOff>
        </xdr:from>
        <xdr:to>
          <xdr:col>15</xdr:col>
          <xdr:colOff>0</xdr:colOff>
          <xdr:row>62</xdr:row>
          <xdr:rowOff>409575</xdr:rowOff>
        </xdr:to>
        <xdr:sp macro="" textlink="">
          <xdr:nvSpPr>
            <xdr:cNvPr id="1866" name="Spinner 842" hidden="1">
              <a:extLst>
                <a:ext uri="{63B3BB69-23CF-44E3-9099-C40C66FF867C}">
                  <a14:compatExt spid="_x0000_s1866"/>
                </a:ext>
                <a:ext uri="{FF2B5EF4-FFF2-40B4-BE49-F238E27FC236}">
                  <a16:creationId xmlns:a16="http://schemas.microsoft.com/office/drawing/2014/main" id="{00000000-0008-0000-0000-00004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63</xdr:row>
          <xdr:rowOff>123825</xdr:rowOff>
        </xdr:from>
        <xdr:to>
          <xdr:col>15</xdr:col>
          <xdr:colOff>0</xdr:colOff>
          <xdr:row>63</xdr:row>
          <xdr:rowOff>438150</xdr:rowOff>
        </xdr:to>
        <xdr:sp macro="" textlink="">
          <xdr:nvSpPr>
            <xdr:cNvPr id="1867" name="Spinner 843" hidden="1">
              <a:extLst>
                <a:ext uri="{63B3BB69-23CF-44E3-9099-C40C66FF867C}">
                  <a14:compatExt spid="_x0000_s1867"/>
                </a:ext>
                <a:ext uri="{FF2B5EF4-FFF2-40B4-BE49-F238E27FC236}">
                  <a16:creationId xmlns:a16="http://schemas.microsoft.com/office/drawing/2014/main" id="{00000000-0008-0000-0000-00004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64</xdr:row>
          <xdr:rowOff>9525</xdr:rowOff>
        </xdr:from>
        <xdr:to>
          <xdr:col>14</xdr:col>
          <xdr:colOff>1323975</xdr:colOff>
          <xdr:row>64</xdr:row>
          <xdr:rowOff>352425</xdr:rowOff>
        </xdr:to>
        <xdr:sp macro="" textlink="">
          <xdr:nvSpPr>
            <xdr:cNvPr id="1868" name="Spinner 844" hidden="1">
              <a:extLst>
                <a:ext uri="{63B3BB69-23CF-44E3-9099-C40C66FF867C}">
                  <a14:compatExt spid="_x0000_s1868"/>
                </a:ext>
                <a:ext uri="{FF2B5EF4-FFF2-40B4-BE49-F238E27FC236}">
                  <a16:creationId xmlns:a16="http://schemas.microsoft.com/office/drawing/2014/main" id="{00000000-0008-0000-0000-00004C07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13</xdr:row>
          <xdr:rowOff>104775</xdr:rowOff>
        </xdr:from>
        <xdr:to>
          <xdr:col>3</xdr:col>
          <xdr:colOff>971550</xdr:colOff>
          <xdr:row>13</xdr:row>
          <xdr:rowOff>447675</xdr:rowOff>
        </xdr:to>
        <xdr:sp macro="" textlink="">
          <xdr:nvSpPr>
            <xdr:cNvPr id="1872" name="Spinner 848" hidden="1">
              <a:extLst>
                <a:ext uri="{63B3BB69-23CF-44E3-9099-C40C66FF867C}">
                  <a14:compatExt spid="_x0000_s1872"/>
                </a:ext>
                <a:ext uri="{FF2B5EF4-FFF2-40B4-BE49-F238E27FC236}">
                  <a16:creationId xmlns:a16="http://schemas.microsoft.com/office/drawing/2014/main" id="{00000000-0008-0000-0000-00005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12</xdr:row>
          <xdr:rowOff>85725</xdr:rowOff>
        </xdr:from>
        <xdr:to>
          <xdr:col>3</xdr:col>
          <xdr:colOff>971550</xdr:colOff>
          <xdr:row>12</xdr:row>
          <xdr:rowOff>428625</xdr:rowOff>
        </xdr:to>
        <xdr:sp macro="" textlink="">
          <xdr:nvSpPr>
            <xdr:cNvPr id="1873" name="Spinner 849" hidden="1">
              <a:extLst>
                <a:ext uri="{63B3BB69-23CF-44E3-9099-C40C66FF867C}">
                  <a14:compatExt spid="_x0000_s1873"/>
                </a:ext>
                <a:ext uri="{FF2B5EF4-FFF2-40B4-BE49-F238E27FC236}">
                  <a16:creationId xmlns:a16="http://schemas.microsoft.com/office/drawing/2014/main" id="{00000000-0008-0000-0000-00005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85725</xdr:rowOff>
        </xdr:from>
        <xdr:to>
          <xdr:col>3</xdr:col>
          <xdr:colOff>971550</xdr:colOff>
          <xdr:row>11</xdr:row>
          <xdr:rowOff>428625</xdr:rowOff>
        </xdr:to>
        <xdr:sp macro="" textlink="">
          <xdr:nvSpPr>
            <xdr:cNvPr id="1874" name="Spinner 850" hidden="1">
              <a:extLst>
                <a:ext uri="{63B3BB69-23CF-44E3-9099-C40C66FF867C}">
                  <a14:compatExt spid="_x0000_s1874"/>
                </a:ext>
                <a:ext uri="{FF2B5EF4-FFF2-40B4-BE49-F238E27FC236}">
                  <a16:creationId xmlns:a16="http://schemas.microsoft.com/office/drawing/2014/main" id="{00000000-0008-0000-0000-00005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14</xdr:row>
          <xdr:rowOff>85725</xdr:rowOff>
        </xdr:from>
        <xdr:to>
          <xdr:col>3</xdr:col>
          <xdr:colOff>971550</xdr:colOff>
          <xdr:row>14</xdr:row>
          <xdr:rowOff>428625</xdr:rowOff>
        </xdr:to>
        <xdr:sp macro="" textlink="">
          <xdr:nvSpPr>
            <xdr:cNvPr id="1875" name="Spinner 851" hidden="1">
              <a:extLst>
                <a:ext uri="{63B3BB69-23CF-44E3-9099-C40C66FF867C}">
                  <a14:compatExt spid="_x0000_s1875"/>
                </a:ext>
                <a:ext uri="{FF2B5EF4-FFF2-40B4-BE49-F238E27FC236}">
                  <a16:creationId xmlns:a16="http://schemas.microsoft.com/office/drawing/2014/main" id="{00000000-0008-0000-0000-00005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15</xdr:row>
          <xdr:rowOff>85725</xdr:rowOff>
        </xdr:from>
        <xdr:to>
          <xdr:col>3</xdr:col>
          <xdr:colOff>971550</xdr:colOff>
          <xdr:row>15</xdr:row>
          <xdr:rowOff>428625</xdr:rowOff>
        </xdr:to>
        <xdr:sp macro="" textlink="">
          <xdr:nvSpPr>
            <xdr:cNvPr id="1876" name="Spinner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16</xdr:row>
          <xdr:rowOff>85725</xdr:rowOff>
        </xdr:from>
        <xdr:to>
          <xdr:col>3</xdr:col>
          <xdr:colOff>971550</xdr:colOff>
          <xdr:row>16</xdr:row>
          <xdr:rowOff>428625</xdr:rowOff>
        </xdr:to>
        <xdr:sp macro="" textlink="">
          <xdr:nvSpPr>
            <xdr:cNvPr id="1877" name="Spinner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35</xdr:row>
          <xdr:rowOff>19050</xdr:rowOff>
        </xdr:from>
        <xdr:to>
          <xdr:col>15</xdr:col>
          <xdr:colOff>0</xdr:colOff>
          <xdr:row>35</xdr:row>
          <xdr:rowOff>333375</xdr:rowOff>
        </xdr:to>
        <xdr:sp macro="" textlink="">
          <xdr:nvSpPr>
            <xdr:cNvPr id="1878" name="Spinner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533400</xdr:colOff>
          <xdr:row>76</xdr:row>
          <xdr:rowOff>314325</xdr:rowOff>
        </xdr:from>
        <xdr:to>
          <xdr:col>20</xdr:col>
          <xdr:colOff>800100</xdr:colOff>
          <xdr:row>78</xdr:row>
          <xdr:rowOff>85725</xdr:rowOff>
        </xdr:to>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000-00007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76</xdr:row>
          <xdr:rowOff>314325</xdr:rowOff>
        </xdr:from>
        <xdr:to>
          <xdr:col>20</xdr:col>
          <xdr:colOff>1371600</xdr:colOff>
          <xdr:row>78</xdr:row>
          <xdr:rowOff>85725</xdr:rowOff>
        </xdr:to>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000-00007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76</xdr:row>
          <xdr:rowOff>314325</xdr:rowOff>
        </xdr:from>
        <xdr:to>
          <xdr:col>20</xdr:col>
          <xdr:colOff>990600</xdr:colOff>
          <xdr:row>78</xdr:row>
          <xdr:rowOff>85725</xdr:rowOff>
        </xdr:to>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000-00007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942975</xdr:colOff>
          <xdr:row>76</xdr:row>
          <xdr:rowOff>314325</xdr:rowOff>
        </xdr:from>
        <xdr:to>
          <xdr:col>20</xdr:col>
          <xdr:colOff>1219200</xdr:colOff>
          <xdr:row>78</xdr:row>
          <xdr:rowOff>85725</xdr:rowOff>
        </xdr:to>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000-00007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1314450</xdr:colOff>
          <xdr:row>76</xdr:row>
          <xdr:rowOff>314325</xdr:rowOff>
        </xdr:from>
        <xdr:to>
          <xdr:col>21</xdr:col>
          <xdr:colOff>38100</xdr:colOff>
          <xdr:row>78</xdr:row>
          <xdr:rowOff>85725</xdr:rowOff>
        </xdr:to>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000-00007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76</xdr:row>
          <xdr:rowOff>314325</xdr:rowOff>
        </xdr:from>
        <xdr:to>
          <xdr:col>21</xdr:col>
          <xdr:colOff>314325</xdr:colOff>
          <xdr:row>78</xdr:row>
          <xdr:rowOff>85725</xdr:rowOff>
        </xdr:to>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000-00007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76</xdr:row>
          <xdr:rowOff>314325</xdr:rowOff>
        </xdr:from>
        <xdr:to>
          <xdr:col>21</xdr:col>
          <xdr:colOff>866775</xdr:colOff>
          <xdr:row>78</xdr:row>
          <xdr:rowOff>85725</xdr:rowOff>
        </xdr:to>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000-00007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76</xdr:row>
          <xdr:rowOff>314325</xdr:rowOff>
        </xdr:from>
        <xdr:to>
          <xdr:col>21</xdr:col>
          <xdr:colOff>504825</xdr:colOff>
          <xdr:row>78</xdr:row>
          <xdr:rowOff>85725</xdr:rowOff>
        </xdr:to>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000-00007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76</xdr:row>
          <xdr:rowOff>314325</xdr:rowOff>
        </xdr:from>
        <xdr:to>
          <xdr:col>21</xdr:col>
          <xdr:colOff>695325</xdr:colOff>
          <xdr:row>78</xdr:row>
          <xdr:rowOff>85725</xdr:rowOff>
        </xdr:to>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000-00007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76</xdr:row>
          <xdr:rowOff>314325</xdr:rowOff>
        </xdr:from>
        <xdr:to>
          <xdr:col>22</xdr:col>
          <xdr:colOff>314325</xdr:colOff>
          <xdr:row>78</xdr:row>
          <xdr:rowOff>85725</xdr:rowOff>
        </xdr:to>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000-00007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76</xdr:row>
          <xdr:rowOff>314325</xdr:rowOff>
        </xdr:from>
        <xdr:to>
          <xdr:col>22</xdr:col>
          <xdr:colOff>885825</xdr:colOff>
          <xdr:row>78</xdr:row>
          <xdr:rowOff>85725</xdr:rowOff>
        </xdr:to>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000-00007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76</xdr:row>
          <xdr:rowOff>314325</xdr:rowOff>
        </xdr:from>
        <xdr:to>
          <xdr:col>22</xdr:col>
          <xdr:colOff>504825</xdr:colOff>
          <xdr:row>78</xdr:row>
          <xdr:rowOff>85725</xdr:rowOff>
        </xdr:to>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000-00008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76</xdr:row>
          <xdr:rowOff>314325</xdr:rowOff>
        </xdr:from>
        <xdr:to>
          <xdr:col>22</xdr:col>
          <xdr:colOff>695325</xdr:colOff>
          <xdr:row>78</xdr:row>
          <xdr:rowOff>85725</xdr:rowOff>
        </xdr:to>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000-00008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76</xdr:row>
          <xdr:rowOff>314325</xdr:rowOff>
        </xdr:from>
        <xdr:to>
          <xdr:col>23</xdr:col>
          <xdr:colOff>314325</xdr:colOff>
          <xdr:row>78</xdr:row>
          <xdr:rowOff>85725</xdr:rowOff>
        </xdr:to>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000-00008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76</xdr:row>
          <xdr:rowOff>314325</xdr:rowOff>
        </xdr:from>
        <xdr:to>
          <xdr:col>23</xdr:col>
          <xdr:colOff>885825</xdr:colOff>
          <xdr:row>78</xdr:row>
          <xdr:rowOff>85725</xdr:rowOff>
        </xdr:to>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000-00008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76</xdr:row>
          <xdr:rowOff>314325</xdr:rowOff>
        </xdr:from>
        <xdr:to>
          <xdr:col>23</xdr:col>
          <xdr:colOff>504825</xdr:colOff>
          <xdr:row>78</xdr:row>
          <xdr:rowOff>85725</xdr:rowOff>
        </xdr:to>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000-00008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76</xdr:row>
          <xdr:rowOff>314325</xdr:rowOff>
        </xdr:from>
        <xdr:to>
          <xdr:col>23</xdr:col>
          <xdr:colOff>695325</xdr:colOff>
          <xdr:row>78</xdr:row>
          <xdr:rowOff>85725</xdr:rowOff>
        </xdr:to>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000-00008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76</xdr:row>
          <xdr:rowOff>314325</xdr:rowOff>
        </xdr:from>
        <xdr:to>
          <xdr:col>23</xdr:col>
          <xdr:colOff>981075</xdr:colOff>
          <xdr:row>78</xdr:row>
          <xdr:rowOff>85725</xdr:rowOff>
        </xdr:to>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000-00008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76</xdr:row>
          <xdr:rowOff>314325</xdr:rowOff>
        </xdr:from>
        <xdr:to>
          <xdr:col>24</xdr:col>
          <xdr:colOff>314325</xdr:colOff>
          <xdr:row>78</xdr:row>
          <xdr:rowOff>85725</xdr:rowOff>
        </xdr:to>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000-00008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76</xdr:row>
          <xdr:rowOff>314325</xdr:rowOff>
        </xdr:from>
        <xdr:to>
          <xdr:col>24</xdr:col>
          <xdr:colOff>885825</xdr:colOff>
          <xdr:row>78</xdr:row>
          <xdr:rowOff>85725</xdr:rowOff>
        </xdr:to>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000-00008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76</xdr:row>
          <xdr:rowOff>314325</xdr:rowOff>
        </xdr:from>
        <xdr:to>
          <xdr:col>24</xdr:col>
          <xdr:colOff>504825</xdr:colOff>
          <xdr:row>78</xdr:row>
          <xdr:rowOff>85725</xdr:rowOff>
        </xdr:to>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000-00008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76</xdr:row>
          <xdr:rowOff>314325</xdr:rowOff>
        </xdr:from>
        <xdr:to>
          <xdr:col>24</xdr:col>
          <xdr:colOff>695325</xdr:colOff>
          <xdr:row>78</xdr:row>
          <xdr:rowOff>85725</xdr:rowOff>
        </xdr:to>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000-00008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76</xdr:row>
          <xdr:rowOff>314325</xdr:rowOff>
        </xdr:from>
        <xdr:to>
          <xdr:col>24</xdr:col>
          <xdr:colOff>981075</xdr:colOff>
          <xdr:row>78</xdr:row>
          <xdr:rowOff>85725</xdr:rowOff>
        </xdr:to>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000-00008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76</xdr:row>
          <xdr:rowOff>314325</xdr:rowOff>
        </xdr:from>
        <xdr:to>
          <xdr:col>25</xdr:col>
          <xdr:colOff>314325</xdr:colOff>
          <xdr:row>78</xdr:row>
          <xdr:rowOff>85725</xdr:rowOff>
        </xdr:to>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000-00008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76</xdr:row>
          <xdr:rowOff>314325</xdr:rowOff>
        </xdr:from>
        <xdr:to>
          <xdr:col>25</xdr:col>
          <xdr:colOff>885825</xdr:colOff>
          <xdr:row>78</xdr:row>
          <xdr:rowOff>85725</xdr:rowOff>
        </xdr:to>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000-00008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76</xdr:row>
          <xdr:rowOff>314325</xdr:rowOff>
        </xdr:from>
        <xdr:to>
          <xdr:col>25</xdr:col>
          <xdr:colOff>504825</xdr:colOff>
          <xdr:row>78</xdr:row>
          <xdr:rowOff>85725</xdr:rowOff>
        </xdr:to>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000-00008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76</xdr:row>
          <xdr:rowOff>314325</xdr:rowOff>
        </xdr:from>
        <xdr:to>
          <xdr:col>25</xdr:col>
          <xdr:colOff>695325</xdr:colOff>
          <xdr:row>78</xdr:row>
          <xdr:rowOff>85725</xdr:rowOff>
        </xdr:to>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000-00008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76</xdr:row>
          <xdr:rowOff>314325</xdr:rowOff>
        </xdr:from>
        <xdr:to>
          <xdr:col>25</xdr:col>
          <xdr:colOff>981075</xdr:colOff>
          <xdr:row>78</xdr:row>
          <xdr:rowOff>85725</xdr:rowOff>
        </xdr:to>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000-00009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76</xdr:row>
          <xdr:rowOff>314325</xdr:rowOff>
        </xdr:from>
        <xdr:to>
          <xdr:col>22</xdr:col>
          <xdr:colOff>981075</xdr:colOff>
          <xdr:row>78</xdr:row>
          <xdr:rowOff>85725</xdr:rowOff>
        </xdr:to>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000-00009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76</xdr:row>
          <xdr:rowOff>314325</xdr:rowOff>
        </xdr:from>
        <xdr:to>
          <xdr:col>22</xdr:col>
          <xdr:colOff>9525</xdr:colOff>
          <xdr:row>78</xdr:row>
          <xdr:rowOff>85725</xdr:rowOff>
        </xdr:to>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000-00009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495300</xdr:colOff>
          <xdr:row>90</xdr:row>
          <xdr:rowOff>314325</xdr:rowOff>
        </xdr:from>
        <xdr:to>
          <xdr:col>20</xdr:col>
          <xdr:colOff>762000</xdr:colOff>
          <xdr:row>92</xdr:row>
          <xdr:rowOff>85725</xdr:rowOff>
        </xdr:to>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000-00009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1066800</xdr:colOff>
          <xdr:row>90</xdr:row>
          <xdr:rowOff>314325</xdr:rowOff>
        </xdr:from>
        <xdr:to>
          <xdr:col>20</xdr:col>
          <xdr:colOff>1333500</xdr:colOff>
          <xdr:row>92</xdr:row>
          <xdr:rowOff>85725</xdr:rowOff>
        </xdr:to>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000-00009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685800</xdr:colOff>
          <xdr:row>90</xdr:row>
          <xdr:rowOff>314325</xdr:rowOff>
        </xdr:from>
        <xdr:to>
          <xdr:col>20</xdr:col>
          <xdr:colOff>952500</xdr:colOff>
          <xdr:row>92</xdr:row>
          <xdr:rowOff>85725</xdr:rowOff>
        </xdr:to>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000-00009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876300</xdr:colOff>
          <xdr:row>90</xdr:row>
          <xdr:rowOff>314325</xdr:rowOff>
        </xdr:from>
        <xdr:to>
          <xdr:col>20</xdr:col>
          <xdr:colOff>1143000</xdr:colOff>
          <xdr:row>92</xdr:row>
          <xdr:rowOff>85725</xdr:rowOff>
        </xdr:to>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000-00009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1247775</xdr:colOff>
          <xdr:row>90</xdr:row>
          <xdr:rowOff>314325</xdr:rowOff>
        </xdr:from>
        <xdr:to>
          <xdr:col>20</xdr:col>
          <xdr:colOff>1428750</xdr:colOff>
          <xdr:row>92</xdr:row>
          <xdr:rowOff>85725</xdr:rowOff>
        </xdr:to>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000-00009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90</xdr:row>
          <xdr:rowOff>314325</xdr:rowOff>
        </xdr:from>
        <xdr:to>
          <xdr:col>21</xdr:col>
          <xdr:colOff>314325</xdr:colOff>
          <xdr:row>92</xdr:row>
          <xdr:rowOff>85725</xdr:rowOff>
        </xdr:to>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000-00009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90</xdr:row>
          <xdr:rowOff>314325</xdr:rowOff>
        </xdr:from>
        <xdr:to>
          <xdr:col>21</xdr:col>
          <xdr:colOff>866775</xdr:colOff>
          <xdr:row>92</xdr:row>
          <xdr:rowOff>85725</xdr:rowOff>
        </xdr:to>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000-00009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90</xdr:row>
          <xdr:rowOff>314325</xdr:rowOff>
        </xdr:from>
        <xdr:to>
          <xdr:col>21</xdr:col>
          <xdr:colOff>504825</xdr:colOff>
          <xdr:row>92</xdr:row>
          <xdr:rowOff>85725</xdr:rowOff>
        </xdr:to>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000-00009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90</xdr:row>
          <xdr:rowOff>314325</xdr:rowOff>
        </xdr:from>
        <xdr:to>
          <xdr:col>21</xdr:col>
          <xdr:colOff>695325</xdr:colOff>
          <xdr:row>92</xdr:row>
          <xdr:rowOff>85725</xdr:rowOff>
        </xdr:to>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000-00009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90</xdr:row>
          <xdr:rowOff>314325</xdr:rowOff>
        </xdr:from>
        <xdr:to>
          <xdr:col>22</xdr:col>
          <xdr:colOff>314325</xdr:colOff>
          <xdr:row>92</xdr:row>
          <xdr:rowOff>85725</xdr:rowOff>
        </xdr:to>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000-00009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90</xdr:row>
          <xdr:rowOff>314325</xdr:rowOff>
        </xdr:from>
        <xdr:to>
          <xdr:col>22</xdr:col>
          <xdr:colOff>885825</xdr:colOff>
          <xdr:row>92</xdr:row>
          <xdr:rowOff>85725</xdr:rowOff>
        </xdr:to>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000-00009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90</xdr:row>
          <xdr:rowOff>314325</xdr:rowOff>
        </xdr:from>
        <xdr:to>
          <xdr:col>22</xdr:col>
          <xdr:colOff>504825</xdr:colOff>
          <xdr:row>92</xdr:row>
          <xdr:rowOff>85725</xdr:rowOff>
        </xdr:to>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000-00009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90</xdr:row>
          <xdr:rowOff>314325</xdr:rowOff>
        </xdr:from>
        <xdr:to>
          <xdr:col>22</xdr:col>
          <xdr:colOff>695325</xdr:colOff>
          <xdr:row>92</xdr:row>
          <xdr:rowOff>85725</xdr:rowOff>
        </xdr:to>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000-00009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90</xdr:row>
          <xdr:rowOff>314325</xdr:rowOff>
        </xdr:from>
        <xdr:to>
          <xdr:col>23</xdr:col>
          <xdr:colOff>314325</xdr:colOff>
          <xdr:row>92</xdr:row>
          <xdr:rowOff>85725</xdr:rowOff>
        </xdr:to>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000-0000A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90</xdr:row>
          <xdr:rowOff>314325</xdr:rowOff>
        </xdr:from>
        <xdr:to>
          <xdr:col>23</xdr:col>
          <xdr:colOff>885825</xdr:colOff>
          <xdr:row>92</xdr:row>
          <xdr:rowOff>85725</xdr:rowOff>
        </xdr:to>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000-0000A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90</xdr:row>
          <xdr:rowOff>314325</xdr:rowOff>
        </xdr:from>
        <xdr:to>
          <xdr:col>23</xdr:col>
          <xdr:colOff>504825</xdr:colOff>
          <xdr:row>92</xdr:row>
          <xdr:rowOff>85725</xdr:rowOff>
        </xdr:to>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000-0000A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90</xdr:row>
          <xdr:rowOff>314325</xdr:rowOff>
        </xdr:from>
        <xdr:to>
          <xdr:col>23</xdr:col>
          <xdr:colOff>695325</xdr:colOff>
          <xdr:row>92</xdr:row>
          <xdr:rowOff>85725</xdr:rowOff>
        </xdr:to>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000-0000A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90</xdr:row>
          <xdr:rowOff>314325</xdr:rowOff>
        </xdr:from>
        <xdr:to>
          <xdr:col>23</xdr:col>
          <xdr:colOff>981075</xdr:colOff>
          <xdr:row>92</xdr:row>
          <xdr:rowOff>85725</xdr:rowOff>
        </xdr:to>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000-0000A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90</xdr:row>
          <xdr:rowOff>314325</xdr:rowOff>
        </xdr:from>
        <xdr:to>
          <xdr:col>24</xdr:col>
          <xdr:colOff>314325</xdr:colOff>
          <xdr:row>92</xdr:row>
          <xdr:rowOff>85725</xdr:rowOff>
        </xdr:to>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000-0000A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90</xdr:row>
          <xdr:rowOff>314325</xdr:rowOff>
        </xdr:from>
        <xdr:to>
          <xdr:col>24</xdr:col>
          <xdr:colOff>885825</xdr:colOff>
          <xdr:row>92</xdr:row>
          <xdr:rowOff>85725</xdr:rowOff>
        </xdr:to>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000-0000A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90</xdr:row>
          <xdr:rowOff>314325</xdr:rowOff>
        </xdr:from>
        <xdr:to>
          <xdr:col>24</xdr:col>
          <xdr:colOff>504825</xdr:colOff>
          <xdr:row>92</xdr:row>
          <xdr:rowOff>85725</xdr:rowOff>
        </xdr:to>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000-0000A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90</xdr:row>
          <xdr:rowOff>314325</xdr:rowOff>
        </xdr:from>
        <xdr:to>
          <xdr:col>24</xdr:col>
          <xdr:colOff>695325</xdr:colOff>
          <xdr:row>92</xdr:row>
          <xdr:rowOff>85725</xdr:rowOff>
        </xdr:to>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000-0000A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90</xdr:row>
          <xdr:rowOff>314325</xdr:rowOff>
        </xdr:from>
        <xdr:to>
          <xdr:col>24</xdr:col>
          <xdr:colOff>981075</xdr:colOff>
          <xdr:row>92</xdr:row>
          <xdr:rowOff>85725</xdr:rowOff>
        </xdr:to>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000-0000A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90</xdr:row>
          <xdr:rowOff>314325</xdr:rowOff>
        </xdr:from>
        <xdr:to>
          <xdr:col>25</xdr:col>
          <xdr:colOff>314325</xdr:colOff>
          <xdr:row>92</xdr:row>
          <xdr:rowOff>85725</xdr:rowOff>
        </xdr:to>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000-0000A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90</xdr:row>
          <xdr:rowOff>314325</xdr:rowOff>
        </xdr:from>
        <xdr:to>
          <xdr:col>25</xdr:col>
          <xdr:colOff>885825</xdr:colOff>
          <xdr:row>92</xdr:row>
          <xdr:rowOff>85725</xdr:rowOff>
        </xdr:to>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000-0000A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90</xdr:row>
          <xdr:rowOff>314325</xdr:rowOff>
        </xdr:from>
        <xdr:to>
          <xdr:col>25</xdr:col>
          <xdr:colOff>504825</xdr:colOff>
          <xdr:row>92</xdr:row>
          <xdr:rowOff>85725</xdr:rowOff>
        </xdr:to>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000-0000A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90</xdr:row>
          <xdr:rowOff>314325</xdr:rowOff>
        </xdr:from>
        <xdr:to>
          <xdr:col>25</xdr:col>
          <xdr:colOff>695325</xdr:colOff>
          <xdr:row>92</xdr:row>
          <xdr:rowOff>85725</xdr:rowOff>
        </xdr:to>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000-0000A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90</xdr:row>
          <xdr:rowOff>314325</xdr:rowOff>
        </xdr:from>
        <xdr:to>
          <xdr:col>25</xdr:col>
          <xdr:colOff>981075</xdr:colOff>
          <xdr:row>92</xdr:row>
          <xdr:rowOff>85725</xdr:rowOff>
        </xdr:to>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000-0000A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90</xdr:row>
          <xdr:rowOff>314325</xdr:rowOff>
        </xdr:from>
        <xdr:to>
          <xdr:col>22</xdr:col>
          <xdr:colOff>981075</xdr:colOff>
          <xdr:row>92</xdr:row>
          <xdr:rowOff>85725</xdr:rowOff>
        </xdr:to>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000-0000A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90</xdr:row>
          <xdr:rowOff>314325</xdr:rowOff>
        </xdr:from>
        <xdr:to>
          <xdr:col>22</xdr:col>
          <xdr:colOff>9525</xdr:colOff>
          <xdr:row>92</xdr:row>
          <xdr:rowOff>85725</xdr:rowOff>
        </xdr:to>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000-0000B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22</xdr:row>
      <xdr:rowOff>19050</xdr:rowOff>
    </xdr:from>
    <xdr:to>
      <xdr:col>5</xdr:col>
      <xdr:colOff>590550</xdr:colOff>
      <xdr:row>38</xdr:row>
      <xdr:rowOff>53619</xdr:rowOff>
    </xdr:to>
    <xdr:pic>
      <xdr:nvPicPr>
        <xdr:cNvPr id="3" name="Рисунок 2" descr="C:\Users\plekhanov.aa\AppData\Local\Packages\Microsoft.Windows.Photos_8wekyb3d8bbwe\TempState\ShareServiceTempFolder\Безымянный (1).jpeg">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9410700"/>
          <a:ext cx="3619500" cy="5130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19051</xdr:colOff>
      <xdr:row>15</xdr:row>
      <xdr:rowOff>9524</xdr:rowOff>
    </xdr:from>
    <xdr:to>
      <xdr:col>5</xdr:col>
      <xdr:colOff>590550</xdr:colOff>
      <xdr:row>33</xdr:row>
      <xdr:rowOff>122949</xdr:rowOff>
    </xdr:to>
    <xdr:pic>
      <xdr:nvPicPr>
        <xdr:cNvPr id="2" name="Рисунок 1" descr="C:\Users\plekhanov.aa\AppData\Local\Packages\Microsoft.Windows.Photos_8wekyb3d8bbwe\TempState\ShareServiceTempFolder\Безымянный (2).jpeg">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4752974"/>
          <a:ext cx="3619499" cy="591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24</xdr:row>
      <xdr:rowOff>28575</xdr:rowOff>
    </xdr:from>
    <xdr:to>
      <xdr:col>5</xdr:col>
      <xdr:colOff>600075</xdr:colOff>
      <xdr:row>50</xdr:row>
      <xdr:rowOff>128234</xdr:rowOff>
    </xdr:to>
    <xdr:pic>
      <xdr:nvPicPr>
        <xdr:cNvPr id="2" name="Рисунок 1" descr="C:\Users\plekhanov.aa\AppData\Local\Packages\Microsoft.Windows.Photos_8wekyb3d8bbwe\TempState\ShareServiceTempFolder\Безымянный (3).jpe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467600"/>
          <a:ext cx="3629025" cy="5976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11</xdr:row>
      <xdr:rowOff>28575</xdr:rowOff>
    </xdr:from>
    <xdr:to>
      <xdr:col>5</xdr:col>
      <xdr:colOff>585216</xdr:colOff>
      <xdr:row>31</xdr:row>
      <xdr:rowOff>47625</xdr:rowOff>
    </xdr:to>
    <xdr:pic>
      <xdr:nvPicPr>
        <xdr:cNvPr id="2" name="Рисунок 1" descr="C:\Users\plekhanov.aa\AppData\Local\Packages\Microsoft.Windows.Photos_8wekyb3d8bbwe\TempState\ShareServiceTempFolder\Безымянный (4).jpe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724275"/>
          <a:ext cx="3614166" cy="501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870858</xdr:colOff>
      <xdr:row>1</xdr:row>
      <xdr:rowOff>149679</xdr:rowOff>
    </xdr:from>
    <xdr:to>
      <xdr:col>12</xdr:col>
      <xdr:colOff>296693</xdr:colOff>
      <xdr:row>4</xdr:row>
      <xdr:rowOff>192357</xdr:rowOff>
    </xdr:to>
    <xdr:pic>
      <xdr:nvPicPr>
        <xdr:cNvPr id="97" name="Рисунок 96">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 xmlns:a1611="http://schemas.microsoft.com/office/drawing/2016/11/main" r:id="rId2"/>
            </a:ext>
          </a:extLst>
        </a:blip>
        <a:stretch>
          <a:fillRect/>
        </a:stretch>
      </xdr:blipFill>
      <xdr:spPr>
        <a:xfrm>
          <a:off x="8327572" y="449036"/>
          <a:ext cx="4555728" cy="128092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1091236</xdr:colOff>
      <xdr:row>1</xdr:row>
      <xdr:rowOff>81643</xdr:rowOff>
    </xdr:from>
    <xdr:to>
      <xdr:col>9</xdr:col>
      <xdr:colOff>756557</xdr:colOff>
      <xdr:row>3</xdr:row>
      <xdr:rowOff>505321</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 xmlns:a1611="http://schemas.microsoft.com/office/drawing/2016/11/main" r:id="rId2"/>
            </a:ext>
          </a:extLst>
        </a:blip>
        <a:stretch>
          <a:fillRect/>
        </a:stretch>
      </xdr:blipFill>
      <xdr:spPr>
        <a:xfrm>
          <a:off x="4220879" y="381000"/>
          <a:ext cx="4555728" cy="128092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12</xdr:row>
      <xdr:rowOff>9525</xdr:rowOff>
    </xdr:from>
    <xdr:to>
      <xdr:col>5</xdr:col>
      <xdr:colOff>600075</xdr:colOff>
      <xdr:row>30</xdr:row>
      <xdr:rowOff>96283</xdr:rowOff>
    </xdr:to>
    <xdr:pic>
      <xdr:nvPicPr>
        <xdr:cNvPr id="3" name="Рисунок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3095625"/>
          <a:ext cx="3629025" cy="44492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352425</xdr:rowOff>
    </xdr:from>
    <xdr:to>
      <xdr:col>5</xdr:col>
      <xdr:colOff>510010</xdr:colOff>
      <xdr:row>22</xdr:row>
      <xdr:rowOff>0</xdr:rowOff>
    </xdr:to>
    <xdr:pic>
      <xdr:nvPicPr>
        <xdr:cNvPr id="7" name="Рисунок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23925"/>
          <a:ext cx="3834235" cy="5133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19050</xdr:colOff>
      <xdr:row>0</xdr:row>
      <xdr:rowOff>0</xdr:rowOff>
    </xdr:from>
    <xdr:to>
      <xdr:col>19</xdr:col>
      <xdr:colOff>9525</xdr:colOff>
      <xdr:row>15</xdr:row>
      <xdr:rowOff>10647</xdr:rowOff>
    </xdr:to>
    <xdr:pic>
      <xdr:nvPicPr>
        <xdr:cNvPr id="2" name="Рисунок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34925" y="0"/>
          <a:ext cx="4257675" cy="53541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38100</xdr:colOff>
      <xdr:row>0</xdr:row>
      <xdr:rowOff>0</xdr:rowOff>
    </xdr:from>
    <xdr:to>
      <xdr:col>18</xdr:col>
      <xdr:colOff>600076</xdr:colOff>
      <xdr:row>16</xdr:row>
      <xdr:rowOff>19587</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34650" y="0"/>
          <a:ext cx="4219576" cy="53535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18</xdr:row>
      <xdr:rowOff>28574</xdr:rowOff>
    </xdr:from>
    <xdr:to>
      <xdr:col>5</xdr:col>
      <xdr:colOff>595025</xdr:colOff>
      <xdr:row>30</xdr:row>
      <xdr:rowOff>9524</xdr:rowOff>
    </xdr:to>
    <xdr:pic>
      <xdr:nvPicPr>
        <xdr:cNvPr id="2" name="Рисунок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5600699"/>
          <a:ext cx="3623975" cy="40862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11</xdr:row>
      <xdr:rowOff>28574</xdr:rowOff>
    </xdr:from>
    <xdr:to>
      <xdr:col>5</xdr:col>
      <xdr:colOff>600886</xdr:colOff>
      <xdr:row>29</xdr:row>
      <xdr:rowOff>685800</xdr:rowOff>
    </xdr:to>
    <xdr:pic>
      <xdr:nvPicPr>
        <xdr:cNvPr id="2" name="Рисунок 1" descr="C:\Users\plekhanov.aa\AppData\Local\Packages\Microsoft.Windows.Photos_8wekyb3d8bbwe\TempState\ShareServiceTempFolder\Безымянный.jpeg">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 y="3248024"/>
          <a:ext cx="3620312" cy="5524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38" Type="http://schemas.openxmlformats.org/officeDocument/2006/relationships/ctrlProp" Target="../ctrlProps/ctrlProp133.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53" Type="http://schemas.openxmlformats.org/officeDocument/2006/relationships/ctrlProp" Target="../ctrlProps/ctrlProp48.xml"/><Relationship Id="rId74" Type="http://schemas.openxmlformats.org/officeDocument/2006/relationships/ctrlProp" Target="../ctrlProps/ctrlProp69.xml"/><Relationship Id="rId128" Type="http://schemas.openxmlformats.org/officeDocument/2006/relationships/ctrlProp" Target="../ctrlProps/ctrlProp123.xml"/><Relationship Id="rId5" Type="http://schemas.openxmlformats.org/officeDocument/2006/relationships/image" Target="../media/image1.jpeg"/><Relationship Id="rId90" Type="http://schemas.openxmlformats.org/officeDocument/2006/relationships/ctrlProp" Target="../ctrlProps/ctrlProp85.xml"/><Relationship Id="rId95" Type="http://schemas.openxmlformats.org/officeDocument/2006/relationships/ctrlProp" Target="../ctrlProps/ctrlProp90.xml"/><Relationship Id="rId22" Type="http://schemas.openxmlformats.org/officeDocument/2006/relationships/ctrlProp" Target="../ctrlProps/ctrlProp17.xml"/><Relationship Id="rId27" Type="http://schemas.openxmlformats.org/officeDocument/2006/relationships/ctrlProp" Target="../ctrlProps/ctrlProp22.xml"/><Relationship Id="rId43" Type="http://schemas.openxmlformats.org/officeDocument/2006/relationships/ctrlProp" Target="../ctrlProps/ctrlProp38.xml"/><Relationship Id="rId48" Type="http://schemas.openxmlformats.org/officeDocument/2006/relationships/ctrlProp" Target="../ctrlProps/ctrlProp43.xml"/><Relationship Id="rId64" Type="http://schemas.openxmlformats.org/officeDocument/2006/relationships/ctrlProp" Target="../ctrlProps/ctrlProp59.xml"/><Relationship Id="rId69" Type="http://schemas.openxmlformats.org/officeDocument/2006/relationships/ctrlProp" Target="../ctrlProps/ctrlProp64.xml"/><Relationship Id="rId113" Type="http://schemas.openxmlformats.org/officeDocument/2006/relationships/ctrlProp" Target="../ctrlProps/ctrlProp108.xml"/><Relationship Id="rId118" Type="http://schemas.openxmlformats.org/officeDocument/2006/relationships/ctrlProp" Target="../ctrlProps/ctrlProp113.xml"/><Relationship Id="rId134" Type="http://schemas.openxmlformats.org/officeDocument/2006/relationships/ctrlProp" Target="../ctrlProps/ctrlProp129.xml"/><Relationship Id="rId139" Type="http://schemas.openxmlformats.org/officeDocument/2006/relationships/ctrlProp" Target="../ctrlProps/ctrlProp134.xml"/><Relationship Id="rId80" Type="http://schemas.openxmlformats.org/officeDocument/2006/relationships/ctrlProp" Target="../ctrlProps/ctrlProp75.xml"/><Relationship Id="rId85" Type="http://schemas.openxmlformats.org/officeDocument/2006/relationships/ctrlProp" Target="../ctrlProps/ctrlProp80.xml"/><Relationship Id="rId12" Type="http://schemas.openxmlformats.org/officeDocument/2006/relationships/ctrlProp" Target="../ctrlProps/ctrlProp7.xml"/><Relationship Id="rId17" Type="http://schemas.openxmlformats.org/officeDocument/2006/relationships/ctrlProp" Target="../ctrlProps/ctrlProp12.xml"/><Relationship Id="rId33" Type="http://schemas.openxmlformats.org/officeDocument/2006/relationships/ctrlProp" Target="../ctrlProps/ctrlProp28.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08" Type="http://schemas.openxmlformats.org/officeDocument/2006/relationships/ctrlProp" Target="../ctrlProps/ctrlProp103.xml"/><Relationship Id="rId124" Type="http://schemas.openxmlformats.org/officeDocument/2006/relationships/ctrlProp" Target="../ctrlProps/ctrlProp119.xml"/><Relationship Id="rId129" Type="http://schemas.openxmlformats.org/officeDocument/2006/relationships/ctrlProp" Target="../ctrlProps/ctrlProp124.xml"/><Relationship Id="rId54" Type="http://schemas.openxmlformats.org/officeDocument/2006/relationships/ctrlProp" Target="../ctrlProps/ctrlProp49.xml"/><Relationship Id="rId70" Type="http://schemas.openxmlformats.org/officeDocument/2006/relationships/ctrlProp" Target="../ctrlProps/ctrlProp65.xml"/><Relationship Id="rId75" Type="http://schemas.openxmlformats.org/officeDocument/2006/relationships/ctrlProp" Target="../ctrlProps/ctrlProp70.xml"/><Relationship Id="rId91" Type="http://schemas.openxmlformats.org/officeDocument/2006/relationships/ctrlProp" Target="../ctrlProps/ctrlProp86.xml"/><Relationship Id="rId96" Type="http://schemas.openxmlformats.org/officeDocument/2006/relationships/ctrlProp" Target="../ctrlProps/ctrlProp91.xml"/><Relationship Id="rId140" Type="http://schemas.openxmlformats.org/officeDocument/2006/relationships/ctrlProp" Target="../ctrlProps/ctrlProp135.xml"/><Relationship Id="rId145" Type="http://schemas.openxmlformats.org/officeDocument/2006/relationships/ctrlProp" Target="../ctrlProps/ctrlProp140.xml"/><Relationship Id="rId1" Type="http://schemas.microsoft.com/office/2006/relationships/xlExternalLinkPath/xlPathMissing" Target="&#1051;&#1080;&#1089;&#1090;%20&#1087;&#1077;&#1088;&#1089;&#1086;&#1085;&#1072;&#1078;&#1072;%20D&amp;D%20&#8212;%20&#1082;&#1086;&#1087;&#1080;&#1103;.xlsx" TargetMode="External"/><Relationship Id="rId6" Type="http://schemas.openxmlformats.org/officeDocument/2006/relationships/ctrlProp" Target="../ctrlProps/ctrlProp1.xml"/><Relationship Id="rId23" Type="http://schemas.openxmlformats.org/officeDocument/2006/relationships/ctrlProp" Target="../ctrlProps/ctrlProp1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119" Type="http://schemas.openxmlformats.org/officeDocument/2006/relationships/ctrlProp" Target="../ctrlProps/ctrlProp114.xml"/><Relationship Id="rId44" Type="http://schemas.openxmlformats.org/officeDocument/2006/relationships/ctrlProp" Target="../ctrlProps/ctrlProp39.xml"/><Relationship Id="rId60" Type="http://schemas.openxmlformats.org/officeDocument/2006/relationships/ctrlProp" Target="../ctrlProps/ctrlProp55.xml"/><Relationship Id="rId65" Type="http://schemas.openxmlformats.org/officeDocument/2006/relationships/ctrlProp" Target="../ctrlProps/ctrlProp60.xml"/><Relationship Id="rId81" Type="http://schemas.openxmlformats.org/officeDocument/2006/relationships/ctrlProp" Target="../ctrlProps/ctrlProp76.xml"/><Relationship Id="rId86" Type="http://schemas.openxmlformats.org/officeDocument/2006/relationships/ctrlProp" Target="../ctrlProps/ctrlProp81.xml"/><Relationship Id="rId130" Type="http://schemas.openxmlformats.org/officeDocument/2006/relationships/ctrlProp" Target="../ctrlProps/ctrlProp125.xml"/><Relationship Id="rId135" Type="http://schemas.openxmlformats.org/officeDocument/2006/relationships/ctrlProp" Target="../ctrlProps/ctrlProp130.xml"/><Relationship Id="rId13" Type="http://schemas.openxmlformats.org/officeDocument/2006/relationships/ctrlProp" Target="../ctrlProps/ctrlProp8.xml"/><Relationship Id="rId18" Type="http://schemas.openxmlformats.org/officeDocument/2006/relationships/ctrlProp" Target="../ctrlProps/ctrlProp13.xml"/><Relationship Id="rId39" Type="http://schemas.openxmlformats.org/officeDocument/2006/relationships/ctrlProp" Target="../ctrlProps/ctrlProp34.xml"/><Relationship Id="rId109" Type="http://schemas.openxmlformats.org/officeDocument/2006/relationships/ctrlProp" Target="../ctrlProps/ctrlProp104.xml"/><Relationship Id="rId34" Type="http://schemas.openxmlformats.org/officeDocument/2006/relationships/ctrlProp" Target="../ctrlProps/ctrlProp29.xml"/><Relationship Id="rId50" Type="http://schemas.openxmlformats.org/officeDocument/2006/relationships/ctrlProp" Target="../ctrlProps/ctrlProp45.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04" Type="http://schemas.openxmlformats.org/officeDocument/2006/relationships/ctrlProp" Target="../ctrlProps/ctrlProp99.xml"/><Relationship Id="rId120" Type="http://schemas.openxmlformats.org/officeDocument/2006/relationships/ctrlProp" Target="../ctrlProps/ctrlProp115.xml"/><Relationship Id="rId125" Type="http://schemas.openxmlformats.org/officeDocument/2006/relationships/ctrlProp" Target="../ctrlProps/ctrlProp120.xml"/><Relationship Id="rId141" Type="http://schemas.openxmlformats.org/officeDocument/2006/relationships/ctrlProp" Target="../ctrlProps/ctrlProp136.xml"/><Relationship Id="rId7" Type="http://schemas.openxmlformats.org/officeDocument/2006/relationships/ctrlProp" Target="../ctrlProps/ctrlProp2.xml"/><Relationship Id="rId71" Type="http://schemas.openxmlformats.org/officeDocument/2006/relationships/ctrlProp" Target="../ctrlProps/ctrlProp66.xml"/><Relationship Id="rId92" Type="http://schemas.openxmlformats.org/officeDocument/2006/relationships/ctrlProp" Target="../ctrlProps/ctrlProp87.xml"/><Relationship Id="rId2" Type="http://schemas.openxmlformats.org/officeDocument/2006/relationships/printerSettings" Target="../printerSettings/printerSettings1.bin"/><Relationship Id="rId29" Type="http://schemas.openxmlformats.org/officeDocument/2006/relationships/ctrlProp" Target="../ctrlProps/ctrlProp24.xml"/><Relationship Id="rId24" Type="http://schemas.openxmlformats.org/officeDocument/2006/relationships/ctrlProp" Target="../ctrlProps/ctrlProp19.xml"/><Relationship Id="rId40" Type="http://schemas.openxmlformats.org/officeDocument/2006/relationships/ctrlProp" Target="../ctrlProps/ctrlProp35.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15" Type="http://schemas.openxmlformats.org/officeDocument/2006/relationships/ctrlProp" Target="../ctrlProps/ctrlProp110.xml"/><Relationship Id="rId131" Type="http://schemas.openxmlformats.org/officeDocument/2006/relationships/ctrlProp" Target="../ctrlProps/ctrlProp126.xml"/><Relationship Id="rId136" Type="http://schemas.openxmlformats.org/officeDocument/2006/relationships/ctrlProp" Target="../ctrlProps/ctrlProp131.xml"/><Relationship Id="rId61" Type="http://schemas.openxmlformats.org/officeDocument/2006/relationships/ctrlProp" Target="../ctrlProps/ctrlProp56.xml"/><Relationship Id="rId82" Type="http://schemas.openxmlformats.org/officeDocument/2006/relationships/ctrlProp" Target="../ctrlProps/ctrlProp77.xml"/><Relationship Id="rId19" Type="http://schemas.openxmlformats.org/officeDocument/2006/relationships/ctrlProp" Target="../ctrlProps/ctrlProp14.xml"/><Relationship Id="rId14" Type="http://schemas.openxmlformats.org/officeDocument/2006/relationships/ctrlProp" Target="../ctrlProps/ctrlProp9.xml"/><Relationship Id="rId30" Type="http://schemas.openxmlformats.org/officeDocument/2006/relationships/ctrlProp" Target="../ctrlProps/ctrlProp25.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105" Type="http://schemas.openxmlformats.org/officeDocument/2006/relationships/ctrlProp" Target="../ctrlProps/ctrlProp100.xml"/><Relationship Id="rId126" Type="http://schemas.openxmlformats.org/officeDocument/2006/relationships/ctrlProp" Target="../ctrlProps/ctrlProp121.xml"/><Relationship Id="rId8" Type="http://schemas.openxmlformats.org/officeDocument/2006/relationships/ctrlProp" Target="../ctrlProps/ctrlProp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3" Type="http://schemas.openxmlformats.org/officeDocument/2006/relationships/drawing" Target="../drawings/drawing1.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116" Type="http://schemas.openxmlformats.org/officeDocument/2006/relationships/ctrlProp" Target="../ctrlProps/ctrlProp111.xml"/><Relationship Id="rId137" Type="http://schemas.openxmlformats.org/officeDocument/2006/relationships/ctrlProp" Target="../ctrlProps/ctrlProp132.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78" Type="http://schemas.openxmlformats.org/officeDocument/2006/relationships/ctrlProp" Target="../ctrlProps/ctrlProp73.xml"/><Relationship Id="rId94" Type="http://schemas.openxmlformats.org/officeDocument/2006/relationships/ctrlProp" Target="../ctrlProps/ctrlProp89.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4" Type="http://schemas.openxmlformats.org/officeDocument/2006/relationships/vmlDrawing" Target="../drawings/vmlDrawing1.vml"/><Relationship Id="rId9" Type="http://schemas.openxmlformats.org/officeDocument/2006/relationships/ctrlProp" Target="../ctrlProps/ctrlProp4.xml"/><Relationship Id="rId26" Type="http://schemas.openxmlformats.org/officeDocument/2006/relationships/ctrlProp" Target="../ctrlProps/ctrlProp2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6" Type="http://schemas.openxmlformats.org/officeDocument/2006/relationships/ctrlProp" Target="../ctrlProps/ctrlProp1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AP167"/>
  <sheetViews>
    <sheetView zoomScale="80" zoomScaleNormal="80" workbookViewId="0">
      <selection activeCell="Q23" sqref="Q23"/>
    </sheetView>
  </sheetViews>
  <sheetFormatPr defaultColWidth="15.140625" defaultRowHeight="137.25" customHeight="1"/>
  <cols>
    <col min="1" max="1" width="4.42578125" style="24" customWidth="1"/>
    <col min="2" max="2" width="4.7109375" style="3" customWidth="1"/>
    <col min="3" max="3" width="22.5703125" style="3" customWidth="1"/>
    <col min="4" max="4" width="15.140625" style="3"/>
    <col min="5" max="5" width="18.5703125" style="3" customWidth="1"/>
    <col min="6" max="6" width="13.85546875" style="3" customWidth="1"/>
    <col min="7" max="7" width="15.5703125" style="3" customWidth="1"/>
    <col min="8" max="8" width="15.140625" style="3"/>
    <col min="9" max="9" width="18.5703125" style="3" customWidth="1"/>
    <col min="10" max="10" width="16.42578125" style="3" customWidth="1"/>
    <col min="11" max="11" width="18" style="3" customWidth="1"/>
    <col min="12" max="12" width="15.140625" style="3"/>
    <col min="13" max="13" width="16" style="3" customWidth="1"/>
    <col min="14" max="14" width="15.140625" style="3"/>
    <col min="15" max="15" width="19.85546875" style="3" customWidth="1"/>
    <col min="16" max="16" width="16.7109375" style="3" customWidth="1"/>
    <col min="17" max="17" width="16.28515625" style="3" customWidth="1"/>
    <col min="18" max="18" width="20.28515625" style="3" customWidth="1"/>
    <col min="19" max="19" width="21.7109375" style="3" bestFit="1" customWidth="1"/>
    <col min="20" max="20" width="15.140625" style="3" customWidth="1"/>
    <col min="21" max="21" width="21.7109375" style="3" bestFit="1" customWidth="1"/>
    <col min="22" max="22" width="15.140625" style="3"/>
    <col min="23" max="26" width="15.140625" style="24"/>
    <col min="27" max="27" width="15.140625" style="3"/>
    <col min="28" max="28" width="5.85546875" style="3" customWidth="1"/>
    <col min="29" max="16384" width="15.140625" style="3"/>
  </cols>
  <sheetData>
    <row r="1" spans="1:42" s="24" customFormat="1" ht="24" customHeight="1" thickTop="1">
      <c r="A1" s="54"/>
      <c r="B1" s="56"/>
      <c r="C1" s="56"/>
      <c r="D1" s="56"/>
      <c r="E1" s="56"/>
      <c r="F1" s="56"/>
      <c r="G1" s="56"/>
      <c r="H1" s="56"/>
      <c r="I1" s="56"/>
      <c r="J1" s="56"/>
      <c r="K1" s="56"/>
      <c r="L1" s="56"/>
      <c r="M1" s="56"/>
      <c r="N1" s="56"/>
      <c r="O1" s="56"/>
      <c r="P1" s="56"/>
      <c r="Q1" s="56"/>
      <c r="R1" s="56"/>
      <c r="S1" s="56"/>
      <c r="T1" s="56"/>
      <c r="U1" s="56"/>
      <c r="V1" s="56"/>
      <c r="W1" s="56"/>
      <c r="X1" s="56"/>
      <c r="Y1" s="56"/>
      <c r="Z1" s="56"/>
      <c r="AA1" s="57"/>
      <c r="AB1" s="54"/>
    </row>
    <row r="2" spans="1:42" s="24" customFormat="1" ht="30" customHeight="1" thickBot="1">
      <c r="A2" s="54"/>
      <c r="B2" s="33"/>
      <c r="C2" s="551"/>
      <c r="D2" s="551"/>
      <c r="E2" s="551"/>
      <c r="F2" s="28"/>
      <c r="J2" s="28"/>
      <c r="K2" s="28"/>
      <c r="L2" s="28"/>
      <c r="M2" s="28"/>
      <c r="N2" s="28"/>
      <c r="O2" s="28"/>
      <c r="P2" s="28"/>
      <c r="Q2" s="28"/>
      <c r="R2" s="28"/>
      <c r="S2" s="28"/>
      <c r="T2" s="28"/>
      <c r="U2" s="28"/>
      <c r="V2" s="28"/>
      <c r="W2" s="28"/>
      <c r="X2" s="28"/>
      <c r="Y2" s="28"/>
      <c r="Z2" s="28"/>
      <c r="AA2" s="35"/>
      <c r="AB2" s="54"/>
    </row>
    <row r="3" spans="1:42" ht="25.5" customHeight="1" thickTop="1" thickBot="1">
      <c r="A3" s="54"/>
      <c r="B3" s="33"/>
      <c r="C3" s="555" t="s">
        <v>0</v>
      </c>
      <c r="D3" s="555"/>
      <c r="E3" s="555"/>
      <c r="F3" s="473"/>
      <c r="G3" s="24"/>
      <c r="H3" s="24"/>
      <c r="I3" s="24"/>
      <c r="J3" s="34"/>
      <c r="K3" s="34"/>
      <c r="L3" s="34"/>
      <c r="M3" s="34"/>
      <c r="N3" s="34"/>
      <c r="O3" s="34"/>
      <c r="P3" s="34"/>
      <c r="Q3" s="34"/>
      <c r="R3" s="34"/>
      <c r="S3" s="34"/>
      <c r="T3" s="34"/>
      <c r="U3" s="28"/>
      <c r="V3" s="28"/>
      <c r="W3" s="28"/>
      <c r="X3" s="28"/>
      <c r="Y3" s="28"/>
      <c r="Z3" s="28"/>
      <c r="AA3" s="35"/>
      <c r="AB3" s="54"/>
      <c r="AC3" s="24"/>
      <c r="AD3" s="24"/>
      <c r="AE3" s="24"/>
      <c r="AF3" s="24"/>
      <c r="AG3" s="24"/>
      <c r="AH3" s="24"/>
      <c r="AI3" s="24"/>
      <c r="AJ3" s="24"/>
      <c r="AK3" s="24"/>
      <c r="AL3" s="24"/>
      <c r="AM3" s="24"/>
      <c r="AN3" s="24"/>
      <c r="AO3" s="24"/>
      <c r="AP3" s="24"/>
    </row>
    <row r="4" spans="1:42" ht="27.75" customHeight="1" thickTop="1" thickBot="1">
      <c r="A4" s="54"/>
      <c r="B4" s="33"/>
      <c r="C4" s="551"/>
      <c r="D4" s="551"/>
      <c r="E4" s="551"/>
      <c r="F4" s="473"/>
      <c r="G4" s="557" t="s">
        <v>1</v>
      </c>
      <c r="H4" s="555"/>
      <c r="I4" s="555"/>
      <c r="J4" s="88" t="s">
        <v>2</v>
      </c>
      <c r="K4" s="133" t="s">
        <v>3</v>
      </c>
      <c r="L4" s="24"/>
      <c r="M4" s="562">
        <f>IF(P4&lt;1000,1,IF(P4&lt;3000,2,IF(P4&lt;6000,3, IF(P4&lt;10000, 4,IF(P4&lt;15000, 5,IF(P4&lt;21000, 6,IF(P4&lt;28000, 7,IF(P4&lt;36000, 8,IF(P4&lt;45000, 9,IF(P4&lt;55000, 10,IF(P4&lt;66000, 11,IF(P4&lt;78000, 12,IF(P4&lt;91000, 13,IF(P4&lt;105000, 14,IF(P4&lt;120000, 15,IF(P4&lt;136000, 16,IF(P4&lt;153000, 17,IF(P4&lt;171000, 18,IF(P4&lt;190000, 19, 20)))))))))))))))))))</f>
        <v>1</v>
      </c>
      <c r="N4" s="562"/>
      <c r="O4" s="562"/>
      <c r="P4" s="559">
        <v>0</v>
      </c>
      <c r="Q4" s="559"/>
      <c r="R4" s="559">
        <f>IF(M4=1,1000-P4,IF(M4=2,3000-P4,IF(M4=3,6000-P4,IF(M4=4,10000-P4,IF(M4=5,15000-P4,IF(M4=6,21000-P4,IF(M4=7,28000-P4,IF(M4=8,36000-P4,IF(M4=9,45000-P4,IF(M4=10,55000-P4,IF(M4=11,66000-P4,IF(M4=12,78000-P4,IF(M4=13,91000-P4,IF(M4=14,105000-P4,IF(M4=15,120000-P4,IF(M4=16,136000-P4,IF(M4=17,153000-P4,IF(M4=18,171000-P4,IF(M4=19,190000-P4,IF(M4=20,"МАКС",))))))))))))))))))))</f>
        <v>1000</v>
      </c>
      <c r="S4" s="559"/>
      <c r="T4" s="28"/>
      <c r="U4" s="28"/>
      <c r="V4" s="28"/>
      <c r="W4" s="28"/>
      <c r="X4" s="28"/>
      <c r="Y4" s="28"/>
      <c r="Z4" s="28"/>
      <c r="AA4" s="35"/>
      <c r="AB4" s="54"/>
      <c r="AC4" s="24"/>
      <c r="AD4" s="24"/>
      <c r="AE4" s="24"/>
      <c r="AF4" s="24"/>
      <c r="AG4" s="24"/>
      <c r="AH4" s="24"/>
      <c r="AI4" s="24"/>
      <c r="AJ4" s="24"/>
      <c r="AK4" s="24"/>
      <c r="AL4" s="24"/>
      <c r="AM4" s="24"/>
      <c r="AN4" s="24"/>
      <c r="AO4" s="24"/>
      <c r="AP4" s="28"/>
    </row>
    <row r="5" spans="1:42" ht="42" customHeight="1" thickTop="1" thickBot="1">
      <c r="A5" s="54"/>
      <c r="B5" s="33"/>
      <c r="C5" s="555" t="s">
        <v>4</v>
      </c>
      <c r="D5" s="555"/>
      <c r="E5" s="555"/>
      <c r="F5" s="473"/>
      <c r="G5" s="89">
        <v>1</v>
      </c>
      <c r="H5" s="556" t="s">
        <v>5</v>
      </c>
      <c r="I5" s="556"/>
      <c r="J5" s="90">
        <v>0</v>
      </c>
      <c r="K5" s="90">
        <f>IF(M4=1,IF(H5="Воин",(2+F15)*4,IF(H5="Варвар",(4+F15)*4,IF(H5="Вор",(8+F15)*4,IF(H5="Друид",(4+F15)*4,IF(H5="Жрец",(2+F15)*4,IF(H5="Волшебник",(2+F15)*4,IF(H5="Монах",(4+F15)*4,IF(H5="Паладин",(2+F15)*4,IF(H5="Рейнджер",(6+F15)*4,IF(H5="Чародей",(2+F15)*4,IF(H5="Бард",(6+F15)*4))))))))))),IF(H5="Бард",6+F15,IF(H5="Воин",2+F15,IF(H5="Варвар",4+F15,IF(H5="Вор",8+F15,IF(H5="Друид",4+F15,IF(H5="Жрец",2+F15,IF(H5="Волшебник",2+F15,IF(H5="Монах",4+F15,IF(H5="Паладин",2+F15,IF(H5="Рейнджер",6+F15,IF(H5="Чародей",2+F15))))))))))))</f>
        <v>4</v>
      </c>
      <c r="L5" s="24"/>
      <c r="M5" s="558" t="s">
        <v>6</v>
      </c>
      <c r="N5" s="558"/>
      <c r="O5" s="558"/>
      <c r="P5" s="558" t="s">
        <v>7</v>
      </c>
      <c r="Q5" s="558"/>
      <c r="R5" s="558" t="s">
        <v>8</v>
      </c>
      <c r="S5" s="558"/>
      <c r="T5" s="28"/>
      <c r="U5" s="28"/>
      <c r="V5" s="28"/>
      <c r="W5" s="28"/>
      <c r="X5" s="28"/>
      <c r="Y5" s="28"/>
      <c r="Z5" s="28"/>
      <c r="AA5" s="35"/>
      <c r="AB5" s="54"/>
      <c r="AC5" s="24"/>
      <c r="AD5" s="24"/>
      <c r="AE5" s="24"/>
      <c r="AF5" s="24"/>
      <c r="AG5" s="24"/>
      <c r="AH5" s="24"/>
      <c r="AI5" s="24"/>
      <c r="AJ5" s="24"/>
      <c r="AK5" s="24"/>
      <c r="AL5" s="24"/>
      <c r="AM5" s="24"/>
      <c r="AN5" s="24"/>
      <c r="AO5" s="24"/>
      <c r="AP5" s="28"/>
    </row>
    <row r="6" spans="1:42" ht="27.75" customHeight="1" thickTop="1" thickBot="1">
      <c r="A6" s="54"/>
      <c r="B6" s="33"/>
      <c r="C6" s="551" t="s">
        <v>9</v>
      </c>
      <c r="D6" s="551"/>
      <c r="E6" s="551"/>
      <c r="F6" s="473"/>
      <c r="G6" s="89">
        <v>2</v>
      </c>
      <c r="H6" s="556" t="s">
        <v>10</v>
      </c>
      <c r="I6" s="556"/>
      <c r="J6" s="91">
        <v>0</v>
      </c>
      <c r="K6" s="91">
        <v>0</v>
      </c>
      <c r="L6" s="24"/>
      <c r="M6" s="563"/>
      <c r="N6" s="563"/>
      <c r="O6" s="563"/>
      <c r="P6" s="476"/>
      <c r="Q6" s="563"/>
      <c r="R6" s="563"/>
      <c r="S6" s="563"/>
      <c r="T6" s="28"/>
      <c r="U6" s="28"/>
      <c r="V6" s="28"/>
      <c r="W6" s="28"/>
      <c r="X6" s="28"/>
      <c r="Y6" s="28"/>
      <c r="Z6" s="28"/>
      <c r="AA6" s="35"/>
      <c r="AB6" s="54"/>
      <c r="AC6" s="24"/>
      <c r="AD6" s="24"/>
      <c r="AE6" s="24"/>
      <c r="AF6" s="24"/>
      <c r="AG6" s="24"/>
      <c r="AH6" s="24"/>
      <c r="AI6" s="24"/>
      <c r="AJ6" s="24"/>
      <c r="AK6" s="24"/>
      <c r="AL6" s="24"/>
      <c r="AM6" s="24"/>
      <c r="AN6" s="24"/>
      <c r="AO6" s="24"/>
      <c r="AP6" s="28"/>
    </row>
    <row r="7" spans="1:42" ht="27.75" customHeight="1" thickTop="1" thickBot="1">
      <c r="A7" s="54"/>
      <c r="B7" s="33"/>
      <c r="C7" s="351" t="s">
        <v>11</v>
      </c>
      <c r="D7" s="351"/>
      <c r="E7" s="351"/>
      <c r="F7" s="473"/>
      <c r="G7" s="89">
        <v>3</v>
      </c>
      <c r="H7" s="556" t="s">
        <v>10</v>
      </c>
      <c r="I7" s="556"/>
      <c r="J7" s="91">
        <v>0</v>
      </c>
      <c r="K7" s="91">
        <v>0</v>
      </c>
      <c r="L7" s="24"/>
      <c r="M7" s="555" t="s">
        <v>12</v>
      </c>
      <c r="N7" s="555"/>
      <c r="O7" s="555"/>
      <c r="P7" s="476"/>
      <c r="Q7" s="555" t="s">
        <v>13</v>
      </c>
      <c r="R7" s="555"/>
      <c r="S7" s="555"/>
      <c r="T7" s="28"/>
      <c r="U7" s="28"/>
      <c r="V7" s="28"/>
      <c r="W7" s="28"/>
      <c r="X7" s="28"/>
      <c r="Y7" s="28"/>
      <c r="Z7" s="28"/>
      <c r="AA7" s="35"/>
      <c r="AB7" s="54"/>
      <c r="AC7" s="24"/>
      <c r="AD7" s="24"/>
      <c r="AE7" s="24"/>
      <c r="AF7" s="24"/>
      <c r="AG7" s="24"/>
      <c r="AH7" s="24"/>
      <c r="AI7" s="24"/>
      <c r="AJ7" s="24"/>
      <c r="AK7" s="24"/>
      <c r="AL7" s="24"/>
      <c r="AM7" s="24"/>
      <c r="AN7" s="24"/>
      <c r="AO7" s="24"/>
      <c r="AP7" s="28"/>
    </row>
    <row r="8" spans="1:42" ht="31.5" customHeight="1" thickTop="1" thickBot="1">
      <c r="A8" s="54"/>
      <c r="B8" s="33"/>
      <c r="C8" s="72" t="str">
        <f>IF(OR(C6="Гном",C6="{Хафлинг",),"Маленький","Средний")</f>
        <v>Средний</v>
      </c>
      <c r="D8" s="475"/>
      <c r="E8" s="73"/>
      <c r="F8" s="473"/>
      <c r="G8" s="89">
        <v>4</v>
      </c>
      <c r="H8" s="556" t="s">
        <v>10</v>
      </c>
      <c r="I8" s="556"/>
      <c r="J8" s="91">
        <v>0</v>
      </c>
      <c r="K8" s="91">
        <v>0</v>
      </c>
      <c r="L8" s="28"/>
      <c r="M8" s="28"/>
      <c r="N8" s="28"/>
      <c r="O8" s="28"/>
      <c r="P8" s="28"/>
      <c r="Q8" s="28"/>
      <c r="R8" s="28"/>
      <c r="S8" s="28"/>
      <c r="T8" s="28"/>
      <c r="U8" s="28"/>
      <c r="V8" s="28"/>
      <c r="W8" s="28"/>
      <c r="X8" s="28"/>
      <c r="Y8" s="28"/>
      <c r="Z8" s="28"/>
      <c r="AA8" s="35"/>
      <c r="AB8" s="54"/>
      <c r="AC8" s="24"/>
      <c r="AD8" s="24"/>
      <c r="AE8" s="24"/>
      <c r="AF8" s="24"/>
      <c r="AG8" s="24"/>
      <c r="AH8" s="24"/>
      <c r="AI8" s="24"/>
      <c r="AJ8" s="24"/>
      <c r="AK8" s="24"/>
      <c r="AL8" s="24"/>
      <c r="AM8" s="24"/>
      <c r="AN8" s="24"/>
      <c r="AO8" s="24"/>
      <c r="AP8" s="28"/>
    </row>
    <row r="9" spans="1:42" ht="27.75" customHeight="1" thickTop="1" thickBot="1">
      <c r="A9" s="54"/>
      <c r="B9" s="33"/>
      <c r="C9" s="61" t="s">
        <v>14</v>
      </c>
      <c r="D9" s="475"/>
      <c r="E9" s="61" t="s">
        <v>15</v>
      </c>
      <c r="F9" s="473"/>
      <c r="G9" s="92">
        <v>5</v>
      </c>
      <c r="H9" s="556" t="s">
        <v>10</v>
      </c>
      <c r="I9" s="556"/>
      <c r="J9" s="93">
        <v>0</v>
      </c>
      <c r="K9" s="93">
        <v>0</v>
      </c>
      <c r="L9" s="28"/>
      <c r="M9" s="28"/>
      <c r="N9" s="28"/>
      <c r="O9" s="28"/>
      <c r="P9" s="28"/>
      <c r="Q9" s="28"/>
      <c r="R9" s="28"/>
      <c r="S9" s="28"/>
      <c r="T9" s="28"/>
      <c r="U9" s="28"/>
      <c r="V9" s="28"/>
      <c r="W9" s="28"/>
      <c r="X9" s="28"/>
      <c r="Y9" s="28"/>
      <c r="Z9" s="28"/>
      <c r="AA9" s="35"/>
      <c r="AB9" s="54"/>
      <c r="AC9" s="24"/>
      <c r="AD9" s="24"/>
      <c r="AE9" s="24"/>
      <c r="AF9" s="24"/>
      <c r="AG9" s="24"/>
      <c r="AH9" s="24"/>
      <c r="AI9" s="24"/>
      <c r="AJ9" s="24"/>
      <c r="AK9" s="24"/>
      <c r="AL9" s="24"/>
      <c r="AM9" s="24"/>
      <c r="AN9" s="24"/>
      <c r="AO9" s="24"/>
      <c r="AP9" s="24"/>
    </row>
    <row r="10" spans="1:42" ht="27.75" customHeight="1" thickTop="1" thickBot="1">
      <c r="A10" s="54"/>
      <c r="B10" s="33"/>
      <c r="C10" s="474"/>
      <c r="D10" s="474"/>
      <c r="E10" s="474"/>
      <c r="F10" s="474"/>
      <c r="G10" s="474"/>
      <c r="H10" s="28"/>
      <c r="I10" s="28"/>
      <c r="J10" s="34"/>
      <c r="K10" s="28"/>
      <c r="L10" s="28"/>
      <c r="M10" s="28"/>
      <c r="N10" s="28"/>
      <c r="O10" s="28"/>
      <c r="P10" s="28"/>
      <c r="Q10" s="28"/>
      <c r="R10" s="28"/>
      <c r="S10" s="28"/>
      <c r="T10" s="28"/>
      <c r="U10" s="28"/>
      <c r="V10" s="28"/>
      <c r="W10" s="28"/>
      <c r="X10" s="28"/>
      <c r="Y10" s="28"/>
      <c r="Z10" s="28"/>
      <c r="AA10" s="35"/>
      <c r="AB10" s="54"/>
      <c r="AC10" s="24"/>
      <c r="AD10" s="24"/>
      <c r="AE10" s="24"/>
      <c r="AF10" s="24"/>
      <c r="AG10" s="24"/>
      <c r="AH10" s="24"/>
      <c r="AI10" s="24"/>
      <c r="AJ10" s="24"/>
      <c r="AK10" s="24"/>
      <c r="AL10" s="24"/>
      <c r="AM10" s="24"/>
      <c r="AN10" s="24"/>
      <c r="AO10" s="24"/>
      <c r="AP10" s="24"/>
    </row>
    <row r="11" spans="1:42" ht="38.25" customHeight="1" thickTop="1" thickBot="1">
      <c r="A11" s="54"/>
      <c r="B11" s="33"/>
      <c r="C11" s="7"/>
      <c r="D11" s="8" t="s">
        <v>16</v>
      </c>
      <c r="E11" s="128" t="s">
        <v>17</v>
      </c>
      <c r="F11" s="9" t="s">
        <v>18</v>
      </c>
      <c r="G11" s="9" t="s">
        <v>19</v>
      </c>
      <c r="H11" s="9" t="s">
        <v>20</v>
      </c>
      <c r="I11" s="9" t="s">
        <v>21</v>
      </c>
      <c r="J11" s="24"/>
      <c r="K11" s="28"/>
      <c r="L11" s="87"/>
      <c r="M11" s="28"/>
      <c r="N11" s="566" t="s">
        <v>22</v>
      </c>
      <c r="O11" s="566"/>
      <c r="P11" s="28"/>
      <c r="Q11" s="59" t="s">
        <v>23</v>
      </c>
      <c r="R11" s="28"/>
      <c r="S11" s="58" t="s">
        <v>24</v>
      </c>
      <c r="T11" s="28"/>
      <c r="U11" s="28"/>
      <c r="V11" s="28"/>
      <c r="W11" s="28"/>
      <c r="X11" s="28"/>
      <c r="Y11" s="28"/>
      <c r="Z11" s="28"/>
      <c r="AA11" s="35"/>
      <c r="AB11" s="54"/>
      <c r="AC11" s="24"/>
      <c r="AD11" s="24"/>
      <c r="AE11" s="24"/>
      <c r="AF11" s="24"/>
      <c r="AG11" s="24"/>
      <c r="AH11" s="24"/>
      <c r="AI11" s="24"/>
      <c r="AJ11" s="24"/>
      <c r="AK11" s="24"/>
      <c r="AL11" s="24"/>
      <c r="AM11" s="24"/>
      <c r="AN11" s="24"/>
      <c r="AO11" s="24"/>
      <c r="AP11" s="24"/>
    </row>
    <row r="12" spans="1:42" ht="38.25" customHeight="1" thickTop="1" thickBot="1">
      <c r="A12" s="54"/>
      <c r="B12" s="33"/>
      <c r="C12" s="6" t="s">
        <v>25</v>
      </c>
      <c r="D12" s="130">
        <v>15</v>
      </c>
      <c r="E12" s="129">
        <f>D12+I12</f>
        <v>15</v>
      </c>
      <c r="F12" s="127">
        <f t="shared" ref="F12:F17" si="0">IF(D12 = 9, -1,IF(D12&lt;10, -1, 1) * FLOOR(ABS((D12-10)) / 2, 1))</f>
        <v>2</v>
      </c>
      <c r="G12" s="125"/>
      <c r="H12" s="125"/>
      <c r="I12" s="125">
        <f>IF(C6="Гном", -2,)</f>
        <v>0</v>
      </c>
      <c r="J12" s="24"/>
      <c r="K12" s="48" t="s">
        <v>26</v>
      </c>
      <c r="L12" s="47">
        <f>IF(H9="Невыбрано",IF(H8="Невыбрано",IF(H7="Невыбрано",IF(H6="Невыбрано",IF(H5="Воин",Воин!H1)))))</f>
        <v>10</v>
      </c>
      <c r="M12" s="28"/>
      <c r="N12" s="564"/>
      <c r="O12" s="565"/>
      <c r="P12" s="28"/>
      <c r="Q12" s="74"/>
      <c r="R12" s="28"/>
      <c r="S12" s="74"/>
      <c r="T12" s="28"/>
      <c r="U12" s="28"/>
      <c r="V12" s="28"/>
      <c r="W12" s="28"/>
      <c r="X12" s="28"/>
      <c r="Y12" s="28"/>
      <c r="Z12" s="28"/>
      <c r="AA12" s="35"/>
      <c r="AB12" s="54"/>
      <c r="AC12" s="24"/>
      <c r="AD12" s="24"/>
      <c r="AE12" s="24"/>
      <c r="AF12" s="24"/>
      <c r="AG12" s="24"/>
      <c r="AH12" s="24"/>
      <c r="AI12" s="24"/>
      <c r="AJ12" s="24"/>
      <c r="AK12" s="24"/>
      <c r="AL12" s="24"/>
      <c r="AM12" s="24"/>
      <c r="AN12" s="24"/>
      <c r="AO12" s="24"/>
      <c r="AP12" s="24"/>
    </row>
    <row r="13" spans="1:42" ht="38.25" customHeight="1" thickTop="1" thickBot="1">
      <c r="A13" s="54"/>
      <c r="B13" s="33"/>
      <c r="C13" s="4" t="s">
        <v>27</v>
      </c>
      <c r="D13" s="131">
        <v>12</v>
      </c>
      <c r="E13" s="129">
        <f t="shared" ref="E13:E17" si="1">D13+I13</f>
        <v>12</v>
      </c>
      <c r="F13" s="127">
        <f t="shared" si="0"/>
        <v>1</v>
      </c>
      <c r="G13" s="126"/>
      <c r="H13" s="126"/>
      <c r="I13" s="126"/>
      <c r="J13" s="24"/>
      <c r="K13" s="28"/>
      <c r="L13" s="28"/>
      <c r="M13" s="28"/>
      <c r="N13" s="28"/>
      <c r="O13" s="28"/>
      <c r="P13" s="28"/>
      <c r="Q13" s="28"/>
      <c r="R13" s="28"/>
      <c r="S13" s="28"/>
      <c r="T13" s="28"/>
      <c r="U13" s="28"/>
      <c r="V13" s="28"/>
      <c r="W13" s="28"/>
      <c r="X13" s="28"/>
      <c r="Y13" s="28"/>
      <c r="Z13" s="28"/>
      <c r="AA13" s="35"/>
      <c r="AB13" s="54"/>
      <c r="AC13" s="24"/>
      <c r="AD13" s="24"/>
      <c r="AE13" s="24"/>
      <c r="AF13" s="24"/>
      <c r="AG13" s="24"/>
      <c r="AH13" s="24"/>
      <c r="AI13" s="24"/>
      <c r="AJ13" s="24"/>
      <c r="AK13" s="24"/>
      <c r="AL13" s="24"/>
      <c r="AM13" s="24"/>
      <c r="AN13" s="24"/>
      <c r="AO13" s="24"/>
      <c r="AP13" s="24"/>
    </row>
    <row r="14" spans="1:42" ht="42.75" customHeight="1" thickTop="1" thickBot="1">
      <c r="A14" s="54"/>
      <c r="B14" s="33"/>
      <c r="C14" s="4" t="s">
        <v>28</v>
      </c>
      <c r="D14" s="131">
        <v>13</v>
      </c>
      <c r="E14" s="129">
        <f t="shared" si="1"/>
        <v>13</v>
      </c>
      <c r="F14" s="127">
        <f t="shared" si="0"/>
        <v>1</v>
      </c>
      <c r="G14" s="126"/>
      <c r="H14" s="126"/>
      <c r="I14" s="126">
        <f>IF(C6="Гном",2,IF(C6="Дварф",2,))</f>
        <v>0</v>
      </c>
      <c r="J14" s="24"/>
      <c r="K14" s="50" t="s">
        <v>29</v>
      </c>
      <c r="L14" s="10">
        <f>N14+O14+P14+Q14+R14+S14+T14+U14</f>
        <v>11</v>
      </c>
      <c r="M14" s="36" t="s">
        <v>30</v>
      </c>
      <c r="N14" s="36">
        <v>10</v>
      </c>
      <c r="O14" s="75"/>
      <c r="P14" s="75"/>
      <c r="Q14" s="75">
        <f>F13</f>
        <v>1</v>
      </c>
      <c r="R14" s="75">
        <f>IF(C8 = "Маленький", 1, IF(C8 = "Средний", 0, IF(C8 = "Большой", 2, "ERROR")))</f>
        <v>0</v>
      </c>
      <c r="S14" s="75"/>
      <c r="T14" s="75"/>
      <c r="U14" s="75"/>
      <c r="V14" s="28"/>
      <c r="W14" s="28"/>
      <c r="X14" s="28"/>
      <c r="Y14" s="28"/>
      <c r="Z14" s="28"/>
      <c r="AA14" s="35"/>
      <c r="AB14" s="54"/>
      <c r="AC14" s="24"/>
      <c r="AD14" s="24"/>
      <c r="AE14" s="24"/>
      <c r="AF14" s="24"/>
      <c r="AG14" s="24"/>
      <c r="AH14" s="24"/>
      <c r="AI14" s="24"/>
      <c r="AJ14" s="24"/>
      <c r="AK14" s="24"/>
      <c r="AL14" s="24"/>
      <c r="AM14" s="24"/>
      <c r="AN14" s="24"/>
      <c r="AO14" s="24"/>
      <c r="AP14" s="24"/>
    </row>
    <row r="15" spans="1:42" ht="38.25" customHeight="1" thickTop="1" thickBot="1">
      <c r="A15" s="54"/>
      <c r="B15" s="33"/>
      <c r="C15" s="4" t="s">
        <v>31</v>
      </c>
      <c r="D15" s="131">
        <v>9</v>
      </c>
      <c r="E15" s="129">
        <f t="shared" si="1"/>
        <v>9</v>
      </c>
      <c r="F15" s="127">
        <f t="shared" si="0"/>
        <v>-1</v>
      </c>
      <c r="G15" s="126"/>
      <c r="H15" s="126"/>
      <c r="I15" s="126"/>
      <c r="J15" s="24"/>
      <c r="K15" s="28"/>
      <c r="L15" s="28"/>
      <c r="M15" s="28"/>
      <c r="N15" s="28"/>
      <c r="O15" s="60" t="s">
        <v>32</v>
      </c>
      <c r="P15" s="60" t="s">
        <v>33</v>
      </c>
      <c r="Q15" s="60" t="s">
        <v>34</v>
      </c>
      <c r="R15" s="60" t="s">
        <v>35</v>
      </c>
      <c r="S15" s="60" t="s">
        <v>36</v>
      </c>
      <c r="T15" s="60" t="s">
        <v>37</v>
      </c>
      <c r="U15" s="60" t="s">
        <v>38</v>
      </c>
      <c r="V15" s="28"/>
      <c r="W15" s="28"/>
      <c r="X15" s="28"/>
      <c r="Y15" s="28"/>
      <c r="Z15" s="28"/>
      <c r="AA15" s="35"/>
      <c r="AB15" s="54"/>
      <c r="AC15" s="24"/>
      <c r="AD15" s="24"/>
      <c r="AE15" s="24"/>
      <c r="AF15" s="24"/>
      <c r="AG15" s="24"/>
      <c r="AH15" s="24"/>
      <c r="AI15" s="24"/>
      <c r="AJ15" s="24"/>
      <c r="AK15" s="24"/>
      <c r="AL15" s="24"/>
      <c r="AM15" s="24"/>
      <c r="AN15" s="24"/>
      <c r="AO15" s="24"/>
      <c r="AP15" s="24"/>
    </row>
    <row r="16" spans="1:42" ht="38.25" customHeight="1" thickTop="1" thickBot="1">
      <c r="A16" s="54"/>
      <c r="B16" s="33"/>
      <c r="C16" s="4" t="s">
        <v>39</v>
      </c>
      <c r="D16" s="132">
        <v>8</v>
      </c>
      <c r="E16" s="129">
        <f t="shared" si="1"/>
        <v>8</v>
      </c>
      <c r="F16" s="127">
        <f t="shared" si="0"/>
        <v>-1</v>
      </c>
      <c r="G16" s="126"/>
      <c r="H16" s="126"/>
      <c r="I16" s="126"/>
      <c r="J16" s="24"/>
      <c r="K16" s="28"/>
      <c r="L16" s="28"/>
      <c r="M16" s="28"/>
      <c r="N16" s="28"/>
      <c r="O16" s="28"/>
      <c r="P16" s="28"/>
      <c r="Q16" s="28"/>
      <c r="R16" s="28"/>
      <c r="S16" s="28"/>
      <c r="T16" s="28"/>
      <c r="U16" s="28"/>
      <c r="V16" s="28"/>
      <c r="W16" s="28"/>
      <c r="X16" s="28"/>
      <c r="Y16" s="28"/>
      <c r="Z16" s="28"/>
      <c r="AA16" s="35"/>
      <c r="AB16" s="54"/>
      <c r="AC16" s="24"/>
      <c r="AD16" s="24"/>
      <c r="AE16" s="24"/>
      <c r="AF16" s="24"/>
      <c r="AG16" s="24"/>
      <c r="AH16" s="24"/>
      <c r="AI16" s="24"/>
      <c r="AJ16" s="24"/>
      <c r="AK16" s="24"/>
      <c r="AL16" s="24"/>
      <c r="AM16" s="24"/>
      <c r="AN16" s="24"/>
      <c r="AO16" s="24"/>
      <c r="AP16" s="24"/>
    </row>
    <row r="17" spans="1:31" ht="38.25" customHeight="1" thickTop="1" thickBot="1">
      <c r="A17" s="54"/>
      <c r="B17" s="33"/>
      <c r="C17" s="5" t="s">
        <v>40</v>
      </c>
      <c r="D17" s="131">
        <v>12</v>
      </c>
      <c r="E17" s="129">
        <f t="shared" si="1"/>
        <v>12</v>
      </c>
      <c r="F17" s="127">
        <f t="shared" si="0"/>
        <v>1</v>
      </c>
      <c r="G17" s="124"/>
      <c r="H17" s="124"/>
      <c r="I17" s="124">
        <f>IF(C6="Дварф",-2,)</f>
        <v>0</v>
      </c>
      <c r="J17" s="24"/>
      <c r="K17" s="48" t="s">
        <v>41</v>
      </c>
      <c r="L17" s="47">
        <f>N17+O17</f>
        <v>1</v>
      </c>
      <c r="M17" s="37" t="s">
        <v>42</v>
      </c>
      <c r="N17" s="135">
        <f>F13</f>
        <v>1</v>
      </c>
      <c r="O17" s="135">
        <v>0</v>
      </c>
      <c r="P17" s="28"/>
      <c r="Q17" s="28"/>
      <c r="R17" s="28"/>
      <c r="S17" s="28"/>
      <c r="T17" s="28"/>
      <c r="U17" s="28"/>
      <c r="V17" s="28"/>
      <c r="W17" s="28"/>
      <c r="X17" s="28"/>
      <c r="Y17" s="28"/>
      <c r="Z17" s="28"/>
      <c r="AA17" s="35"/>
      <c r="AB17" s="54"/>
      <c r="AC17" s="24"/>
      <c r="AD17" s="24"/>
      <c r="AE17" s="24"/>
    </row>
    <row r="18" spans="1:31" ht="30.75" customHeight="1" thickTop="1">
      <c r="A18" s="54"/>
      <c r="B18" s="33"/>
      <c r="C18" s="28"/>
      <c r="D18" s="28"/>
      <c r="E18" s="28"/>
      <c r="F18" s="28"/>
      <c r="G18" s="28"/>
      <c r="H18" s="28"/>
      <c r="I18" s="24"/>
      <c r="J18" s="24"/>
      <c r="K18" s="28"/>
      <c r="L18" s="28"/>
      <c r="M18" s="28"/>
      <c r="N18" s="134" t="s">
        <v>34</v>
      </c>
      <c r="O18" s="134" t="s">
        <v>38</v>
      </c>
      <c r="P18" s="28"/>
      <c r="Q18" s="28"/>
      <c r="R18" s="28"/>
      <c r="S18" s="28"/>
      <c r="T18" s="28"/>
      <c r="U18" s="28"/>
      <c r="V18" s="28"/>
      <c r="W18" s="28"/>
      <c r="X18" s="28"/>
      <c r="Y18" s="28"/>
      <c r="Z18" s="28"/>
      <c r="AA18" s="35"/>
      <c r="AB18" s="54"/>
      <c r="AC18" s="24"/>
      <c r="AD18" s="24"/>
      <c r="AE18" s="24"/>
    </row>
    <row r="19" spans="1:31" ht="41.25" customHeight="1">
      <c r="A19" s="54"/>
      <c r="B19" s="33"/>
      <c r="C19" s="24"/>
      <c r="D19" s="24"/>
      <c r="E19" s="24"/>
      <c r="F19" s="24"/>
      <c r="G19" s="24"/>
      <c r="H19" s="24"/>
      <c r="I19" s="24"/>
      <c r="J19" s="24"/>
      <c r="K19" s="24"/>
      <c r="L19" s="24"/>
      <c r="M19" s="24"/>
      <c r="N19" s="28"/>
      <c r="O19" s="24"/>
      <c r="P19" s="24"/>
      <c r="Q19" s="24"/>
      <c r="R19" s="24"/>
      <c r="S19" s="24"/>
      <c r="T19" s="24"/>
      <c r="U19" s="24"/>
      <c r="V19" s="28"/>
      <c r="W19" s="28"/>
      <c r="X19" s="28"/>
      <c r="Y19" s="28"/>
      <c r="Z19" s="28"/>
      <c r="AA19" s="28"/>
      <c r="AB19" s="54"/>
      <c r="AC19" s="24"/>
      <c r="AD19" s="24"/>
      <c r="AE19" s="24"/>
    </row>
    <row r="20" spans="1:31" ht="36.75" customHeight="1" thickBot="1">
      <c r="A20" s="54"/>
      <c r="B20" s="33"/>
      <c r="C20" s="560" t="s">
        <v>43</v>
      </c>
      <c r="D20" s="561"/>
      <c r="E20" s="561"/>
      <c r="F20" s="561"/>
      <c r="G20" s="561"/>
      <c r="H20" s="561"/>
      <c r="I20" s="561"/>
      <c r="J20" s="24"/>
      <c r="K20" s="76" t="s">
        <v>44</v>
      </c>
      <c r="L20" s="77"/>
      <c r="M20" s="77"/>
      <c r="N20" s="78" t="s">
        <v>45</v>
      </c>
      <c r="O20" s="79">
        <f>Q20-O22-O23-O24-O25-O26-O27-O28-O29-O30-O31-O32-O33-O34-O35-O36-O37-O38-O39-O40-O41-O42-O43-O44-O45-O46-O47-O48-O49-O50-O51-O52-O53-O54-O55-O56-O57-O58-O59-O60-O61-O62-O63-O64-O65</f>
        <v>4</v>
      </c>
      <c r="P20" s="79" t="s">
        <v>46</v>
      </c>
      <c r="Q20" s="79">
        <f>IF(M4=1,IF(H5="Воин",(2+F15)*4,IF(H5="Варвар",(4+F15)*4,IF(H5="Вор",(8+F15)*4,IF(H5="Друид",(4+F15)*4,IF(H5="Жрец",(2+F15)*4,IF(H5="Волшебник",(2+F15)*4,IF(H5="Монах",(4+F15)*4,IF(H5="Паладин",(2+F15)*4,IF(H5="Рейнджер",(6+F15)*4,IF(H5="Чародей",(2+F15)*4,IF(H5="Бард",(6+F15)*4))))))))))),IF(H5="Бард",(6+F15)*4+(6+F15)*(M4-1),IF(H5="Воин",(2+F15)*4+(2+F15)*(M4-1),IF(H5="Варвар",(4+F15)*4+(4+F15)*(M4-1),IF(H5="Вор",(8+F15)*4+(8+F15)*(M4-1),IF(H5="Друид",(4+F15)*4+(4+F15)*(M4-1),IF(H5="Жрец",(2+F15)*4+(2+F15)*(M4-1),IF(H5="Волшебник",(2+F15)*4+(2+F15)*(M4-1),IF(H5="Монах",(4+F15)*4+(4+F15)*(M4-1),IF(H5="Паладин",(2+F15)*4+(2+F15)*(M4-1),IF(H5="Рейнджер",(6+F15)*4+(6+F15)*(M4-1),IF(H5="Чародей",(2+F15)*4+(2+F15)*(M4-1)))))))))))))</f>
        <v>4</v>
      </c>
      <c r="R20" s="24"/>
      <c r="S20" s="24"/>
      <c r="T20" s="24"/>
      <c r="U20" s="24"/>
      <c r="V20" s="28"/>
      <c r="W20" s="28"/>
      <c r="X20" s="28"/>
      <c r="Y20" s="28"/>
      <c r="Z20" s="28"/>
      <c r="AA20" s="28"/>
      <c r="AB20" s="54"/>
      <c r="AC20" s="24"/>
      <c r="AD20" s="24"/>
      <c r="AE20" s="24"/>
    </row>
    <row r="21" spans="1:31" ht="27.75" customHeight="1" thickTop="1">
      <c r="A21" s="54"/>
      <c r="B21" s="33"/>
      <c r="C21" s="581"/>
      <c r="D21" s="582"/>
      <c r="E21" s="582"/>
      <c r="F21" s="582"/>
      <c r="G21" s="582"/>
      <c r="H21" s="582"/>
      <c r="I21" s="583"/>
      <c r="J21" s="24"/>
      <c r="K21" s="39" t="s">
        <v>47</v>
      </c>
      <c r="L21" s="30" t="s">
        <v>48</v>
      </c>
      <c r="M21" s="39" t="s">
        <v>49</v>
      </c>
      <c r="N21" s="39" t="s">
        <v>1</v>
      </c>
      <c r="O21" s="39" t="s">
        <v>50</v>
      </c>
      <c r="P21" s="39" t="s">
        <v>51</v>
      </c>
      <c r="Q21" s="39" t="s">
        <v>52</v>
      </c>
      <c r="R21" s="24"/>
      <c r="S21" s="24"/>
      <c r="T21" s="24"/>
      <c r="U21" s="24"/>
      <c r="V21" s="24"/>
      <c r="AA21" s="35"/>
      <c r="AB21" s="54"/>
      <c r="AC21" s="24"/>
      <c r="AD21" s="55" t="b">
        <v>0</v>
      </c>
      <c r="AE21" s="55" t="b">
        <v>0</v>
      </c>
    </row>
    <row r="22" spans="1:31" ht="32.25" customHeight="1">
      <c r="A22" s="54"/>
      <c r="B22" s="33"/>
      <c r="C22" s="584"/>
      <c r="D22" s="585"/>
      <c r="E22" s="585"/>
      <c r="F22" s="585"/>
      <c r="G22" s="585"/>
      <c r="H22" s="585"/>
      <c r="I22" s="586"/>
      <c r="J22" s="24"/>
      <c r="K22" s="31" t="s">
        <v>53</v>
      </c>
      <c r="L22" s="80">
        <f>IF(N22=1,O22+P22+Q22+F13,FLOOR(O22/2,1)+P22+Q22+F13)</f>
        <v>1</v>
      </c>
      <c r="M22" s="31" t="s">
        <v>27</v>
      </c>
      <c r="N22" s="81"/>
      <c r="O22" s="85">
        <v>0</v>
      </c>
      <c r="P22" s="81"/>
      <c r="Q22" s="86"/>
      <c r="R22" s="24"/>
      <c r="S22" s="24"/>
      <c r="T22" s="24"/>
      <c r="U22" s="24"/>
      <c r="V22" s="24"/>
      <c r="AA22" s="35"/>
      <c r="AB22" s="54"/>
      <c r="AC22" s="24"/>
      <c r="AD22" s="55" t="b">
        <v>0</v>
      </c>
      <c r="AE22" s="55" t="b">
        <v>0</v>
      </c>
    </row>
    <row r="23" spans="1:31" ht="27.75" customHeight="1">
      <c r="A23" s="54"/>
      <c r="B23" s="33"/>
      <c r="C23" s="584"/>
      <c r="D23" s="585"/>
      <c r="E23" s="585"/>
      <c r="F23" s="585"/>
      <c r="G23" s="585"/>
      <c r="H23" s="585"/>
      <c r="I23" s="586"/>
      <c r="J23" s="24"/>
      <c r="K23" s="31" t="s">
        <v>54</v>
      </c>
      <c r="L23" s="80">
        <f>IF(N23=1,O23+P23+Q23+F13,FLOOR(O23/2,1)+P23+Q23+F13)</f>
        <v>1</v>
      </c>
      <c r="M23" s="31" t="s">
        <v>27</v>
      </c>
      <c r="N23" s="81"/>
      <c r="O23" s="82">
        <v>0</v>
      </c>
      <c r="P23" s="81"/>
      <c r="Q23" s="83"/>
      <c r="R23" s="24"/>
      <c r="S23" s="24"/>
      <c r="T23" s="24"/>
      <c r="U23" s="24"/>
      <c r="V23" s="24"/>
      <c r="AA23" s="35"/>
      <c r="AB23" s="54"/>
      <c r="AC23" s="24"/>
      <c r="AD23" s="55" t="b">
        <v>0</v>
      </c>
      <c r="AE23" s="55" t="b">
        <v>0</v>
      </c>
    </row>
    <row r="24" spans="1:31" ht="27.75" customHeight="1">
      <c r="A24" s="54"/>
      <c r="B24" s="33"/>
      <c r="C24" s="584"/>
      <c r="D24" s="585"/>
      <c r="E24" s="585"/>
      <c r="F24" s="585"/>
      <c r="G24" s="585"/>
      <c r="H24" s="585"/>
      <c r="I24" s="586"/>
      <c r="J24" s="24"/>
      <c r="K24" s="31" t="s">
        <v>55</v>
      </c>
      <c r="L24" s="80">
        <f>IF(N24=1,O24+P24+Q24+F13,FLOOR(O24/2,1)+P24+Q24+F13)</f>
        <v>1</v>
      </c>
      <c r="M24" s="31" t="s">
        <v>27</v>
      </c>
      <c r="N24" s="81">
        <f>IF(H5="Воин", 1,2)</f>
        <v>1</v>
      </c>
      <c r="O24" s="82">
        <v>0</v>
      </c>
      <c r="P24" s="81"/>
      <c r="Q24" s="83"/>
      <c r="R24" s="24"/>
      <c r="S24" s="24"/>
      <c r="T24" s="24"/>
      <c r="U24" s="24"/>
      <c r="V24" s="24"/>
      <c r="AA24" s="35"/>
      <c r="AB24" s="54"/>
      <c r="AC24" s="24"/>
      <c r="AD24" s="55" t="b">
        <v>0</v>
      </c>
      <c r="AE24" s="55" t="b">
        <v>0</v>
      </c>
    </row>
    <row r="25" spans="1:31" ht="27.75" customHeight="1">
      <c r="A25" s="54" t="b">
        <f>IF(C6="Гном",C21=Расы!A12)</f>
        <v>0</v>
      </c>
      <c r="B25" s="33"/>
      <c r="C25" s="584"/>
      <c r="D25" s="585"/>
      <c r="E25" s="585"/>
      <c r="F25" s="585"/>
      <c r="G25" s="585"/>
      <c r="H25" s="585"/>
      <c r="I25" s="586"/>
      <c r="J25" s="24"/>
      <c r="K25" s="31" t="s">
        <v>56</v>
      </c>
      <c r="L25" s="80">
        <f>IF(N25=1,O25+P25+Q25+F16,FLOOR(O25/2,1)+P25+Q25+F16)</f>
        <v>-1</v>
      </c>
      <c r="M25" s="31" t="s">
        <v>39</v>
      </c>
      <c r="N25" s="81"/>
      <c r="O25" s="82">
        <v>0</v>
      </c>
      <c r="P25" s="81"/>
      <c r="Q25" s="83"/>
      <c r="R25" s="24"/>
      <c r="S25" s="24"/>
      <c r="T25" s="24"/>
      <c r="U25" s="24"/>
      <c r="V25" s="24"/>
      <c r="AA25" s="35"/>
      <c r="AB25" s="54"/>
      <c r="AC25" s="24"/>
      <c r="AD25" s="55" t="b">
        <v>0</v>
      </c>
      <c r="AE25" s="55" t="b">
        <v>0</v>
      </c>
    </row>
    <row r="26" spans="1:31" ht="27.75" customHeight="1">
      <c r="A26" s="54"/>
      <c r="B26" s="33"/>
      <c r="C26" s="584"/>
      <c r="D26" s="585"/>
      <c r="E26" s="585"/>
      <c r="F26" s="585"/>
      <c r="G26" s="585"/>
      <c r="H26" s="585"/>
      <c r="I26" s="586"/>
      <c r="J26" s="24"/>
      <c r="K26" s="31" t="s">
        <v>57</v>
      </c>
      <c r="L26" s="80">
        <f>IF(N26=1,O26+P26+Q26+F17,FLOOR(O26/2,1)+P26+Q26+F17)</f>
        <v>3</v>
      </c>
      <c r="M26" s="31" t="s">
        <v>40</v>
      </c>
      <c r="N26" s="81"/>
      <c r="O26" s="82">
        <v>0</v>
      </c>
      <c r="P26" s="81">
        <f>IF(C6="Полуэльф", 2,0)</f>
        <v>2</v>
      </c>
      <c r="Q26" s="83"/>
      <c r="R26" s="24"/>
      <c r="S26" s="24"/>
      <c r="T26" s="24"/>
      <c r="U26" s="24"/>
      <c r="V26" s="24"/>
      <c r="AA26" s="35"/>
      <c r="AB26" s="54"/>
      <c r="AC26" s="24"/>
      <c r="AD26" s="55" t="b">
        <v>0</v>
      </c>
      <c r="AE26" s="55" t="b">
        <v>0</v>
      </c>
    </row>
    <row r="27" spans="1:31" ht="27.75" customHeight="1">
      <c r="A27" s="54"/>
      <c r="B27" s="33"/>
      <c r="C27" s="584"/>
      <c r="D27" s="585"/>
      <c r="E27" s="585"/>
      <c r="F27" s="585"/>
      <c r="G27" s="585"/>
      <c r="H27" s="585"/>
      <c r="I27" s="586"/>
      <c r="J27" s="24"/>
      <c r="K27" s="31" t="s">
        <v>58</v>
      </c>
      <c r="L27" s="80">
        <f>IF(N27=1,O27+P27+Q27+F17,FLOOR(O27/2,1)+P27+Q27+F17)</f>
        <v>1</v>
      </c>
      <c r="M27" s="31" t="s">
        <v>40</v>
      </c>
      <c r="N27" s="81">
        <f>IF(H5="Воин", 1,2)</f>
        <v>1</v>
      </c>
      <c r="O27" s="82">
        <v>0</v>
      </c>
      <c r="P27" s="81"/>
      <c r="Q27" s="83"/>
      <c r="R27" s="24"/>
      <c r="S27" s="24"/>
      <c r="T27" s="24"/>
      <c r="U27" s="24"/>
      <c r="V27" s="24"/>
      <c r="AA27" s="35"/>
      <c r="AB27" s="54"/>
      <c r="AC27" s="24"/>
      <c r="AD27" s="55" t="b">
        <v>0</v>
      </c>
      <c r="AE27" s="55" t="b">
        <v>0</v>
      </c>
    </row>
    <row r="28" spans="1:31" ht="40.5" customHeight="1">
      <c r="A28" s="54"/>
      <c r="B28" s="33"/>
      <c r="C28" s="584"/>
      <c r="D28" s="585"/>
      <c r="E28" s="585"/>
      <c r="F28" s="585"/>
      <c r="G28" s="585"/>
      <c r="H28" s="585"/>
      <c r="I28" s="586"/>
      <c r="J28" s="24"/>
      <c r="K28" s="31" t="s">
        <v>59</v>
      </c>
      <c r="L28" s="80">
        <f>IF(N28=1,O28+P28+Q28+F17,FLOOR(O28/2,1)+P28+Q28+F17)</f>
        <v>1</v>
      </c>
      <c r="M28" s="31" t="s">
        <v>40</v>
      </c>
      <c r="N28" s="81">
        <f>IF(H5="Воин", 1,2)</f>
        <v>1</v>
      </c>
      <c r="O28" s="82">
        <v>0</v>
      </c>
      <c r="P28" s="81"/>
      <c r="Q28" s="83"/>
      <c r="R28" s="24"/>
      <c r="S28" s="24"/>
      <c r="T28" s="24"/>
      <c r="U28" s="24"/>
      <c r="V28" s="24"/>
      <c r="AA28" s="35"/>
      <c r="AB28" s="54"/>
      <c r="AC28" s="24"/>
      <c r="AD28" s="55" t="b">
        <v>0</v>
      </c>
      <c r="AE28" s="55" t="b">
        <v>0</v>
      </c>
    </row>
    <row r="29" spans="1:31" ht="27.75" customHeight="1">
      <c r="A29" s="54"/>
      <c r="B29" s="33"/>
      <c r="C29" s="584"/>
      <c r="D29" s="585"/>
      <c r="E29" s="585"/>
      <c r="F29" s="585"/>
      <c r="G29" s="585"/>
      <c r="H29" s="585"/>
      <c r="I29" s="586"/>
      <c r="J29" s="24"/>
      <c r="K29" s="31" t="s">
        <v>60</v>
      </c>
      <c r="L29" s="80">
        <f>IF(N29=1,O29+P29+Q29+F13,FLOOR(O29/2,1)+P29+Q29+F13)</f>
        <v>1</v>
      </c>
      <c r="M29" s="31" t="s">
        <v>27</v>
      </c>
      <c r="N29" s="81"/>
      <c r="O29" s="82">
        <v>0</v>
      </c>
      <c r="P29" s="81"/>
      <c r="Q29" s="83"/>
      <c r="R29" s="24"/>
      <c r="S29" s="24"/>
      <c r="T29" s="24"/>
      <c r="U29" s="24"/>
      <c r="V29" s="24"/>
      <c r="AA29" s="35"/>
      <c r="AB29" s="54"/>
      <c r="AC29" s="24"/>
      <c r="AD29" s="55" t="b">
        <v>0</v>
      </c>
      <c r="AE29" s="55" t="b">
        <v>0</v>
      </c>
    </row>
    <row r="30" spans="1:31" ht="36.75" customHeight="1">
      <c r="A30" s="54"/>
      <c r="B30" s="33"/>
      <c r="C30" s="584"/>
      <c r="D30" s="585"/>
      <c r="E30" s="585"/>
      <c r="F30" s="585"/>
      <c r="G30" s="585"/>
      <c r="H30" s="585"/>
      <c r="I30" s="586"/>
      <c r="J30" s="24"/>
      <c r="K30" s="31" t="s">
        <v>61</v>
      </c>
      <c r="L30" s="80">
        <f>IF(N30=1,O30+P30+Q30+E69,FLOOR(O30/2,1)+P30+Q30+E69)</f>
        <v>1</v>
      </c>
      <c r="M30" s="31" t="s">
        <v>27</v>
      </c>
      <c r="N30" s="81"/>
      <c r="O30" s="82">
        <v>0</v>
      </c>
      <c r="P30" s="81"/>
      <c r="Q30" s="83"/>
      <c r="R30" s="24"/>
      <c r="S30" s="24"/>
      <c r="T30" s="24"/>
      <c r="U30" s="24"/>
      <c r="V30" s="24"/>
      <c r="AA30" s="35"/>
      <c r="AB30" s="54"/>
      <c r="AC30" s="24"/>
      <c r="AD30" s="55" t="b">
        <v>0</v>
      </c>
      <c r="AE30" s="55" t="b">
        <v>0</v>
      </c>
    </row>
    <row r="31" spans="1:31" ht="41.25" customHeight="1">
      <c r="A31" s="54"/>
      <c r="B31" s="33"/>
      <c r="C31" s="584"/>
      <c r="D31" s="585"/>
      <c r="E31" s="585"/>
      <c r="F31" s="585"/>
      <c r="G31" s="585"/>
      <c r="H31" s="585"/>
      <c r="I31" s="586"/>
      <c r="J31" s="24"/>
      <c r="K31" s="31" t="s">
        <v>62</v>
      </c>
      <c r="L31" s="80">
        <f>IF(N31=1,O31+P31+Q31+F17,FLOOR(O31/2,1)+P31+Q31+F17)</f>
        <v>1</v>
      </c>
      <c r="M31" s="31" t="s">
        <v>40</v>
      </c>
      <c r="N31" s="81"/>
      <c r="O31" s="82">
        <v>0</v>
      </c>
      <c r="P31" s="81"/>
      <c r="Q31" s="83"/>
      <c r="R31" s="24"/>
      <c r="S31" s="24"/>
      <c r="T31" s="24"/>
      <c r="U31" s="24"/>
      <c r="V31" s="24"/>
      <c r="AA31" s="35"/>
      <c r="AB31" s="54"/>
      <c r="AC31" s="24"/>
      <c r="AD31" s="55" t="b">
        <v>0</v>
      </c>
      <c r="AE31" s="55" t="b">
        <v>0</v>
      </c>
    </row>
    <row r="32" spans="1:31" ht="27.75" customHeight="1">
      <c r="A32" s="54"/>
      <c r="B32" s="33"/>
      <c r="C32" s="584"/>
      <c r="D32" s="585"/>
      <c r="E32" s="585"/>
      <c r="F32" s="585"/>
      <c r="G32" s="585"/>
      <c r="H32" s="585"/>
      <c r="I32" s="586"/>
      <c r="J32" s="24"/>
      <c r="K32" s="31" t="s">
        <v>63</v>
      </c>
      <c r="L32" s="80">
        <f>IF(N32=1,O32+P32+Q32+F15,FLOOR(O32/2,1)+P32+Q32+F15)</f>
        <v>-1</v>
      </c>
      <c r="M32" s="31" t="s">
        <v>31</v>
      </c>
      <c r="N32" s="81"/>
      <c r="O32" s="82">
        <v>0</v>
      </c>
      <c r="P32" s="81"/>
      <c r="Q32" s="83"/>
      <c r="R32" s="24"/>
      <c r="S32" s="24"/>
      <c r="T32" s="24"/>
      <c r="U32" s="24"/>
      <c r="V32" s="24"/>
      <c r="AA32" s="35"/>
      <c r="AB32" s="54"/>
      <c r="AC32" s="24"/>
      <c r="AD32" s="55" t="b">
        <v>0</v>
      </c>
      <c r="AE32" s="24"/>
    </row>
    <row r="33" spans="1:30" ht="27.75" customHeight="1">
      <c r="A33" s="54"/>
      <c r="B33" s="33"/>
      <c r="C33" s="584"/>
      <c r="D33" s="585"/>
      <c r="E33" s="585"/>
      <c r="F33" s="585"/>
      <c r="G33" s="585"/>
      <c r="H33" s="585"/>
      <c r="I33" s="586"/>
      <c r="J33" s="24"/>
      <c r="K33" s="31" t="s">
        <v>64</v>
      </c>
      <c r="L33" s="80">
        <f>IF(N32=1,O32+P32+Q32+F14,FLOOR(O32/2,1)+P32+Q32+F14)</f>
        <v>1</v>
      </c>
      <c r="M33" s="31" t="s">
        <v>65</v>
      </c>
      <c r="N33" s="81"/>
      <c r="O33" s="82">
        <v>0</v>
      </c>
      <c r="P33" s="81"/>
      <c r="Q33" s="83"/>
      <c r="R33" s="24"/>
      <c r="S33" s="24"/>
      <c r="T33" s="24"/>
      <c r="U33" s="24"/>
      <c r="V33" s="24"/>
      <c r="AA33" s="35"/>
      <c r="AB33" s="54"/>
      <c r="AC33" s="24"/>
      <c r="AD33" s="55" t="b">
        <v>0</v>
      </c>
    </row>
    <row r="34" spans="1:30" ht="27.75" customHeight="1">
      <c r="A34" s="54"/>
      <c r="B34" s="33"/>
      <c r="C34" s="584"/>
      <c r="D34" s="585"/>
      <c r="E34" s="585"/>
      <c r="F34" s="585"/>
      <c r="G34" s="585"/>
      <c r="H34" s="585"/>
      <c r="I34" s="586"/>
      <c r="J34" s="24"/>
      <c r="K34" s="31" t="s">
        <v>66</v>
      </c>
      <c r="L34" s="80">
        <f>IF(N34=1,O34+P34+Q34+F13,FLOOR(O34/2,1)+P34+Q34+F13)</f>
        <v>1</v>
      </c>
      <c r="M34" s="31" t="s">
        <v>27</v>
      </c>
      <c r="N34" s="81"/>
      <c r="O34" s="82">
        <v>0</v>
      </c>
      <c r="P34" s="81"/>
      <c r="Q34" s="83"/>
      <c r="R34" s="24"/>
      <c r="S34" s="24"/>
      <c r="T34" s="24"/>
      <c r="U34" s="24"/>
      <c r="V34" s="24"/>
      <c r="AA34" s="35"/>
      <c r="AB34" s="54"/>
      <c r="AC34" s="24"/>
      <c r="AD34" s="55" t="b">
        <v>0</v>
      </c>
    </row>
    <row r="35" spans="1:30" ht="27.75" customHeight="1">
      <c r="A35" s="54"/>
      <c r="B35" s="33"/>
      <c r="C35" s="584"/>
      <c r="D35" s="585"/>
      <c r="E35" s="585"/>
      <c r="F35" s="585"/>
      <c r="G35" s="585"/>
      <c r="H35" s="585"/>
      <c r="I35" s="586"/>
      <c r="J35" s="24"/>
      <c r="K35" s="31" t="s">
        <v>67</v>
      </c>
      <c r="L35" s="80">
        <f>IF(N35=1,O35+P35+Q35+F12,FLOOR(O35/2,1)+P35+Q35+F12)</f>
        <v>2</v>
      </c>
      <c r="M35" s="31" t="s">
        <v>25</v>
      </c>
      <c r="N35" s="81">
        <f>IF(H5="Воин", 1,2)</f>
        <v>1</v>
      </c>
      <c r="O35" s="82">
        <v>0</v>
      </c>
      <c r="P35" s="81"/>
      <c r="Q35" s="83"/>
      <c r="R35" s="24"/>
      <c r="S35" s="24"/>
      <c r="T35" s="24"/>
      <c r="U35" s="24"/>
      <c r="V35" s="24"/>
      <c r="AA35" s="35"/>
      <c r="AB35" s="54"/>
      <c r="AC35" s="24"/>
      <c r="AD35" s="55" t="b">
        <v>0</v>
      </c>
    </row>
    <row r="36" spans="1:30" ht="27.75" customHeight="1">
      <c r="A36" s="54"/>
      <c r="B36" s="33"/>
      <c r="C36" s="584"/>
      <c r="D36" s="585"/>
      <c r="E36" s="585"/>
      <c r="F36" s="585"/>
      <c r="G36" s="585"/>
      <c r="H36" s="585"/>
      <c r="I36" s="586"/>
      <c r="J36" s="24"/>
      <c r="K36" s="31" t="s">
        <v>68</v>
      </c>
      <c r="L36" s="80">
        <f>IF(N36=1,O36+P36+Q36+F16,FLOOR(O36/2,1)+P36+Q36+F16)</f>
        <v>-1</v>
      </c>
      <c r="M36" s="31" t="s">
        <v>39</v>
      </c>
      <c r="N36" s="81"/>
      <c r="O36" s="82">
        <v>0</v>
      </c>
      <c r="P36" s="81"/>
      <c r="Q36" s="83"/>
      <c r="R36" s="24"/>
      <c r="S36" s="24"/>
      <c r="T36" s="24"/>
      <c r="U36" s="24"/>
      <c r="V36" s="24"/>
      <c r="AA36" s="35"/>
      <c r="AB36" s="54"/>
      <c r="AC36" s="24"/>
      <c r="AD36" s="55" t="b">
        <v>0</v>
      </c>
    </row>
    <row r="37" spans="1:30" ht="27.75" customHeight="1">
      <c r="A37" s="54"/>
      <c r="B37" s="33"/>
      <c r="C37" s="584"/>
      <c r="D37" s="585"/>
      <c r="E37" s="585"/>
      <c r="F37" s="585"/>
      <c r="G37" s="585"/>
      <c r="H37" s="585"/>
      <c r="I37" s="586"/>
      <c r="J37" s="24"/>
      <c r="K37" s="31" t="s">
        <v>69</v>
      </c>
      <c r="L37" s="80">
        <f>IF(N37=1,O37+P37+Q37+F13,FLOOR(O37/2,1)+P37+Q37+F13)</f>
        <v>1</v>
      </c>
      <c r="M37" s="31" t="s">
        <v>27</v>
      </c>
      <c r="N37" s="81"/>
      <c r="O37" s="82">
        <v>0</v>
      </c>
      <c r="P37" s="81"/>
      <c r="Q37" s="83"/>
      <c r="R37" s="24"/>
      <c r="S37" s="24"/>
      <c r="T37" s="24"/>
      <c r="U37" s="24"/>
      <c r="V37" s="24"/>
      <c r="AA37" s="35"/>
      <c r="AB37" s="54"/>
      <c r="AC37" s="24"/>
      <c r="AD37" s="55" t="b">
        <v>0</v>
      </c>
    </row>
    <row r="38" spans="1:30" ht="27.75" customHeight="1">
      <c r="A38" s="54"/>
      <c r="B38" s="33"/>
      <c r="C38" s="584"/>
      <c r="D38" s="585"/>
      <c r="E38" s="585"/>
      <c r="F38" s="585"/>
      <c r="G38" s="585"/>
      <c r="H38" s="585"/>
      <c r="I38" s="586"/>
      <c r="J38" s="24"/>
      <c r="K38" s="31" t="s">
        <v>70</v>
      </c>
      <c r="L38" s="80">
        <f>IF(N38=1,O38+P38+Q38+F17,FLOOR(O38/2,1)+P38+Q38+F17)</f>
        <v>1</v>
      </c>
      <c r="M38" s="31" t="s">
        <v>40</v>
      </c>
      <c r="N38" s="81"/>
      <c r="O38" s="82">
        <v>0</v>
      </c>
      <c r="P38" s="81"/>
      <c r="Q38" s="83"/>
      <c r="R38" s="24"/>
      <c r="S38" s="24"/>
      <c r="T38" s="24"/>
      <c r="U38" s="24"/>
      <c r="V38" s="24"/>
      <c r="AA38" s="35"/>
      <c r="AB38" s="54"/>
      <c r="AC38" s="24"/>
      <c r="AD38" s="55" t="b">
        <v>0</v>
      </c>
    </row>
    <row r="39" spans="1:30" ht="27.75" customHeight="1">
      <c r="A39" s="54"/>
      <c r="B39" s="33"/>
      <c r="C39" s="584"/>
      <c r="D39" s="585"/>
      <c r="E39" s="585"/>
      <c r="F39" s="585"/>
      <c r="G39" s="585"/>
      <c r="H39" s="585"/>
      <c r="I39" s="586"/>
      <c r="J39" s="24"/>
      <c r="K39" s="31" t="s">
        <v>71</v>
      </c>
      <c r="L39" s="80">
        <f>IF(N39=1,O39+P39+Q39+F15,FLOOR(O39/2,1)+P39+Q39+F15)</f>
        <v>-1</v>
      </c>
      <c r="M39" s="31" t="s">
        <v>31</v>
      </c>
      <c r="N39" s="81"/>
      <c r="O39" s="82">
        <v>0</v>
      </c>
      <c r="P39" s="81"/>
      <c r="Q39" s="83"/>
      <c r="R39" s="24"/>
      <c r="S39" s="24"/>
      <c r="T39" s="24"/>
      <c r="U39" s="24"/>
      <c r="V39" s="24"/>
      <c r="AA39" s="35"/>
      <c r="AB39" s="54"/>
      <c r="AC39" s="24"/>
      <c r="AD39" s="55" t="b">
        <v>0</v>
      </c>
    </row>
    <row r="40" spans="1:30" ht="27.75" customHeight="1">
      <c r="A40" s="54"/>
      <c r="B40" s="33"/>
      <c r="C40" s="584"/>
      <c r="D40" s="585"/>
      <c r="E40" s="585"/>
      <c r="F40" s="585"/>
      <c r="G40" s="585"/>
      <c r="H40" s="585"/>
      <c r="I40" s="586"/>
      <c r="J40" s="24"/>
      <c r="K40" s="31" t="s">
        <v>72</v>
      </c>
      <c r="L40" s="80">
        <f>IF(N40=1,O40+P40+Q40+F17,FLOOR(O40/2,1)+P40+Q40+F17)</f>
        <v>1</v>
      </c>
      <c r="M40" s="31" t="s">
        <v>40</v>
      </c>
      <c r="N40" s="81"/>
      <c r="O40" s="82">
        <v>0</v>
      </c>
      <c r="P40" s="81"/>
      <c r="Q40" s="83"/>
      <c r="R40" s="24"/>
      <c r="S40" s="24"/>
      <c r="T40" s="24"/>
      <c r="U40" s="24"/>
      <c r="V40" s="24"/>
      <c r="AA40" s="35"/>
      <c r="AB40" s="54"/>
      <c r="AC40" s="24"/>
      <c r="AD40" s="55" t="b">
        <v>0</v>
      </c>
    </row>
    <row r="41" spans="1:30" ht="27.75" customHeight="1">
      <c r="A41" s="54"/>
      <c r="B41" s="33"/>
      <c r="C41" s="584"/>
      <c r="D41" s="585"/>
      <c r="E41" s="585"/>
      <c r="F41" s="585"/>
      <c r="G41" s="585"/>
      <c r="H41" s="585"/>
      <c r="I41" s="586"/>
      <c r="J41" s="24"/>
      <c r="K41" s="31" t="s">
        <v>73</v>
      </c>
      <c r="L41" s="80">
        <f>IF(N41=1,O41+P41+Q41+F16,FLOOR(O41/2,1)+P41+Q41+F16)</f>
        <v>0</v>
      </c>
      <c r="M41" s="31" t="s">
        <v>39</v>
      </c>
      <c r="N41" s="81"/>
      <c r="O41" s="82">
        <v>0</v>
      </c>
      <c r="P41" s="81">
        <f>IF(C6="Полуэльф", 1,)</f>
        <v>1</v>
      </c>
      <c r="Q41" s="84"/>
      <c r="R41" s="24"/>
      <c r="S41" s="24"/>
      <c r="T41" s="24"/>
      <c r="U41" s="24"/>
      <c r="V41" s="24"/>
      <c r="AA41" s="35"/>
      <c r="AB41" s="54"/>
      <c r="AC41" s="24"/>
      <c r="AD41" s="55" t="b">
        <v>0</v>
      </c>
    </row>
    <row r="42" spans="1:30" ht="27.75" customHeight="1">
      <c r="A42" s="54"/>
      <c r="B42" s="33"/>
      <c r="C42" s="584"/>
      <c r="D42" s="585"/>
      <c r="E42" s="585"/>
      <c r="F42" s="585"/>
      <c r="G42" s="585"/>
      <c r="H42" s="585"/>
      <c r="I42" s="586"/>
      <c r="J42" s="24"/>
      <c r="K42" s="31" t="s">
        <v>74</v>
      </c>
      <c r="L42" s="80">
        <f>IF(N42=1,O42+P42+Q42+F13,FLOOR(O42/2,1)+P42+Q42+F13)</f>
        <v>1</v>
      </c>
      <c r="M42" s="31" t="s">
        <v>27</v>
      </c>
      <c r="N42" s="81"/>
      <c r="O42" s="82">
        <v>0</v>
      </c>
      <c r="P42" s="81"/>
      <c r="Q42" s="83"/>
      <c r="R42" s="24"/>
      <c r="S42" s="24"/>
      <c r="T42" s="24"/>
      <c r="U42" s="24"/>
      <c r="V42" s="24"/>
      <c r="AA42" s="35"/>
      <c r="AB42" s="54"/>
      <c r="AC42" s="24"/>
      <c r="AD42" s="55" t="b">
        <v>0</v>
      </c>
    </row>
    <row r="43" spans="1:30" ht="27.75" customHeight="1">
      <c r="A43" s="54"/>
      <c r="B43" s="33"/>
      <c r="C43" s="584"/>
      <c r="D43" s="585"/>
      <c r="E43" s="585"/>
      <c r="F43" s="585"/>
      <c r="G43" s="585"/>
      <c r="H43" s="585"/>
      <c r="I43" s="586"/>
      <c r="J43" s="24"/>
      <c r="K43" s="31" t="s">
        <v>75</v>
      </c>
      <c r="L43" s="80">
        <f>IF(N43=1,O43+P43+Q43+F15,FLOOR(O43/2,1)+P43+Q43+F15)</f>
        <v>-1</v>
      </c>
      <c r="M43" s="31" t="s">
        <v>31</v>
      </c>
      <c r="N43" s="81"/>
      <c r="O43" s="82">
        <v>0</v>
      </c>
      <c r="P43" s="81">
        <f>IF(C6="Дварф", 2,)</f>
        <v>0</v>
      </c>
      <c r="Q43" s="83"/>
      <c r="R43" s="24"/>
      <c r="S43" s="24"/>
      <c r="T43" s="24"/>
      <c r="U43" s="24"/>
      <c r="V43" s="24"/>
      <c r="AA43" s="35"/>
      <c r="AB43" s="54"/>
      <c r="AC43" s="24"/>
      <c r="AD43" s="24"/>
    </row>
    <row r="44" spans="1:30" ht="27.75" customHeight="1">
      <c r="A44" s="54"/>
      <c r="B44" s="33"/>
      <c r="C44" s="584"/>
      <c r="D44" s="585"/>
      <c r="E44" s="585"/>
      <c r="F44" s="585"/>
      <c r="G44" s="585"/>
      <c r="H44" s="585"/>
      <c r="I44" s="586"/>
      <c r="J44" s="24"/>
      <c r="K44" s="31" t="s">
        <v>76</v>
      </c>
      <c r="L44" s="80">
        <f>IF(N44=1,O44+P44+Q44+F12,FLOOR(O44/2,1)+P44+Q44+F12)</f>
        <v>2</v>
      </c>
      <c r="M44" s="31" t="s">
        <v>25</v>
      </c>
      <c r="N44" s="81">
        <f>IF(H5="Воин", 1,2)</f>
        <v>1</v>
      </c>
      <c r="O44" s="82">
        <v>0</v>
      </c>
      <c r="P44" s="81"/>
      <c r="Q44" s="83"/>
      <c r="R44" s="24"/>
      <c r="S44" s="24"/>
      <c r="T44" s="24"/>
      <c r="U44" s="24"/>
      <c r="V44" s="24"/>
      <c r="AA44" s="35"/>
      <c r="AB44" s="54"/>
      <c r="AC44" s="24"/>
      <c r="AD44" s="24"/>
    </row>
    <row r="45" spans="1:30" ht="27.75" customHeight="1">
      <c r="A45" s="54"/>
      <c r="B45" s="33"/>
      <c r="C45" s="584"/>
      <c r="D45" s="585"/>
      <c r="E45" s="585"/>
      <c r="F45" s="585"/>
      <c r="G45" s="585"/>
      <c r="H45" s="585"/>
      <c r="I45" s="586"/>
      <c r="J45" s="24"/>
      <c r="K45" s="31" t="s">
        <v>77</v>
      </c>
      <c r="L45" s="80">
        <f>IF(N45=1,O45+P45+Q45+F15,FLOOR(O45/2,1)+P45+Q45+F15)</f>
        <v>-1</v>
      </c>
      <c r="M45" s="31" t="s">
        <v>31</v>
      </c>
      <c r="N45" s="81"/>
      <c r="O45" s="82">
        <v>0</v>
      </c>
      <c r="P45" s="81"/>
      <c r="Q45" s="83"/>
      <c r="R45" s="24"/>
      <c r="S45" s="24"/>
      <c r="T45" s="24"/>
      <c r="U45" s="24"/>
      <c r="V45" s="24"/>
      <c r="AA45" s="35"/>
      <c r="AB45" s="54"/>
      <c r="AC45" s="24"/>
      <c r="AD45" s="24"/>
    </row>
    <row r="46" spans="1:30" ht="35.25" customHeight="1">
      <c r="A46" s="54"/>
      <c r="B46" s="33"/>
      <c r="C46" s="584"/>
      <c r="D46" s="585"/>
      <c r="E46" s="585"/>
      <c r="F46" s="585"/>
      <c r="G46" s="585"/>
      <c r="H46" s="585"/>
      <c r="I46" s="586"/>
      <c r="J46" s="24"/>
      <c r="K46" s="31" t="s">
        <v>78</v>
      </c>
      <c r="L46" s="80">
        <f>IF(N46=1,O46+P46+Q46+F15,FLOOR(O46/2,1)+P46+Q46+F15)</f>
        <v>0</v>
      </c>
      <c r="M46" s="31" t="s">
        <v>31</v>
      </c>
      <c r="N46" s="81"/>
      <c r="O46" s="82">
        <v>0</v>
      </c>
      <c r="P46" s="81">
        <f>IF(C6="Полуэльф", 1,)</f>
        <v>1</v>
      </c>
      <c r="Q46" s="83"/>
      <c r="R46" s="24"/>
      <c r="S46" s="24"/>
      <c r="T46" s="24"/>
      <c r="U46" s="24"/>
      <c r="V46" s="24"/>
      <c r="AA46" s="35"/>
      <c r="AB46" s="54"/>
      <c r="AC46" s="24"/>
      <c r="AD46" s="24"/>
    </row>
    <row r="47" spans="1:30" ht="27" customHeight="1">
      <c r="A47" s="54"/>
      <c r="B47" s="33"/>
      <c r="C47" s="584"/>
      <c r="D47" s="585"/>
      <c r="E47" s="585"/>
      <c r="F47" s="585"/>
      <c r="G47" s="585"/>
      <c r="H47" s="585"/>
      <c r="I47" s="586"/>
      <c r="J47" s="24"/>
      <c r="K47" s="31" t="s">
        <v>79</v>
      </c>
      <c r="L47" s="80">
        <f>IF(N47=1,O47+P47+Q47+F16,FLOOR(O47/2,1)+P47+Q47+F16)</f>
        <v>-1</v>
      </c>
      <c r="M47" s="31" t="s">
        <v>39</v>
      </c>
      <c r="N47" s="81"/>
      <c r="O47" s="82">
        <v>0</v>
      </c>
      <c r="P47" s="81"/>
      <c r="Q47" s="83"/>
      <c r="R47" s="24"/>
      <c r="S47" s="24"/>
      <c r="T47" s="24"/>
      <c r="U47" s="24"/>
      <c r="V47" s="24"/>
      <c r="AA47" s="35"/>
      <c r="AB47" s="54"/>
      <c r="AC47" s="24"/>
      <c r="AD47" s="24"/>
    </row>
    <row r="48" spans="1:30" ht="27.75" customHeight="1">
      <c r="A48" s="54"/>
      <c r="B48" s="33"/>
      <c r="C48" s="584"/>
      <c r="D48" s="585"/>
      <c r="E48" s="585"/>
      <c r="F48" s="585"/>
      <c r="G48" s="585"/>
      <c r="H48" s="585"/>
      <c r="I48" s="586"/>
      <c r="J48" s="24"/>
      <c r="K48" s="31" t="s">
        <v>80</v>
      </c>
      <c r="L48" s="80">
        <f>IF(N48=1,O48+P48+Q48+F12,FLOOR(O48/2,1)+P48+Q48+F12)</f>
        <v>2</v>
      </c>
      <c r="M48" s="31" t="s">
        <v>25</v>
      </c>
      <c r="N48" s="81"/>
      <c r="O48" s="82">
        <v>0</v>
      </c>
      <c r="P48" s="81"/>
      <c r="Q48" s="83"/>
      <c r="R48" s="24"/>
      <c r="S48" s="24"/>
      <c r="T48" s="24"/>
      <c r="U48" s="24"/>
      <c r="V48" s="24"/>
      <c r="AA48" s="35"/>
      <c r="AB48" s="54"/>
      <c r="AC48" s="24"/>
      <c r="AD48" s="24"/>
    </row>
    <row r="49" spans="1:28" ht="27.75" customHeight="1">
      <c r="A49" s="54"/>
      <c r="B49" s="33"/>
      <c r="C49" s="584"/>
      <c r="D49" s="585"/>
      <c r="E49" s="585"/>
      <c r="F49" s="585"/>
      <c r="G49" s="585"/>
      <c r="H49" s="585"/>
      <c r="I49" s="586"/>
      <c r="J49" s="24"/>
      <c r="K49" s="31" t="s">
        <v>81</v>
      </c>
      <c r="L49" s="80">
        <f>IF(N49=1,O49+P49+Q49+F15,FLOOR(O49/2,1)+P49+Q49+F15)</f>
        <v>-1</v>
      </c>
      <c r="M49" s="31" t="s">
        <v>31</v>
      </c>
      <c r="N49" s="81"/>
      <c r="O49" s="82">
        <v>0</v>
      </c>
      <c r="P49" s="81"/>
      <c r="Q49" s="83"/>
      <c r="R49" s="24"/>
      <c r="S49" s="24"/>
      <c r="T49" s="24"/>
      <c r="U49" s="24"/>
      <c r="V49" s="24"/>
      <c r="AA49" s="35"/>
      <c r="AB49" s="54"/>
    </row>
    <row r="50" spans="1:28" ht="27.75" customHeight="1">
      <c r="A50" s="54"/>
      <c r="B50" s="33"/>
      <c r="C50" s="584"/>
      <c r="D50" s="585"/>
      <c r="E50" s="585"/>
      <c r="F50" s="585"/>
      <c r="G50" s="585"/>
      <c r="H50" s="585"/>
      <c r="I50" s="586"/>
      <c r="J50" s="24"/>
      <c r="K50" s="31" t="s">
        <v>82</v>
      </c>
      <c r="L50" s="80">
        <f>IF(N50=1,O50+P50+Q50+F17,FLOOR(O50/2,1)+P50+Q50+F17)</f>
        <v>3</v>
      </c>
      <c r="M50" s="31" t="s">
        <v>40</v>
      </c>
      <c r="N50" s="81"/>
      <c r="O50" s="82">
        <v>0</v>
      </c>
      <c r="P50" s="81">
        <f>IF(C6="Полуэльф", 2,)</f>
        <v>2</v>
      </c>
      <c r="Q50" s="83"/>
      <c r="R50" s="24"/>
      <c r="S50" s="24"/>
      <c r="T50" s="24"/>
      <c r="U50" s="24"/>
      <c r="V50" s="24"/>
      <c r="AA50" s="35"/>
      <c r="AB50" s="54"/>
    </row>
    <row r="51" spans="1:28" ht="27.75" customHeight="1">
      <c r="A51" s="54"/>
      <c r="B51" s="33"/>
      <c r="C51" s="584"/>
      <c r="D51" s="585"/>
      <c r="E51" s="585"/>
      <c r="F51" s="585"/>
      <c r="G51" s="585"/>
      <c r="H51" s="585"/>
      <c r="I51" s="586"/>
      <c r="J51" s="24"/>
      <c r="K51" s="31" t="s">
        <v>83</v>
      </c>
      <c r="L51" s="80">
        <f>IF(N51=1,O51+P51+Q51+F16,FLOOR(O51/2,1)+P51+Q51+F16)</f>
        <v>0</v>
      </c>
      <c r="M51" s="31" t="s">
        <v>39</v>
      </c>
      <c r="N51" s="81"/>
      <c r="O51" s="82">
        <v>0</v>
      </c>
      <c r="P51" s="81">
        <f>IF(C6="Полуэльф", 1,IF(C6="Гном", 2,))</f>
        <v>1</v>
      </c>
      <c r="Q51" s="83"/>
      <c r="R51" s="24"/>
      <c r="S51" s="24"/>
      <c r="T51" s="24"/>
      <c r="U51" s="24"/>
      <c r="V51" s="24"/>
      <c r="AA51" s="35"/>
      <c r="AB51" s="54"/>
    </row>
    <row r="52" spans="1:28" ht="27.75" customHeight="1">
      <c r="A52" s="54"/>
      <c r="B52" s="33"/>
      <c r="C52" s="584"/>
      <c r="D52" s="585"/>
      <c r="E52" s="585"/>
      <c r="F52" s="585"/>
      <c r="G52" s="585"/>
      <c r="H52" s="585"/>
      <c r="I52" s="586"/>
      <c r="J52" s="24"/>
      <c r="K52" s="31" t="s">
        <v>84</v>
      </c>
      <c r="L52" s="80">
        <f>IF(N52=1,O52+P52+Q52+F13,FLOOR(O52/2,1)+P52+Q52+F13)</f>
        <v>1</v>
      </c>
      <c r="M52" s="31" t="s">
        <v>27</v>
      </c>
      <c r="N52" s="81"/>
      <c r="O52" s="82">
        <v>0</v>
      </c>
      <c r="P52" s="81">
        <f>IF(C6="Гном", 4,)</f>
        <v>0</v>
      </c>
      <c r="Q52" s="83"/>
      <c r="R52" s="24"/>
      <c r="S52" s="24"/>
      <c r="T52" s="24"/>
      <c r="U52" s="24"/>
      <c r="V52" s="24"/>
      <c r="AA52" s="35"/>
      <c r="AB52" s="54"/>
    </row>
    <row r="53" spans="1:28" ht="27.75" customHeight="1">
      <c r="A53" s="54"/>
      <c r="B53" s="33"/>
      <c r="C53" s="584"/>
      <c r="D53" s="585"/>
      <c r="E53" s="585"/>
      <c r="F53" s="585"/>
      <c r="G53" s="585"/>
      <c r="H53" s="585"/>
      <c r="I53" s="586"/>
      <c r="J53" s="24"/>
      <c r="K53" s="31" t="s">
        <v>85</v>
      </c>
      <c r="L53" s="80">
        <f>IF(N53=1,O53+P53+Q53+F15,FLOOR(O53/2,1)+P53+Q53+F15)</f>
        <v>-1</v>
      </c>
      <c r="M53" s="31" t="s">
        <v>31</v>
      </c>
      <c r="N53" s="81"/>
      <c r="O53" s="82">
        <v>0</v>
      </c>
      <c r="P53" s="81"/>
      <c r="Q53" s="83"/>
      <c r="R53" s="24"/>
      <c r="S53" s="24"/>
      <c r="T53" s="24"/>
      <c r="U53" s="24"/>
      <c r="V53" s="24"/>
      <c r="AA53" s="35"/>
      <c r="AB53" s="54"/>
    </row>
    <row r="54" spans="1:28" ht="27.75" customHeight="1">
      <c r="A54" s="54"/>
      <c r="B54" s="33"/>
      <c r="C54" s="584"/>
      <c r="D54" s="585"/>
      <c r="E54" s="585"/>
      <c r="F54" s="585"/>
      <c r="G54" s="585"/>
      <c r="H54" s="585"/>
      <c r="I54" s="586"/>
      <c r="J54" s="24"/>
      <c r="K54" s="31" t="s">
        <v>85</v>
      </c>
      <c r="L54" s="80">
        <f>IF(N54=1,O54+P54+Q54+F15,FLOOR(O54/2,1)+P54+Q54+F15)</f>
        <v>-1</v>
      </c>
      <c r="M54" s="31" t="s">
        <v>31</v>
      </c>
      <c r="N54" s="81"/>
      <c r="O54" s="82">
        <v>0</v>
      </c>
      <c r="P54" s="81"/>
      <c r="Q54" s="83"/>
      <c r="R54" s="24"/>
      <c r="S54" s="24"/>
      <c r="T54" s="24"/>
      <c r="U54" s="24"/>
      <c r="V54" s="24"/>
      <c r="AA54" s="35"/>
      <c r="AB54" s="54"/>
    </row>
    <row r="55" spans="1:28" ht="27.75" customHeight="1">
      <c r="A55" s="54"/>
      <c r="B55" s="33"/>
      <c r="C55" s="584"/>
      <c r="D55" s="585"/>
      <c r="E55" s="585"/>
      <c r="F55" s="585"/>
      <c r="G55" s="585"/>
      <c r="H55" s="585"/>
      <c r="I55" s="586"/>
      <c r="J55" s="24"/>
      <c r="K55" s="31" t="s">
        <v>85</v>
      </c>
      <c r="L55" s="80">
        <f>IF(N55=1,O55+P55+Q55+F15,FLOOR(O55/2,1)+P55+Q55+F15)</f>
        <v>-1</v>
      </c>
      <c r="M55" s="31" t="s">
        <v>31</v>
      </c>
      <c r="N55" s="81"/>
      <c r="O55" s="82">
        <v>0</v>
      </c>
      <c r="P55" s="81"/>
      <c r="Q55" s="83"/>
      <c r="R55" s="24"/>
      <c r="S55" s="24"/>
      <c r="T55" s="24"/>
      <c r="U55" s="24"/>
      <c r="V55" s="24"/>
      <c r="AA55" s="35"/>
      <c r="AB55" s="54"/>
    </row>
    <row r="56" spans="1:28" ht="27.75" customHeight="1">
      <c r="A56" s="54"/>
      <c r="B56" s="33"/>
      <c r="C56" s="584"/>
      <c r="D56" s="585"/>
      <c r="E56" s="585"/>
      <c r="F56" s="585"/>
      <c r="G56" s="585"/>
      <c r="H56" s="585"/>
      <c r="I56" s="586"/>
      <c r="J56" s="24"/>
      <c r="K56" s="31" t="s">
        <v>86</v>
      </c>
      <c r="L56" s="80">
        <f>IF(N56=1,O56+P56+Q56+F17,FLOOR(O56/2,1)+P56+Q56+F17)</f>
        <v>1</v>
      </c>
      <c r="M56" s="31" t="s">
        <v>87</v>
      </c>
      <c r="N56" s="81"/>
      <c r="O56" s="82">
        <v>0</v>
      </c>
      <c r="P56" s="81"/>
      <c r="Q56" s="83"/>
      <c r="R56" s="24"/>
      <c r="S56" s="24"/>
      <c r="T56" s="24"/>
      <c r="U56" s="24"/>
      <c r="V56" s="24"/>
      <c r="AA56" s="35"/>
      <c r="AB56" s="54"/>
    </row>
    <row r="57" spans="1:28" ht="27.75" customHeight="1">
      <c r="A57" s="54"/>
      <c r="B57" s="33"/>
      <c r="C57" s="584"/>
      <c r="D57" s="585"/>
      <c r="E57" s="585"/>
      <c r="F57" s="585"/>
      <c r="G57" s="585"/>
      <c r="H57" s="585"/>
      <c r="I57" s="586"/>
      <c r="J57" s="24"/>
      <c r="K57" s="31" t="s">
        <v>86</v>
      </c>
      <c r="L57" s="80">
        <f>IF(N57=1,O57+P57+Q57+F17,FLOOR(O57/2,1)+P57+Q57+F17)</f>
        <v>1</v>
      </c>
      <c r="M57" s="31" t="s">
        <v>87</v>
      </c>
      <c r="N57" s="81"/>
      <c r="O57" s="82">
        <v>0</v>
      </c>
      <c r="P57" s="81"/>
      <c r="Q57" s="83"/>
      <c r="R57" s="24"/>
      <c r="S57" s="24"/>
      <c r="T57" s="24"/>
      <c r="U57" s="24"/>
      <c r="V57" s="24"/>
      <c r="AA57" s="35"/>
      <c r="AB57" s="54"/>
    </row>
    <row r="58" spans="1:28" ht="30.75" customHeight="1">
      <c r="A58" s="54"/>
      <c r="B58" s="33"/>
      <c r="C58" s="584"/>
      <c r="D58" s="585"/>
      <c r="E58" s="585"/>
      <c r="F58" s="585"/>
      <c r="G58" s="585"/>
      <c r="H58" s="585"/>
      <c r="I58" s="586"/>
      <c r="J58" s="24"/>
      <c r="K58" s="31" t="s">
        <v>86</v>
      </c>
      <c r="L58" s="80">
        <f>IF(N58=1,O58+P58+Q58+F17,FLOOR(O58/2,1)+P58+Q58+F17)</f>
        <v>1</v>
      </c>
      <c r="M58" s="31" t="s">
        <v>87</v>
      </c>
      <c r="N58" s="81"/>
      <c r="O58" s="82">
        <v>0</v>
      </c>
      <c r="P58" s="81"/>
      <c r="Q58" s="83"/>
      <c r="R58" s="24"/>
      <c r="S58" s="24"/>
      <c r="T58" s="24"/>
      <c r="U58" s="24"/>
      <c r="V58" s="24"/>
      <c r="AA58" s="35"/>
      <c r="AB58" s="54"/>
    </row>
    <row r="59" spans="1:28" ht="27.75" customHeight="1">
      <c r="A59" s="54"/>
      <c r="B59" s="33"/>
      <c r="C59" s="584"/>
      <c r="D59" s="585"/>
      <c r="E59" s="585"/>
      <c r="F59" s="585"/>
      <c r="G59" s="585"/>
      <c r="H59" s="585"/>
      <c r="I59" s="586"/>
      <c r="J59" s="24"/>
      <c r="K59" s="31" t="s">
        <v>88</v>
      </c>
      <c r="L59" s="80">
        <f>IF(N59=1,O59+P59+Q59+F16,FLOOR(O59/2,1)+P59+Q59+F16)</f>
        <v>-1</v>
      </c>
      <c r="M59" s="31" t="s">
        <v>39</v>
      </c>
      <c r="N59" s="81"/>
      <c r="O59" s="82">
        <v>0</v>
      </c>
      <c r="P59" s="81"/>
      <c r="Q59" s="83"/>
      <c r="R59" s="24"/>
      <c r="S59" s="24"/>
      <c r="T59" s="24"/>
      <c r="U59" s="24"/>
      <c r="V59" s="24"/>
      <c r="AA59" s="35"/>
      <c r="AB59" s="54"/>
    </row>
    <row r="60" spans="1:28" ht="27.75" customHeight="1">
      <c r="A60" s="54"/>
      <c r="B60" s="33"/>
      <c r="C60" s="584"/>
      <c r="D60" s="585"/>
      <c r="E60" s="585"/>
      <c r="F60" s="585"/>
      <c r="G60" s="585"/>
      <c r="H60" s="585"/>
      <c r="I60" s="586"/>
      <c r="J60" s="24"/>
      <c r="K60" s="31" t="s">
        <v>88</v>
      </c>
      <c r="L60" s="80">
        <f>IF(N60=1,O60+P60+Q60+F16,FLOOR(O60/2,1)+P60+Q60+F16)</f>
        <v>-1</v>
      </c>
      <c r="M60" s="31" t="s">
        <v>39</v>
      </c>
      <c r="N60" s="81"/>
      <c r="O60" s="82">
        <v>0</v>
      </c>
      <c r="P60" s="81"/>
      <c r="Q60" s="83"/>
      <c r="R60" s="24"/>
      <c r="S60" s="24"/>
      <c r="T60" s="24"/>
      <c r="U60" s="24"/>
      <c r="V60" s="24"/>
      <c r="AA60" s="35"/>
      <c r="AB60" s="54"/>
    </row>
    <row r="61" spans="1:28" ht="27.75" customHeight="1">
      <c r="A61" s="54"/>
      <c r="B61" s="33"/>
      <c r="C61" s="584"/>
      <c r="D61" s="585"/>
      <c r="E61" s="585"/>
      <c r="F61" s="585"/>
      <c r="G61" s="585"/>
      <c r="H61" s="585"/>
      <c r="I61" s="586"/>
      <c r="J61" s="24"/>
      <c r="K61" s="31" t="s">
        <v>89</v>
      </c>
      <c r="L61" s="80">
        <f>IF(N61=1,O61+P61+Q61+F15,FLOOR(O61/2,1)+P61+Q61+F15)</f>
        <v>-1</v>
      </c>
      <c r="M61" s="31" t="s">
        <v>31</v>
      </c>
      <c r="N61" s="81"/>
      <c r="O61" s="82">
        <v>0</v>
      </c>
      <c r="P61" s="81"/>
      <c r="Q61" s="83"/>
      <c r="R61" s="24"/>
      <c r="S61" s="24"/>
      <c r="T61" s="24"/>
      <c r="U61" s="24"/>
      <c r="V61" s="24"/>
      <c r="AA61" s="35"/>
      <c r="AB61" s="54"/>
    </row>
    <row r="62" spans="1:28" ht="33" customHeight="1">
      <c r="A62" s="54"/>
      <c r="B62" s="33"/>
      <c r="C62" s="584"/>
      <c r="D62" s="585"/>
      <c r="E62" s="585"/>
      <c r="F62" s="585"/>
      <c r="G62" s="585"/>
      <c r="H62" s="585"/>
      <c r="I62" s="586"/>
      <c r="J62" s="24"/>
      <c r="K62" s="31" t="s">
        <v>89</v>
      </c>
      <c r="L62" s="80">
        <f>IF(N62=1,O62+P62+Q62+F15,FLOOR(O62/2,1)+P62+Q62+F15)</f>
        <v>-1</v>
      </c>
      <c r="M62" s="31" t="s">
        <v>31</v>
      </c>
      <c r="N62" s="81"/>
      <c r="O62" s="82">
        <v>0</v>
      </c>
      <c r="P62" s="81"/>
      <c r="Q62" s="83"/>
      <c r="R62" s="24"/>
      <c r="S62" s="24"/>
      <c r="T62" s="24"/>
      <c r="U62" s="24"/>
      <c r="V62" s="24"/>
      <c r="AA62" s="35"/>
      <c r="AB62" s="54"/>
    </row>
    <row r="63" spans="1:28" ht="40.5" customHeight="1">
      <c r="A63" s="54"/>
      <c r="B63" s="33"/>
      <c r="C63" s="584"/>
      <c r="D63" s="585"/>
      <c r="E63" s="585"/>
      <c r="F63" s="585"/>
      <c r="G63" s="585"/>
      <c r="H63" s="585"/>
      <c r="I63" s="586"/>
      <c r="J63" s="24"/>
      <c r="K63" s="31" t="s">
        <v>89</v>
      </c>
      <c r="L63" s="80">
        <f>IF(N63=1,O63+P63+Q63+F15,FLOOR(O63/2,1)+P63+Q63+F15)</f>
        <v>-1</v>
      </c>
      <c r="M63" s="31" t="s">
        <v>31</v>
      </c>
      <c r="N63" s="81"/>
      <c r="O63" s="82">
        <v>0</v>
      </c>
      <c r="P63" s="81"/>
      <c r="Q63" s="83"/>
      <c r="R63" s="24"/>
      <c r="S63" s="24"/>
      <c r="T63" s="24"/>
      <c r="U63" s="24"/>
      <c r="V63" s="24"/>
      <c r="AA63" s="35"/>
      <c r="AB63" s="54"/>
    </row>
    <row r="64" spans="1:28" ht="42" customHeight="1">
      <c r="A64" s="54"/>
      <c r="B64" s="33"/>
      <c r="C64" s="584"/>
      <c r="D64" s="585"/>
      <c r="E64" s="585"/>
      <c r="F64" s="585"/>
      <c r="G64" s="585"/>
      <c r="H64" s="585"/>
      <c r="I64" s="586"/>
      <c r="J64" s="24"/>
      <c r="K64" s="31" t="s">
        <v>89</v>
      </c>
      <c r="L64" s="80">
        <f>IF(N64=1,O64+P64+Q64+F15,FLOOR(O64/2,1)+P64+Q64+F15)</f>
        <v>-1</v>
      </c>
      <c r="M64" s="31" t="s">
        <v>31</v>
      </c>
      <c r="N64" s="81"/>
      <c r="O64" s="82">
        <v>0</v>
      </c>
      <c r="P64" s="81"/>
      <c r="Q64" s="83"/>
      <c r="R64" s="24"/>
      <c r="S64" s="24"/>
      <c r="T64" s="24"/>
      <c r="U64" s="24"/>
      <c r="V64" s="24"/>
      <c r="AA64" s="35"/>
      <c r="AB64" s="54"/>
    </row>
    <row r="65" spans="1:28" ht="27.75" customHeight="1" thickBot="1">
      <c r="A65" s="54"/>
      <c r="B65" s="33"/>
      <c r="C65" s="587"/>
      <c r="D65" s="588"/>
      <c r="E65" s="588"/>
      <c r="F65" s="588"/>
      <c r="G65" s="588"/>
      <c r="H65" s="588"/>
      <c r="I65" s="589"/>
      <c r="J65" s="28"/>
      <c r="K65" s="31" t="s">
        <v>89</v>
      </c>
      <c r="L65" s="80">
        <f>IF(N65=1,O65+P65+Q65+F15,FLOOR(O65/2,1)+P65+Q65+F15)</f>
        <v>-1</v>
      </c>
      <c r="M65" s="31" t="s">
        <v>31</v>
      </c>
      <c r="N65" s="81"/>
      <c r="O65" s="82">
        <v>0</v>
      </c>
      <c r="P65" s="81"/>
      <c r="Q65" s="83"/>
      <c r="R65" s="28"/>
      <c r="S65" s="28"/>
      <c r="T65" s="28"/>
      <c r="U65" s="28"/>
      <c r="V65" s="28"/>
      <c r="W65" s="28"/>
      <c r="X65" s="28"/>
      <c r="Y65" s="28"/>
      <c r="Z65" s="28"/>
      <c r="AA65" s="35"/>
      <c r="AB65" s="54"/>
    </row>
    <row r="66" spans="1:28" ht="27.75" customHeight="1" thickTop="1">
      <c r="A66" s="54"/>
      <c r="B66" s="33"/>
      <c r="C66" s="28"/>
      <c r="D66" s="28"/>
      <c r="E66" s="28"/>
      <c r="F66" s="28"/>
      <c r="G66" s="28"/>
      <c r="H66" s="28"/>
      <c r="I66" s="28"/>
      <c r="J66" s="28"/>
      <c r="K66" s="28"/>
      <c r="L66" s="28"/>
      <c r="M66" s="28"/>
      <c r="N66" s="28"/>
      <c r="O66" s="28"/>
      <c r="P66" s="28"/>
      <c r="Q66" s="28"/>
      <c r="R66" s="28"/>
      <c r="S66" s="28"/>
      <c r="T66" s="28"/>
      <c r="U66" s="28"/>
      <c r="V66" s="28"/>
      <c r="W66" s="28"/>
      <c r="X66" s="28"/>
      <c r="Y66" s="28"/>
      <c r="Z66" s="28"/>
      <c r="AA66" s="35"/>
      <c r="AB66" s="54"/>
    </row>
    <row r="67" spans="1:28" ht="27.75" customHeight="1" thickBot="1">
      <c r="A67" s="54"/>
      <c r="B67" s="33"/>
      <c r="C67" s="598" t="s">
        <v>90</v>
      </c>
      <c r="D67" s="598"/>
      <c r="E67" s="598"/>
      <c r="F67" s="38"/>
      <c r="G67" s="38"/>
      <c r="H67" s="38"/>
      <c r="I67" s="38"/>
      <c r="J67" s="38"/>
      <c r="K67" s="38"/>
      <c r="L67" s="38"/>
      <c r="M67" s="24"/>
      <c r="N67" s="24"/>
      <c r="O67" s="24"/>
      <c r="P67" s="24"/>
      <c r="Q67" s="24"/>
      <c r="R67" s="24"/>
      <c r="S67" s="24"/>
      <c r="T67" s="24"/>
      <c r="U67" s="24"/>
      <c r="V67" s="24"/>
      <c r="W67" s="28"/>
      <c r="X67" s="28"/>
      <c r="Y67" s="28"/>
      <c r="Z67" s="28"/>
      <c r="AA67" s="35"/>
      <c r="AB67" s="54"/>
    </row>
    <row r="68" spans="1:28" ht="38.25" customHeight="1" thickTop="1" thickBot="1">
      <c r="A68" s="54"/>
      <c r="B68" s="33"/>
      <c r="C68" s="590"/>
      <c r="D68" s="591"/>
      <c r="E68" s="14" t="s">
        <v>91</v>
      </c>
      <c r="F68" s="25" t="s">
        <v>92</v>
      </c>
      <c r="G68" s="25" t="s">
        <v>93</v>
      </c>
      <c r="H68" s="25" t="s">
        <v>94</v>
      </c>
      <c r="I68" s="25" t="s">
        <v>95</v>
      </c>
      <c r="J68" s="25" t="s">
        <v>96</v>
      </c>
      <c r="K68" s="592" t="s">
        <v>97</v>
      </c>
      <c r="L68" s="593"/>
      <c r="M68" s="24"/>
      <c r="N68" s="552" t="s">
        <v>98</v>
      </c>
      <c r="O68" s="553"/>
      <c r="P68" s="554"/>
      <c r="Q68" s="74">
        <f>IF(H9="Невыбрано",IF(H8="Невыбрано",IF(H7="Невыбрано",IF(H6="Невыбрано",IF(H5="Воин",M4)))))+IF(C8="Маленький",1,)</f>
        <v>1</v>
      </c>
      <c r="R68" s="24"/>
      <c r="S68" s="49" t="s">
        <v>99</v>
      </c>
      <c r="T68" s="74"/>
      <c r="U68" s="24"/>
      <c r="V68" s="24"/>
      <c r="W68" s="28"/>
      <c r="X68" s="28"/>
      <c r="Y68" s="28"/>
      <c r="Z68" s="28"/>
      <c r="AA68" s="35"/>
      <c r="AB68" s="54"/>
    </row>
    <row r="69" spans="1:28" ht="27.75" customHeight="1" thickBot="1">
      <c r="A69" s="54"/>
      <c r="B69" s="33"/>
      <c r="C69" s="592" t="s">
        <v>100</v>
      </c>
      <c r="D69" s="593"/>
      <c r="E69" s="40">
        <f>F69+G69+H69+I69+J69</f>
        <v>1</v>
      </c>
      <c r="F69" s="26"/>
      <c r="G69" s="26">
        <f>F14</f>
        <v>1</v>
      </c>
      <c r="H69" s="26"/>
      <c r="I69" s="26"/>
      <c r="J69" s="11"/>
      <c r="K69" s="509"/>
      <c r="L69" s="511"/>
      <c r="M69" s="24"/>
      <c r="N69" s="24"/>
      <c r="O69" s="24"/>
      <c r="P69" s="24"/>
      <c r="Q69" s="24"/>
      <c r="R69" s="24"/>
      <c r="S69" s="24"/>
      <c r="T69" s="24"/>
      <c r="U69" s="24"/>
      <c r="V69" s="24"/>
      <c r="AA69" s="35"/>
      <c r="AB69" s="54"/>
    </row>
    <row r="70" spans="1:28" ht="27.75" customHeight="1" thickTop="1" thickBot="1">
      <c r="A70" s="54"/>
      <c r="B70" s="33"/>
      <c r="C70" s="45"/>
      <c r="D70" s="41"/>
      <c r="E70" s="42"/>
      <c r="F70" s="42"/>
      <c r="G70" s="42"/>
      <c r="H70" s="42"/>
      <c r="I70" s="42"/>
      <c r="J70" s="12"/>
      <c r="K70" s="594"/>
      <c r="L70" s="595"/>
      <c r="M70" s="24"/>
      <c r="N70" s="552" t="s">
        <v>101</v>
      </c>
      <c r="O70" s="553"/>
      <c r="P70" s="554"/>
      <c r="Q70" s="74">
        <f>S70+T70+U70+AA70</f>
        <v>3</v>
      </c>
      <c r="R70" s="139" t="s">
        <v>30</v>
      </c>
      <c r="S70" s="74">
        <f>Q68</f>
        <v>1</v>
      </c>
      <c r="T70" s="74">
        <f>F12</f>
        <v>2</v>
      </c>
      <c r="U70" s="74">
        <f>IF(C8 = "Маленький", 1, IF(C8 = "Средний", 0, IF(C8 = "Большой", 2, "ERROR")))</f>
        <v>0</v>
      </c>
      <c r="V70" s="74"/>
      <c r="X70" s="28"/>
      <c r="Y70" s="28"/>
      <c r="Z70" s="28"/>
      <c r="AA70" s="35"/>
      <c r="AB70" s="54"/>
    </row>
    <row r="71" spans="1:28" ht="34.5" customHeight="1" thickTop="1" thickBot="1">
      <c r="A71" s="54"/>
      <c r="B71" s="33"/>
      <c r="C71" s="592" t="s">
        <v>102</v>
      </c>
      <c r="D71" s="593"/>
      <c r="E71" s="43">
        <f>F71+G71+H71+I71+J71</f>
        <v>1</v>
      </c>
      <c r="F71" s="26"/>
      <c r="G71" s="26">
        <f>F13</f>
        <v>1</v>
      </c>
      <c r="H71" s="26"/>
      <c r="I71" s="26"/>
      <c r="J71" s="11"/>
      <c r="K71" s="594"/>
      <c r="L71" s="595"/>
      <c r="M71" s="24"/>
      <c r="N71" s="24"/>
      <c r="O71" s="24"/>
      <c r="P71" s="24"/>
      <c r="Q71" s="24"/>
      <c r="R71" s="24"/>
      <c r="S71" s="137" t="s">
        <v>103</v>
      </c>
      <c r="T71" s="137" t="s">
        <v>104</v>
      </c>
      <c r="U71" s="137" t="s">
        <v>35</v>
      </c>
      <c r="V71" s="137" t="s">
        <v>38</v>
      </c>
      <c r="AA71" s="35"/>
      <c r="AB71" s="54"/>
    </row>
    <row r="72" spans="1:28" ht="27.75" customHeight="1" thickBot="1">
      <c r="A72" s="54"/>
      <c r="B72" s="33"/>
      <c r="C72" s="45"/>
      <c r="D72" s="41"/>
      <c r="E72" s="42"/>
      <c r="F72" s="42"/>
      <c r="G72" s="42"/>
      <c r="H72" s="42"/>
      <c r="I72" s="42"/>
      <c r="J72" s="12"/>
      <c r="K72" s="594"/>
      <c r="L72" s="595"/>
      <c r="M72" s="24"/>
      <c r="N72" s="24"/>
      <c r="O72" s="24"/>
      <c r="P72" s="24"/>
      <c r="Q72" s="24"/>
      <c r="R72" s="24"/>
      <c r="S72" s="24"/>
      <c r="T72" s="24"/>
      <c r="U72" s="24"/>
      <c r="V72" s="24"/>
      <c r="AA72" s="35"/>
      <c r="AB72" s="54"/>
    </row>
    <row r="73" spans="1:28" ht="27.75" customHeight="1" thickBot="1">
      <c r="A73" s="54"/>
      <c r="B73" s="33"/>
      <c r="C73" s="599" t="s">
        <v>105</v>
      </c>
      <c r="D73" s="600"/>
      <c r="E73" s="43">
        <f>F73+G73+H73+I73+J73</f>
        <v>-1</v>
      </c>
      <c r="F73" s="26"/>
      <c r="G73" s="26">
        <f>F16</f>
        <v>-1</v>
      </c>
      <c r="H73" s="26"/>
      <c r="I73" s="26"/>
      <c r="J73" s="11"/>
      <c r="K73" s="594"/>
      <c r="L73" s="595"/>
      <c r="M73" s="24"/>
      <c r="N73" s="24"/>
      <c r="O73" s="24"/>
      <c r="P73" s="24"/>
      <c r="Q73" s="24"/>
      <c r="R73" s="24"/>
      <c r="S73" s="24"/>
      <c r="T73" s="24"/>
      <c r="U73" s="24"/>
      <c r="V73" s="24"/>
      <c r="AA73" s="35"/>
      <c r="AB73" s="54"/>
    </row>
    <row r="74" spans="1:28" ht="27.75" customHeight="1" thickBot="1">
      <c r="A74" s="54"/>
      <c r="B74" s="33"/>
      <c r="C74" s="46"/>
      <c r="D74" s="44"/>
      <c r="E74" s="42"/>
      <c r="F74" s="42"/>
      <c r="G74" s="42"/>
      <c r="H74" s="42"/>
      <c r="I74" s="42"/>
      <c r="J74" s="12"/>
      <c r="K74" s="596"/>
      <c r="L74" s="597"/>
      <c r="M74" s="24"/>
      <c r="N74" s="24"/>
      <c r="O74" s="24"/>
      <c r="P74" s="464" t="s">
        <v>106</v>
      </c>
      <c r="Q74" s="460"/>
      <c r="R74" s="461"/>
      <c r="S74" s="459" t="s">
        <v>107</v>
      </c>
      <c r="T74" s="460"/>
      <c r="U74" s="461"/>
      <c r="V74" s="459" t="s">
        <v>108</v>
      </c>
      <c r="W74" s="460"/>
      <c r="X74" s="461"/>
      <c r="Y74" s="453" t="s">
        <v>109</v>
      </c>
      <c r="Z74" s="454"/>
      <c r="AA74" s="35"/>
      <c r="AB74" s="54"/>
    </row>
    <row r="75" spans="1:28" ht="27.75" customHeight="1" thickTop="1" thickBot="1">
      <c r="A75" s="54"/>
      <c r="B75" s="33"/>
      <c r="C75" s="24"/>
      <c r="D75" s="24"/>
      <c r="E75" s="24"/>
      <c r="F75" s="24"/>
      <c r="G75" s="24"/>
      <c r="H75" s="24"/>
      <c r="I75" s="24"/>
      <c r="J75" s="24"/>
      <c r="K75" s="24"/>
      <c r="L75" s="24"/>
      <c r="M75" s="24"/>
      <c r="N75" s="24"/>
      <c r="O75" s="28"/>
      <c r="P75" s="446"/>
      <c r="Q75" s="447"/>
      <c r="R75" s="448"/>
      <c r="S75" s="446"/>
      <c r="T75" s="447"/>
      <c r="U75" s="448"/>
      <c r="V75" s="446"/>
      <c r="W75" s="447"/>
      <c r="X75" s="448"/>
      <c r="Y75" s="449"/>
      <c r="Z75" s="450"/>
      <c r="AA75" s="35"/>
      <c r="AB75" s="54"/>
    </row>
    <row r="76" spans="1:28" ht="27.75" customHeight="1" thickTop="1" thickBot="1">
      <c r="A76" s="54"/>
      <c r="B76" s="33"/>
      <c r="C76" s="24"/>
      <c r="D76" s="24"/>
      <c r="E76" s="24"/>
      <c r="F76" s="24"/>
      <c r="G76" s="24"/>
      <c r="H76" s="24"/>
      <c r="I76" s="24"/>
      <c r="J76" s="24"/>
      <c r="K76" s="24"/>
      <c r="L76" s="24"/>
      <c r="M76" s="24"/>
      <c r="N76" s="24"/>
      <c r="O76" s="28"/>
      <c r="P76" s="451" t="s">
        <v>110</v>
      </c>
      <c r="Q76" s="452"/>
      <c r="R76" s="453" t="s">
        <v>111</v>
      </c>
      <c r="S76" s="452"/>
      <c r="T76" s="453" t="s">
        <v>112</v>
      </c>
      <c r="U76" s="454"/>
      <c r="V76" s="454"/>
      <c r="W76" s="454"/>
      <c r="X76" s="454"/>
      <c r="Y76" s="454"/>
      <c r="Z76" s="454"/>
      <c r="AA76" s="35"/>
      <c r="AB76" s="54"/>
    </row>
    <row r="77" spans="1:28" ht="27.75" customHeight="1" thickTop="1" thickBot="1">
      <c r="A77" s="54"/>
      <c r="B77" s="33"/>
      <c r="C77" s="2" t="s">
        <v>113</v>
      </c>
      <c r="D77" s="548" t="s">
        <v>114</v>
      </c>
      <c r="E77" s="549"/>
      <c r="F77" s="549"/>
      <c r="G77" s="549"/>
      <c r="H77" s="549"/>
      <c r="I77" s="549"/>
      <c r="J77" s="549"/>
      <c r="K77" s="549"/>
      <c r="L77" s="549"/>
      <c r="M77" s="549"/>
      <c r="N77" s="550"/>
      <c r="O77" s="28"/>
      <c r="P77" s="449"/>
      <c r="Q77" s="450"/>
      <c r="R77" s="449"/>
      <c r="S77" s="450"/>
      <c r="T77" s="449"/>
      <c r="U77" s="455"/>
      <c r="V77" s="455"/>
      <c r="W77" s="455"/>
      <c r="X77" s="455"/>
      <c r="Y77" s="455"/>
      <c r="Z77" s="450"/>
      <c r="AA77" s="24"/>
      <c r="AB77" s="54"/>
    </row>
    <row r="78" spans="1:28" ht="27.75" customHeight="1" thickTop="1" thickBot="1">
      <c r="A78" s="54"/>
      <c r="B78" s="33"/>
      <c r="C78" s="15" t="s">
        <v>115</v>
      </c>
      <c r="D78" s="545" t="s">
        <v>116</v>
      </c>
      <c r="E78" s="546"/>
      <c r="F78" s="546"/>
      <c r="G78" s="547"/>
      <c r="H78" s="539" t="s">
        <v>117</v>
      </c>
      <c r="I78" s="540"/>
      <c r="J78" s="540"/>
      <c r="K78" s="541"/>
      <c r="L78" s="539" t="s">
        <v>118</v>
      </c>
      <c r="M78" s="540"/>
      <c r="N78" s="541"/>
      <c r="O78" s="28"/>
      <c r="P78" s="138" t="s">
        <v>119</v>
      </c>
      <c r="Q78" s="462"/>
      <c r="R78" s="463"/>
      <c r="S78" s="463"/>
      <c r="T78" s="463"/>
      <c r="U78" s="465"/>
      <c r="V78" s="465"/>
      <c r="W78" s="465"/>
      <c r="X78" s="465"/>
      <c r="Y78" s="465"/>
      <c r="Z78" s="465"/>
      <c r="AA78" s="24"/>
      <c r="AB78" s="54"/>
    </row>
    <row r="79" spans="1:28" ht="27.75" customHeight="1" thickTop="1">
      <c r="A79" s="54"/>
      <c r="B79" s="33"/>
      <c r="C79" s="16"/>
      <c r="D79" s="542"/>
      <c r="E79" s="543"/>
      <c r="F79" s="543"/>
      <c r="G79" s="544"/>
      <c r="H79" s="506"/>
      <c r="I79" s="507"/>
      <c r="J79" s="507"/>
      <c r="K79" s="508"/>
      <c r="L79" s="506"/>
      <c r="M79" s="507"/>
      <c r="N79" s="508"/>
      <c r="O79" s="28"/>
      <c r="P79" s="24"/>
      <c r="Q79" s="24"/>
      <c r="R79" s="24"/>
      <c r="S79" s="24"/>
      <c r="T79" s="24"/>
      <c r="U79" s="24"/>
      <c r="V79" s="24"/>
      <c r="AA79" s="24"/>
      <c r="AB79" s="54"/>
    </row>
    <row r="80" spans="1:28" ht="27.75" customHeight="1">
      <c r="A80" s="54"/>
      <c r="B80" s="33"/>
      <c r="C80" s="16"/>
      <c r="D80" s="503"/>
      <c r="E80" s="504"/>
      <c r="F80" s="504"/>
      <c r="G80" s="505"/>
      <c r="H80" s="477"/>
      <c r="I80" s="478"/>
      <c r="J80" s="478"/>
      <c r="K80" s="479"/>
      <c r="L80" s="477"/>
      <c r="M80" s="478"/>
      <c r="N80" s="479"/>
      <c r="O80" s="28"/>
      <c r="P80" s="24"/>
      <c r="Q80" s="24"/>
      <c r="R80" s="24"/>
      <c r="S80" s="24"/>
      <c r="T80" s="24"/>
      <c r="U80" s="24"/>
      <c r="V80" s="24"/>
      <c r="AA80" s="24"/>
      <c r="AB80" s="54"/>
    </row>
    <row r="81" spans="1:28" ht="27.75" customHeight="1" thickBot="1">
      <c r="A81" s="54"/>
      <c r="B81" s="33"/>
      <c r="C81" s="16"/>
      <c r="D81" s="500"/>
      <c r="E81" s="501"/>
      <c r="F81" s="501"/>
      <c r="G81" s="502"/>
      <c r="H81" s="497"/>
      <c r="I81" s="498"/>
      <c r="J81" s="498"/>
      <c r="K81" s="499"/>
      <c r="L81" s="506"/>
      <c r="M81" s="507"/>
      <c r="N81" s="508"/>
      <c r="O81" s="28"/>
      <c r="P81" s="464" t="s">
        <v>106</v>
      </c>
      <c r="Q81" s="460"/>
      <c r="R81" s="461"/>
      <c r="S81" s="459" t="s">
        <v>107</v>
      </c>
      <c r="T81" s="460"/>
      <c r="U81" s="461"/>
      <c r="V81" s="459" t="s">
        <v>108</v>
      </c>
      <c r="W81" s="460"/>
      <c r="X81" s="461"/>
      <c r="Y81" s="453" t="s">
        <v>109</v>
      </c>
      <c r="Z81" s="454"/>
      <c r="AA81" s="24"/>
      <c r="AB81" s="54"/>
    </row>
    <row r="82" spans="1:28" ht="27.75" customHeight="1" thickTop="1" thickBot="1">
      <c r="A82" s="54"/>
      <c r="B82" s="33"/>
      <c r="C82" s="16"/>
      <c r="D82" s="503"/>
      <c r="E82" s="504"/>
      <c r="F82" s="504"/>
      <c r="G82" s="505"/>
      <c r="H82" s="477"/>
      <c r="I82" s="478"/>
      <c r="J82" s="478"/>
      <c r="K82" s="479"/>
      <c r="L82" s="477"/>
      <c r="M82" s="478"/>
      <c r="N82" s="479"/>
      <c r="O82" s="28"/>
      <c r="P82" s="446"/>
      <c r="Q82" s="447"/>
      <c r="R82" s="448"/>
      <c r="S82" s="446"/>
      <c r="T82" s="447"/>
      <c r="U82" s="448"/>
      <c r="V82" s="446"/>
      <c r="W82" s="447"/>
      <c r="X82" s="448"/>
      <c r="Y82" s="449"/>
      <c r="Z82" s="450"/>
      <c r="AA82" s="35"/>
      <c r="AB82" s="54"/>
    </row>
    <row r="83" spans="1:28" ht="27.75" customHeight="1" thickTop="1" thickBot="1">
      <c r="A83" s="54"/>
      <c r="B83" s="33"/>
      <c r="C83" s="16"/>
      <c r="D83" s="500"/>
      <c r="E83" s="501"/>
      <c r="F83" s="501"/>
      <c r="G83" s="502"/>
      <c r="H83" s="497"/>
      <c r="I83" s="498"/>
      <c r="J83" s="498"/>
      <c r="K83" s="499"/>
      <c r="L83" s="506"/>
      <c r="M83" s="507"/>
      <c r="N83" s="508"/>
      <c r="O83" s="28"/>
      <c r="P83" s="451" t="s">
        <v>110</v>
      </c>
      <c r="Q83" s="452"/>
      <c r="R83" s="453" t="s">
        <v>111</v>
      </c>
      <c r="S83" s="452"/>
      <c r="T83" s="453" t="s">
        <v>112</v>
      </c>
      <c r="U83" s="454"/>
      <c r="V83" s="454"/>
      <c r="W83" s="454"/>
      <c r="X83" s="454"/>
      <c r="Y83" s="454"/>
      <c r="Z83" s="454"/>
      <c r="AA83" s="35"/>
      <c r="AB83" s="54"/>
    </row>
    <row r="84" spans="1:28" ht="27.75" customHeight="1" thickTop="1" thickBot="1">
      <c r="A84" s="54"/>
      <c r="B84" s="33"/>
      <c r="C84" s="16"/>
      <c r="D84" s="503"/>
      <c r="E84" s="504"/>
      <c r="F84" s="504"/>
      <c r="G84" s="505"/>
      <c r="H84" s="477"/>
      <c r="I84" s="478"/>
      <c r="J84" s="478"/>
      <c r="K84" s="479"/>
      <c r="L84" s="477"/>
      <c r="M84" s="478"/>
      <c r="N84" s="479"/>
      <c r="O84" s="28"/>
      <c r="P84" s="449"/>
      <c r="Q84" s="450"/>
      <c r="R84" s="449"/>
      <c r="S84" s="450"/>
      <c r="T84" s="449"/>
      <c r="U84" s="455"/>
      <c r="V84" s="455"/>
      <c r="W84" s="455"/>
      <c r="X84" s="455"/>
      <c r="Y84" s="455"/>
      <c r="Z84" s="450"/>
      <c r="AA84" s="35"/>
      <c r="AB84" s="54"/>
    </row>
    <row r="85" spans="1:28" ht="27.75" customHeight="1" thickTop="1" thickBot="1">
      <c r="A85" s="54"/>
      <c r="B85" s="33"/>
      <c r="C85" s="16"/>
      <c r="D85" s="500"/>
      <c r="E85" s="501"/>
      <c r="F85" s="501"/>
      <c r="G85" s="502"/>
      <c r="H85" s="497"/>
      <c r="I85" s="498"/>
      <c r="J85" s="498"/>
      <c r="K85" s="499"/>
      <c r="L85" s="506"/>
      <c r="M85" s="507"/>
      <c r="N85" s="508"/>
      <c r="O85" s="24"/>
      <c r="P85" s="32" t="s">
        <v>119</v>
      </c>
      <c r="Q85" s="456"/>
      <c r="R85" s="457"/>
      <c r="S85" s="457"/>
      <c r="T85" s="457"/>
      <c r="U85" s="458"/>
      <c r="V85" s="458"/>
      <c r="W85" s="458"/>
      <c r="X85" s="458"/>
      <c r="Y85" s="458"/>
      <c r="Z85" s="458"/>
      <c r="AA85" s="35"/>
      <c r="AB85" s="54"/>
    </row>
    <row r="86" spans="1:28" ht="27.75" customHeight="1" thickTop="1">
      <c r="A86" s="54"/>
      <c r="B86" s="33"/>
      <c r="C86" s="16"/>
      <c r="D86" s="503"/>
      <c r="E86" s="504"/>
      <c r="F86" s="504"/>
      <c r="G86" s="505"/>
      <c r="H86" s="477"/>
      <c r="I86" s="478"/>
      <c r="J86" s="478"/>
      <c r="K86" s="479"/>
      <c r="L86" s="477"/>
      <c r="M86" s="478"/>
      <c r="N86" s="479"/>
      <c r="O86" s="24"/>
      <c r="P86" s="24"/>
      <c r="Q86" s="24"/>
      <c r="R86" s="24"/>
      <c r="S86" s="24"/>
      <c r="T86" s="24"/>
      <c r="U86" s="28"/>
      <c r="V86" s="28"/>
      <c r="W86" s="28"/>
      <c r="X86" s="28"/>
      <c r="Y86" s="28"/>
      <c r="Z86" s="28"/>
      <c r="AA86" s="35"/>
      <c r="AB86" s="54"/>
    </row>
    <row r="87" spans="1:28" ht="27.75" customHeight="1">
      <c r="A87" s="54"/>
      <c r="B87" s="33"/>
      <c r="C87" s="16"/>
      <c r="D87" s="500"/>
      <c r="E87" s="501"/>
      <c r="F87" s="501"/>
      <c r="G87" s="502"/>
      <c r="H87" s="497"/>
      <c r="I87" s="498"/>
      <c r="J87" s="498"/>
      <c r="K87" s="499"/>
      <c r="L87" s="506"/>
      <c r="M87" s="507"/>
      <c r="N87" s="508"/>
      <c r="O87" s="24"/>
      <c r="P87" s="24"/>
      <c r="Q87" s="24"/>
      <c r="R87" s="24"/>
      <c r="S87" s="24"/>
      <c r="T87" s="24"/>
      <c r="U87" s="28"/>
      <c r="V87" s="28"/>
      <c r="W87" s="28"/>
      <c r="X87" s="28"/>
      <c r="Y87" s="28"/>
      <c r="Z87" s="28"/>
      <c r="AA87" s="35"/>
      <c r="AB87" s="54"/>
    </row>
    <row r="88" spans="1:28" ht="27.75" customHeight="1" thickBot="1">
      <c r="A88" s="54"/>
      <c r="B88" s="33"/>
      <c r="C88" s="16"/>
      <c r="D88" s="503"/>
      <c r="E88" s="504"/>
      <c r="F88" s="504"/>
      <c r="G88" s="505"/>
      <c r="H88" s="477"/>
      <c r="I88" s="478"/>
      <c r="J88" s="478"/>
      <c r="K88" s="479"/>
      <c r="L88" s="477"/>
      <c r="M88" s="478"/>
      <c r="N88" s="479"/>
      <c r="O88" s="24"/>
      <c r="P88" s="464" t="s">
        <v>106</v>
      </c>
      <c r="Q88" s="460"/>
      <c r="R88" s="461"/>
      <c r="S88" s="459" t="s">
        <v>107</v>
      </c>
      <c r="T88" s="460"/>
      <c r="U88" s="461"/>
      <c r="V88" s="459" t="s">
        <v>108</v>
      </c>
      <c r="W88" s="460"/>
      <c r="X88" s="461"/>
      <c r="Y88" s="453" t="s">
        <v>109</v>
      </c>
      <c r="Z88" s="454"/>
      <c r="AA88" s="35"/>
      <c r="AB88" s="54"/>
    </row>
    <row r="89" spans="1:28" ht="27.75" customHeight="1" thickTop="1" thickBot="1">
      <c r="A89" s="54"/>
      <c r="B89" s="33"/>
      <c r="C89" s="16"/>
      <c r="D89" s="500"/>
      <c r="E89" s="501"/>
      <c r="F89" s="501"/>
      <c r="G89" s="502"/>
      <c r="H89" s="497"/>
      <c r="I89" s="498"/>
      <c r="J89" s="498"/>
      <c r="K89" s="499"/>
      <c r="L89" s="506"/>
      <c r="M89" s="507"/>
      <c r="N89" s="508"/>
      <c r="O89" s="24"/>
      <c r="P89" s="446"/>
      <c r="Q89" s="447"/>
      <c r="R89" s="448"/>
      <c r="S89" s="446"/>
      <c r="T89" s="447"/>
      <c r="U89" s="448"/>
      <c r="V89" s="446"/>
      <c r="W89" s="447"/>
      <c r="X89" s="448"/>
      <c r="Y89" s="449"/>
      <c r="Z89" s="450"/>
      <c r="AA89" s="35"/>
      <c r="AB89" s="54"/>
    </row>
    <row r="90" spans="1:28" ht="27.75" customHeight="1" thickTop="1" thickBot="1">
      <c r="A90" s="54"/>
      <c r="B90" s="33"/>
      <c r="C90" s="16"/>
      <c r="D90" s="503"/>
      <c r="E90" s="504"/>
      <c r="F90" s="504"/>
      <c r="G90" s="505"/>
      <c r="H90" s="477"/>
      <c r="I90" s="478"/>
      <c r="J90" s="478"/>
      <c r="K90" s="479"/>
      <c r="L90" s="477"/>
      <c r="M90" s="478"/>
      <c r="N90" s="479"/>
      <c r="O90" s="24"/>
      <c r="P90" s="451" t="s">
        <v>110</v>
      </c>
      <c r="Q90" s="452"/>
      <c r="R90" s="453" t="s">
        <v>111</v>
      </c>
      <c r="S90" s="452"/>
      <c r="T90" s="453" t="s">
        <v>112</v>
      </c>
      <c r="U90" s="454"/>
      <c r="V90" s="454"/>
      <c r="W90" s="454"/>
      <c r="X90" s="454"/>
      <c r="Y90" s="454"/>
      <c r="Z90" s="454"/>
      <c r="AA90" s="35"/>
      <c r="AB90" s="54"/>
    </row>
    <row r="91" spans="1:28" ht="27.75" customHeight="1" thickTop="1" thickBot="1">
      <c r="A91" s="54"/>
      <c r="B91" s="33"/>
      <c r="C91" s="16"/>
      <c r="D91" s="500"/>
      <c r="E91" s="501"/>
      <c r="F91" s="501"/>
      <c r="G91" s="502"/>
      <c r="H91" s="497"/>
      <c r="I91" s="498"/>
      <c r="J91" s="498"/>
      <c r="K91" s="499"/>
      <c r="L91" s="506"/>
      <c r="M91" s="507"/>
      <c r="N91" s="508"/>
      <c r="O91" s="24"/>
      <c r="P91" s="449"/>
      <c r="Q91" s="450"/>
      <c r="R91" s="449"/>
      <c r="S91" s="450"/>
      <c r="T91" s="449"/>
      <c r="U91" s="455"/>
      <c r="V91" s="455"/>
      <c r="W91" s="455"/>
      <c r="X91" s="455"/>
      <c r="Y91" s="455"/>
      <c r="Z91" s="450"/>
      <c r="AA91" s="35"/>
      <c r="AB91" s="54"/>
    </row>
    <row r="92" spans="1:28" ht="27.75" customHeight="1" thickTop="1" thickBot="1">
      <c r="A92" s="54"/>
      <c r="B92" s="33"/>
      <c r="C92" s="16"/>
      <c r="D92" s="503"/>
      <c r="E92" s="504"/>
      <c r="F92" s="504"/>
      <c r="G92" s="505"/>
      <c r="H92" s="477"/>
      <c r="I92" s="478"/>
      <c r="J92" s="478"/>
      <c r="K92" s="479"/>
      <c r="L92" s="477"/>
      <c r="M92" s="478"/>
      <c r="N92" s="479"/>
      <c r="O92" s="24"/>
      <c r="P92" s="32" t="s">
        <v>119</v>
      </c>
      <c r="Q92" s="456"/>
      <c r="R92" s="457"/>
      <c r="S92" s="457"/>
      <c r="T92" s="457"/>
      <c r="U92" s="458"/>
      <c r="V92" s="458"/>
      <c r="W92" s="458"/>
      <c r="X92" s="458"/>
      <c r="Y92" s="458"/>
      <c r="Z92" s="458"/>
      <c r="AA92" s="35"/>
      <c r="AB92" s="54"/>
    </row>
    <row r="93" spans="1:28" ht="27.75" customHeight="1" thickTop="1" thickBot="1">
      <c r="A93" s="54"/>
      <c r="B93" s="33"/>
      <c r="C93" s="16"/>
      <c r="D93" s="500"/>
      <c r="E93" s="501"/>
      <c r="F93" s="501"/>
      <c r="G93" s="502"/>
      <c r="H93" s="497"/>
      <c r="I93" s="498"/>
      <c r="J93" s="498"/>
      <c r="K93" s="499"/>
      <c r="L93" s="506"/>
      <c r="M93" s="507"/>
      <c r="N93" s="508"/>
      <c r="O93" s="516" t="s">
        <v>120</v>
      </c>
      <c r="P93" s="517"/>
      <c r="Q93" s="517"/>
      <c r="R93" s="517"/>
      <c r="S93" s="517"/>
      <c r="T93" s="518"/>
      <c r="U93" s="28"/>
      <c r="V93" s="28"/>
      <c r="W93" s="28"/>
      <c r="X93" s="28"/>
      <c r="Y93" s="28"/>
      <c r="Z93" s="28"/>
      <c r="AA93" s="35"/>
      <c r="AB93" s="54"/>
    </row>
    <row r="94" spans="1:28" ht="27.75" customHeight="1" thickBot="1">
      <c r="A94" s="54"/>
      <c r="B94" s="33"/>
      <c r="C94" s="16"/>
      <c r="D94" s="503"/>
      <c r="E94" s="504"/>
      <c r="F94" s="504"/>
      <c r="G94" s="505"/>
      <c r="H94" s="477"/>
      <c r="I94" s="478"/>
      <c r="J94" s="478"/>
      <c r="K94" s="479"/>
      <c r="L94" s="477"/>
      <c r="M94" s="478"/>
      <c r="N94" s="479"/>
      <c r="O94" s="1" t="s">
        <v>2</v>
      </c>
      <c r="P94" s="1" t="s">
        <v>121</v>
      </c>
      <c r="Q94" s="1" t="s">
        <v>122</v>
      </c>
      <c r="R94" s="1" t="s">
        <v>123</v>
      </c>
      <c r="S94" s="18" t="s">
        <v>124</v>
      </c>
      <c r="T94" s="19" t="s">
        <v>125</v>
      </c>
      <c r="U94" s="28"/>
      <c r="V94" s="28"/>
      <c r="W94" s="28"/>
      <c r="X94" s="28"/>
      <c r="Y94" s="28"/>
      <c r="Z94" s="28"/>
      <c r="AA94" s="35"/>
      <c r="AB94" s="54"/>
    </row>
    <row r="95" spans="1:28" ht="27.75" customHeight="1">
      <c r="A95" s="54"/>
      <c r="B95" s="33"/>
      <c r="C95" s="16"/>
      <c r="D95" s="500"/>
      <c r="E95" s="501"/>
      <c r="F95" s="501"/>
      <c r="G95" s="502"/>
      <c r="H95" s="497"/>
      <c r="I95" s="498"/>
      <c r="J95" s="498"/>
      <c r="K95" s="499"/>
      <c r="L95" s="506"/>
      <c r="M95" s="507"/>
      <c r="N95" s="508"/>
      <c r="O95" s="20">
        <v>0</v>
      </c>
      <c r="P95" s="62"/>
      <c r="Q95" s="62"/>
      <c r="R95" s="62"/>
      <c r="S95" s="62"/>
      <c r="T95" s="63"/>
      <c r="U95" s="28"/>
      <c r="V95" s="28"/>
      <c r="W95" s="28"/>
      <c r="X95" s="28"/>
      <c r="Y95" s="28"/>
      <c r="Z95" s="28"/>
      <c r="AA95" s="35"/>
      <c r="AB95" s="54"/>
    </row>
    <row r="96" spans="1:28" ht="27.75" customHeight="1">
      <c r="A96" s="54"/>
      <c r="B96" s="33"/>
      <c r="C96" s="16"/>
      <c r="D96" s="503"/>
      <c r="E96" s="504"/>
      <c r="F96" s="504"/>
      <c r="G96" s="505"/>
      <c r="H96" s="477"/>
      <c r="I96" s="478"/>
      <c r="J96" s="478"/>
      <c r="K96" s="479"/>
      <c r="L96" s="477"/>
      <c r="M96" s="478"/>
      <c r="N96" s="479"/>
      <c r="O96" s="27">
        <v>1</v>
      </c>
      <c r="P96" s="353"/>
      <c r="Q96" s="353"/>
      <c r="R96" s="353"/>
      <c r="S96" s="353"/>
      <c r="T96" s="64"/>
      <c r="U96" s="28"/>
      <c r="V96" s="28"/>
      <c r="W96" s="28"/>
      <c r="X96" s="28"/>
      <c r="Y96" s="28"/>
      <c r="Z96" s="28"/>
      <c r="AA96" s="35"/>
      <c r="AB96" s="54"/>
    </row>
    <row r="97" spans="1:28" ht="27.75" customHeight="1">
      <c r="A97" s="54"/>
      <c r="B97" s="33"/>
      <c r="C97" s="16"/>
      <c r="D97" s="500"/>
      <c r="E97" s="501"/>
      <c r="F97" s="501"/>
      <c r="G97" s="502"/>
      <c r="H97" s="497"/>
      <c r="I97" s="498"/>
      <c r="J97" s="498"/>
      <c r="K97" s="499"/>
      <c r="L97" s="506"/>
      <c r="M97" s="507"/>
      <c r="N97" s="508"/>
      <c r="O97" s="29">
        <v>2</v>
      </c>
      <c r="P97" s="352"/>
      <c r="Q97" s="352"/>
      <c r="R97" s="352"/>
      <c r="S97" s="352"/>
      <c r="T97" s="65"/>
      <c r="U97" s="28"/>
      <c r="V97" s="28"/>
      <c r="W97" s="28"/>
      <c r="X97" s="28"/>
      <c r="Y97" s="28"/>
      <c r="Z97" s="28"/>
      <c r="AA97" s="35"/>
      <c r="AB97" s="54"/>
    </row>
    <row r="98" spans="1:28" ht="27.75" customHeight="1" thickBot="1">
      <c r="A98" s="54"/>
      <c r="B98" s="33"/>
      <c r="C98" s="16"/>
      <c r="D98" s="22"/>
      <c r="E98" s="23"/>
      <c r="F98" s="23"/>
      <c r="G98" s="23"/>
      <c r="H98" s="573"/>
      <c r="I98" s="573"/>
      <c r="J98" s="573"/>
      <c r="K98" s="573"/>
      <c r="L98" s="573"/>
      <c r="M98" s="573"/>
      <c r="N98" s="574"/>
      <c r="O98" s="27">
        <v>3</v>
      </c>
      <c r="P98" s="353"/>
      <c r="Q98" s="353"/>
      <c r="R98" s="353"/>
      <c r="S98" s="353"/>
      <c r="T98" s="64"/>
      <c r="U98" s="28"/>
      <c r="V98" s="28"/>
      <c r="W98" s="28"/>
      <c r="X98" s="28"/>
      <c r="Y98" s="28"/>
      <c r="Z98" s="28"/>
      <c r="AA98" s="35"/>
      <c r="AB98" s="54"/>
    </row>
    <row r="99" spans="1:28" ht="27.75" customHeight="1">
      <c r="A99" s="54"/>
      <c r="B99" s="33"/>
      <c r="C99" s="16"/>
      <c r="D99" s="521" t="s">
        <v>126</v>
      </c>
      <c r="E99" s="522"/>
      <c r="F99" s="522"/>
      <c r="G99" s="523"/>
      <c r="H99" s="575" t="s">
        <v>117</v>
      </c>
      <c r="I99" s="576"/>
      <c r="J99" s="576"/>
      <c r="K99" s="577"/>
      <c r="L99" s="575" t="s">
        <v>118</v>
      </c>
      <c r="M99" s="576"/>
      <c r="N99" s="577"/>
      <c r="O99" s="29">
        <v>4</v>
      </c>
      <c r="P99" s="352"/>
      <c r="Q99" s="352"/>
      <c r="R99" s="352"/>
      <c r="S99" s="352"/>
      <c r="T99" s="65"/>
      <c r="U99" s="28"/>
      <c r="V99" s="28"/>
      <c r="W99" s="28"/>
      <c r="X99" s="28"/>
      <c r="Y99" s="28"/>
      <c r="Z99" s="28"/>
      <c r="AA99" s="35"/>
      <c r="AB99" s="54"/>
    </row>
    <row r="100" spans="1:28" ht="27.75" customHeight="1">
      <c r="A100" s="54"/>
      <c r="B100" s="33"/>
      <c r="C100" s="16"/>
      <c r="D100" s="503"/>
      <c r="E100" s="504"/>
      <c r="F100" s="504"/>
      <c r="G100" s="505"/>
      <c r="H100" s="477"/>
      <c r="I100" s="478"/>
      <c r="J100" s="478"/>
      <c r="K100" s="479"/>
      <c r="L100" s="477"/>
      <c r="M100" s="478"/>
      <c r="N100" s="479"/>
      <c r="O100" s="27">
        <v>5</v>
      </c>
      <c r="P100" s="353"/>
      <c r="Q100" s="353"/>
      <c r="R100" s="353"/>
      <c r="S100" s="353"/>
      <c r="T100" s="64"/>
      <c r="U100" s="28"/>
      <c r="V100" s="28"/>
      <c r="W100" s="28"/>
      <c r="X100" s="28"/>
      <c r="Y100" s="28"/>
      <c r="Z100" s="28"/>
      <c r="AA100" s="35"/>
      <c r="AB100" s="54"/>
    </row>
    <row r="101" spans="1:28" ht="27.75" customHeight="1">
      <c r="A101" s="54"/>
      <c r="B101" s="33"/>
      <c r="C101" s="16"/>
      <c r="D101" s="500"/>
      <c r="E101" s="501"/>
      <c r="F101" s="501"/>
      <c r="G101" s="502"/>
      <c r="H101" s="497"/>
      <c r="I101" s="498"/>
      <c r="J101" s="498"/>
      <c r="K101" s="499"/>
      <c r="L101" s="506"/>
      <c r="M101" s="507"/>
      <c r="N101" s="508"/>
      <c r="O101" s="29">
        <v>6</v>
      </c>
      <c r="P101" s="352"/>
      <c r="Q101" s="352"/>
      <c r="R101" s="352"/>
      <c r="S101" s="352"/>
      <c r="T101" s="65"/>
      <c r="U101" s="28"/>
      <c r="V101" s="28"/>
      <c r="W101" s="28"/>
      <c r="X101" s="28"/>
      <c r="Y101" s="28"/>
      <c r="Z101" s="28"/>
      <c r="AA101" s="35"/>
      <c r="AB101" s="54"/>
    </row>
    <row r="102" spans="1:28" ht="27.75" customHeight="1">
      <c r="A102" s="54"/>
      <c r="B102" s="33"/>
      <c r="C102" s="16"/>
      <c r="D102" s="503"/>
      <c r="E102" s="504"/>
      <c r="F102" s="504"/>
      <c r="G102" s="505"/>
      <c r="H102" s="477"/>
      <c r="I102" s="478"/>
      <c r="J102" s="478"/>
      <c r="K102" s="479"/>
      <c r="L102" s="477"/>
      <c r="M102" s="478"/>
      <c r="N102" s="479"/>
      <c r="O102" s="27">
        <v>7</v>
      </c>
      <c r="P102" s="353"/>
      <c r="Q102" s="353"/>
      <c r="R102" s="353"/>
      <c r="S102" s="353"/>
      <c r="T102" s="64"/>
      <c r="U102" s="28"/>
      <c r="V102" s="28"/>
      <c r="W102" s="28"/>
      <c r="X102" s="28"/>
      <c r="Y102" s="28"/>
      <c r="Z102" s="28"/>
      <c r="AA102" s="35"/>
      <c r="AB102" s="54"/>
    </row>
    <row r="103" spans="1:28" ht="27.75" customHeight="1">
      <c r="A103" s="54"/>
      <c r="B103" s="33"/>
      <c r="C103" s="16"/>
      <c r="D103" s="500"/>
      <c r="E103" s="501"/>
      <c r="F103" s="501"/>
      <c r="G103" s="502"/>
      <c r="H103" s="497"/>
      <c r="I103" s="498"/>
      <c r="J103" s="498"/>
      <c r="K103" s="499"/>
      <c r="L103" s="506"/>
      <c r="M103" s="507"/>
      <c r="N103" s="508"/>
      <c r="O103" s="29">
        <v>8</v>
      </c>
      <c r="P103" s="352"/>
      <c r="Q103" s="352"/>
      <c r="R103" s="352"/>
      <c r="S103" s="352"/>
      <c r="T103" s="65"/>
      <c r="U103" s="28"/>
      <c r="V103" s="28"/>
      <c r="W103" s="28"/>
      <c r="X103" s="28"/>
      <c r="Y103" s="28"/>
      <c r="Z103" s="28"/>
      <c r="AA103" s="35"/>
      <c r="AB103" s="54"/>
    </row>
    <row r="104" spans="1:28" ht="27.75" customHeight="1">
      <c r="A104" s="54"/>
      <c r="B104" s="33"/>
      <c r="C104" s="16"/>
      <c r="D104" s="503"/>
      <c r="E104" s="504"/>
      <c r="F104" s="504"/>
      <c r="G104" s="505"/>
      <c r="H104" s="477"/>
      <c r="I104" s="478"/>
      <c r="J104" s="478"/>
      <c r="K104" s="479"/>
      <c r="L104" s="477"/>
      <c r="M104" s="478"/>
      <c r="N104" s="479"/>
      <c r="O104" s="27">
        <v>9</v>
      </c>
      <c r="P104" s="353"/>
      <c r="Q104" s="353"/>
      <c r="R104" s="353"/>
      <c r="S104" s="353"/>
      <c r="T104" s="64"/>
      <c r="U104" s="28"/>
      <c r="V104" s="28"/>
      <c r="W104" s="28"/>
      <c r="X104" s="28"/>
      <c r="Y104" s="28"/>
      <c r="Z104" s="28"/>
      <c r="AA104" s="35"/>
      <c r="AB104" s="54"/>
    </row>
    <row r="105" spans="1:28" ht="27.75" customHeight="1">
      <c r="A105" s="54"/>
      <c r="B105" s="33"/>
      <c r="C105" s="16"/>
      <c r="D105" s="500"/>
      <c r="E105" s="501"/>
      <c r="F105" s="501"/>
      <c r="G105" s="502"/>
      <c r="H105" s="497"/>
      <c r="I105" s="498"/>
      <c r="J105" s="498"/>
      <c r="K105" s="499"/>
      <c r="L105" s="506"/>
      <c r="M105" s="507"/>
      <c r="N105" s="508"/>
      <c r="O105" s="21">
        <v>10</v>
      </c>
      <c r="P105" s="66"/>
      <c r="Q105" s="66"/>
      <c r="R105" s="66"/>
      <c r="S105" s="66"/>
      <c r="T105" s="67"/>
      <c r="U105" s="28"/>
      <c r="V105" s="28"/>
      <c r="W105" s="28"/>
      <c r="X105" s="28"/>
      <c r="Y105" s="28"/>
      <c r="Z105" s="28"/>
      <c r="AA105" s="35"/>
      <c r="AB105" s="54"/>
    </row>
    <row r="106" spans="1:28" ht="27.75" customHeight="1">
      <c r="A106" s="54"/>
      <c r="B106" s="33"/>
      <c r="C106" s="16"/>
      <c r="D106" s="503"/>
      <c r="E106" s="504"/>
      <c r="F106" s="504"/>
      <c r="G106" s="505"/>
      <c r="H106" s="477"/>
      <c r="I106" s="478"/>
      <c r="J106" s="478"/>
      <c r="K106" s="479"/>
      <c r="L106" s="477"/>
      <c r="M106" s="478"/>
      <c r="N106" s="479"/>
      <c r="O106" s="94" t="s">
        <v>127</v>
      </c>
      <c r="P106" s="95"/>
      <c r="Q106" s="95"/>
      <c r="R106" s="95"/>
      <c r="S106" s="95"/>
      <c r="T106" s="95"/>
      <c r="U106" s="28"/>
      <c r="V106" s="28"/>
      <c r="W106" s="28"/>
      <c r="X106" s="28"/>
      <c r="Y106" s="28"/>
      <c r="Z106" s="28"/>
      <c r="AA106" s="35"/>
      <c r="AB106" s="54"/>
    </row>
    <row r="107" spans="1:28" ht="27.75" customHeight="1" thickBot="1">
      <c r="A107" s="54"/>
      <c r="B107" s="33"/>
      <c r="C107" s="16"/>
      <c r="D107" s="500"/>
      <c r="E107" s="501"/>
      <c r="F107" s="501"/>
      <c r="G107" s="502"/>
      <c r="H107" s="497"/>
      <c r="I107" s="498"/>
      <c r="J107" s="498"/>
      <c r="K107" s="499"/>
      <c r="L107" s="506"/>
      <c r="M107" s="507"/>
      <c r="N107" s="508"/>
      <c r="O107" s="96"/>
      <c r="P107" s="355"/>
      <c r="Q107" s="355"/>
      <c r="R107" s="355"/>
      <c r="S107" s="355"/>
      <c r="T107" s="356"/>
      <c r="U107" s="28"/>
      <c r="V107" s="28"/>
      <c r="W107" s="28"/>
      <c r="X107" s="28"/>
      <c r="Y107" s="28"/>
      <c r="Z107" s="28"/>
      <c r="AA107" s="35"/>
      <c r="AB107" s="54"/>
    </row>
    <row r="108" spans="1:28" ht="27.75" customHeight="1" thickBot="1">
      <c r="A108" s="54"/>
      <c r="B108" s="33"/>
      <c r="C108" s="16"/>
      <c r="D108" s="503"/>
      <c r="E108" s="504"/>
      <c r="F108" s="504"/>
      <c r="G108" s="505"/>
      <c r="H108" s="477"/>
      <c r="I108" s="478"/>
      <c r="J108" s="478"/>
      <c r="K108" s="479"/>
      <c r="L108" s="477"/>
      <c r="M108" s="478"/>
      <c r="N108" s="479"/>
      <c r="O108" s="97" t="s">
        <v>128</v>
      </c>
      <c r="P108" s="98"/>
      <c r="Q108" s="99" t="s">
        <v>129</v>
      </c>
      <c r="R108" s="100"/>
      <c r="S108" s="100"/>
      <c r="T108" s="98"/>
      <c r="U108" s="28"/>
      <c r="V108" s="28"/>
      <c r="W108" s="28"/>
      <c r="X108" s="28"/>
      <c r="Y108" s="28"/>
      <c r="Z108" s="28"/>
      <c r="AA108" s="35"/>
      <c r="AB108" s="54"/>
    </row>
    <row r="109" spans="1:28" ht="27.75" customHeight="1" thickBot="1">
      <c r="A109" s="54"/>
      <c r="B109" s="33"/>
      <c r="C109" s="16"/>
      <c r="D109" s="500"/>
      <c r="E109" s="501"/>
      <c r="F109" s="501"/>
      <c r="G109" s="502"/>
      <c r="H109" s="506"/>
      <c r="I109" s="507"/>
      <c r="J109" s="507"/>
      <c r="K109" s="508"/>
      <c r="L109" s="506"/>
      <c r="M109" s="507"/>
      <c r="N109" s="508"/>
      <c r="O109" s="101"/>
      <c r="P109" s="102"/>
      <c r="Q109" s="102"/>
      <c r="R109" s="102"/>
      <c r="S109" s="102"/>
      <c r="T109" s="103"/>
      <c r="U109" s="28"/>
      <c r="V109" s="28"/>
      <c r="W109" s="28"/>
      <c r="X109" s="28"/>
      <c r="Y109" s="28"/>
      <c r="Z109" s="28"/>
      <c r="AA109" s="35"/>
      <c r="AB109" s="54"/>
    </row>
    <row r="110" spans="1:28" ht="27.75" customHeight="1" thickBot="1">
      <c r="A110" s="54"/>
      <c r="B110" s="33"/>
      <c r="C110" s="16"/>
      <c r="D110" s="578" t="s">
        <v>130</v>
      </c>
      <c r="E110" s="579"/>
      <c r="F110" s="579"/>
      <c r="G110" s="579"/>
      <c r="H110" s="579"/>
      <c r="I110" s="579"/>
      <c r="J110" s="579"/>
      <c r="K110" s="579"/>
      <c r="L110" s="579"/>
      <c r="M110" s="579"/>
      <c r="N110" s="580"/>
      <c r="O110" s="97" t="s">
        <v>128</v>
      </c>
      <c r="P110" s="98"/>
      <c r="Q110" s="99" t="s">
        <v>129</v>
      </c>
      <c r="R110" s="100"/>
      <c r="S110" s="100"/>
      <c r="T110" s="98"/>
      <c r="U110" s="28"/>
      <c r="V110" s="28"/>
      <c r="W110" s="28"/>
      <c r="X110" s="28"/>
      <c r="Y110" s="28"/>
      <c r="Z110" s="28"/>
      <c r="AA110" s="35"/>
      <c r="AB110" s="54"/>
    </row>
    <row r="111" spans="1:28" ht="27.75" customHeight="1" thickBot="1">
      <c r="A111" s="54"/>
      <c r="B111" s="33"/>
      <c r="C111" s="16"/>
      <c r="D111" s="519"/>
      <c r="E111" s="520"/>
      <c r="F111" s="520"/>
      <c r="G111" s="520"/>
      <c r="H111" s="520"/>
      <c r="I111" s="68"/>
      <c r="J111" s="471"/>
      <c r="K111" s="471"/>
      <c r="L111" s="471"/>
      <c r="M111" s="471"/>
      <c r="N111" s="472"/>
      <c r="O111" s="357" t="s">
        <v>131</v>
      </c>
      <c r="P111" s="358"/>
      <c r="Q111" s="358"/>
      <c r="R111" s="358"/>
      <c r="S111" s="358"/>
      <c r="T111" s="359"/>
      <c r="U111" s="28"/>
      <c r="V111" s="28"/>
      <c r="W111" s="28"/>
      <c r="X111" s="28"/>
      <c r="Y111" s="28"/>
      <c r="Z111" s="28"/>
      <c r="AA111" s="35"/>
      <c r="AB111" s="54"/>
    </row>
    <row r="112" spans="1:28" ht="30" customHeight="1" thickBot="1">
      <c r="A112" s="54"/>
      <c r="B112" s="33"/>
      <c r="C112" s="16"/>
      <c r="D112" s="480" t="s">
        <v>132</v>
      </c>
      <c r="E112" s="481"/>
      <c r="F112" s="481"/>
      <c r="G112" s="481"/>
      <c r="H112" s="482"/>
      <c r="I112" s="68"/>
      <c r="J112" s="494" t="s">
        <v>133</v>
      </c>
      <c r="K112" s="495"/>
      <c r="L112" s="495"/>
      <c r="M112" s="495"/>
      <c r="N112" s="496"/>
      <c r="O112" s="360"/>
      <c r="P112" s="361"/>
      <c r="Q112" s="361"/>
      <c r="R112" s="361"/>
      <c r="S112" s="361"/>
      <c r="T112" s="362"/>
      <c r="U112" s="28"/>
      <c r="V112" s="28"/>
      <c r="W112" s="28"/>
      <c r="X112" s="28"/>
      <c r="Y112" s="28"/>
      <c r="Z112" s="28"/>
      <c r="AA112" s="35"/>
      <c r="AB112" s="54"/>
    </row>
    <row r="113" spans="1:28" ht="27.75" customHeight="1" thickBot="1">
      <c r="A113" s="54"/>
      <c r="B113" s="33"/>
      <c r="C113" s="16"/>
      <c r="D113" s="483"/>
      <c r="E113" s="484"/>
      <c r="F113" s="484"/>
      <c r="G113" s="484"/>
      <c r="H113" s="485"/>
      <c r="I113" s="69"/>
      <c r="J113" s="491"/>
      <c r="K113" s="492"/>
      <c r="L113" s="492"/>
      <c r="M113" s="492"/>
      <c r="N113" s="493"/>
      <c r="O113" s="104" t="s">
        <v>134</v>
      </c>
      <c r="P113" s="105"/>
      <c r="Q113" s="106" t="s">
        <v>135</v>
      </c>
      <c r="R113" s="105"/>
      <c r="S113" s="106" t="s">
        <v>136</v>
      </c>
      <c r="T113" s="105"/>
      <c r="U113" s="28"/>
      <c r="V113" s="28"/>
      <c r="W113" s="28"/>
      <c r="X113" s="28"/>
      <c r="Y113" s="28"/>
      <c r="Z113" s="28"/>
      <c r="AA113" s="35"/>
      <c r="AB113" s="54"/>
    </row>
    <row r="114" spans="1:28" ht="27.75" customHeight="1" thickBot="1">
      <c r="A114" s="54"/>
      <c r="B114" s="33"/>
      <c r="C114" s="16"/>
      <c r="D114" s="480" t="s">
        <v>137</v>
      </c>
      <c r="E114" s="481"/>
      <c r="F114" s="481"/>
      <c r="G114" s="481"/>
      <c r="H114" s="482"/>
      <c r="I114" s="68"/>
      <c r="J114" s="489" t="s">
        <v>138</v>
      </c>
      <c r="K114" s="467"/>
      <c r="L114" s="467"/>
      <c r="M114" s="467"/>
      <c r="N114" s="490"/>
      <c r="O114" s="107"/>
      <c r="P114" s="108"/>
      <c r="Q114" s="108"/>
      <c r="R114" s="108"/>
      <c r="S114" s="108"/>
      <c r="T114" s="109"/>
      <c r="U114" s="28"/>
      <c r="V114" s="28"/>
      <c r="W114" s="28"/>
      <c r="X114" s="28"/>
      <c r="Y114" s="28"/>
      <c r="Z114" s="28"/>
      <c r="AA114" s="35"/>
      <c r="AB114" s="54"/>
    </row>
    <row r="115" spans="1:28" ht="27.75" customHeight="1" thickBot="1">
      <c r="A115" s="54"/>
      <c r="B115" s="33"/>
      <c r="C115" s="16"/>
      <c r="D115" s="483"/>
      <c r="E115" s="484"/>
      <c r="F115" s="484"/>
      <c r="G115" s="484"/>
      <c r="H115" s="485"/>
      <c r="I115" s="69"/>
      <c r="J115" s="486"/>
      <c r="K115" s="487"/>
      <c r="L115" s="487"/>
      <c r="M115" s="487"/>
      <c r="N115" s="488"/>
      <c r="O115" s="357" t="s">
        <v>139</v>
      </c>
      <c r="P115" s="358"/>
      <c r="Q115" s="358"/>
      <c r="R115" s="358"/>
      <c r="S115" s="358"/>
      <c r="T115" s="359"/>
      <c r="U115" s="28"/>
      <c r="V115" s="28"/>
      <c r="W115" s="28"/>
      <c r="X115" s="28"/>
      <c r="Y115" s="28"/>
      <c r="Z115" s="28"/>
      <c r="AA115" s="35"/>
      <c r="AB115" s="54"/>
    </row>
    <row r="116" spans="1:28" ht="27.75" customHeight="1" thickBot="1">
      <c r="A116" s="54"/>
      <c r="B116" s="33"/>
      <c r="C116" s="16"/>
      <c r="D116" s="480" t="s">
        <v>140</v>
      </c>
      <c r="E116" s="481"/>
      <c r="F116" s="481"/>
      <c r="G116" s="481"/>
      <c r="H116" s="482"/>
      <c r="I116" s="68"/>
      <c r="J116" s="489" t="s">
        <v>141</v>
      </c>
      <c r="K116" s="467"/>
      <c r="L116" s="467"/>
      <c r="M116" s="467"/>
      <c r="N116" s="490"/>
      <c r="O116" s="360"/>
      <c r="P116" s="361"/>
      <c r="Q116" s="361"/>
      <c r="R116" s="361"/>
      <c r="S116" s="110"/>
      <c r="T116" s="111"/>
      <c r="U116" s="28"/>
      <c r="V116" s="28"/>
      <c r="W116" s="28"/>
      <c r="X116" s="28"/>
      <c r="Y116" s="28"/>
      <c r="Z116" s="28"/>
      <c r="AA116" s="35"/>
      <c r="AB116" s="54"/>
    </row>
    <row r="117" spans="1:28" ht="27.75" customHeight="1" thickBot="1">
      <c r="A117" s="54"/>
      <c r="B117" s="33"/>
      <c r="C117" s="16"/>
      <c r="D117" s="483"/>
      <c r="E117" s="484"/>
      <c r="F117" s="484"/>
      <c r="G117" s="484"/>
      <c r="H117" s="485"/>
      <c r="I117" s="70"/>
      <c r="J117" s="486"/>
      <c r="K117" s="487"/>
      <c r="L117" s="487"/>
      <c r="M117" s="487"/>
      <c r="N117" s="488"/>
      <c r="O117" s="112" t="s">
        <v>122</v>
      </c>
      <c r="P117" s="113"/>
      <c r="Q117" s="114" t="s">
        <v>142</v>
      </c>
      <c r="R117" s="113"/>
      <c r="S117" s="115" t="s">
        <v>143</v>
      </c>
      <c r="T117" s="116"/>
      <c r="U117" s="28"/>
      <c r="V117" s="28"/>
      <c r="W117" s="28"/>
      <c r="X117" s="28"/>
      <c r="Y117" s="28"/>
      <c r="Z117" s="28"/>
      <c r="AA117" s="35"/>
      <c r="AB117" s="54"/>
    </row>
    <row r="118" spans="1:28" ht="27.75" customHeight="1" thickBot="1">
      <c r="A118" s="54"/>
      <c r="B118" s="33"/>
      <c r="C118" s="16"/>
      <c r="D118" s="468" t="s">
        <v>144</v>
      </c>
      <c r="E118" s="469"/>
      <c r="F118" s="469"/>
      <c r="G118" s="469"/>
      <c r="H118" s="470"/>
      <c r="I118" s="69"/>
      <c r="J118" s="466" t="s">
        <v>145</v>
      </c>
      <c r="K118" s="467"/>
      <c r="L118" s="467"/>
      <c r="M118" s="467"/>
      <c r="N118" s="467"/>
      <c r="O118" s="117"/>
      <c r="P118" s="110"/>
      <c r="Q118" s="110"/>
      <c r="R118" s="110"/>
      <c r="S118" s="353"/>
      <c r="T118" s="354"/>
      <c r="U118" s="28"/>
      <c r="V118" s="28"/>
      <c r="W118" s="28"/>
      <c r="X118" s="28"/>
      <c r="Y118" s="28"/>
      <c r="Z118" s="28"/>
      <c r="AA118" s="35"/>
      <c r="AB118" s="54"/>
    </row>
    <row r="119" spans="1:28" ht="27.75" customHeight="1" thickBot="1">
      <c r="A119" s="54"/>
      <c r="B119" s="33"/>
      <c r="C119" s="16"/>
      <c r="D119" s="512"/>
      <c r="E119" s="513"/>
      <c r="F119" s="513"/>
      <c r="G119" s="513"/>
      <c r="H119" s="514"/>
      <c r="I119" s="69"/>
      <c r="J119" s="486"/>
      <c r="K119" s="487"/>
      <c r="L119" s="487"/>
      <c r="M119" s="487"/>
      <c r="N119" s="487"/>
      <c r="O119" s="118" t="s">
        <v>146</v>
      </c>
      <c r="P119" s="119"/>
      <c r="Q119" s="120" t="s">
        <v>147</v>
      </c>
      <c r="R119" s="120"/>
      <c r="S119" s="120" t="s">
        <v>148</v>
      </c>
      <c r="T119" s="116"/>
      <c r="U119" s="28"/>
      <c r="V119" s="28"/>
      <c r="W119" s="28"/>
      <c r="X119" s="28"/>
      <c r="Y119" s="28"/>
      <c r="Z119" s="28"/>
      <c r="AA119" s="35"/>
      <c r="AB119" s="54"/>
    </row>
    <row r="120" spans="1:28" ht="27.75" customHeight="1" thickBot="1">
      <c r="A120" s="54"/>
      <c r="B120" s="33"/>
      <c r="C120" s="16"/>
      <c r="D120" s="466" t="s">
        <v>149</v>
      </c>
      <c r="E120" s="467"/>
      <c r="F120" s="467"/>
      <c r="G120" s="467"/>
      <c r="H120" s="515"/>
      <c r="I120" s="69"/>
      <c r="J120" s="466" t="s">
        <v>150</v>
      </c>
      <c r="K120" s="467"/>
      <c r="L120" s="467"/>
      <c r="M120" s="467"/>
      <c r="N120" s="467"/>
      <c r="O120" s="97" t="s">
        <v>151</v>
      </c>
      <c r="P120" s="98"/>
      <c r="Q120" s="121"/>
      <c r="R120" s="122"/>
      <c r="S120" s="122"/>
      <c r="T120" s="123"/>
      <c r="U120" s="28"/>
      <c r="V120" s="28"/>
      <c r="W120" s="28"/>
      <c r="X120" s="28"/>
      <c r="Y120" s="28"/>
      <c r="Z120" s="28"/>
      <c r="AA120" s="35"/>
      <c r="AB120" s="54"/>
    </row>
    <row r="121" spans="1:28" ht="27.75" customHeight="1" thickBot="1">
      <c r="A121" s="54"/>
      <c r="B121" s="33"/>
      <c r="C121" s="16"/>
      <c r="D121" s="512"/>
      <c r="E121" s="513"/>
      <c r="F121" s="513"/>
      <c r="G121" s="513"/>
      <c r="H121" s="514"/>
      <c r="I121" s="69"/>
      <c r="J121" s="486"/>
      <c r="K121" s="487"/>
      <c r="L121" s="487"/>
      <c r="M121" s="487"/>
      <c r="N121" s="487"/>
      <c r="O121" s="524" t="s">
        <v>152</v>
      </c>
      <c r="P121" s="525"/>
      <c r="Q121" s="525"/>
      <c r="R121" s="525"/>
      <c r="S121" s="525"/>
      <c r="T121" s="525"/>
      <c r="U121" s="28"/>
      <c r="V121" s="28"/>
      <c r="W121" s="28"/>
      <c r="X121" s="28"/>
      <c r="Y121" s="28"/>
      <c r="Z121" s="28"/>
      <c r="AA121" s="35"/>
      <c r="AB121" s="54"/>
    </row>
    <row r="122" spans="1:28" ht="27.75" customHeight="1" thickBot="1">
      <c r="A122" s="54"/>
      <c r="B122" s="33"/>
      <c r="C122" s="16"/>
      <c r="D122" s="466" t="s">
        <v>153</v>
      </c>
      <c r="E122" s="467"/>
      <c r="F122" s="467"/>
      <c r="G122" s="467"/>
      <c r="H122" s="515"/>
      <c r="I122" s="69"/>
      <c r="J122" s="466" t="s">
        <v>154</v>
      </c>
      <c r="K122" s="467"/>
      <c r="L122" s="467"/>
      <c r="M122" s="467"/>
      <c r="N122" s="467"/>
      <c r="O122" s="526"/>
      <c r="P122" s="527"/>
      <c r="Q122" s="527"/>
      <c r="R122" s="528"/>
      <c r="S122" s="528"/>
      <c r="T122" s="529"/>
      <c r="U122" s="28"/>
      <c r="V122" s="28"/>
      <c r="W122" s="28"/>
      <c r="X122" s="28"/>
      <c r="Y122" s="28"/>
      <c r="Z122" s="28"/>
      <c r="AA122" s="35"/>
      <c r="AB122" s="54"/>
    </row>
    <row r="123" spans="1:28" ht="27.75" customHeight="1">
      <c r="A123" s="54"/>
      <c r="B123" s="33"/>
      <c r="C123" s="16"/>
      <c r="D123" s="509"/>
      <c r="E123" s="510"/>
      <c r="F123" s="510"/>
      <c r="G123" s="510"/>
      <c r="H123" s="511"/>
      <c r="I123" s="13"/>
      <c r="J123" s="509"/>
      <c r="K123" s="510"/>
      <c r="L123" s="510"/>
      <c r="M123" s="510"/>
      <c r="N123" s="511"/>
      <c r="O123" s="530"/>
      <c r="P123" s="531"/>
      <c r="Q123" s="531"/>
      <c r="R123" s="531"/>
      <c r="S123" s="531"/>
      <c r="T123" s="532"/>
      <c r="U123" s="28"/>
      <c r="V123" s="28"/>
      <c r="W123" s="28"/>
      <c r="X123" s="28"/>
      <c r="Y123" s="28"/>
      <c r="Z123" s="28"/>
      <c r="AA123" s="35"/>
      <c r="AB123" s="54"/>
    </row>
    <row r="124" spans="1:28" ht="27.75" customHeight="1" thickBot="1">
      <c r="A124" s="54"/>
      <c r="B124" s="33"/>
      <c r="C124" s="16"/>
      <c r="D124" s="570" t="s">
        <v>155</v>
      </c>
      <c r="E124" s="571"/>
      <c r="F124" s="571"/>
      <c r="G124" s="571"/>
      <c r="H124" s="572"/>
      <c r="I124" s="13"/>
      <c r="J124" s="570" t="s">
        <v>156</v>
      </c>
      <c r="K124" s="571"/>
      <c r="L124" s="571"/>
      <c r="M124" s="571"/>
      <c r="N124" s="572"/>
      <c r="O124" s="533"/>
      <c r="P124" s="534"/>
      <c r="Q124" s="534"/>
      <c r="R124" s="534"/>
      <c r="S124" s="534"/>
      <c r="T124" s="535"/>
      <c r="U124" s="28"/>
      <c r="V124" s="28"/>
      <c r="W124" s="28"/>
      <c r="X124" s="28"/>
      <c r="Y124" s="28"/>
      <c r="Z124" s="28"/>
      <c r="AA124" s="35"/>
      <c r="AB124" s="54"/>
    </row>
    <row r="125" spans="1:28" ht="27.75" customHeight="1" thickBot="1">
      <c r="A125" s="54"/>
      <c r="B125" s="33"/>
      <c r="C125" s="17"/>
      <c r="D125" s="567"/>
      <c r="E125" s="568"/>
      <c r="F125" s="568"/>
      <c r="G125" s="568"/>
      <c r="H125" s="569"/>
      <c r="I125" s="71"/>
      <c r="J125" s="567"/>
      <c r="K125" s="568"/>
      <c r="L125" s="568"/>
      <c r="M125" s="568"/>
      <c r="N125" s="569"/>
      <c r="O125" s="536"/>
      <c r="P125" s="537"/>
      <c r="Q125" s="537"/>
      <c r="R125" s="537"/>
      <c r="S125" s="537"/>
      <c r="T125" s="538"/>
      <c r="U125" s="28"/>
      <c r="V125" s="28"/>
      <c r="W125" s="28"/>
      <c r="X125" s="28"/>
      <c r="Y125" s="28"/>
      <c r="Z125" s="28"/>
      <c r="AA125" s="35"/>
      <c r="AB125" s="54"/>
    </row>
    <row r="126" spans="1:28" ht="27.75" customHeight="1">
      <c r="A126" s="54"/>
      <c r="B126" s="33"/>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35"/>
      <c r="AB126" s="54"/>
    </row>
    <row r="127" spans="1:28" ht="27.75" customHeight="1" thickBot="1">
      <c r="A127" s="54"/>
      <c r="B127" s="51"/>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3"/>
      <c r="AB127" s="54"/>
    </row>
    <row r="128" spans="1:28" ht="27.75" customHeight="1" thickTop="1">
      <c r="B128" s="24"/>
      <c r="C128" s="24"/>
      <c r="D128" s="24"/>
      <c r="E128" s="24"/>
      <c r="F128" s="24"/>
      <c r="G128" s="24"/>
      <c r="H128" s="24"/>
      <c r="I128" s="24"/>
      <c r="J128" s="24"/>
      <c r="K128" s="24"/>
      <c r="L128" s="24"/>
      <c r="M128" s="24"/>
      <c r="N128" s="24"/>
      <c r="O128" s="24"/>
      <c r="P128" s="24"/>
      <c r="Q128" s="24"/>
      <c r="R128" s="24"/>
      <c r="S128" s="24"/>
      <c r="T128" s="24"/>
      <c r="U128" s="24"/>
      <c r="V128" s="24"/>
      <c r="AA128" s="24"/>
      <c r="AB128" s="24"/>
    </row>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223">
    <mergeCell ref="S81:U81"/>
    <mergeCell ref="C21:I65"/>
    <mergeCell ref="L87:N87"/>
    <mergeCell ref="H88:K88"/>
    <mergeCell ref="L88:N88"/>
    <mergeCell ref="D87:G87"/>
    <mergeCell ref="D88:G88"/>
    <mergeCell ref="D85:G85"/>
    <mergeCell ref="D84:G84"/>
    <mergeCell ref="H82:K82"/>
    <mergeCell ref="L82:N82"/>
    <mergeCell ref="H83:K83"/>
    <mergeCell ref="L83:N83"/>
    <mergeCell ref="H84:K84"/>
    <mergeCell ref="L84:N84"/>
    <mergeCell ref="H87:K87"/>
    <mergeCell ref="S74:U74"/>
    <mergeCell ref="C68:D68"/>
    <mergeCell ref="C69:D69"/>
    <mergeCell ref="C71:D71"/>
    <mergeCell ref="K69:L74"/>
    <mergeCell ref="C67:E67"/>
    <mergeCell ref="K68:L68"/>
    <mergeCell ref="C73:D73"/>
    <mergeCell ref="D110:N110"/>
    <mergeCell ref="H89:K89"/>
    <mergeCell ref="L89:N89"/>
    <mergeCell ref="L90:N90"/>
    <mergeCell ref="H91:K91"/>
    <mergeCell ref="L91:N91"/>
    <mergeCell ref="H92:K92"/>
    <mergeCell ref="L92:N92"/>
    <mergeCell ref="H90:K90"/>
    <mergeCell ref="D89:G89"/>
    <mergeCell ref="L96:N96"/>
    <mergeCell ref="H103:K103"/>
    <mergeCell ref="H97:K97"/>
    <mergeCell ref="L97:N97"/>
    <mergeCell ref="D108:G108"/>
    <mergeCell ref="D109:G109"/>
    <mergeCell ref="D125:H125"/>
    <mergeCell ref="J125:N125"/>
    <mergeCell ref="D124:H124"/>
    <mergeCell ref="J124:N124"/>
    <mergeCell ref="H93:K93"/>
    <mergeCell ref="L93:N93"/>
    <mergeCell ref="H94:K94"/>
    <mergeCell ref="H98:K98"/>
    <mergeCell ref="L98:N98"/>
    <mergeCell ref="H99:K99"/>
    <mergeCell ref="L99:N99"/>
    <mergeCell ref="H100:K100"/>
    <mergeCell ref="L100:N100"/>
    <mergeCell ref="L94:N94"/>
    <mergeCell ref="H95:K95"/>
    <mergeCell ref="L95:N95"/>
    <mergeCell ref="L108:N108"/>
    <mergeCell ref="H109:K109"/>
    <mergeCell ref="L109:N109"/>
    <mergeCell ref="L103:N103"/>
    <mergeCell ref="L104:N104"/>
    <mergeCell ref="L105:N105"/>
    <mergeCell ref="L101:N101"/>
    <mergeCell ref="L102:N102"/>
    <mergeCell ref="C20:I20"/>
    <mergeCell ref="N68:P68"/>
    <mergeCell ref="P4:Q4"/>
    <mergeCell ref="M5:O5"/>
    <mergeCell ref="P5:Q5"/>
    <mergeCell ref="M4:O4"/>
    <mergeCell ref="M6:O6"/>
    <mergeCell ref="M7:O7"/>
    <mergeCell ref="Q7:S7"/>
    <mergeCell ref="Q6:S6"/>
    <mergeCell ref="N12:O12"/>
    <mergeCell ref="N11:O11"/>
    <mergeCell ref="Q85:T85"/>
    <mergeCell ref="U85:Z85"/>
    <mergeCell ref="P83:Q83"/>
    <mergeCell ref="R83:S83"/>
    <mergeCell ref="T83:Z83"/>
    <mergeCell ref="P84:Q84"/>
    <mergeCell ref="R84:S84"/>
    <mergeCell ref="T84:Z84"/>
    <mergeCell ref="C2:E2"/>
    <mergeCell ref="P81:R81"/>
    <mergeCell ref="N70:P70"/>
    <mergeCell ref="C3:E3"/>
    <mergeCell ref="C4:E4"/>
    <mergeCell ref="C5:E5"/>
    <mergeCell ref="C6:E6"/>
    <mergeCell ref="H5:I5"/>
    <mergeCell ref="G4:I4"/>
    <mergeCell ref="H6:I6"/>
    <mergeCell ref="H7:I7"/>
    <mergeCell ref="H8:I8"/>
    <mergeCell ref="H9:I9"/>
    <mergeCell ref="P74:R74"/>
    <mergeCell ref="R5:S5"/>
    <mergeCell ref="R4:S4"/>
    <mergeCell ref="H78:K78"/>
    <mergeCell ref="L78:N78"/>
    <mergeCell ref="H79:K79"/>
    <mergeCell ref="L79:N79"/>
    <mergeCell ref="D79:G79"/>
    <mergeCell ref="D78:G78"/>
    <mergeCell ref="D77:N77"/>
    <mergeCell ref="H86:K86"/>
    <mergeCell ref="L86:N86"/>
    <mergeCell ref="D83:G83"/>
    <mergeCell ref="D82:G82"/>
    <mergeCell ref="D81:G81"/>
    <mergeCell ref="D80:G80"/>
    <mergeCell ref="D86:G86"/>
    <mergeCell ref="H80:K80"/>
    <mergeCell ref="L80:N80"/>
    <mergeCell ref="H81:K81"/>
    <mergeCell ref="L81:N81"/>
    <mergeCell ref="H85:K85"/>
    <mergeCell ref="L85:N85"/>
    <mergeCell ref="O121:T121"/>
    <mergeCell ref="O122:Q122"/>
    <mergeCell ref="R122:T122"/>
    <mergeCell ref="O123:Q123"/>
    <mergeCell ref="R123:T123"/>
    <mergeCell ref="O124:Q124"/>
    <mergeCell ref="R124:T124"/>
    <mergeCell ref="O125:Q125"/>
    <mergeCell ref="R125:T125"/>
    <mergeCell ref="O93:T93"/>
    <mergeCell ref="D111:H111"/>
    <mergeCell ref="H106:K106"/>
    <mergeCell ref="D90:G90"/>
    <mergeCell ref="D91:G91"/>
    <mergeCell ref="D92:G92"/>
    <mergeCell ref="D93:G93"/>
    <mergeCell ref="D94:G94"/>
    <mergeCell ref="D95:G95"/>
    <mergeCell ref="D96:G96"/>
    <mergeCell ref="D97:G97"/>
    <mergeCell ref="D99:G99"/>
    <mergeCell ref="H104:K104"/>
    <mergeCell ref="H105:K105"/>
    <mergeCell ref="H101:K101"/>
    <mergeCell ref="H102:K102"/>
    <mergeCell ref="D105:G105"/>
    <mergeCell ref="D104:G104"/>
    <mergeCell ref="D103:G103"/>
    <mergeCell ref="D102:G102"/>
    <mergeCell ref="D101:G101"/>
    <mergeCell ref="D100:G100"/>
    <mergeCell ref="H96:K96"/>
    <mergeCell ref="H108:K108"/>
    <mergeCell ref="D123:H123"/>
    <mergeCell ref="J120:N120"/>
    <mergeCell ref="J121:N121"/>
    <mergeCell ref="J122:N122"/>
    <mergeCell ref="D119:H119"/>
    <mergeCell ref="D120:H120"/>
    <mergeCell ref="D121:H121"/>
    <mergeCell ref="D122:H122"/>
    <mergeCell ref="J123:N123"/>
    <mergeCell ref="J119:N119"/>
    <mergeCell ref="J118:N118"/>
    <mergeCell ref="D118:H118"/>
    <mergeCell ref="J111:N111"/>
    <mergeCell ref="F3:F9"/>
    <mergeCell ref="C10:G10"/>
    <mergeCell ref="D8:D9"/>
    <mergeCell ref="P6:P7"/>
    <mergeCell ref="L106:N106"/>
    <mergeCell ref="D116:H116"/>
    <mergeCell ref="D117:H117"/>
    <mergeCell ref="J117:N117"/>
    <mergeCell ref="J116:N116"/>
    <mergeCell ref="J115:N115"/>
    <mergeCell ref="J114:N114"/>
    <mergeCell ref="J113:N113"/>
    <mergeCell ref="J112:N112"/>
    <mergeCell ref="D112:H112"/>
    <mergeCell ref="D113:H113"/>
    <mergeCell ref="D114:H114"/>
    <mergeCell ref="D115:H115"/>
    <mergeCell ref="H107:K107"/>
    <mergeCell ref="D107:G107"/>
    <mergeCell ref="D106:G106"/>
    <mergeCell ref="L107:N107"/>
    <mergeCell ref="V74:X74"/>
    <mergeCell ref="Y74:Z74"/>
    <mergeCell ref="Q78:T78"/>
    <mergeCell ref="P88:R88"/>
    <mergeCell ref="S88:U88"/>
    <mergeCell ref="V88:X88"/>
    <mergeCell ref="Y88:Z88"/>
    <mergeCell ref="P75:R75"/>
    <mergeCell ref="S75:U75"/>
    <mergeCell ref="V75:X75"/>
    <mergeCell ref="Y75:Z75"/>
    <mergeCell ref="P76:Q76"/>
    <mergeCell ref="R76:S76"/>
    <mergeCell ref="T76:Z76"/>
    <mergeCell ref="P77:Q77"/>
    <mergeCell ref="R77:S77"/>
    <mergeCell ref="T77:Z77"/>
    <mergeCell ref="U78:Z78"/>
    <mergeCell ref="P82:R82"/>
    <mergeCell ref="S82:U82"/>
    <mergeCell ref="V82:X82"/>
    <mergeCell ref="Y82:Z82"/>
    <mergeCell ref="V81:X81"/>
    <mergeCell ref="Y81:Z81"/>
    <mergeCell ref="V89:X89"/>
    <mergeCell ref="Y89:Z89"/>
    <mergeCell ref="P90:Q90"/>
    <mergeCell ref="R90:S90"/>
    <mergeCell ref="T90:Z90"/>
    <mergeCell ref="P91:Q91"/>
    <mergeCell ref="R91:S91"/>
    <mergeCell ref="T91:Z91"/>
    <mergeCell ref="Q92:T92"/>
    <mergeCell ref="U92:Z92"/>
    <mergeCell ref="P89:R89"/>
    <mergeCell ref="S89:U89"/>
  </mergeCells>
  <dataValidations count="4">
    <dataValidation type="list" allowBlank="1" showInputMessage="1" showErrorMessage="1" sqref="C6:E6">
      <formula1>"Полуэльф,Человек,Гном,Дварф,Полуорк,Хафлинг,Эльф"</formula1>
    </dataValidation>
    <dataValidation type="whole" allowBlank="1" showInputMessage="1" showErrorMessage="1" sqref="O20">
      <formula1>0</formula1>
      <formula2>Q20</formula2>
    </dataValidation>
    <dataValidation type="whole" allowBlank="1" showInputMessage="1" showErrorMessage="1" sqref="O22">
      <formula1>0</formula1>
      <formula2>Q20</formula2>
    </dataValidation>
    <dataValidation type="list" showInputMessage="1" showErrorMessage="1" sqref="H5:I9">
      <formula1>"Невыбрано,Воин,Варвар,Паладин,Вор,Жрец,Друид,Волшебник,Бард,Монах,Рейнджер,Чародей"</formula1>
    </dataValidation>
  </dataValidations>
  <pageMargins left="0.7" right="0.7" top="0.75" bottom="0.75" header="0.3" footer="0.3"/>
  <pageSetup paperSize="9" orientation="portrait" r:id="rId2"/>
  <drawing r:id="rId3"/>
  <legacyDrawing r:id="rId4"/>
  <picture r:id="rId5"/>
  <mc:AlternateContent xmlns:mc="http://schemas.openxmlformats.org/markup-compatibility/2006">
    <mc:Choice Requires="x14">
      <controls>
        <mc:AlternateContent xmlns:mc="http://schemas.openxmlformats.org/markup-compatibility/2006">
          <mc:Choice Requires="x14">
            <control shapeId="1537" r:id="rId6" name="Check Box 513">
              <controlPr defaultSize="0" autoFill="0" autoLine="0" autoPict="0">
                <anchor moveWithCells="1">
                  <from>
                    <xdr:col>20</xdr:col>
                    <xdr:colOff>533400</xdr:colOff>
                    <xdr:row>83</xdr:row>
                    <xdr:rowOff>314325</xdr:rowOff>
                  </from>
                  <to>
                    <xdr:col>20</xdr:col>
                    <xdr:colOff>800100</xdr:colOff>
                    <xdr:row>85</xdr:row>
                    <xdr:rowOff>85725</xdr:rowOff>
                  </to>
                </anchor>
              </controlPr>
            </control>
          </mc:Choice>
        </mc:AlternateContent>
        <mc:AlternateContent xmlns:mc="http://schemas.openxmlformats.org/markup-compatibility/2006">
          <mc:Choice Requires="x14">
            <control shapeId="1538" r:id="rId7" name="Check Box 514">
              <controlPr defaultSize="0" autoFill="0" autoLine="0" autoPict="0">
                <anchor moveWithCells="1">
                  <from>
                    <xdr:col>20</xdr:col>
                    <xdr:colOff>1104900</xdr:colOff>
                    <xdr:row>83</xdr:row>
                    <xdr:rowOff>314325</xdr:rowOff>
                  </from>
                  <to>
                    <xdr:col>20</xdr:col>
                    <xdr:colOff>1371600</xdr:colOff>
                    <xdr:row>85</xdr:row>
                    <xdr:rowOff>85725</xdr:rowOff>
                  </to>
                </anchor>
              </controlPr>
            </control>
          </mc:Choice>
        </mc:AlternateContent>
        <mc:AlternateContent xmlns:mc="http://schemas.openxmlformats.org/markup-compatibility/2006">
          <mc:Choice Requires="x14">
            <control shapeId="1539" r:id="rId8" name="Check Box 515">
              <controlPr defaultSize="0" autoFill="0" autoLine="0" autoPict="0">
                <anchor moveWithCells="1">
                  <from>
                    <xdr:col>20</xdr:col>
                    <xdr:colOff>723900</xdr:colOff>
                    <xdr:row>83</xdr:row>
                    <xdr:rowOff>314325</xdr:rowOff>
                  </from>
                  <to>
                    <xdr:col>20</xdr:col>
                    <xdr:colOff>990600</xdr:colOff>
                    <xdr:row>85</xdr:row>
                    <xdr:rowOff>85725</xdr:rowOff>
                  </to>
                </anchor>
              </controlPr>
            </control>
          </mc:Choice>
        </mc:AlternateContent>
        <mc:AlternateContent xmlns:mc="http://schemas.openxmlformats.org/markup-compatibility/2006">
          <mc:Choice Requires="x14">
            <control shapeId="1540" r:id="rId9" name="Check Box 516">
              <controlPr defaultSize="0" autoFill="0" autoLine="0" autoPict="0">
                <anchor moveWithCells="1">
                  <from>
                    <xdr:col>20</xdr:col>
                    <xdr:colOff>914400</xdr:colOff>
                    <xdr:row>83</xdr:row>
                    <xdr:rowOff>314325</xdr:rowOff>
                  </from>
                  <to>
                    <xdr:col>20</xdr:col>
                    <xdr:colOff>1181100</xdr:colOff>
                    <xdr:row>85</xdr:row>
                    <xdr:rowOff>85725</xdr:rowOff>
                  </to>
                </anchor>
              </controlPr>
            </control>
          </mc:Choice>
        </mc:AlternateContent>
        <mc:AlternateContent xmlns:mc="http://schemas.openxmlformats.org/markup-compatibility/2006">
          <mc:Choice Requires="x14">
            <control shapeId="1541" r:id="rId10" name="Check Box 517">
              <controlPr defaultSize="0" autoFill="0" autoLine="0" autoPict="0">
                <anchor moveWithCells="1">
                  <from>
                    <xdr:col>20</xdr:col>
                    <xdr:colOff>1285875</xdr:colOff>
                    <xdr:row>83</xdr:row>
                    <xdr:rowOff>314325</xdr:rowOff>
                  </from>
                  <to>
                    <xdr:col>21</xdr:col>
                    <xdr:colOff>28575</xdr:colOff>
                    <xdr:row>85</xdr:row>
                    <xdr:rowOff>85725</xdr:rowOff>
                  </to>
                </anchor>
              </controlPr>
            </control>
          </mc:Choice>
        </mc:AlternateContent>
        <mc:AlternateContent xmlns:mc="http://schemas.openxmlformats.org/markup-compatibility/2006">
          <mc:Choice Requires="x14">
            <control shapeId="1542" r:id="rId11" name="Check Box 518">
              <controlPr defaultSize="0" autoFill="0" autoLine="0" autoPict="0">
                <anchor moveWithCells="1">
                  <from>
                    <xdr:col>21</xdr:col>
                    <xdr:colOff>47625</xdr:colOff>
                    <xdr:row>83</xdr:row>
                    <xdr:rowOff>314325</xdr:rowOff>
                  </from>
                  <to>
                    <xdr:col>21</xdr:col>
                    <xdr:colOff>314325</xdr:colOff>
                    <xdr:row>85</xdr:row>
                    <xdr:rowOff>85725</xdr:rowOff>
                  </to>
                </anchor>
              </controlPr>
            </control>
          </mc:Choice>
        </mc:AlternateContent>
        <mc:AlternateContent xmlns:mc="http://schemas.openxmlformats.org/markup-compatibility/2006">
          <mc:Choice Requires="x14">
            <control shapeId="1543" r:id="rId12" name="Check Box 519">
              <controlPr defaultSize="0" autoFill="0" autoLine="0" autoPict="0">
                <anchor moveWithCells="1">
                  <from>
                    <xdr:col>21</xdr:col>
                    <xdr:colOff>600075</xdr:colOff>
                    <xdr:row>83</xdr:row>
                    <xdr:rowOff>314325</xdr:rowOff>
                  </from>
                  <to>
                    <xdr:col>21</xdr:col>
                    <xdr:colOff>866775</xdr:colOff>
                    <xdr:row>85</xdr:row>
                    <xdr:rowOff>85725</xdr:rowOff>
                  </to>
                </anchor>
              </controlPr>
            </control>
          </mc:Choice>
        </mc:AlternateContent>
        <mc:AlternateContent xmlns:mc="http://schemas.openxmlformats.org/markup-compatibility/2006">
          <mc:Choice Requires="x14">
            <control shapeId="1544" r:id="rId13" name="Check Box 520">
              <controlPr defaultSize="0" autoFill="0" autoLine="0" autoPict="0">
                <anchor moveWithCells="1">
                  <from>
                    <xdr:col>21</xdr:col>
                    <xdr:colOff>238125</xdr:colOff>
                    <xdr:row>83</xdr:row>
                    <xdr:rowOff>314325</xdr:rowOff>
                  </from>
                  <to>
                    <xdr:col>21</xdr:col>
                    <xdr:colOff>504825</xdr:colOff>
                    <xdr:row>85</xdr:row>
                    <xdr:rowOff>85725</xdr:rowOff>
                  </to>
                </anchor>
              </controlPr>
            </control>
          </mc:Choice>
        </mc:AlternateContent>
        <mc:AlternateContent xmlns:mc="http://schemas.openxmlformats.org/markup-compatibility/2006">
          <mc:Choice Requires="x14">
            <control shapeId="1545" r:id="rId14" name="Check Box 521">
              <controlPr defaultSize="0" autoFill="0" autoLine="0" autoPict="0">
                <anchor moveWithCells="1">
                  <from>
                    <xdr:col>21</xdr:col>
                    <xdr:colOff>428625</xdr:colOff>
                    <xdr:row>83</xdr:row>
                    <xdr:rowOff>314325</xdr:rowOff>
                  </from>
                  <to>
                    <xdr:col>21</xdr:col>
                    <xdr:colOff>695325</xdr:colOff>
                    <xdr:row>85</xdr:row>
                    <xdr:rowOff>85725</xdr:rowOff>
                  </to>
                </anchor>
              </controlPr>
            </control>
          </mc:Choice>
        </mc:AlternateContent>
        <mc:AlternateContent xmlns:mc="http://schemas.openxmlformats.org/markup-compatibility/2006">
          <mc:Choice Requires="x14">
            <control shapeId="1546" r:id="rId15" name="Check Box 522">
              <controlPr defaultSize="0" autoFill="0" autoLine="0" autoPict="0">
                <anchor moveWithCells="1">
                  <from>
                    <xdr:col>22</xdr:col>
                    <xdr:colOff>47625</xdr:colOff>
                    <xdr:row>83</xdr:row>
                    <xdr:rowOff>314325</xdr:rowOff>
                  </from>
                  <to>
                    <xdr:col>22</xdr:col>
                    <xdr:colOff>314325</xdr:colOff>
                    <xdr:row>85</xdr:row>
                    <xdr:rowOff>85725</xdr:rowOff>
                  </to>
                </anchor>
              </controlPr>
            </control>
          </mc:Choice>
        </mc:AlternateContent>
        <mc:AlternateContent xmlns:mc="http://schemas.openxmlformats.org/markup-compatibility/2006">
          <mc:Choice Requires="x14">
            <control shapeId="1547" r:id="rId16" name="Check Box 523">
              <controlPr defaultSize="0" autoFill="0" autoLine="0" autoPict="0">
                <anchor moveWithCells="1">
                  <from>
                    <xdr:col>22</xdr:col>
                    <xdr:colOff>619125</xdr:colOff>
                    <xdr:row>83</xdr:row>
                    <xdr:rowOff>314325</xdr:rowOff>
                  </from>
                  <to>
                    <xdr:col>22</xdr:col>
                    <xdr:colOff>885825</xdr:colOff>
                    <xdr:row>85</xdr:row>
                    <xdr:rowOff>85725</xdr:rowOff>
                  </to>
                </anchor>
              </controlPr>
            </control>
          </mc:Choice>
        </mc:AlternateContent>
        <mc:AlternateContent xmlns:mc="http://schemas.openxmlformats.org/markup-compatibility/2006">
          <mc:Choice Requires="x14">
            <control shapeId="1548" r:id="rId17" name="Check Box 524">
              <controlPr defaultSize="0" autoFill="0" autoLine="0" autoPict="0">
                <anchor moveWithCells="1">
                  <from>
                    <xdr:col>22</xdr:col>
                    <xdr:colOff>238125</xdr:colOff>
                    <xdr:row>83</xdr:row>
                    <xdr:rowOff>314325</xdr:rowOff>
                  </from>
                  <to>
                    <xdr:col>22</xdr:col>
                    <xdr:colOff>504825</xdr:colOff>
                    <xdr:row>85</xdr:row>
                    <xdr:rowOff>85725</xdr:rowOff>
                  </to>
                </anchor>
              </controlPr>
            </control>
          </mc:Choice>
        </mc:AlternateContent>
        <mc:AlternateContent xmlns:mc="http://schemas.openxmlformats.org/markup-compatibility/2006">
          <mc:Choice Requires="x14">
            <control shapeId="1549" r:id="rId18" name="Check Box 525">
              <controlPr defaultSize="0" autoFill="0" autoLine="0" autoPict="0">
                <anchor moveWithCells="1">
                  <from>
                    <xdr:col>22</xdr:col>
                    <xdr:colOff>428625</xdr:colOff>
                    <xdr:row>83</xdr:row>
                    <xdr:rowOff>314325</xdr:rowOff>
                  </from>
                  <to>
                    <xdr:col>22</xdr:col>
                    <xdr:colOff>695325</xdr:colOff>
                    <xdr:row>85</xdr:row>
                    <xdr:rowOff>85725</xdr:rowOff>
                  </to>
                </anchor>
              </controlPr>
            </control>
          </mc:Choice>
        </mc:AlternateContent>
        <mc:AlternateContent xmlns:mc="http://schemas.openxmlformats.org/markup-compatibility/2006">
          <mc:Choice Requires="x14">
            <control shapeId="1550" r:id="rId19" name="Check Box 526">
              <controlPr defaultSize="0" autoFill="0" autoLine="0" autoPict="0">
                <anchor moveWithCells="1">
                  <from>
                    <xdr:col>23</xdr:col>
                    <xdr:colOff>47625</xdr:colOff>
                    <xdr:row>83</xdr:row>
                    <xdr:rowOff>314325</xdr:rowOff>
                  </from>
                  <to>
                    <xdr:col>23</xdr:col>
                    <xdr:colOff>314325</xdr:colOff>
                    <xdr:row>85</xdr:row>
                    <xdr:rowOff>85725</xdr:rowOff>
                  </to>
                </anchor>
              </controlPr>
            </control>
          </mc:Choice>
        </mc:AlternateContent>
        <mc:AlternateContent xmlns:mc="http://schemas.openxmlformats.org/markup-compatibility/2006">
          <mc:Choice Requires="x14">
            <control shapeId="1551" r:id="rId20" name="Check Box 527">
              <controlPr defaultSize="0" autoFill="0" autoLine="0" autoPict="0">
                <anchor moveWithCells="1">
                  <from>
                    <xdr:col>23</xdr:col>
                    <xdr:colOff>619125</xdr:colOff>
                    <xdr:row>83</xdr:row>
                    <xdr:rowOff>314325</xdr:rowOff>
                  </from>
                  <to>
                    <xdr:col>23</xdr:col>
                    <xdr:colOff>885825</xdr:colOff>
                    <xdr:row>85</xdr:row>
                    <xdr:rowOff>85725</xdr:rowOff>
                  </to>
                </anchor>
              </controlPr>
            </control>
          </mc:Choice>
        </mc:AlternateContent>
        <mc:AlternateContent xmlns:mc="http://schemas.openxmlformats.org/markup-compatibility/2006">
          <mc:Choice Requires="x14">
            <control shapeId="1552" r:id="rId21" name="Check Box 528">
              <controlPr defaultSize="0" autoFill="0" autoLine="0" autoPict="0">
                <anchor moveWithCells="1">
                  <from>
                    <xdr:col>23</xdr:col>
                    <xdr:colOff>238125</xdr:colOff>
                    <xdr:row>83</xdr:row>
                    <xdr:rowOff>314325</xdr:rowOff>
                  </from>
                  <to>
                    <xdr:col>23</xdr:col>
                    <xdr:colOff>504825</xdr:colOff>
                    <xdr:row>85</xdr:row>
                    <xdr:rowOff>85725</xdr:rowOff>
                  </to>
                </anchor>
              </controlPr>
            </control>
          </mc:Choice>
        </mc:AlternateContent>
        <mc:AlternateContent xmlns:mc="http://schemas.openxmlformats.org/markup-compatibility/2006">
          <mc:Choice Requires="x14">
            <control shapeId="1553" r:id="rId22" name="Check Box 529">
              <controlPr defaultSize="0" autoFill="0" autoLine="0" autoPict="0">
                <anchor moveWithCells="1">
                  <from>
                    <xdr:col>23</xdr:col>
                    <xdr:colOff>428625</xdr:colOff>
                    <xdr:row>83</xdr:row>
                    <xdr:rowOff>314325</xdr:rowOff>
                  </from>
                  <to>
                    <xdr:col>23</xdr:col>
                    <xdr:colOff>695325</xdr:colOff>
                    <xdr:row>85</xdr:row>
                    <xdr:rowOff>85725</xdr:rowOff>
                  </to>
                </anchor>
              </controlPr>
            </control>
          </mc:Choice>
        </mc:AlternateContent>
        <mc:AlternateContent xmlns:mc="http://schemas.openxmlformats.org/markup-compatibility/2006">
          <mc:Choice Requires="x14">
            <control shapeId="1554" r:id="rId23" name="Check Box 530">
              <controlPr defaultSize="0" autoFill="0" autoLine="0" autoPict="0">
                <anchor moveWithCells="1">
                  <from>
                    <xdr:col>23</xdr:col>
                    <xdr:colOff>800100</xdr:colOff>
                    <xdr:row>83</xdr:row>
                    <xdr:rowOff>314325</xdr:rowOff>
                  </from>
                  <to>
                    <xdr:col>23</xdr:col>
                    <xdr:colOff>981075</xdr:colOff>
                    <xdr:row>85</xdr:row>
                    <xdr:rowOff>85725</xdr:rowOff>
                  </to>
                </anchor>
              </controlPr>
            </control>
          </mc:Choice>
        </mc:AlternateContent>
        <mc:AlternateContent xmlns:mc="http://schemas.openxmlformats.org/markup-compatibility/2006">
          <mc:Choice Requires="x14">
            <control shapeId="1555" r:id="rId24" name="Check Box 531">
              <controlPr defaultSize="0" autoFill="0" autoLine="0" autoPict="0">
                <anchor moveWithCells="1">
                  <from>
                    <xdr:col>24</xdr:col>
                    <xdr:colOff>47625</xdr:colOff>
                    <xdr:row>83</xdr:row>
                    <xdr:rowOff>314325</xdr:rowOff>
                  </from>
                  <to>
                    <xdr:col>24</xdr:col>
                    <xdr:colOff>314325</xdr:colOff>
                    <xdr:row>85</xdr:row>
                    <xdr:rowOff>85725</xdr:rowOff>
                  </to>
                </anchor>
              </controlPr>
            </control>
          </mc:Choice>
        </mc:AlternateContent>
        <mc:AlternateContent xmlns:mc="http://schemas.openxmlformats.org/markup-compatibility/2006">
          <mc:Choice Requires="x14">
            <control shapeId="1556" r:id="rId25" name="Check Box 532">
              <controlPr defaultSize="0" autoFill="0" autoLine="0" autoPict="0">
                <anchor moveWithCells="1">
                  <from>
                    <xdr:col>24</xdr:col>
                    <xdr:colOff>619125</xdr:colOff>
                    <xdr:row>83</xdr:row>
                    <xdr:rowOff>314325</xdr:rowOff>
                  </from>
                  <to>
                    <xdr:col>24</xdr:col>
                    <xdr:colOff>885825</xdr:colOff>
                    <xdr:row>85</xdr:row>
                    <xdr:rowOff>85725</xdr:rowOff>
                  </to>
                </anchor>
              </controlPr>
            </control>
          </mc:Choice>
        </mc:AlternateContent>
        <mc:AlternateContent xmlns:mc="http://schemas.openxmlformats.org/markup-compatibility/2006">
          <mc:Choice Requires="x14">
            <control shapeId="1557" r:id="rId26" name="Check Box 533">
              <controlPr defaultSize="0" autoFill="0" autoLine="0" autoPict="0">
                <anchor moveWithCells="1">
                  <from>
                    <xdr:col>24</xdr:col>
                    <xdr:colOff>238125</xdr:colOff>
                    <xdr:row>83</xdr:row>
                    <xdr:rowOff>314325</xdr:rowOff>
                  </from>
                  <to>
                    <xdr:col>24</xdr:col>
                    <xdr:colOff>504825</xdr:colOff>
                    <xdr:row>85</xdr:row>
                    <xdr:rowOff>85725</xdr:rowOff>
                  </to>
                </anchor>
              </controlPr>
            </control>
          </mc:Choice>
        </mc:AlternateContent>
        <mc:AlternateContent xmlns:mc="http://schemas.openxmlformats.org/markup-compatibility/2006">
          <mc:Choice Requires="x14">
            <control shapeId="1558" r:id="rId27" name="Check Box 534">
              <controlPr defaultSize="0" autoFill="0" autoLine="0" autoPict="0">
                <anchor moveWithCells="1">
                  <from>
                    <xdr:col>24</xdr:col>
                    <xdr:colOff>428625</xdr:colOff>
                    <xdr:row>83</xdr:row>
                    <xdr:rowOff>314325</xdr:rowOff>
                  </from>
                  <to>
                    <xdr:col>24</xdr:col>
                    <xdr:colOff>695325</xdr:colOff>
                    <xdr:row>85</xdr:row>
                    <xdr:rowOff>85725</xdr:rowOff>
                  </to>
                </anchor>
              </controlPr>
            </control>
          </mc:Choice>
        </mc:AlternateContent>
        <mc:AlternateContent xmlns:mc="http://schemas.openxmlformats.org/markup-compatibility/2006">
          <mc:Choice Requires="x14">
            <control shapeId="1559" r:id="rId28" name="Check Box 535">
              <controlPr defaultSize="0" autoFill="0" autoLine="0" autoPict="0">
                <anchor moveWithCells="1">
                  <from>
                    <xdr:col>24</xdr:col>
                    <xdr:colOff>800100</xdr:colOff>
                    <xdr:row>83</xdr:row>
                    <xdr:rowOff>314325</xdr:rowOff>
                  </from>
                  <to>
                    <xdr:col>24</xdr:col>
                    <xdr:colOff>981075</xdr:colOff>
                    <xdr:row>85</xdr:row>
                    <xdr:rowOff>85725</xdr:rowOff>
                  </to>
                </anchor>
              </controlPr>
            </control>
          </mc:Choice>
        </mc:AlternateContent>
        <mc:AlternateContent xmlns:mc="http://schemas.openxmlformats.org/markup-compatibility/2006">
          <mc:Choice Requires="x14">
            <control shapeId="1560" r:id="rId29" name="Check Box 536">
              <controlPr defaultSize="0" autoFill="0" autoLine="0" autoPict="0">
                <anchor moveWithCells="1">
                  <from>
                    <xdr:col>25</xdr:col>
                    <xdr:colOff>47625</xdr:colOff>
                    <xdr:row>83</xdr:row>
                    <xdr:rowOff>314325</xdr:rowOff>
                  </from>
                  <to>
                    <xdr:col>25</xdr:col>
                    <xdr:colOff>314325</xdr:colOff>
                    <xdr:row>85</xdr:row>
                    <xdr:rowOff>85725</xdr:rowOff>
                  </to>
                </anchor>
              </controlPr>
            </control>
          </mc:Choice>
        </mc:AlternateContent>
        <mc:AlternateContent xmlns:mc="http://schemas.openxmlformats.org/markup-compatibility/2006">
          <mc:Choice Requires="x14">
            <control shapeId="1561" r:id="rId30" name="Check Box 537">
              <controlPr defaultSize="0" autoFill="0" autoLine="0" autoPict="0">
                <anchor moveWithCells="1">
                  <from>
                    <xdr:col>25</xdr:col>
                    <xdr:colOff>619125</xdr:colOff>
                    <xdr:row>83</xdr:row>
                    <xdr:rowOff>314325</xdr:rowOff>
                  </from>
                  <to>
                    <xdr:col>25</xdr:col>
                    <xdr:colOff>885825</xdr:colOff>
                    <xdr:row>85</xdr:row>
                    <xdr:rowOff>85725</xdr:rowOff>
                  </to>
                </anchor>
              </controlPr>
            </control>
          </mc:Choice>
        </mc:AlternateContent>
        <mc:AlternateContent xmlns:mc="http://schemas.openxmlformats.org/markup-compatibility/2006">
          <mc:Choice Requires="x14">
            <control shapeId="1562" r:id="rId31" name="Check Box 538">
              <controlPr defaultSize="0" autoFill="0" autoLine="0" autoPict="0">
                <anchor moveWithCells="1">
                  <from>
                    <xdr:col>25</xdr:col>
                    <xdr:colOff>238125</xdr:colOff>
                    <xdr:row>83</xdr:row>
                    <xdr:rowOff>314325</xdr:rowOff>
                  </from>
                  <to>
                    <xdr:col>25</xdr:col>
                    <xdr:colOff>504825</xdr:colOff>
                    <xdr:row>85</xdr:row>
                    <xdr:rowOff>85725</xdr:rowOff>
                  </to>
                </anchor>
              </controlPr>
            </control>
          </mc:Choice>
        </mc:AlternateContent>
        <mc:AlternateContent xmlns:mc="http://schemas.openxmlformats.org/markup-compatibility/2006">
          <mc:Choice Requires="x14">
            <control shapeId="1563" r:id="rId32" name="Check Box 539">
              <controlPr defaultSize="0" autoFill="0" autoLine="0" autoPict="0">
                <anchor moveWithCells="1">
                  <from>
                    <xdr:col>25</xdr:col>
                    <xdr:colOff>428625</xdr:colOff>
                    <xdr:row>83</xdr:row>
                    <xdr:rowOff>314325</xdr:rowOff>
                  </from>
                  <to>
                    <xdr:col>25</xdr:col>
                    <xdr:colOff>695325</xdr:colOff>
                    <xdr:row>85</xdr:row>
                    <xdr:rowOff>85725</xdr:rowOff>
                  </to>
                </anchor>
              </controlPr>
            </control>
          </mc:Choice>
        </mc:AlternateContent>
        <mc:AlternateContent xmlns:mc="http://schemas.openxmlformats.org/markup-compatibility/2006">
          <mc:Choice Requires="x14">
            <control shapeId="1564" r:id="rId33" name="Check Box 540">
              <controlPr defaultSize="0" autoFill="0" autoLine="0" autoPict="0">
                <anchor moveWithCells="1">
                  <from>
                    <xdr:col>25</xdr:col>
                    <xdr:colOff>800100</xdr:colOff>
                    <xdr:row>83</xdr:row>
                    <xdr:rowOff>314325</xdr:rowOff>
                  </from>
                  <to>
                    <xdr:col>25</xdr:col>
                    <xdr:colOff>981075</xdr:colOff>
                    <xdr:row>85</xdr:row>
                    <xdr:rowOff>85725</xdr:rowOff>
                  </to>
                </anchor>
              </controlPr>
            </control>
          </mc:Choice>
        </mc:AlternateContent>
        <mc:AlternateContent xmlns:mc="http://schemas.openxmlformats.org/markup-compatibility/2006">
          <mc:Choice Requires="x14">
            <control shapeId="1565" r:id="rId34" name="Check Box 541">
              <controlPr defaultSize="0" autoFill="0" autoLine="0" autoPict="0">
                <anchor moveWithCells="1">
                  <from>
                    <xdr:col>22</xdr:col>
                    <xdr:colOff>800100</xdr:colOff>
                    <xdr:row>83</xdr:row>
                    <xdr:rowOff>314325</xdr:rowOff>
                  </from>
                  <to>
                    <xdr:col>22</xdr:col>
                    <xdr:colOff>981075</xdr:colOff>
                    <xdr:row>85</xdr:row>
                    <xdr:rowOff>85725</xdr:rowOff>
                  </to>
                </anchor>
              </controlPr>
            </control>
          </mc:Choice>
        </mc:AlternateContent>
        <mc:AlternateContent xmlns:mc="http://schemas.openxmlformats.org/markup-compatibility/2006">
          <mc:Choice Requires="x14">
            <control shapeId="1566" r:id="rId35" name="Check Box 542">
              <controlPr defaultSize="0" autoFill="0" autoLine="0" autoPict="0">
                <anchor moveWithCells="1">
                  <from>
                    <xdr:col>21</xdr:col>
                    <xdr:colOff>771525</xdr:colOff>
                    <xdr:row>83</xdr:row>
                    <xdr:rowOff>314325</xdr:rowOff>
                  </from>
                  <to>
                    <xdr:col>22</xdr:col>
                    <xdr:colOff>9525</xdr:colOff>
                    <xdr:row>85</xdr:row>
                    <xdr:rowOff>85725</xdr:rowOff>
                  </to>
                </anchor>
              </controlPr>
            </control>
          </mc:Choice>
        </mc:AlternateContent>
        <mc:AlternateContent xmlns:mc="http://schemas.openxmlformats.org/markup-compatibility/2006">
          <mc:Choice Requires="x14">
            <control shapeId="1781" r:id="rId36" name="Spinner 757">
              <controlPr defaultSize="0" autoPict="0">
                <anchor moveWithCells="1" sizeWithCells="1">
                  <from>
                    <xdr:col>14</xdr:col>
                    <xdr:colOff>1085850</xdr:colOff>
                    <xdr:row>21</xdr:row>
                    <xdr:rowOff>38100</xdr:rowOff>
                  </from>
                  <to>
                    <xdr:col>15</xdr:col>
                    <xdr:colOff>0</xdr:colOff>
                    <xdr:row>21</xdr:row>
                    <xdr:rowOff>342900</xdr:rowOff>
                  </to>
                </anchor>
              </controlPr>
            </control>
          </mc:Choice>
        </mc:AlternateContent>
        <mc:AlternateContent xmlns:mc="http://schemas.openxmlformats.org/markup-compatibility/2006">
          <mc:Choice Requires="x14">
            <control shapeId="1825" r:id="rId37" name="Spinner 801">
              <controlPr defaultSize="0" autoPict="0">
                <anchor moveWithCells="1" sizeWithCells="1">
                  <from>
                    <xdr:col>14</xdr:col>
                    <xdr:colOff>1066800</xdr:colOff>
                    <xdr:row>22</xdr:row>
                    <xdr:rowOff>9525</xdr:rowOff>
                  </from>
                  <to>
                    <xdr:col>15</xdr:col>
                    <xdr:colOff>0</xdr:colOff>
                    <xdr:row>22</xdr:row>
                    <xdr:rowOff>342900</xdr:rowOff>
                  </to>
                </anchor>
              </controlPr>
            </control>
          </mc:Choice>
        </mc:AlternateContent>
        <mc:AlternateContent xmlns:mc="http://schemas.openxmlformats.org/markup-compatibility/2006">
          <mc:Choice Requires="x14">
            <control shapeId="1827" r:id="rId38" name="Spinner 803">
              <controlPr defaultSize="0" autoPict="0">
                <anchor moveWithCells="1" sizeWithCells="1">
                  <from>
                    <xdr:col>14</xdr:col>
                    <xdr:colOff>1085850</xdr:colOff>
                    <xdr:row>23</xdr:row>
                    <xdr:rowOff>19050</xdr:rowOff>
                  </from>
                  <to>
                    <xdr:col>15</xdr:col>
                    <xdr:colOff>0</xdr:colOff>
                    <xdr:row>23</xdr:row>
                    <xdr:rowOff>333375</xdr:rowOff>
                  </to>
                </anchor>
              </controlPr>
            </control>
          </mc:Choice>
        </mc:AlternateContent>
        <mc:AlternateContent xmlns:mc="http://schemas.openxmlformats.org/markup-compatibility/2006">
          <mc:Choice Requires="x14">
            <control shapeId="1828" r:id="rId39" name="Spinner 804">
              <controlPr defaultSize="0" autoPict="0">
                <anchor moveWithCells="1" sizeWithCells="1">
                  <from>
                    <xdr:col>14</xdr:col>
                    <xdr:colOff>1085850</xdr:colOff>
                    <xdr:row>24</xdr:row>
                    <xdr:rowOff>19050</xdr:rowOff>
                  </from>
                  <to>
                    <xdr:col>15</xdr:col>
                    <xdr:colOff>0</xdr:colOff>
                    <xdr:row>24</xdr:row>
                    <xdr:rowOff>333375</xdr:rowOff>
                  </to>
                </anchor>
              </controlPr>
            </control>
          </mc:Choice>
        </mc:AlternateContent>
        <mc:AlternateContent xmlns:mc="http://schemas.openxmlformats.org/markup-compatibility/2006">
          <mc:Choice Requires="x14">
            <control shapeId="1829" r:id="rId40" name="Spinner 805">
              <controlPr defaultSize="0" autoPict="0">
                <anchor moveWithCells="1" sizeWithCells="1">
                  <from>
                    <xdr:col>14</xdr:col>
                    <xdr:colOff>1085850</xdr:colOff>
                    <xdr:row>25</xdr:row>
                    <xdr:rowOff>19050</xdr:rowOff>
                  </from>
                  <to>
                    <xdr:col>15</xdr:col>
                    <xdr:colOff>0</xdr:colOff>
                    <xdr:row>25</xdr:row>
                    <xdr:rowOff>333375</xdr:rowOff>
                  </to>
                </anchor>
              </controlPr>
            </control>
          </mc:Choice>
        </mc:AlternateContent>
        <mc:AlternateContent xmlns:mc="http://schemas.openxmlformats.org/markup-compatibility/2006">
          <mc:Choice Requires="x14">
            <control shapeId="1830" r:id="rId41" name="Spinner 806">
              <controlPr defaultSize="0" autoPict="0">
                <anchor moveWithCells="1" sizeWithCells="1">
                  <from>
                    <xdr:col>14</xdr:col>
                    <xdr:colOff>1085850</xdr:colOff>
                    <xdr:row>26</xdr:row>
                    <xdr:rowOff>19050</xdr:rowOff>
                  </from>
                  <to>
                    <xdr:col>15</xdr:col>
                    <xdr:colOff>0</xdr:colOff>
                    <xdr:row>26</xdr:row>
                    <xdr:rowOff>333375</xdr:rowOff>
                  </to>
                </anchor>
              </controlPr>
            </control>
          </mc:Choice>
        </mc:AlternateContent>
        <mc:AlternateContent xmlns:mc="http://schemas.openxmlformats.org/markup-compatibility/2006">
          <mc:Choice Requires="x14">
            <control shapeId="1831" r:id="rId42" name="Spinner 807">
              <controlPr defaultSize="0" autoPict="0">
                <anchor moveWithCells="1" sizeWithCells="1">
                  <from>
                    <xdr:col>14</xdr:col>
                    <xdr:colOff>1085850</xdr:colOff>
                    <xdr:row>27</xdr:row>
                    <xdr:rowOff>85725</xdr:rowOff>
                  </from>
                  <to>
                    <xdr:col>15</xdr:col>
                    <xdr:colOff>0</xdr:colOff>
                    <xdr:row>27</xdr:row>
                    <xdr:rowOff>400050</xdr:rowOff>
                  </to>
                </anchor>
              </controlPr>
            </control>
          </mc:Choice>
        </mc:AlternateContent>
        <mc:AlternateContent xmlns:mc="http://schemas.openxmlformats.org/markup-compatibility/2006">
          <mc:Choice Requires="x14">
            <control shapeId="1832" r:id="rId43" name="Spinner 808">
              <controlPr defaultSize="0" autoPict="0">
                <anchor moveWithCells="1" sizeWithCells="1">
                  <from>
                    <xdr:col>14</xdr:col>
                    <xdr:colOff>1085850</xdr:colOff>
                    <xdr:row>28</xdr:row>
                    <xdr:rowOff>9525</xdr:rowOff>
                  </from>
                  <to>
                    <xdr:col>14</xdr:col>
                    <xdr:colOff>1304925</xdr:colOff>
                    <xdr:row>29</xdr:row>
                    <xdr:rowOff>0</xdr:rowOff>
                  </to>
                </anchor>
              </controlPr>
            </control>
          </mc:Choice>
        </mc:AlternateContent>
        <mc:AlternateContent xmlns:mc="http://schemas.openxmlformats.org/markup-compatibility/2006">
          <mc:Choice Requires="x14">
            <control shapeId="1833" r:id="rId44" name="Spinner 809">
              <controlPr defaultSize="0" autoPict="0">
                <anchor moveWithCells="1" sizeWithCells="1">
                  <from>
                    <xdr:col>14</xdr:col>
                    <xdr:colOff>1085850</xdr:colOff>
                    <xdr:row>29</xdr:row>
                    <xdr:rowOff>76200</xdr:rowOff>
                  </from>
                  <to>
                    <xdr:col>15</xdr:col>
                    <xdr:colOff>0</xdr:colOff>
                    <xdr:row>29</xdr:row>
                    <xdr:rowOff>390525</xdr:rowOff>
                  </to>
                </anchor>
              </controlPr>
            </control>
          </mc:Choice>
        </mc:AlternateContent>
        <mc:AlternateContent xmlns:mc="http://schemas.openxmlformats.org/markup-compatibility/2006">
          <mc:Choice Requires="x14">
            <control shapeId="1834" r:id="rId45" name="Spinner 810">
              <controlPr defaultSize="0" autoPict="0">
                <anchor moveWithCells="1" sizeWithCells="1">
                  <from>
                    <xdr:col>14</xdr:col>
                    <xdr:colOff>1085850</xdr:colOff>
                    <xdr:row>30</xdr:row>
                    <xdr:rowOff>95250</xdr:rowOff>
                  </from>
                  <to>
                    <xdr:col>14</xdr:col>
                    <xdr:colOff>1314450</xdr:colOff>
                    <xdr:row>30</xdr:row>
                    <xdr:rowOff>419100</xdr:rowOff>
                  </to>
                </anchor>
              </controlPr>
            </control>
          </mc:Choice>
        </mc:AlternateContent>
        <mc:AlternateContent xmlns:mc="http://schemas.openxmlformats.org/markup-compatibility/2006">
          <mc:Choice Requires="x14">
            <control shapeId="1835" r:id="rId46" name="Spinner 811">
              <controlPr defaultSize="0" autoPict="0">
                <anchor moveWithCells="1" sizeWithCells="1">
                  <from>
                    <xdr:col>14</xdr:col>
                    <xdr:colOff>1085850</xdr:colOff>
                    <xdr:row>31</xdr:row>
                    <xdr:rowOff>19050</xdr:rowOff>
                  </from>
                  <to>
                    <xdr:col>15</xdr:col>
                    <xdr:colOff>0</xdr:colOff>
                    <xdr:row>31</xdr:row>
                    <xdr:rowOff>333375</xdr:rowOff>
                  </to>
                </anchor>
              </controlPr>
            </control>
          </mc:Choice>
        </mc:AlternateContent>
        <mc:AlternateContent xmlns:mc="http://schemas.openxmlformats.org/markup-compatibility/2006">
          <mc:Choice Requires="x14">
            <control shapeId="1836" r:id="rId47" name="Spinner 812">
              <controlPr defaultSize="0" autoPict="0">
                <anchor moveWithCells="1" sizeWithCells="1">
                  <from>
                    <xdr:col>14</xdr:col>
                    <xdr:colOff>1085850</xdr:colOff>
                    <xdr:row>32</xdr:row>
                    <xdr:rowOff>19050</xdr:rowOff>
                  </from>
                  <to>
                    <xdr:col>15</xdr:col>
                    <xdr:colOff>0</xdr:colOff>
                    <xdr:row>32</xdr:row>
                    <xdr:rowOff>333375</xdr:rowOff>
                  </to>
                </anchor>
              </controlPr>
            </control>
          </mc:Choice>
        </mc:AlternateContent>
        <mc:AlternateContent xmlns:mc="http://schemas.openxmlformats.org/markup-compatibility/2006">
          <mc:Choice Requires="x14">
            <control shapeId="1837" r:id="rId48" name="Spinner 813">
              <controlPr defaultSize="0" autoPict="0">
                <anchor moveWithCells="1" sizeWithCells="1">
                  <from>
                    <xdr:col>14</xdr:col>
                    <xdr:colOff>1085850</xdr:colOff>
                    <xdr:row>33</xdr:row>
                    <xdr:rowOff>19050</xdr:rowOff>
                  </from>
                  <to>
                    <xdr:col>15</xdr:col>
                    <xdr:colOff>0</xdr:colOff>
                    <xdr:row>33</xdr:row>
                    <xdr:rowOff>333375</xdr:rowOff>
                  </to>
                </anchor>
              </controlPr>
            </control>
          </mc:Choice>
        </mc:AlternateContent>
        <mc:AlternateContent xmlns:mc="http://schemas.openxmlformats.org/markup-compatibility/2006">
          <mc:Choice Requires="x14">
            <control shapeId="1838" r:id="rId49" name="Spinner 814">
              <controlPr defaultSize="0" autoPict="0">
                <anchor moveWithCells="1" sizeWithCells="1">
                  <from>
                    <xdr:col>14</xdr:col>
                    <xdr:colOff>1085850</xdr:colOff>
                    <xdr:row>34</xdr:row>
                    <xdr:rowOff>19050</xdr:rowOff>
                  </from>
                  <to>
                    <xdr:col>15</xdr:col>
                    <xdr:colOff>0</xdr:colOff>
                    <xdr:row>34</xdr:row>
                    <xdr:rowOff>333375</xdr:rowOff>
                  </to>
                </anchor>
              </controlPr>
            </control>
          </mc:Choice>
        </mc:AlternateContent>
        <mc:AlternateContent xmlns:mc="http://schemas.openxmlformats.org/markup-compatibility/2006">
          <mc:Choice Requires="x14">
            <control shapeId="1840" r:id="rId50" name="Spinner 816">
              <controlPr defaultSize="0" autoPict="0">
                <anchor moveWithCells="1" sizeWithCells="1">
                  <from>
                    <xdr:col>14</xdr:col>
                    <xdr:colOff>1085850</xdr:colOff>
                    <xdr:row>36</xdr:row>
                    <xdr:rowOff>19050</xdr:rowOff>
                  </from>
                  <to>
                    <xdr:col>15</xdr:col>
                    <xdr:colOff>0</xdr:colOff>
                    <xdr:row>36</xdr:row>
                    <xdr:rowOff>333375</xdr:rowOff>
                  </to>
                </anchor>
              </controlPr>
            </control>
          </mc:Choice>
        </mc:AlternateContent>
        <mc:AlternateContent xmlns:mc="http://schemas.openxmlformats.org/markup-compatibility/2006">
          <mc:Choice Requires="x14">
            <control shapeId="1841" r:id="rId51" name="Spinner 817">
              <controlPr defaultSize="0" autoPict="0">
                <anchor moveWithCells="1" sizeWithCells="1">
                  <from>
                    <xdr:col>14</xdr:col>
                    <xdr:colOff>1085850</xdr:colOff>
                    <xdr:row>37</xdr:row>
                    <xdr:rowOff>19050</xdr:rowOff>
                  </from>
                  <to>
                    <xdr:col>15</xdr:col>
                    <xdr:colOff>0</xdr:colOff>
                    <xdr:row>37</xdr:row>
                    <xdr:rowOff>333375</xdr:rowOff>
                  </to>
                </anchor>
              </controlPr>
            </control>
          </mc:Choice>
        </mc:AlternateContent>
        <mc:AlternateContent xmlns:mc="http://schemas.openxmlformats.org/markup-compatibility/2006">
          <mc:Choice Requires="x14">
            <control shapeId="1842" r:id="rId52" name="Spinner 818">
              <controlPr defaultSize="0" autoPict="0">
                <anchor moveWithCells="1" sizeWithCells="1">
                  <from>
                    <xdr:col>14</xdr:col>
                    <xdr:colOff>1085850</xdr:colOff>
                    <xdr:row>38</xdr:row>
                    <xdr:rowOff>19050</xdr:rowOff>
                  </from>
                  <to>
                    <xdr:col>15</xdr:col>
                    <xdr:colOff>0</xdr:colOff>
                    <xdr:row>38</xdr:row>
                    <xdr:rowOff>333375</xdr:rowOff>
                  </to>
                </anchor>
              </controlPr>
            </control>
          </mc:Choice>
        </mc:AlternateContent>
        <mc:AlternateContent xmlns:mc="http://schemas.openxmlformats.org/markup-compatibility/2006">
          <mc:Choice Requires="x14">
            <control shapeId="1843" r:id="rId53" name="Spinner 819">
              <controlPr defaultSize="0" autoPict="0">
                <anchor moveWithCells="1" sizeWithCells="1">
                  <from>
                    <xdr:col>14</xdr:col>
                    <xdr:colOff>1085850</xdr:colOff>
                    <xdr:row>39</xdr:row>
                    <xdr:rowOff>19050</xdr:rowOff>
                  </from>
                  <to>
                    <xdr:col>15</xdr:col>
                    <xdr:colOff>0</xdr:colOff>
                    <xdr:row>39</xdr:row>
                    <xdr:rowOff>333375</xdr:rowOff>
                  </to>
                </anchor>
              </controlPr>
            </control>
          </mc:Choice>
        </mc:AlternateContent>
        <mc:AlternateContent xmlns:mc="http://schemas.openxmlformats.org/markup-compatibility/2006">
          <mc:Choice Requires="x14">
            <control shapeId="1844" r:id="rId54" name="Spinner 820">
              <controlPr defaultSize="0" autoPict="0">
                <anchor moveWithCells="1" sizeWithCells="1">
                  <from>
                    <xdr:col>14</xdr:col>
                    <xdr:colOff>1085850</xdr:colOff>
                    <xdr:row>40</xdr:row>
                    <xdr:rowOff>19050</xdr:rowOff>
                  </from>
                  <to>
                    <xdr:col>15</xdr:col>
                    <xdr:colOff>0</xdr:colOff>
                    <xdr:row>40</xdr:row>
                    <xdr:rowOff>333375</xdr:rowOff>
                  </to>
                </anchor>
              </controlPr>
            </control>
          </mc:Choice>
        </mc:AlternateContent>
        <mc:AlternateContent xmlns:mc="http://schemas.openxmlformats.org/markup-compatibility/2006">
          <mc:Choice Requires="x14">
            <control shapeId="1845" r:id="rId55" name="Spinner 821">
              <controlPr defaultSize="0" autoPict="0">
                <anchor moveWithCells="1" sizeWithCells="1">
                  <from>
                    <xdr:col>14</xdr:col>
                    <xdr:colOff>1085850</xdr:colOff>
                    <xdr:row>41</xdr:row>
                    <xdr:rowOff>19050</xdr:rowOff>
                  </from>
                  <to>
                    <xdr:col>15</xdr:col>
                    <xdr:colOff>0</xdr:colOff>
                    <xdr:row>41</xdr:row>
                    <xdr:rowOff>333375</xdr:rowOff>
                  </to>
                </anchor>
              </controlPr>
            </control>
          </mc:Choice>
        </mc:AlternateContent>
        <mc:AlternateContent xmlns:mc="http://schemas.openxmlformats.org/markup-compatibility/2006">
          <mc:Choice Requires="x14">
            <control shapeId="1846" r:id="rId56" name="Spinner 822">
              <controlPr defaultSize="0" autoPict="0">
                <anchor moveWithCells="1" sizeWithCells="1">
                  <from>
                    <xdr:col>14</xdr:col>
                    <xdr:colOff>1085850</xdr:colOff>
                    <xdr:row>42</xdr:row>
                    <xdr:rowOff>19050</xdr:rowOff>
                  </from>
                  <to>
                    <xdr:col>15</xdr:col>
                    <xdr:colOff>0</xdr:colOff>
                    <xdr:row>42</xdr:row>
                    <xdr:rowOff>333375</xdr:rowOff>
                  </to>
                </anchor>
              </controlPr>
            </control>
          </mc:Choice>
        </mc:AlternateContent>
        <mc:AlternateContent xmlns:mc="http://schemas.openxmlformats.org/markup-compatibility/2006">
          <mc:Choice Requires="x14">
            <control shapeId="1847" r:id="rId57" name="Spinner 823">
              <controlPr defaultSize="0" autoPict="0">
                <anchor moveWithCells="1" sizeWithCells="1">
                  <from>
                    <xdr:col>14</xdr:col>
                    <xdr:colOff>1085850</xdr:colOff>
                    <xdr:row>43</xdr:row>
                    <xdr:rowOff>19050</xdr:rowOff>
                  </from>
                  <to>
                    <xdr:col>15</xdr:col>
                    <xdr:colOff>0</xdr:colOff>
                    <xdr:row>43</xdr:row>
                    <xdr:rowOff>333375</xdr:rowOff>
                  </to>
                </anchor>
              </controlPr>
            </control>
          </mc:Choice>
        </mc:AlternateContent>
        <mc:AlternateContent xmlns:mc="http://schemas.openxmlformats.org/markup-compatibility/2006">
          <mc:Choice Requires="x14">
            <control shapeId="1848" r:id="rId58" name="Spinner 824">
              <controlPr defaultSize="0" autoPict="0">
                <anchor moveWithCells="1" sizeWithCells="1">
                  <from>
                    <xdr:col>14</xdr:col>
                    <xdr:colOff>1085850</xdr:colOff>
                    <xdr:row>44</xdr:row>
                    <xdr:rowOff>19050</xdr:rowOff>
                  </from>
                  <to>
                    <xdr:col>15</xdr:col>
                    <xdr:colOff>0</xdr:colOff>
                    <xdr:row>44</xdr:row>
                    <xdr:rowOff>333375</xdr:rowOff>
                  </to>
                </anchor>
              </controlPr>
            </control>
          </mc:Choice>
        </mc:AlternateContent>
        <mc:AlternateContent xmlns:mc="http://schemas.openxmlformats.org/markup-compatibility/2006">
          <mc:Choice Requires="x14">
            <control shapeId="1849" r:id="rId59" name="Spinner 825">
              <controlPr defaultSize="0" autoPict="0">
                <anchor moveWithCells="1" sizeWithCells="1">
                  <from>
                    <xdr:col>14</xdr:col>
                    <xdr:colOff>1085850</xdr:colOff>
                    <xdr:row>45</xdr:row>
                    <xdr:rowOff>76200</xdr:rowOff>
                  </from>
                  <to>
                    <xdr:col>15</xdr:col>
                    <xdr:colOff>0</xdr:colOff>
                    <xdr:row>45</xdr:row>
                    <xdr:rowOff>390525</xdr:rowOff>
                  </to>
                </anchor>
              </controlPr>
            </control>
          </mc:Choice>
        </mc:AlternateContent>
        <mc:AlternateContent xmlns:mc="http://schemas.openxmlformats.org/markup-compatibility/2006">
          <mc:Choice Requires="x14">
            <control shapeId="1850" r:id="rId60" name="Spinner 826">
              <controlPr defaultSize="0" autoPict="0">
                <anchor moveWithCells="1" sizeWithCells="1">
                  <from>
                    <xdr:col>14</xdr:col>
                    <xdr:colOff>1085850</xdr:colOff>
                    <xdr:row>46</xdr:row>
                    <xdr:rowOff>9525</xdr:rowOff>
                  </from>
                  <to>
                    <xdr:col>14</xdr:col>
                    <xdr:colOff>1323975</xdr:colOff>
                    <xdr:row>46</xdr:row>
                    <xdr:rowOff>333375</xdr:rowOff>
                  </to>
                </anchor>
              </controlPr>
            </control>
          </mc:Choice>
        </mc:AlternateContent>
        <mc:AlternateContent xmlns:mc="http://schemas.openxmlformats.org/markup-compatibility/2006">
          <mc:Choice Requires="x14">
            <control shapeId="1851" r:id="rId61" name="Spinner 827">
              <controlPr defaultSize="0" autoPict="0">
                <anchor moveWithCells="1" sizeWithCells="1">
                  <from>
                    <xdr:col>14</xdr:col>
                    <xdr:colOff>1085850</xdr:colOff>
                    <xdr:row>47</xdr:row>
                    <xdr:rowOff>28575</xdr:rowOff>
                  </from>
                  <to>
                    <xdr:col>15</xdr:col>
                    <xdr:colOff>0</xdr:colOff>
                    <xdr:row>47</xdr:row>
                    <xdr:rowOff>333375</xdr:rowOff>
                  </to>
                </anchor>
              </controlPr>
            </control>
          </mc:Choice>
        </mc:AlternateContent>
        <mc:AlternateContent xmlns:mc="http://schemas.openxmlformats.org/markup-compatibility/2006">
          <mc:Choice Requires="x14">
            <control shapeId="1852" r:id="rId62" name="Spinner 828">
              <controlPr defaultSize="0" autoPict="0">
                <anchor moveWithCells="1" sizeWithCells="1">
                  <from>
                    <xdr:col>14</xdr:col>
                    <xdr:colOff>1085850</xdr:colOff>
                    <xdr:row>48</xdr:row>
                    <xdr:rowOff>19050</xdr:rowOff>
                  </from>
                  <to>
                    <xdr:col>15</xdr:col>
                    <xdr:colOff>0</xdr:colOff>
                    <xdr:row>48</xdr:row>
                    <xdr:rowOff>333375</xdr:rowOff>
                  </to>
                </anchor>
              </controlPr>
            </control>
          </mc:Choice>
        </mc:AlternateContent>
        <mc:AlternateContent xmlns:mc="http://schemas.openxmlformats.org/markup-compatibility/2006">
          <mc:Choice Requires="x14">
            <control shapeId="1853" r:id="rId63" name="Spinner 829">
              <controlPr defaultSize="0" autoPict="0">
                <anchor moveWithCells="1" sizeWithCells="1">
                  <from>
                    <xdr:col>14</xdr:col>
                    <xdr:colOff>1085850</xdr:colOff>
                    <xdr:row>49</xdr:row>
                    <xdr:rowOff>19050</xdr:rowOff>
                  </from>
                  <to>
                    <xdr:col>15</xdr:col>
                    <xdr:colOff>0</xdr:colOff>
                    <xdr:row>49</xdr:row>
                    <xdr:rowOff>333375</xdr:rowOff>
                  </to>
                </anchor>
              </controlPr>
            </control>
          </mc:Choice>
        </mc:AlternateContent>
        <mc:AlternateContent xmlns:mc="http://schemas.openxmlformats.org/markup-compatibility/2006">
          <mc:Choice Requires="x14">
            <control shapeId="1854" r:id="rId64" name="Spinner 830">
              <controlPr defaultSize="0" autoPict="0">
                <anchor moveWithCells="1" sizeWithCells="1">
                  <from>
                    <xdr:col>14</xdr:col>
                    <xdr:colOff>1085850</xdr:colOff>
                    <xdr:row>50</xdr:row>
                    <xdr:rowOff>19050</xdr:rowOff>
                  </from>
                  <to>
                    <xdr:col>15</xdr:col>
                    <xdr:colOff>0</xdr:colOff>
                    <xdr:row>50</xdr:row>
                    <xdr:rowOff>333375</xdr:rowOff>
                  </to>
                </anchor>
              </controlPr>
            </control>
          </mc:Choice>
        </mc:AlternateContent>
        <mc:AlternateContent xmlns:mc="http://schemas.openxmlformats.org/markup-compatibility/2006">
          <mc:Choice Requires="x14">
            <control shapeId="1855" r:id="rId65" name="Spinner 831">
              <controlPr defaultSize="0" autoPict="0">
                <anchor moveWithCells="1" sizeWithCells="1">
                  <from>
                    <xdr:col>14</xdr:col>
                    <xdr:colOff>1085850</xdr:colOff>
                    <xdr:row>51</xdr:row>
                    <xdr:rowOff>19050</xdr:rowOff>
                  </from>
                  <to>
                    <xdr:col>15</xdr:col>
                    <xdr:colOff>0</xdr:colOff>
                    <xdr:row>51</xdr:row>
                    <xdr:rowOff>333375</xdr:rowOff>
                  </to>
                </anchor>
              </controlPr>
            </control>
          </mc:Choice>
        </mc:AlternateContent>
        <mc:AlternateContent xmlns:mc="http://schemas.openxmlformats.org/markup-compatibility/2006">
          <mc:Choice Requires="x14">
            <control shapeId="1856" r:id="rId66" name="Spinner 832">
              <controlPr defaultSize="0" autoPict="0">
                <anchor moveWithCells="1" sizeWithCells="1">
                  <from>
                    <xdr:col>14</xdr:col>
                    <xdr:colOff>1085850</xdr:colOff>
                    <xdr:row>52</xdr:row>
                    <xdr:rowOff>19050</xdr:rowOff>
                  </from>
                  <to>
                    <xdr:col>15</xdr:col>
                    <xdr:colOff>0</xdr:colOff>
                    <xdr:row>52</xdr:row>
                    <xdr:rowOff>333375</xdr:rowOff>
                  </to>
                </anchor>
              </controlPr>
            </control>
          </mc:Choice>
        </mc:AlternateContent>
        <mc:AlternateContent xmlns:mc="http://schemas.openxmlformats.org/markup-compatibility/2006">
          <mc:Choice Requires="x14">
            <control shapeId="1857" r:id="rId67" name="Spinner 833">
              <controlPr defaultSize="0" autoPict="0">
                <anchor moveWithCells="1" sizeWithCells="1">
                  <from>
                    <xdr:col>14</xdr:col>
                    <xdr:colOff>1085850</xdr:colOff>
                    <xdr:row>53</xdr:row>
                    <xdr:rowOff>19050</xdr:rowOff>
                  </from>
                  <to>
                    <xdr:col>15</xdr:col>
                    <xdr:colOff>0</xdr:colOff>
                    <xdr:row>53</xdr:row>
                    <xdr:rowOff>333375</xdr:rowOff>
                  </to>
                </anchor>
              </controlPr>
            </control>
          </mc:Choice>
        </mc:AlternateContent>
        <mc:AlternateContent xmlns:mc="http://schemas.openxmlformats.org/markup-compatibility/2006">
          <mc:Choice Requires="x14">
            <control shapeId="1858" r:id="rId68" name="Spinner 834">
              <controlPr defaultSize="0" autoPict="0">
                <anchor moveWithCells="1" sizeWithCells="1">
                  <from>
                    <xdr:col>14</xdr:col>
                    <xdr:colOff>1085850</xdr:colOff>
                    <xdr:row>54</xdr:row>
                    <xdr:rowOff>19050</xdr:rowOff>
                  </from>
                  <to>
                    <xdr:col>15</xdr:col>
                    <xdr:colOff>0</xdr:colOff>
                    <xdr:row>54</xdr:row>
                    <xdr:rowOff>333375</xdr:rowOff>
                  </to>
                </anchor>
              </controlPr>
            </control>
          </mc:Choice>
        </mc:AlternateContent>
        <mc:AlternateContent xmlns:mc="http://schemas.openxmlformats.org/markup-compatibility/2006">
          <mc:Choice Requires="x14">
            <control shapeId="1859" r:id="rId69" name="Spinner 835">
              <controlPr defaultSize="0" autoPict="0">
                <anchor moveWithCells="1" sizeWithCells="1">
                  <from>
                    <xdr:col>14</xdr:col>
                    <xdr:colOff>1085850</xdr:colOff>
                    <xdr:row>55</xdr:row>
                    <xdr:rowOff>19050</xdr:rowOff>
                  </from>
                  <to>
                    <xdr:col>15</xdr:col>
                    <xdr:colOff>0</xdr:colOff>
                    <xdr:row>55</xdr:row>
                    <xdr:rowOff>333375</xdr:rowOff>
                  </to>
                </anchor>
              </controlPr>
            </control>
          </mc:Choice>
        </mc:AlternateContent>
        <mc:AlternateContent xmlns:mc="http://schemas.openxmlformats.org/markup-compatibility/2006">
          <mc:Choice Requires="x14">
            <control shapeId="1860" r:id="rId70" name="Spinner 836">
              <controlPr defaultSize="0" autoPict="0">
                <anchor moveWithCells="1" sizeWithCells="1">
                  <from>
                    <xdr:col>14</xdr:col>
                    <xdr:colOff>1085850</xdr:colOff>
                    <xdr:row>56</xdr:row>
                    <xdr:rowOff>19050</xdr:rowOff>
                  </from>
                  <to>
                    <xdr:col>15</xdr:col>
                    <xdr:colOff>0</xdr:colOff>
                    <xdr:row>56</xdr:row>
                    <xdr:rowOff>333375</xdr:rowOff>
                  </to>
                </anchor>
              </controlPr>
            </control>
          </mc:Choice>
        </mc:AlternateContent>
        <mc:AlternateContent xmlns:mc="http://schemas.openxmlformats.org/markup-compatibility/2006">
          <mc:Choice Requires="x14">
            <control shapeId="1861" r:id="rId71" name="Spinner 837">
              <controlPr defaultSize="0" autoPict="0">
                <anchor moveWithCells="1" sizeWithCells="1">
                  <from>
                    <xdr:col>14</xdr:col>
                    <xdr:colOff>1085850</xdr:colOff>
                    <xdr:row>57</xdr:row>
                    <xdr:rowOff>38100</xdr:rowOff>
                  </from>
                  <to>
                    <xdr:col>15</xdr:col>
                    <xdr:colOff>0</xdr:colOff>
                    <xdr:row>57</xdr:row>
                    <xdr:rowOff>352425</xdr:rowOff>
                  </to>
                </anchor>
              </controlPr>
            </control>
          </mc:Choice>
        </mc:AlternateContent>
        <mc:AlternateContent xmlns:mc="http://schemas.openxmlformats.org/markup-compatibility/2006">
          <mc:Choice Requires="x14">
            <control shapeId="1862" r:id="rId72" name="Spinner 838">
              <controlPr defaultSize="0" autoPict="0">
                <anchor moveWithCells="1" sizeWithCells="1">
                  <from>
                    <xdr:col>14</xdr:col>
                    <xdr:colOff>1085850</xdr:colOff>
                    <xdr:row>58</xdr:row>
                    <xdr:rowOff>19050</xdr:rowOff>
                  </from>
                  <to>
                    <xdr:col>14</xdr:col>
                    <xdr:colOff>1304925</xdr:colOff>
                    <xdr:row>58</xdr:row>
                    <xdr:rowOff>342900</xdr:rowOff>
                  </to>
                </anchor>
              </controlPr>
            </control>
          </mc:Choice>
        </mc:AlternateContent>
        <mc:AlternateContent xmlns:mc="http://schemas.openxmlformats.org/markup-compatibility/2006">
          <mc:Choice Requires="x14">
            <control shapeId="1863" r:id="rId73" name="Spinner 839">
              <controlPr defaultSize="0" autoPict="0">
                <anchor moveWithCells="1" sizeWithCells="1">
                  <from>
                    <xdr:col>14</xdr:col>
                    <xdr:colOff>1085850</xdr:colOff>
                    <xdr:row>59</xdr:row>
                    <xdr:rowOff>19050</xdr:rowOff>
                  </from>
                  <to>
                    <xdr:col>15</xdr:col>
                    <xdr:colOff>0</xdr:colOff>
                    <xdr:row>59</xdr:row>
                    <xdr:rowOff>333375</xdr:rowOff>
                  </to>
                </anchor>
              </controlPr>
            </control>
          </mc:Choice>
        </mc:AlternateContent>
        <mc:AlternateContent xmlns:mc="http://schemas.openxmlformats.org/markup-compatibility/2006">
          <mc:Choice Requires="x14">
            <control shapeId="1864" r:id="rId74" name="Spinner 840">
              <controlPr defaultSize="0" autoPict="0">
                <anchor moveWithCells="1" sizeWithCells="1">
                  <from>
                    <xdr:col>14</xdr:col>
                    <xdr:colOff>1085850</xdr:colOff>
                    <xdr:row>60</xdr:row>
                    <xdr:rowOff>19050</xdr:rowOff>
                  </from>
                  <to>
                    <xdr:col>15</xdr:col>
                    <xdr:colOff>0</xdr:colOff>
                    <xdr:row>60</xdr:row>
                    <xdr:rowOff>333375</xdr:rowOff>
                  </to>
                </anchor>
              </controlPr>
            </control>
          </mc:Choice>
        </mc:AlternateContent>
        <mc:AlternateContent xmlns:mc="http://schemas.openxmlformats.org/markup-compatibility/2006">
          <mc:Choice Requires="x14">
            <control shapeId="1865" r:id="rId75" name="Spinner 841">
              <controlPr defaultSize="0" autoPict="0">
                <anchor moveWithCells="1" sizeWithCells="1">
                  <from>
                    <xdr:col>14</xdr:col>
                    <xdr:colOff>1085850</xdr:colOff>
                    <xdr:row>61</xdr:row>
                    <xdr:rowOff>57150</xdr:rowOff>
                  </from>
                  <to>
                    <xdr:col>15</xdr:col>
                    <xdr:colOff>0</xdr:colOff>
                    <xdr:row>61</xdr:row>
                    <xdr:rowOff>371475</xdr:rowOff>
                  </to>
                </anchor>
              </controlPr>
            </control>
          </mc:Choice>
        </mc:AlternateContent>
        <mc:AlternateContent xmlns:mc="http://schemas.openxmlformats.org/markup-compatibility/2006">
          <mc:Choice Requires="x14">
            <control shapeId="1866" r:id="rId76" name="Spinner 842">
              <controlPr defaultSize="0" autoPict="0">
                <anchor moveWithCells="1" sizeWithCells="1">
                  <from>
                    <xdr:col>14</xdr:col>
                    <xdr:colOff>1085850</xdr:colOff>
                    <xdr:row>62</xdr:row>
                    <xdr:rowOff>95250</xdr:rowOff>
                  </from>
                  <to>
                    <xdr:col>15</xdr:col>
                    <xdr:colOff>0</xdr:colOff>
                    <xdr:row>62</xdr:row>
                    <xdr:rowOff>409575</xdr:rowOff>
                  </to>
                </anchor>
              </controlPr>
            </control>
          </mc:Choice>
        </mc:AlternateContent>
        <mc:AlternateContent xmlns:mc="http://schemas.openxmlformats.org/markup-compatibility/2006">
          <mc:Choice Requires="x14">
            <control shapeId="1867" r:id="rId77" name="Spinner 843">
              <controlPr defaultSize="0" autoPict="0">
                <anchor moveWithCells="1" sizeWithCells="1">
                  <from>
                    <xdr:col>14</xdr:col>
                    <xdr:colOff>1085850</xdr:colOff>
                    <xdr:row>63</xdr:row>
                    <xdr:rowOff>123825</xdr:rowOff>
                  </from>
                  <to>
                    <xdr:col>15</xdr:col>
                    <xdr:colOff>0</xdr:colOff>
                    <xdr:row>63</xdr:row>
                    <xdr:rowOff>438150</xdr:rowOff>
                  </to>
                </anchor>
              </controlPr>
            </control>
          </mc:Choice>
        </mc:AlternateContent>
        <mc:AlternateContent xmlns:mc="http://schemas.openxmlformats.org/markup-compatibility/2006">
          <mc:Choice Requires="x14">
            <control shapeId="1868" r:id="rId78" name="Spinner 844">
              <controlPr locked="0" defaultSize="0" autoPict="0">
                <anchor moveWithCells="1" sizeWithCells="1">
                  <from>
                    <xdr:col>14</xdr:col>
                    <xdr:colOff>1066800</xdr:colOff>
                    <xdr:row>64</xdr:row>
                    <xdr:rowOff>9525</xdr:rowOff>
                  </from>
                  <to>
                    <xdr:col>14</xdr:col>
                    <xdr:colOff>1323975</xdr:colOff>
                    <xdr:row>64</xdr:row>
                    <xdr:rowOff>352425</xdr:rowOff>
                  </to>
                </anchor>
              </controlPr>
            </control>
          </mc:Choice>
        </mc:AlternateContent>
        <mc:AlternateContent xmlns:mc="http://schemas.openxmlformats.org/markup-compatibility/2006">
          <mc:Choice Requires="x14">
            <control shapeId="1872" r:id="rId79" name="Spinner 848">
              <controlPr defaultSize="0" autoPict="0">
                <anchor moveWithCells="1" sizeWithCells="1">
                  <from>
                    <xdr:col>3</xdr:col>
                    <xdr:colOff>657225</xdr:colOff>
                    <xdr:row>13</xdr:row>
                    <xdr:rowOff>104775</xdr:rowOff>
                  </from>
                  <to>
                    <xdr:col>3</xdr:col>
                    <xdr:colOff>971550</xdr:colOff>
                    <xdr:row>13</xdr:row>
                    <xdr:rowOff>447675</xdr:rowOff>
                  </to>
                </anchor>
              </controlPr>
            </control>
          </mc:Choice>
        </mc:AlternateContent>
        <mc:AlternateContent xmlns:mc="http://schemas.openxmlformats.org/markup-compatibility/2006">
          <mc:Choice Requires="x14">
            <control shapeId="1873" r:id="rId80" name="Spinner 849">
              <controlPr defaultSize="0" autoPict="0">
                <anchor moveWithCells="1" sizeWithCells="1">
                  <from>
                    <xdr:col>3</xdr:col>
                    <xdr:colOff>657225</xdr:colOff>
                    <xdr:row>12</xdr:row>
                    <xdr:rowOff>85725</xdr:rowOff>
                  </from>
                  <to>
                    <xdr:col>3</xdr:col>
                    <xdr:colOff>971550</xdr:colOff>
                    <xdr:row>12</xdr:row>
                    <xdr:rowOff>428625</xdr:rowOff>
                  </to>
                </anchor>
              </controlPr>
            </control>
          </mc:Choice>
        </mc:AlternateContent>
        <mc:AlternateContent xmlns:mc="http://schemas.openxmlformats.org/markup-compatibility/2006">
          <mc:Choice Requires="x14">
            <control shapeId="1874" r:id="rId81" name="Spinner 850">
              <controlPr defaultSize="0" autoPict="0">
                <anchor moveWithCells="1" sizeWithCells="1">
                  <from>
                    <xdr:col>3</xdr:col>
                    <xdr:colOff>657225</xdr:colOff>
                    <xdr:row>11</xdr:row>
                    <xdr:rowOff>85725</xdr:rowOff>
                  </from>
                  <to>
                    <xdr:col>3</xdr:col>
                    <xdr:colOff>971550</xdr:colOff>
                    <xdr:row>11</xdr:row>
                    <xdr:rowOff>428625</xdr:rowOff>
                  </to>
                </anchor>
              </controlPr>
            </control>
          </mc:Choice>
        </mc:AlternateContent>
        <mc:AlternateContent xmlns:mc="http://schemas.openxmlformats.org/markup-compatibility/2006">
          <mc:Choice Requires="x14">
            <control shapeId="1875" r:id="rId82" name="Spinner 851">
              <controlPr defaultSize="0" autoPict="0">
                <anchor moveWithCells="1" sizeWithCells="1">
                  <from>
                    <xdr:col>3</xdr:col>
                    <xdr:colOff>657225</xdr:colOff>
                    <xdr:row>14</xdr:row>
                    <xdr:rowOff>85725</xdr:rowOff>
                  </from>
                  <to>
                    <xdr:col>3</xdr:col>
                    <xdr:colOff>971550</xdr:colOff>
                    <xdr:row>14</xdr:row>
                    <xdr:rowOff>428625</xdr:rowOff>
                  </to>
                </anchor>
              </controlPr>
            </control>
          </mc:Choice>
        </mc:AlternateContent>
        <mc:AlternateContent xmlns:mc="http://schemas.openxmlformats.org/markup-compatibility/2006">
          <mc:Choice Requires="x14">
            <control shapeId="1876" r:id="rId83" name="Spinner 852">
              <controlPr defaultSize="0" autoPict="0">
                <anchor moveWithCells="1" sizeWithCells="1">
                  <from>
                    <xdr:col>3</xdr:col>
                    <xdr:colOff>657225</xdr:colOff>
                    <xdr:row>15</xdr:row>
                    <xdr:rowOff>85725</xdr:rowOff>
                  </from>
                  <to>
                    <xdr:col>3</xdr:col>
                    <xdr:colOff>971550</xdr:colOff>
                    <xdr:row>15</xdr:row>
                    <xdr:rowOff>428625</xdr:rowOff>
                  </to>
                </anchor>
              </controlPr>
            </control>
          </mc:Choice>
        </mc:AlternateContent>
        <mc:AlternateContent xmlns:mc="http://schemas.openxmlformats.org/markup-compatibility/2006">
          <mc:Choice Requires="x14">
            <control shapeId="1877" r:id="rId84" name="Spinner 853">
              <controlPr defaultSize="0" autoPict="0">
                <anchor moveWithCells="1" sizeWithCells="1">
                  <from>
                    <xdr:col>3</xdr:col>
                    <xdr:colOff>657225</xdr:colOff>
                    <xdr:row>16</xdr:row>
                    <xdr:rowOff>85725</xdr:rowOff>
                  </from>
                  <to>
                    <xdr:col>3</xdr:col>
                    <xdr:colOff>971550</xdr:colOff>
                    <xdr:row>16</xdr:row>
                    <xdr:rowOff>428625</xdr:rowOff>
                  </to>
                </anchor>
              </controlPr>
            </control>
          </mc:Choice>
        </mc:AlternateContent>
        <mc:AlternateContent xmlns:mc="http://schemas.openxmlformats.org/markup-compatibility/2006">
          <mc:Choice Requires="x14">
            <control shapeId="1878" r:id="rId85" name="Spinner 854">
              <controlPr defaultSize="0" autoPict="0">
                <anchor moveWithCells="1" sizeWithCells="1">
                  <from>
                    <xdr:col>14</xdr:col>
                    <xdr:colOff>1085850</xdr:colOff>
                    <xdr:row>35</xdr:row>
                    <xdr:rowOff>19050</xdr:rowOff>
                  </from>
                  <to>
                    <xdr:col>15</xdr:col>
                    <xdr:colOff>0</xdr:colOff>
                    <xdr:row>35</xdr:row>
                    <xdr:rowOff>333375</xdr:rowOff>
                  </to>
                </anchor>
              </controlPr>
            </control>
          </mc:Choice>
        </mc:AlternateContent>
        <mc:AlternateContent xmlns:mc="http://schemas.openxmlformats.org/markup-compatibility/2006">
          <mc:Choice Requires="x14">
            <control shapeId="1909" r:id="rId86" name="Check Box 885">
              <controlPr defaultSize="0" autoFill="0" autoLine="0" autoPict="0">
                <anchor moveWithCells="1">
                  <from>
                    <xdr:col>20</xdr:col>
                    <xdr:colOff>533400</xdr:colOff>
                    <xdr:row>76</xdr:row>
                    <xdr:rowOff>314325</xdr:rowOff>
                  </from>
                  <to>
                    <xdr:col>20</xdr:col>
                    <xdr:colOff>800100</xdr:colOff>
                    <xdr:row>78</xdr:row>
                    <xdr:rowOff>85725</xdr:rowOff>
                  </to>
                </anchor>
              </controlPr>
            </control>
          </mc:Choice>
        </mc:AlternateContent>
        <mc:AlternateContent xmlns:mc="http://schemas.openxmlformats.org/markup-compatibility/2006">
          <mc:Choice Requires="x14">
            <control shapeId="1910" r:id="rId87" name="Check Box 886">
              <controlPr defaultSize="0" autoFill="0" autoLine="0" autoPict="0">
                <anchor moveWithCells="1">
                  <from>
                    <xdr:col>20</xdr:col>
                    <xdr:colOff>1104900</xdr:colOff>
                    <xdr:row>76</xdr:row>
                    <xdr:rowOff>314325</xdr:rowOff>
                  </from>
                  <to>
                    <xdr:col>20</xdr:col>
                    <xdr:colOff>1371600</xdr:colOff>
                    <xdr:row>78</xdr:row>
                    <xdr:rowOff>85725</xdr:rowOff>
                  </to>
                </anchor>
              </controlPr>
            </control>
          </mc:Choice>
        </mc:AlternateContent>
        <mc:AlternateContent xmlns:mc="http://schemas.openxmlformats.org/markup-compatibility/2006">
          <mc:Choice Requires="x14">
            <control shapeId="1911" r:id="rId88" name="Check Box 887">
              <controlPr defaultSize="0" autoFill="0" autoLine="0" autoPict="0">
                <anchor moveWithCells="1">
                  <from>
                    <xdr:col>20</xdr:col>
                    <xdr:colOff>723900</xdr:colOff>
                    <xdr:row>76</xdr:row>
                    <xdr:rowOff>314325</xdr:rowOff>
                  </from>
                  <to>
                    <xdr:col>20</xdr:col>
                    <xdr:colOff>990600</xdr:colOff>
                    <xdr:row>78</xdr:row>
                    <xdr:rowOff>85725</xdr:rowOff>
                  </to>
                </anchor>
              </controlPr>
            </control>
          </mc:Choice>
        </mc:AlternateContent>
        <mc:AlternateContent xmlns:mc="http://schemas.openxmlformats.org/markup-compatibility/2006">
          <mc:Choice Requires="x14">
            <control shapeId="1912" r:id="rId89" name="Check Box 888">
              <controlPr defaultSize="0" autoFill="0" autoLine="0" autoPict="0">
                <anchor moveWithCells="1">
                  <from>
                    <xdr:col>20</xdr:col>
                    <xdr:colOff>942975</xdr:colOff>
                    <xdr:row>76</xdr:row>
                    <xdr:rowOff>314325</xdr:rowOff>
                  </from>
                  <to>
                    <xdr:col>20</xdr:col>
                    <xdr:colOff>1219200</xdr:colOff>
                    <xdr:row>78</xdr:row>
                    <xdr:rowOff>85725</xdr:rowOff>
                  </to>
                </anchor>
              </controlPr>
            </control>
          </mc:Choice>
        </mc:AlternateContent>
        <mc:AlternateContent xmlns:mc="http://schemas.openxmlformats.org/markup-compatibility/2006">
          <mc:Choice Requires="x14">
            <control shapeId="1913" r:id="rId90" name="Check Box 889">
              <controlPr defaultSize="0" autoFill="0" autoLine="0" autoPict="0">
                <anchor moveWithCells="1">
                  <from>
                    <xdr:col>20</xdr:col>
                    <xdr:colOff>1314450</xdr:colOff>
                    <xdr:row>76</xdr:row>
                    <xdr:rowOff>314325</xdr:rowOff>
                  </from>
                  <to>
                    <xdr:col>21</xdr:col>
                    <xdr:colOff>38100</xdr:colOff>
                    <xdr:row>78</xdr:row>
                    <xdr:rowOff>85725</xdr:rowOff>
                  </to>
                </anchor>
              </controlPr>
            </control>
          </mc:Choice>
        </mc:AlternateContent>
        <mc:AlternateContent xmlns:mc="http://schemas.openxmlformats.org/markup-compatibility/2006">
          <mc:Choice Requires="x14">
            <control shapeId="1914" r:id="rId91" name="Check Box 890">
              <controlPr defaultSize="0" autoFill="0" autoLine="0" autoPict="0">
                <anchor moveWithCells="1">
                  <from>
                    <xdr:col>21</xdr:col>
                    <xdr:colOff>47625</xdr:colOff>
                    <xdr:row>76</xdr:row>
                    <xdr:rowOff>314325</xdr:rowOff>
                  </from>
                  <to>
                    <xdr:col>21</xdr:col>
                    <xdr:colOff>314325</xdr:colOff>
                    <xdr:row>78</xdr:row>
                    <xdr:rowOff>85725</xdr:rowOff>
                  </to>
                </anchor>
              </controlPr>
            </control>
          </mc:Choice>
        </mc:AlternateContent>
        <mc:AlternateContent xmlns:mc="http://schemas.openxmlformats.org/markup-compatibility/2006">
          <mc:Choice Requires="x14">
            <control shapeId="1915" r:id="rId92" name="Check Box 891">
              <controlPr defaultSize="0" autoFill="0" autoLine="0" autoPict="0">
                <anchor moveWithCells="1">
                  <from>
                    <xdr:col>21</xdr:col>
                    <xdr:colOff>600075</xdr:colOff>
                    <xdr:row>76</xdr:row>
                    <xdr:rowOff>314325</xdr:rowOff>
                  </from>
                  <to>
                    <xdr:col>21</xdr:col>
                    <xdr:colOff>866775</xdr:colOff>
                    <xdr:row>78</xdr:row>
                    <xdr:rowOff>85725</xdr:rowOff>
                  </to>
                </anchor>
              </controlPr>
            </control>
          </mc:Choice>
        </mc:AlternateContent>
        <mc:AlternateContent xmlns:mc="http://schemas.openxmlformats.org/markup-compatibility/2006">
          <mc:Choice Requires="x14">
            <control shapeId="1916" r:id="rId93" name="Check Box 892">
              <controlPr defaultSize="0" autoFill="0" autoLine="0" autoPict="0">
                <anchor moveWithCells="1">
                  <from>
                    <xdr:col>21</xdr:col>
                    <xdr:colOff>238125</xdr:colOff>
                    <xdr:row>76</xdr:row>
                    <xdr:rowOff>314325</xdr:rowOff>
                  </from>
                  <to>
                    <xdr:col>21</xdr:col>
                    <xdr:colOff>504825</xdr:colOff>
                    <xdr:row>78</xdr:row>
                    <xdr:rowOff>85725</xdr:rowOff>
                  </to>
                </anchor>
              </controlPr>
            </control>
          </mc:Choice>
        </mc:AlternateContent>
        <mc:AlternateContent xmlns:mc="http://schemas.openxmlformats.org/markup-compatibility/2006">
          <mc:Choice Requires="x14">
            <control shapeId="1917" r:id="rId94" name="Check Box 893">
              <controlPr defaultSize="0" autoFill="0" autoLine="0" autoPict="0">
                <anchor moveWithCells="1">
                  <from>
                    <xdr:col>21</xdr:col>
                    <xdr:colOff>428625</xdr:colOff>
                    <xdr:row>76</xdr:row>
                    <xdr:rowOff>314325</xdr:rowOff>
                  </from>
                  <to>
                    <xdr:col>21</xdr:col>
                    <xdr:colOff>695325</xdr:colOff>
                    <xdr:row>78</xdr:row>
                    <xdr:rowOff>85725</xdr:rowOff>
                  </to>
                </anchor>
              </controlPr>
            </control>
          </mc:Choice>
        </mc:AlternateContent>
        <mc:AlternateContent xmlns:mc="http://schemas.openxmlformats.org/markup-compatibility/2006">
          <mc:Choice Requires="x14">
            <control shapeId="1918" r:id="rId95" name="Check Box 894">
              <controlPr defaultSize="0" autoFill="0" autoLine="0" autoPict="0">
                <anchor moveWithCells="1">
                  <from>
                    <xdr:col>22</xdr:col>
                    <xdr:colOff>47625</xdr:colOff>
                    <xdr:row>76</xdr:row>
                    <xdr:rowOff>314325</xdr:rowOff>
                  </from>
                  <to>
                    <xdr:col>22</xdr:col>
                    <xdr:colOff>314325</xdr:colOff>
                    <xdr:row>78</xdr:row>
                    <xdr:rowOff>85725</xdr:rowOff>
                  </to>
                </anchor>
              </controlPr>
            </control>
          </mc:Choice>
        </mc:AlternateContent>
        <mc:AlternateContent xmlns:mc="http://schemas.openxmlformats.org/markup-compatibility/2006">
          <mc:Choice Requires="x14">
            <control shapeId="1919" r:id="rId96" name="Check Box 895">
              <controlPr defaultSize="0" autoFill="0" autoLine="0" autoPict="0">
                <anchor moveWithCells="1">
                  <from>
                    <xdr:col>22</xdr:col>
                    <xdr:colOff>619125</xdr:colOff>
                    <xdr:row>76</xdr:row>
                    <xdr:rowOff>314325</xdr:rowOff>
                  </from>
                  <to>
                    <xdr:col>22</xdr:col>
                    <xdr:colOff>885825</xdr:colOff>
                    <xdr:row>78</xdr:row>
                    <xdr:rowOff>85725</xdr:rowOff>
                  </to>
                </anchor>
              </controlPr>
            </control>
          </mc:Choice>
        </mc:AlternateContent>
        <mc:AlternateContent xmlns:mc="http://schemas.openxmlformats.org/markup-compatibility/2006">
          <mc:Choice Requires="x14">
            <control shapeId="1920" r:id="rId97" name="Check Box 896">
              <controlPr defaultSize="0" autoFill="0" autoLine="0" autoPict="0">
                <anchor moveWithCells="1">
                  <from>
                    <xdr:col>22</xdr:col>
                    <xdr:colOff>238125</xdr:colOff>
                    <xdr:row>76</xdr:row>
                    <xdr:rowOff>314325</xdr:rowOff>
                  </from>
                  <to>
                    <xdr:col>22</xdr:col>
                    <xdr:colOff>504825</xdr:colOff>
                    <xdr:row>78</xdr:row>
                    <xdr:rowOff>85725</xdr:rowOff>
                  </to>
                </anchor>
              </controlPr>
            </control>
          </mc:Choice>
        </mc:AlternateContent>
        <mc:AlternateContent xmlns:mc="http://schemas.openxmlformats.org/markup-compatibility/2006">
          <mc:Choice Requires="x14">
            <control shapeId="1921" r:id="rId98" name="Check Box 897">
              <controlPr defaultSize="0" autoFill="0" autoLine="0" autoPict="0">
                <anchor moveWithCells="1">
                  <from>
                    <xdr:col>22</xdr:col>
                    <xdr:colOff>428625</xdr:colOff>
                    <xdr:row>76</xdr:row>
                    <xdr:rowOff>314325</xdr:rowOff>
                  </from>
                  <to>
                    <xdr:col>22</xdr:col>
                    <xdr:colOff>695325</xdr:colOff>
                    <xdr:row>78</xdr:row>
                    <xdr:rowOff>85725</xdr:rowOff>
                  </to>
                </anchor>
              </controlPr>
            </control>
          </mc:Choice>
        </mc:AlternateContent>
        <mc:AlternateContent xmlns:mc="http://schemas.openxmlformats.org/markup-compatibility/2006">
          <mc:Choice Requires="x14">
            <control shapeId="1922" r:id="rId99" name="Check Box 898">
              <controlPr defaultSize="0" autoFill="0" autoLine="0" autoPict="0">
                <anchor moveWithCells="1">
                  <from>
                    <xdr:col>23</xdr:col>
                    <xdr:colOff>47625</xdr:colOff>
                    <xdr:row>76</xdr:row>
                    <xdr:rowOff>314325</xdr:rowOff>
                  </from>
                  <to>
                    <xdr:col>23</xdr:col>
                    <xdr:colOff>314325</xdr:colOff>
                    <xdr:row>78</xdr:row>
                    <xdr:rowOff>85725</xdr:rowOff>
                  </to>
                </anchor>
              </controlPr>
            </control>
          </mc:Choice>
        </mc:AlternateContent>
        <mc:AlternateContent xmlns:mc="http://schemas.openxmlformats.org/markup-compatibility/2006">
          <mc:Choice Requires="x14">
            <control shapeId="1923" r:id="rId100" name="Check Box 899">
              <controlPr defaultSize="0" autoFill="0" autoLine="0" autoPict="0">
                <anchor moveWithCells="1">
                  <from>
                    <xdr:col>23</xdr:col>
                    <xdr:colOff>619125</xdr:colOff>
                    <xdr:row>76</xdr:row>
                    <xdr:rowOff>314325</xdr:rowOff>
                  </from>
                  <to>
                    <xdr:col>23</xdr:col>
                    <xdr:colOff>885825</xdr:colOff>
                    <xdr:row>78</xdr:row>
                    <xdr:rowOff>85725</xdr:rowOff>
                  </to>
                </anchor>
              </controlPr>
            </control>
          </mc:Choice>
        </mc:AlternateContent>
        <mc:AlternateContent xmlns:mc="http://schemas.openxmlformats.org/markup-compatibility/2006">
          <mc:Choice Requires="x14">
            <control shapeId="1924" r:id="rId101" name="Check Box 900">
              <controlPr defaultSize="0" autoFill="0" autoLine="0" autoPict="0">
                <anchor moveWithCells="1">
                  <from>
                    <xdr:col>23</xdr:col>
                    <xdr:colOff>238125</xdr:colOff>
                    <xdr:row>76</xdr:row>
                    <xdr:rowOff>314325</xdr:rowOff>
                  </from>
                  <to>
                    <xdr:col>23</xdr:col>
                    <xdr:colOff>504825</xdr:colOff>
                    <xdr:row>78</xdr:row>
                    <xdr:rowOff>85725</xdr:rowOff>
                  </to>
                </anchor>
              </controlPr>
            </control>
          </mc:Choice>
        </mc:AlternateContent>
        <mc:AlternateContent xmlns:mc="http://schemas.openxmlformats.org/markup-compatibility/2006">
          <mc:Choice Requires="x14">
            <control shapeId="1925" r:id="rId102" name="Check Box 901">
              <controlPr defaultSize="0" autoFill="0" autoLine="0" autoPict="0">
                <anchor moveWithCells="1">
                  <from>
                    <xdr:col>23</xdr:col>
                    <xdr:colOff>428625</xdr:colOff>
                    <xdr:row>76</xdr:row>
                    <xdr:rowOff>314325</xdr:rowOff>
                  </from>
                  <to>
                    <xdr:col>23</xdr:col>
                    <xdr:colOff>695325</xdr:colOff>
                    <xdr:row>78</xdr:row>
                    <xdr:rowOff>85725</xdr:rowOff>
                  </to>
                </anchor>
              </controlPr>
            </control>
          </mc:Choice>
        </mc:AlternateContent>
        <mc:AlternateContent xmlns:mc="http://schemas.openxmlformats.org/markup-compatibility/2006">
          <mc:Choice Requires="x14">
            <control shapeId="1926" r:id="rId103" name="Check Box 902">
              <controlPr defaultSize="0" autoFill="0" autoLine="0" autoPict="0">
                <anchor moveWithCells="1">
                  <from>
                    <xdr:col>23</xdr:col>
                    <xdr:colOff>800100</xdr:colOff>
                    <xdr:row>76</xdr:row>
                    <xdr:rowOff>314325</xdr:rowOff>
                  </from>
                  <to>
                    <xdr:col>23</xdr:col>
                    <xdr:colOff>981075</xdr:colOff>
                    <xdr:row>78</xdr:row>
                    <xdr:rowOff>85725</xdr:rowOff>
                  </to>
                </anchor>
              </controlPr>
            </control>
          </mc:Choice>
        </mc:AlternateContent>
        <mc:AlternateContent xmlns:mc="http://schemas.openxmlformats.org/markup-compatibility/2006">
          <mc:Choice Requires="x14">
            <control shapeId="1927" r:id="rId104" name="Check Box 903">
              <controlPr defaultSize="0" autoFill="0" autoLine="0" autoPict="0">
                <anchor moveWithCells="1">
                  <from>
                    <xdr:col>24</xdr:col>
                    <xdr:colOff>47625</xdr:colOff>
                    <xdr:row>76</xdr:row>
                    <xdr:rowOff>314325</xdr:rowOff>
                  </from>
                  <to>
                    <xdr:col>24</xdr:col>
                    <xdr:colOff>314325</xdr:colOff>
                    <xdr:row>78</xdr:row>
                    <xdr:rowOff>85725</xdr:rowOff>
                  </to>
                </anchor>
              </controlPr>
            </control>
          </mc:Choice>
        </mc:AlternateContent>
        <mc:AlternateContent xmlns:mc="http://schemas.openxmlformats.org/markup-compatibility/2006">
          <mc:Choice Requires="x14">
            <control shapeId="1928" r:id="rId105" name="Check Box 904">
              <controlPr defaultSize="0" autoFill="0" autoLine="0" autoPict="0">
                <anchor moveWithCells="1">
                  <from>
                    <xdr:col>24</xdr:col>
                    <xdr:colOff>619125</xdr:colOff>
                    <xdr:row>76</xdr:row>
                    <xdr:rowOff>314325</xdr:rowOff>
                  </from>
                  <to>
                    <xdr:col>24</xdr:col>
                    <xdr:colOff>885825</xdr:colOff>
                    <xdr:row>78</xdr:row>
                    <xdr:rowOff>85725</xdr:rowOff>
                  </to>
                </anchor>
              </controlPr>
            </control>
          </mc:Choice>
        </mc:AlternateContent>
        <mc:AlternateContent xmlns:mc="http://schemas.openxmlformats.org/markup-compatibility/2006">
          <mc:Choice Requires="x14">
            <control shapeId="1929" r:id="rId106" name="Check Box 905">
              <controlPr defaultSize="0" autoFill="0" autoLine="0" autoPict="0">
                <anchor moveWithCells="1">
                  <from>
                    <xdr:col>24</xdr:col>
                    <xdr:colOff>238125</xdr:colOff>
                    <xdr:row>76</xdr:row>
                    <xdr:rowOff>314325</xdr:rowOff>
                  </from>
                  <to>
                    <xdr:col>24</xdr:col>
                    <xdr:colOff>504825</xdr:colOff>
                    <xdr:row>78</xdr:row>
                    <xdr:rowOff>85725</xdr:rowOff>
                  </to>
                </anchor>
              </controlPr>
            </control>
          </mc:Choice>
        </mc:AlternateContent>
        <mc:AlternateContent xmlns:mc="http://schemas.openxmlformats.org/markup-compatibility/2006">
          <mc:Choice Requires="x14">
            <control shapeId="1930" r:id="rId107" name="Check Box 906">
              <controlPr defaultSize="0" autoFill="0" autoLine="0" autoPict="0">
                <anchor moveWithCells="1">
                  <from>
                    <xdr:col>24</xdr:col>
                    <xdr:colOff>428625</xdr:colOff>
                    <xdr:row>76</xdr:row>
                    <xdr:rowOff>314325</xdr:rowOff>
                  </from>
                  <to>
                    <xdr:col>24</xdr:col>
                    <xdr:colOff>695325</xdr:colOff>
                    <xdr:row>78</xdr:row>
                    <xdr:rowOff>85725</xdr:rowOff>
                  </to>
                </anchor>
              </controlPr>
            </control>
          </mc:Choice>
        </mc:AlternateContent>
        <mc:AlternateContent xmlns:mc="http://schemas.openxmlformats.org/markup-compatibility/2006">
          <mc:Choice Requires="x14">
            <control shapeId="1931" r:id="rId108" name="Check Box 907">
              <controlPr defaultSize="0" autoFill="0" autoLine="0" autoPict="0">
                <anchor moveWithCells="1">
                  <from>
                    <xdr:col>24</xdr:col>
                    <xdr:colOff>800100</xdr:colOff>
                    <xdr:row>76</xdr:row>
                    <xdr:rowOff>314325</xdr:rowOff>
                  </from>
                  <to>
                    <xdr:col>24</xdr:col>
                    <xdr:colOff>981075</xdr:colOff>
                    <xdr:row>78</xdr:row>
                    <xdr:rowOff>85725</xdr:rowOff>
                  </to>
                </anchor>
              </controlPr>
            </control>
          </mc:Choice>
        </mc:AlternateContent>
        <mc:AlternateContent xmlns:mc="http://schemas.openxmlformats.org/markup-compatibility/2006">
          <mc:Choice Requires="x14">
            <control shapeId="1932" r:id="rId109" name="Check Box 908">
              <controlPr defaultSize="0" autoFill="0" autoLine="0" autoPict="0">
                <anchor moveWithCells="1">
                  <from>
                    <xdr:col>25</xdr:col>
                    <xdr:colOff>47625</xdr:colOff>
                    <xdr:row>76</xdr:row>
                    <xdr:rowOff>314325</xdr:rowOff>
                  </from>
                  <to>
                    <xdr:col>25</xdr:col>
                    <xdr:colOff>314325</xdr:colOff>
                    <xdr:row>78</xdr:row>
                    <xdr:rowOff>85725</xdr:rowOff>
                  </to>
                </anchor>
              </controlPr>
            </control>
          </mc:Choice>
        </mc:AlternateContent>
        <mc:AlternateContent xmlns:mc="http://schemas.openxmlformats.org/markup-compatibility/2006">
          <mc:Choice Requires="x14">
            <control shapeId="1933" r:id="rId110" name="Check Box 909">
              <controlPr defaultSize="0" autoFill="0" autoLine="0" autoPict="0">
                <anchor moveWithCells="1">
                  <from>
                    <xdr:col>25</xdr:col>
                    <xdr:colOff>619125</xdr:colOff>
                    <xdr:row>76</xdr:row>
                    <xdr:rowOff>314325</xdr:rowOff>
                  </from>
                  <to>
                    <xdr:col>25</xdr:col>
                    <xdr:colOff>885825</xdr:colOff>
                    <xdr:row>78</xdr:row>
                    <xdr:rowOff>85725</xdr:rowOff>
                  </to>
                </anchor>
              </controlPr>
            </control>
          </mc:Choice>
        </mc:AlternateContent>
        <mc:AlternateContent xmlns:mc="http://schemas.openxmlformats.org/markup-compatibility/2006">
          <mc:Choice Requires="x14">
            <control shapeId="1934" r:id="rId111" name="Check Box 910">
              <controlPr defaultSize="0" autoFill="0" autoLine="0" autoPict="0">
                <anchor moveWithCells="1">
                  <from>
                    <xdr:col>25</xdr:col>
                    <xdr:colOff>238125</xdr:colOff>
                    <xdr:row>76</xdr:row>
                    <xdr:rowOff>314325</xdr:rowOff>
                  </from>
                  <to>
                    <xdr:col>25</xdr:col>
                    <xdr:colOff>504825</xdr:colOff>
                    <xdr:row>78</xdr:row>
                    <xdr:rowOff>85725</xdr:rowOff>
                  </to>
                </anchor>
              </controlPr>
            </control>
          </mc:Choice>
        </mc:AlternateContent>
        <mc:AlternateContent xmlns:mc="http://schemas.openxmlformats.org/markup-compatibility/2006">
          <mc:Choice Requires="x14">
            <control shapeId="1935" r:id="rId112" name="Check Box 911">
              <controlPr defaultSize="0" autoFill="0" autoLine="0" autoPict="0">
                <anchor moveWithCells="1">
                  <from>
                    <xdr:col>25</xdr:col>
                    <xdr:colOff>428625</xdr:colOff>
                    <xdr:row>76</xdr:row>
                    <xdr:rowOff>314325</xdr:rowOff>
                  </from>
                  <to>
                    <xdr:col>25</xdr:col>
                    <xdr:colOff>695325</xdr:colOff>
                    <xdr:row>78</xdr:row>
                    <xdr:rowOff>85725</xdr:rowOff>
                  </to>
                </anchor>
              </controlPr>
            </control>
          </mc:Choice>
        </mc:AlternateContent>
        <mc:AlternateContent xmlns:mc="http://schemas.openxmlformats.org/markup-compatibility/2006">
          <mc:Choice Requires="x14">
            <control shapeId="1936" r:id="rId113" name="Check Box 912">
              <controlPr defaultSize="0" autoFill="0" autoLine="0" autoPict="0">
                <anchor moveWithCells="1">
                  <from>
                    <xdr:col>25</xdr:col>
                    <xdr:colOff>800100</xdr:colOff>
                    <xdr:row>76</xdr:row>
                    <xdr:rowOff>314325</xdr:rowOff>
                  </from>
                  <to>
                    <xdr:col>25</xdr:col>
                    <xdr:colOff>981075</xdr:colOff>
                    <xdr:row>78</xdr:row>
                    <xdr:rowOff>85725</xdr:rowOff>
                  </to>
                </anchor>
              </controlPr>
            </control>
          </mc:Choice>
        </mc:AlternateContent>
        <mc:AlternateContent xmlns:mc="http://schemas.openxmlformats.org/markup-compatibility/2006">
          <mc:Choice Requires="x14">
            <control shapeId="1937" r:id="rId114" name="Check Box 913">
              <controlPr defaultSize="0" autoFill="0" autoLine="0" autoPict="0">
                <anchor moveWithCells="1">
                  <from>
                    <xdr:col>22</xdr:col>
                    <xdr:colOff>800100</xdr:colOff>
                    <xdr:row>76</xdr:row>
                    <xdr:rowOff>314325</xdr:rowOff>
                  </from>
                  <to>
                    <xdr:col>22</xdr:col>
                    <xdr:colOff>981075</xdr:colOff>
                    <xdr:row>78</xdr:row>
                    <xdr:rowOff>85725</xdr:rowOff>
                  </to>
                </anchor>
              </controlPr>
            </control>
          </mc:Choice>
        </mc:AlternateContent>
        <mc:AlternateContent xmlns:mc="http://schemas.openxmlformats.org/markup-compatibility/2006">
          <mc:Choice Requires="x14">
            <control shapeId="1938" r:id="rId115" name="Check Box 914">
              <controlPr defaultSize="0" autoFill="0" autoLine="0" autoPict="0">
                <anchor moveWithCells="1">
                  <from>
                    <xdr:col>21</xdr:col>
                    <xdr:colOff>771525</xdr:colOff>
                    <xdr:row>76</xdr:row>
                    <xdr:rowOff>314325</xdr:rowOff>
                  </from>
                  <to>
                    <xdr:col>22</xdr:col>
                    <xdr:colOff>9525</xdr:colOff>
                    <xdr:row>78</xdr:row>
                    <xdr:rowOff>85725</xdr:rowOff>
                  </to>
                </anchor>
              </controlPr>
            </control>
          </mc:Choice>
        </mc:AlternateContent>
        <mc:AlternateContent xmlns:mc="http://schemas.openxmlformats.org/markup-compatibility/2006">
          <mc:Choice Requires="x14">
            <control shapeId="1939" r:id="rId116" name="Check Box 915">
              <controlPr defaultSize="0" autoFill="0" autoLine="0" autoPict="0">
                <anchor moveWithCells="1">
                  <from>
                    <xdr:col>20</xdr:col>
                    <xdr:colOff>495300</xdr:colOff>
                    <xdr:row>90</xdr:row>
                    <xdr:rowOff>314325</xdr:rowOff>
                  </from>
                  <to>
                    <xdr:col>20</xdr:col>
                    <xdr:colOff>762000</xdr:colOff>
                    <xdr:row>92</xdr:row>
                    <xdr:rowOff>85725</xdr:rowOff>
                  </to>
                </anchor>
              </controlPr>
            </control>
          </mc:Choice>
        </mc:AlternateContent>
        <mc:AlternateContent xmlns:mc="http://schemas.openxmlformats.org/markup-compatibility/2006">
          <mc:Choice Requires="x14">
            <control shapeId="1940" r:id="rId117" name="Check Box 916">
              <controlPr defaultSize="0" autoFill="0" autoLine="0" autoPict="0">
                <anchor moveWithCells="1">
                  <from>
                    <xdr:col>20</xdr:col>
                    <xdr:colOff>1066800</xdr:colOff>
                    <xdr:row>90</xdr:row>
                    <xdr:rowOff>314325</xdr:rowOff>
                  </from>
                  <to>
                    <xdr:col>20</xdr:col>
                    <xdr:colOff>1333500</xdr:colOff>
                    <xdr:row>92</xdr:row>
                    <xdr:rowOff>85725</xdr:rowOff>
                  </to>
                </anchor>
              </controlPr>
            </control>
          </mc:Choice>
        </mc:AlternateContent>
        <mc:AlternateContent xmlns:mc="http://schemas.openxmlformats.org/markup-compatibility/2006">
          <mc:Choice Requires="x14">
            <control shapeId="1941" r:id="rId118" name="Check Box 917">
              <controlPr defaultSize="0" autoFill="0" autoLine="0" autoPict="0">
                <anchor moveWithCells="1">
                  <from>
                    <xdr:col>20</xdr:col>
                    <xdr:colOff>685800</xdr:colOff>
                    <xdr:row>90</xdr:row>
                    <xdr:rowOff>314325</xdr:rowOff>
                  </from>
                  <to>
                    <xdr:col>20</xdr:col>
                    <xdr:colOff>952500</xdr:colOff>
                    <xdr:row>92</xdr:row>
                    <xdr:rowOff>85725</xdr:rowOff>
                  </to>
                </anchor>
              </controlPr>
            </control>
          </mc:Choice>
        </mc:AlternateContent>
        <mc:AlternateContent xmlns:mc="http://schemas.openxmlformats.org/markup-compatibility/2006">
          <mc:Choice Requires="x14">
            <control shapeId="1942" r:id="rId119" name="Check Box 918">
              <controlPr defaultSize="0" autoFill="0" autoLine="0" autoPict="0">
                <anchor moveWithCells="1">
                  <from>
                    <xdr:col>20</xdr:col>
                    <xdr:colOff>876300</xdr:colOff>
                    <xdr:row>90</xdr:row>
                    <xdr:rowOff>314325</xdr:rowOff>
                  </from>
                  <to>
                    <xdr:col>20</xdr:col>
                    <xdr:colOff>1143000</xdr:colOff>
                    <xdr:row>92</xdr:row>
                    <xdr:rowOff>85725</xdr:rowOff>
                  </to>
                </anchor>
              </controlPr>
            </control>
          </mc:Choice>
        </mc:AlternateContent>
        <mc:AlternateContent xmlns:mc="http://schemas.openxmlformats.org/markup-compatibility/2006">
          <mc:Choice Requires="x14">
            <control shapeId="1943" r:id="rId120" name="Check Box 919">
              <controlPr defaultSize="0" autoFill="0" autoLine="0" autoPict="0">
                <anchor moveWithCells="1">
                  <from>
                    <xdr:col>20</xdr:col>
                    <xdr:colOff>1247775</xdr:colOff>
                    <xdr:row>90</xdr:row>
                    <xdr:rowOff>314325</xdr:rowOff>
                  </from>
                  <to>
                    <xdr:col>20</xdr:col>
                    <xdr:colOff>1428750</xdr:colOff>
                    <xdr:row>92</xdr:row>
                    <xdr:rowOff>85725</xdr:rowOff>
                  </to>
                </anchor>
              </controlPr>
            </control>
          </mc:Choice>
        </mc:AlternateContent>
        <mc:AlternateContent xmlns:mc="http://schemas.openxmlformats.org/markup-compatibility/2006">
          <mc:Choice Requires="x14">
            <control shapeId="1944" r:id="rId121" name="Check Box 920">
              <controlPr defaultSize="0" autoFill="0" autoLine="0" autoPict="0">
                <anchor moveWithCells="1">
                  <from>
                    <xdr:col>21</xdr:col>
                    <xdr:colOff>47625</xdr:colOff>
                    <xdr:row>90</xdr:row>
                    <xdr:rowOff>314325</xdr:rowOff>
                  </from>
                  <to>
                    <xdr:col>21</xdr:col>
                    <xdr:colOff>314325</xdr:colOff>
                    <xdr:row>92</xdr:row>
                    <xdr:rowOff>85725</xdr:rowOff>
                  </to>
                </anchor>
              </controlPr>
            </control>
          </mc:Choice>
        </mc:AlternateContent>
        <mc:AlternateContent xmlns:mc="http://schemas.openxmlformats.org/markup-compatibility/2006">
          <mc:Choice Requires="x14">
            <control shapeId="1945" r:id="rId122" name="Check Box 921">
              <controlPr defaultSize="0" autoFill="0" autoLine="0" autoPict="0">
                <anchor moveWithCells="1">
                  <from>
                    <xdr:col>21</xdr:col>
                    <xdr:colOff>600075</xdr:colOff>
                    <xdr:row>90</xdr:row>
                    <xdr:rowOff>314325</xdr:rowOff>
                  </from>
                  <to>
                    <xdr:col>21</xdr:col>
                    <xdr:colOff>866775</xdr:colOff>
                    <xdr:row>92</xdr:row>
                    <xdr:rowOff>85725</xdr:rowOff>
                  </to>
                </anchor>
              </controlPr>
            </control>
          </mc:Choice>
        </mc:AlternateContent>
        <mc:AlternateContent xmlns:mc="http://schemas.openxmlformats.org/markup-compatibility/2006">
          <mc:Choice Requires="x14">
            <control shapeId="1946" r:id="rId123" name="Check Box 922">
              <controlPr defaultSize="0" autoFill="0" autoLine="0" autoPict="0">
                <anchor moveWithCells="1">
                  <from>
                    <xdr:col>21</xdr:col>
                    <xdr:colOff>238125</xdr:colOff>
                    <xdr:row>90</xdr:row>
                    <xdr:rowOff>314325</xdr:rowOff>
                  </from>
                  <to>
                    <xdr:col>21</xdr:col>
                    <xdr:colOff>504825</xdr:colOff>
                    <xdr:row>92</xdr:row>
                    <xdr:rowOff>85725</xdr:rowOff>
                  </to>
                </anchor>
              </controlPr>
            </control>
          </mc:Choice>
        </mc:AlternateContent>
        <mc:AlternateContent xmlns:mc="http://schemas.openxmlformats.org/markup-compatibility/2006">
          <mc:Choice Requires="x14">
            <control shapeId="1947" r:id="rId124" name="Check Box 923">
              <controlPr defaultSize="0" autoFill="0" autoLine="0" autoPict="0">
                <anchor moveWithCells="1">
                  <from>
                    <xdr:col>21</xdr:col>
                    <xdr:colOff>428625</xdr:colOff>
                    <xdr:row>90</xdr:row>
                    <xdr:rowOff>314325</xdr:rowOff>
                  </from>
                  <to>
                    <xdr:col>21</xdr:col>
                    <xdr:colOff>695325</xdr:colOff>
                    <xdr:row>92</xdr:row>
                    <xdr:rowOff>85725</xdr:rowOff>
                  </to>
                </anchor>
              </controlPr>
            </control>
          </mc:Choice>
        </mc:AlternateContent>
        <mc:AlternateContent xmlns:mc="http://schemas.openxmlformats.org/markup-compatibility/2006">
          <mc:Choice Requires="x14">
            <control shapeId="1948" r:id="rId125" name="Check Box 924">
              <controlPr defaultSize="0" autoFill="0" autoLine="0" autoPict="0">
                <anchor moveWithCells="1">
                  <from>
                    <xdr:col>22</xdr:col>
                    <xdr:colOff>47625</xdr:colOff>
                    <xdr:row>90</xdr:row>
                    <xdr:rowOff>314325</xdr:rowOff>
                  </from>
                  <to>
                    <xdr:col>22</xdr:col>
                    <xdr:colOff>314325</xdr:colOff>
                    <xdr:row>92</xdr:row>
                    <xdr:rowOff>85725</xdr:rowOff>
                  </to>
                </anchor>
              </controlPr>
            </control>
          </mc:Choice>
        </mc:AlternateContent>
        <mc:AlternateContent xmlns:mc="http://schemas.openxmlformats.org/markup-compatibility/2006">
          <mc:Choice Requires="x14">
            <control shapeId="1949" r:id="rId126" name="Check Box 925">
              <controlPr defaultSize="0" autoFill="0" autoLine="0" autoPict="0">
                <anchor moveWithCells="1">
                  <from>
                    <xdr:col>22</xdr:col>
                    <xdr:colOff>619125</xdr:colOff>
                    <xdr:row>90</xdr:row>
                    <xdr:rowOff>314325</xdr:rowOff>
                  </from>
                  <to>
                    <xdr:col>22</xdr:col>
                    <xdr:colOff>885825</xdr:colOff>
                    <xdr:row>92</xdr:row>
                    <xdr:rowOff>85725</xdr:rowOff>
                  </to>
                </anchor>
              </controlPr>
            </control>
          </mc:Choice>
        </mc:AlternateContent>
        <mc:AlternateContent xmlns:mc="http://schemas.openxmlformats.org/markup-compatibility/2006">
          <mc:Choice Requires="x14">
            <control shapeId="1950" r:id="rId127" name="Check Box 926">
              <controlPr defaultSize="0" autoFill="0" autoLine="0" autoPict="0">
                <anchor moveWithCells="1">
                  <from>
                    <xdr:col>22</xdr:col>
                    <xdr:colOff>238125</xdr:colOff>
                    <xdr:row>90</xdr:row>
                    <xdr:rowOff>314325</xdr:rowOff>
                  </from>
                  <to>
                    <xdr:col>22</xdr:col>
                    <xdr:colOff>504825</xdr:colOff>
                    <xdr:row>92</xdr:row>
                    <xdr:rowOff>85725</xdr:rowOff>
                  </to>
                </anchor>
              </controlPr>
            </control>
          </mc:Choice>
        </mc:AlternateContent>
        <mc:AlternateContent xmlns:mc="http://schemas.openxmlformats.org/markup-compatibility/2006">
          <mc:Choice Requires="x14">
            <control shapeId="1951" r:id="rId128" name="Check Box 927">
              <controlPr defaultSize="0" autoFill="0" autoLine="0" autoPict="0">
                <anchor moveWithCells="1">
                  <from>
                    <xdr:col>22</xdr:col>
                    <xdr:colOff>428625</xdr:colOff>
                    <xdr:row>90</xdr:row>
                    <xdr:rowOff>314325</xdr:rowOff>
                  </from>
                  <to>
                    <xdr:col>22</xdr:col>
                    <xdr:colOff>695325</xdr:colOff>
                    <xdr:row>92</xdr:row>
                    <xdr:rowOff>85725</xdr:rowOff>
                  </to>
                </anchor>
              </controlPr>
            </control>
          </mc:Choice>
        </mc:AlternateContent>
        <mc:AlternateContent xmlns:mc="http://schemas.openxmlformats.org/markup-compatibility/2006">
          <mc:Choice Requires="x14">
            <control shapeId="1952" r:id="rId129" name="Check Box 928">
              <controlPr defaultSize="0" autoFill="0" autoLine="0" autoPict="0">
                <anchor moveWithCells="1">
                  <from>
                    <xdr:col>23</xdr:col>
                    <xdr:colOff>47625</xdr:colOff>
                    <xdr:row>90</xdr:row>
                    <xdr:rowOff>314325</xdr:rowOff>
                  </from>
                  <to>
                    <xdr:col>23</xdr:col>
                    <xdr:colOff>314325</xdr:colOff>
                    <xdr:row>92</xdr:row>
                    <xdr:rowOff>85725</xdr:rowOff>
                  </to>
                </anchor>
              </controlPr>
            </control>
          </mc:Choice>
        </mc:AlternateContent>
        <mc:AlternateContent xmlns:mc="http://schemas.openxmlformats.org/markup-compatibility/2006">
          <mc:Choice Requires="x14">
            <control shapeId="1953" r:id="rId130" name="Check Box 929">
              <controlPr defaultSize="0" autoFill="0" autoLine="0" autoPict="0">
                <anchor moveWithCells="1">
                  <from>
                    <xdr:col>23</xdr:col>
                    <xdr:colOff>619125</xdr:colOff>
                    <xdr:row>90</xdr:row>
                    <xdr:rowOff>314325</xdr:rowOff>
                  </from>
                  <to>
                    <xdr:col>23</xdr:col>
                    <xdr:colOff>885825</xdr:colOff>
                    <xdr:row>92</xdr:row>
                    <xdr:rowOff>85725</xdr:rowOff>
                  </to>
                </anchor>
              </controlPr>
            </control>
          </mc:Choice>
        </mc:AlternateContent>
        <mc:AlternateContent xmlns:mc="http://schemas.openxmlformats.org/markup-compatibility/2006">
          <mc:Choice Requires="x14">
            <control shapeId="1954" r:id="rId131" name="Check Box 930">
              <controlPr defaultSize="0" autoFill="0" autoLine="0" autoPict="0">
                <anchor moveWithCells="1">
                  <from>
                    <xdr:col>23</xdr:col>
                    <xdr:colOff>238125</xdr:colOff>
                    <xdr:row>90</xdr:row>
                    <xdr:rowOff>314325</xdr:rowOff>
                  </from>
                  <to>
                    <xdr:col>23</xdr:col>
                    <xdr:colOff>504825</xdr:colOff>
                    <xdr:row>92</xdr:row>
                    <xdr:rowOff>85725</xdr:rowOff>
                  </to>
                </anchor>
              </controlPr>
            </control>
          </mc:Choice>
        </mc:AlternateContent>
        <mc:AlternateContent xmlns:mc="http://schemas.openxmlformats.org/markup-compatibility/2006">
          <mc:Choice Requires="x14">
            <control shapeId="1955" r:id="rId132" name="Check Box 931">
              <controlPr defaultSize="0" autoFill="0" autoLine="0" autoPict="0">
                <anchor moveWithCells="1">
                  <from>
                    <xdr:col>23</xdr:col>
                    <xdr:colOff>428625</xdr:colOff>
                    <xdr:row>90</xdr:row>
                    <xdr:rowOff>314325</xdr:rowOff>
                  </from>
                  <to>
                    <xdr:col>23</xdr:col>
                    <xdr:colOff>695325</xdr:colOff>
                    <xdr:row>92</xdr:row>
                    <xdr:rowOff>85725</xdr:rowOff>
                  </to>
                </anchor>
              </controlPr>
            </control>
          </mc:Choice>
        </mc:AlternateContent>
        <mc:AlternateContent xmlns:mc="http://schemas.openxmlformats.org/markup-compatibility/2006">
          <mc:Choice Requires="x14">
            <control shapeId="1956" r:id="rId133" name="Check Box 932">
              <controlPr defaultSize="0" autoFill="0" autoLine="0" autoPict="0">
                <anchor moveWithCells="1">
                  <from>
                    <xdr:col>23</xdr:col>
                    <xdr:colOff>800100</xdr:colOff>
                    <xdr:row>90</xdr:row>
                    <xdr:rowOff>314325</xdr:rowOff>
                  </from>
                  <to>
                    <xdr:col>23</xdr:col>
                    <xdr:colOff>981075</xdr:colOff>
                    <xdr:row>92</xdr:row>
                    <xdr:rowOff>85725</xdr:rowOff>
                  </to>
                </anchor>
              </controlPr>
            </control>
          </mc:Choice>
        </mc:AlternateContent>
        <mc:AlternateContent xmlns:mc="http://schemas.openxmlformats.org/markup-compatibility/2006">
          <mc:Choice Requires="x14">
            <control shapeId="1957" r:id="rId134" name="Check Box 933">
              <controlPr defaultSize="0" autoFill="0" autoLine="0" autoPict="0">
                <anchor moveWithCells="1">
                  <from>
                    <xdr:col>24</xdr:col>
                    <xdr:colOff>47625</xdr:colOff>
                    <xdr:row>90</xdr:row>
                    <xdr:rowOff>314325</xdr:rowOff>
                  </from>
                  <to>
                    <xdr:col>24</xdr:col>
                    <xdr:colOff>314325</xdr:colOff>
                    <xdr:row>92</xdr:row>
                    <xdr:rowOff>85725</xdr:rowOff>
                  </to>
                </anchor>
              </controlPr>
            </control>
          </mc:Choice>
        </mc:AlternateContent>
        <mc:AlternateContent xmlns:mc="http://schemas.openxmlformats.org/markup-compatibility/2006">
          <mc:Choice Requires="x14">
            <control shapeId="1958" r:id="rId135" name="Check Box 934">
              <controlPr defaultSize="0" autoFill="0" autoLine="0" autoPict="0">
                <anchor moveWithCells="1">
                  <from>
                    <xdr:col>24</xdr:col>
                    <xdr:colOff>619125</xdr:colOff>
                    <xdr:row>90</xdr:row>
                    <xdr:rowOff>314325</xdr:rowOff>
                  </from>
                  <to>
                    <xdr:col>24</xdr:col>
                    <xdr:colOff>885825</xdr:colOff>
                    <xdr:row>92</xdr:row>
                    <xdr:rowOff>85725</xdr:rowOff>
                  </to>
                </anchor>
              </controlPr>
            </control>
          </mc:Choice>
        </mc:AlternateContent>
        <mc:AlternateContent xmlns:mc="http://schemas.openxmlformats.org/markup-compatibility/2006">
          <mc:Choice Requires="x14">
            <control shapeId="1959" r:id="rId136" name="Check Box 935">
              <controlPr defaultSize="0" autoFill="0" autoLine="0" autoPict="0">
                <anchor moveWithCells="1">
                  <from>
                    <xdr:col>24</xdr:col>
                    <xdr:colOff>238125</xdr:colOff>
                    <xdr:row>90</xdr:row>
                    <xdr:rowOff>314325</xdr:rowOff>
                  </from>
                  <to>
                    <xdr:col>24</xdr:col>
                    <xdr:colOff>504825</xdr:colOff>
                    <xdr:row>92</xdr:row>
                    <xdr:rowOff>85725</xdr:rowOff>
                  </to>
                </anchor>
              </controlPr>
            </control>
          </mc:Choice>
        </mc:AlternateContent>
        <mc:AlternateContent xmlns:mc="http://schemas.openxmlformats.org/markup-compatibility/2006">
          <mc:Choice Requires="x14">
            <control shapeId="1960" r:id="rId137" name="Check Box 936">
              <controlPr defaultSize="0" autoFill="0" autoLine="0" autoPict="0">
                <anchor moveWithCells="1">
                  <from>
                    <xdr:col>24</xdr:col>
                    <xdr:colOff>428625</xdr:colOff>
                    <xdr:row>90</xdr:row>
                    <xdr:rowOff>314325</xdr:rowOff>
                  </from>
                  <to>
                    <xdr:col>24</xdr:col>
                    <xdr:colOff>695325</xdr:colOff>
                    <xdr:row>92</xdr:row>
                    <xdr:rowOff>85725</xdr:rowOff>
                  </to>
                </anchor>
              </controlPr>
            </control>
          </mc:Choice>
        </mc:AlternateContent>
        <mc:AlternateContent xmlns:mc="http://schemas.openxmlformats.org/markup-compatibility/2006">
          <mc:Choice Requires="x14">
            <control shapeId="1961" r:id="rId138" name="Check Box 937">
              <controlPr defaultSize="0" autoFill="0" autoLine="0" autoPict="0">
                <anchor moveWithCells="1">
                  <from>
                    <xdr:col>24</xdr:col>
                    <xdr:colOff>800100</xdr:colOff>
                    <xdr:row>90</xdr:row>
                    <xdr:rowOff>314325</xdr:rowOff>
                  </from>
                  <to>
                    <xdr:col>24</xdr:col>
                    <xdr:colOff>981075</xdr:colOff>
                    <xdr:row>92</xdr:row>
                    <xdr:rowOff>85725</xdr:rowOff>
                  </to>
                </anchor>
              </controlPr>
            </control>
          </mc:Choice>
        </mc:AlternateContent>
        <mc:AlternateContent xmlns:mc="http://schemas.openxmlformats.org/markup-compatibility/2006">
          <mc:Choice Requires="x14">
            <control shapeId="1962" r:id="rId139" name="Check Box 938">
              <controlPr defaultSize="0" autoFill="0" autoLine="0" autoPict="0">
                <anchor moveWithCells="1">
                  <from>
                    <xdr:col>25</xdr:col>
                    <xdr:colOff>47625</xdr:colOff>
                    <xdr:row>90</xdr:row>
                    <xdr:rowOff>314325</xdr:rowOff>
                  </from>
                  <to>
                    <xdr:col>25</xdr:col>
                    <xdr:colOff>314325</xdr:colOff>
                    <xdr:row>92</xdr:row>
                    <xdr:rowOff>85725</xdr:rowOff>
                  </to>
                </anchor>
              </controlPr>
            </control>
          </mc:Choice>
        </mc:AlternateContent>
        <mc:AlternateContent xmlns:mc="http://schemas.openxmlformats.org/markup-compatibility/2006">
          <mc:Choice Requires="x14">
            <control shapeId="1963" r:id="rId140" name="Check Box 939">
              <controlPr defaultSize="0" autoFill="0" autoLine="0" autoPict="0">
                <anchor moveWithCells="1">
                  <from>
                    <xdr:col>25</xdr:col>
                    <xdr:colOff>619125</xdr:colOff>
                    <xdr:row>90</xdr:row>
                    <xdr:rowOff>314325</xdr:rowOff>
                  </from>
                  <to>
                    <xdr:col>25</xdr:col>
                    <xdr:colOff>885825</xdr:colOff>
                    <xdr:row>92</xdr:row>
                    <xdr:rowOff>85725</xdr:rowOff>
                  </to>
                </anchor>
              </controlPr>
            </control>
          </mc:Choice>
        </mc:AlternateContent>
        <mc:AlternateContent xmlns:mc="http://schemas.openxmlformats.org/markup-compatibility/2006">
          <mc:Choice Requires="x14">
            <control shapeId="1964" r:id="rId141" name="Check Box 940">
              <controlPr defaultSize="0" autoFill="0" autoLine="0" autoPict="0">
                <anchor moveWithCells="1">
                  <from>
                    <xdr:col>25</xdr:col>
                    <xdr:colOff>238125</xdr:colOff>
                    <xdr:row>90</xdr:row>
                    <xdr:rowOff>314325</xdr:rowOff>
                  </from>
                  <to>
                    <xdr:col>25</xdr:col>
                    <xdr:colOff>504825</xdr:colOff>
                    <xdr:row>92</xdr:row>
                    <xdr:rowOff>85725</xdr:rowOff>
                  </to>
                </anchor>
              </controlPr>
            </control>
          </mc:Choice>
        </mc:AlternateContent>
        <mc:AlternateContent xmlns:mc="http://schemas.openxmlformats.org/markup-compatibility/2006">
          <mc:Choice Requires="x14">
            <control shapeId="1965" r:id="rId142" name="Check Box 941">
              <controlPr defaultSize="0" autoFill="0" autoLine="0" autoPict="0">
                <anchor moveWithCells="1">
                  <from>
                    <xdr:col>25</xdr:col>
                    <xdr:colOff>428625</xdr:colOff>
                    <xdr:row>90</xdr:row>
                    <xdr:rowOff>314325</xdr:rowOff>
                  </from>
                  <to>
                    <xdr:col>25</xdr:col>
                    <xdr:colOff>695325</xdr:colOff>
                    <xdr:row>92</xdr:row>
                    <xdr:rowOff>85725</xdr:rowOff>
                  </to>
                </anchor>
              </controlPr>
            </control>
          </mc:Choice>
        </mc:AlternateContent>
        <mc:AlternateContent xmlns:mc="http://schemas.openxmlformats.org/markup-compatibility/2006">
          <mc:Choice Requires="x14">
            <control shapeId="1966" r:id="rId143" name="Check Box 942">
              <controlPr defaultSize="0" autoFill="0" autoLine="0" autoPict="0">
                <anchor moveWithCells="1">
                  <from>
                    <xdr:col>25</xdr:col>
                    <xdr:colOff>800100</xdr:colOff>
                    <xdr:row>90</xdr:row>
                    <xdr:rowOff>314325</xdr:rowOff>
                  </from>
                  <to>
                    <xdr:col>25</xdr:col>
                    <xdr:colOff>981075</xdr:colOff>
                    <xdr:row>92</xdr:row>
                    <xdr:rowOff>85725</xdr:rowOff>
                  </to>
                </anchor>
              </controlPr>
            </control>
          </mc:Choice>
        </mc:AlternateContent>
        <mc:AlternateContent xmlns:mc="http://schemas.openxmlformats.org/markup-compatibility/2006">
          <mc:Choice Requires="x14">
            <control shapeId="1967" r:id="rId144" name="Check Box 943">
              <controlPr defaultSize="0" autoFill="0" autoLine="0" autoPict="0">
                <anchor moveWithCells="1">
                  <from>
                    <xdr:col>22</xdr:col>
                    <xdr:colOff>800100</xdr:colOff>
                    <xdr:row>90</xdr:row>
                    <xdr:rowOff>314325</xdr:rowOff>
                  </from>
                  <to>
                    <xdr:col>22</xdr:col>
                    <xdr:colOff>981075</xdr:colOff>
                    <xdr:row>92</xdr:row>
                    <xdr:rowOff>85725</xdr:rowOff>
                  </to>
                </anchor>
              </controlPr>
            </control>
          </mc:Choice>
        </mc:AlternateContent>
        <mc:AlternateContent xmlns:mc="http://schemas.openxmlformats.org/markup-compatibility/2006">
          <mc:Choice Requires="x14">
            <control shapeId="1968" r:id="rId145" name="Check Box 944">
              <controlPr defaultSize="0" autoFill="0" autoLine="0" autoPict="0">
                <anchor moveWithCells="1">
                  <from>
                    <xdr:col>21</xdr:col>
                    <xdr:colOff>771525</xdr:colOff>
                    <xdr:row>90</xdr:row>
                    <xdr:rowOff>314325</xdr:rowOff>
                  </from>
                  <to>
                    <xdr:col>22</xdr:col>
                    <xdr:colOff>9525</xdr:colOff>
                    <xdr:row>92</xdr:row>
                    <xdr:rowOff>85725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showGridLines="0" showRowColHeaders="0" workbookViewId="0">
      <selection activeCell="G3" sqref="G3:H4"/>
    </sheetView>
  </sheetViews>
  <sheetFormatPr defaultRowHeight="15"/>
  <cols>
    <col min="7" max="7" width="9.85546875" customWidth="1"/>
    <col min="12" max="12" width="47.42578125" customWidth="1"/>
    <col min="14" max="15" width="6.42578125" customWidth="1"/>
  </cols>
  <sheetData>
    <row r="1" spans="1:22" ht="16.5" thickTop="1" thickBot="1">
      <c r="A1" s="906" t="s">
        <v>191</v>
      </c>
      <c r="B1" s="906"/>
      <c r="C1" s="906"/>
      <c r="D1" s="906"/>
      <c r="E1" s="906"/>
      <c r="F1" s="906"/>
      <c r="G1" s="888" t="s">
        <v>26</v>
      </c>
      <c r="H1" s="890">
        <v>8</v>
      </c>
    </row>
    <row r="2" spans="1:22" ht="16.5" thickTop="1" thickBot="1">
      <c r="A2" s="906"/>
      <c r="B2" s="906"/>
      <c r="C2" s="906"/>
      <c r="D2" s="906"/>
      <c r="E2" s="906"/>
      <c r="F2" s="906"/>
      <c r="G2" s="888"/>
      <c r="H2" s="890"/>
    </row>
    <row r="3" spans="1:22" ht="16.5" thickTop="1" thickBot="1">
      <c r="A3" s="906"/>
      <c r="B3" s="906"/>
      <c r="C3" s="906"/>
      <c r="D3" s="906"/>
      <c r="E3" s="906"/>
      <c r="F3" s="906"/>
      <c r="G3" s="896" t="s">
        <v>107</v>
      </c>
      <c r="H3" s="896"/>
      <c r="I3" s="899" t="s">
        <v>584</v>
      </c>
      <c r="J3" s="899" t="s">
        <v>585</v>
      </c>
      <c r="K3" s="899" t="s">
        <v>201</v>
      </c>
      <c r="L3" s="900" t="s">
        <v>472</v>
      </c>
      <c r="M3" s="902" t="s">
        <v>586</v>
      </c>
      <c r="N3" s="903"/>
      <c r="O3" s="903"/>
      <c r="P3" s="903"/>
      <c r="Q3" s="903"/>
      <c r="R3" s="903"/>
      <c r="S3" s="903"/>
      <c r="T3" s="903"/>
      <c r="U3" s="903"/>
      <c r="V3" s="903"/>
    </row>
    <row r="4" spans="1:22" ht="16.5" thickTop="1" thickBot="1">
      <c r="A4" s="839" t="s">
        <v>44</v>
      </c>
      <c r="B4" s="839"/>
      <c r="C4" s="839"/>
      <c r="D4" s="839"/>
      <c r="E4" s="839"/>
      <c r="F4" s="839"/>
      <c r="G4" s="907"/>
      <c r="H4" s="907"/>
      <c r="I4" s="899"/>
      <c r="J4" s="899"/>
      <c r="K4" s="899"/>
      <c r="L4" s="901"/>
      <c r="M4" s="903"/>
      <c r="N4" s="903"/>
      <c r="O4" s="903"/>
      <c r="P4" s="903"/>
      <c r="Q4" s="903"/>
      <c r="R4" s="903"/>
      <c r="S4" s="903"/>
      <c r="T4" s="903"/>
      <c r="U4" s="903"/>
      <c r="V4" s="903"/>
    </row>
    <row r="5" spans="1:22" ht="41.25" customHeight="1" thickTop="1" thickBot="1">
      <c r="A5" s="908"/>
      <c r="B5" s="908"/>
      <c r="C5" s="908"/>
      <c r="D5" s="908"/>
      <c r="E5" s="908"/>
      <c r="F5" s="909"/>
      <c r="G5" s="373" t="s">
        <v>470</v>
      </c>
      <c r="H5" s="373" t="s">
        <v>471</v>
      </c>
      <c r="I5" s="899"/>
      <c r="J5" s="899"/>
      <c r="K5" s="899"/>
      <c r="L5" s="901"/>
      <c r="M5" s="372">
        <v>0</v>
      </c>
      <c r="N5" s="372">
        <v>1</v>
      </c>
      <c r="O5" s="372">
        <v>2</v>
      </c>
      <c r="P5" s="372">
        <v>3</v>
      </c>
      <c r="Q5" s="372">
        <v>4</v>
      </c>
      <c r="R5" s="372">
        <v>5</v>
      </c>
      <c r="S5" s="372">
        <v>6</v>
      </c>
      <c r="T5" s="372">
        <v>7</v>
      </c>
      <c r="U5" s="372">
        <v>8</v>
      </c>
      <c r="V5" s="372">
        <v>9</v>
      </c>
    </row>
    <row r="6" spans="1:22" ht="31.5" customHeight="1" thickTop="1" thickBot="1">
      <c r="A6" s="229">
        <v>1</v>
      </c>
      <c r="B6" s="904" t="s">
        <v>475</v>
      </c>
      <c r="C6" s="904"/>
      <c r="D6" s="904"/>
      <c r="E6" s="904" t="s">
        <v>166</v>
      </c>
      <c r="F6" s="905"/>
      <c r="G6" s="218">
        <v>1</v>
      </c>
      <c r="H6" s="218">
        <v>0</v>
      </c>
      <c r="I6" s="218">
        <v>2</v>
      </c>
      <c r="J6" s="218">
        <v>0</v>
      </c>
      <c r="K6" s="218">
        <v>2</v>
      </c>
      <c r="L6" s="158" t="s">
        <v>587</v>
      </c>
      <c r="M6" s="151">
        <v>3</v>
      </c>
      <c r="N6" s="151">
        <v>1</v>
      </c>
      <c r="O6" s="151" t="s">
        <v>198</v>
      </c>
      <c r="P6" s="151" t="s">
        <v>198</v>
      </c>
      <c r="Q6" s="151" t="s">
        <v>198</v>
      </c>
      <c r="R6" s="151" t="s">
        <v>198</v>
      </c>
      <c r="S6" s="151" t="s">
        <v>198</v>
      </c>
      <c r="T6" s="151" t="s">
        <v>198</v>
      </c>
      <c r="U6" s="151" t="s">
        <v>198</v>
      </c>
      <c r="V6" s="151" t="s">
        <v>198</v>
      </c>
    </row>
    <row r="7" spans="1:22" ht="21" customHeight="1" thickTop="1" thickBot="1">
      <c r="A7" s="229">
        <v>2</v>
      </c>
      <c r="B7" s="904" t="s">
        <v>64</v>
      </c>
      <c r="C7" s="904"/>
      <c r="D7" s="904"/>
      <c r="E7" s="904" t="s">
        <v>588</v>
      </c>
      <c r="F7" s="905"/>
      <c r="G7" s="371">
        <v>2</v>
      </c>
      <c r="H7" s="371">
        <v>1</v>
      </c>
      <c r="I7" s="371">
        <v>3</v>
      </c>
      <c r="J7" s="371">
        <v>0</v>
      </c>
      <c r="K7" s="371">
        <v>3</v>
      </c>
      <c r="L7" s="209" t="s">
        <v>589</v>
      </c>
      <c r="M7" s="210">
        <v>4</v>
      </c>
      <c r="N7" s="210">
        <v>2</v>
      </c>
      <c r="O7" s="210" t="s">
        <v>198</v>
      </c>
      <c r="P7" s="210" t="s">
        <v>198</v>
      </c>
      <c r="Q7" s="210" t="s">
        <v>198</v>
      </c>
      <c r="R7" s="210" t="s">
        <v>198</v>
      </c>
      <c r="S7" s="210" t="s">
        <v>198</v>
      </c>
      <c r="T7" s="210" t="s">
        <v>198</v>
      </c>
      <c r="U7" s="210" t="s">
        <v>198</v>
      </c>
      <c r="V7" s="210" t="s">
        <v>198</v>
      </c>
    </row>
    <row r="8" spans="1:22" ht="19.5" customHeight="1" thickTop="1" thickBot="1">
      <c r="A8" s="229">
        <v>3</v>
      </c>
      <c r="B8" s="904" t="s">
        <v>479</v>
      </c>
      <c r="C8" s="904"/>
      <c r="D8" s="904"/>
      <c r="E8" s="904" t="s">
        <v>507</v>
      </c>
      <c r="F8" s="905"/>
      <c r="G8" s="218">
        <v>3</v>
      </c>
      <c r="H8" s="218">
        <v>2</v>
      </c>
      <c r="I8" s="218">
        <v>3</v>
      </c>
      <c r="J8" s="218">
        <v>1</v>
      </c>
      <c r="K8" s="218">
        <v>3</v>
      </c>
      <c r="L8" s="158" t="s">
        <v>590</v>
      </c>
      <c r="M8" s="151">
        <v>4</v>
      </c>
      <c r="N8" s="151">
        <v>2</v>
      </c>
      <c r="O8" s="151">
        <v>1</v>
      </c>
      <c r="P8" s="151" t="s">
        <v>198</v>
      </c>
      <c r="Q8" s="151" t="s">
        <v>198</v>
      </c>
      <c r="R8" s="151" t="s">
        <v>198</v>
      </c>
      <c r="S8" s="151" t="s">
        <v>198</v>
      </c>
      <c r="T8" s="151" t="s">
        <v>198</v>
      </c>
      <c r="U8" s="151" t="s">
        <v>198</v>
      </c>
      <c r="V8" s="151" t="s">
        <v>198</v>
      </c>
    </row>
    <row r="9" spans="1:22" ht="19.5" customHeight="1" thickTop="1" thickBot="1">
      <c r="A9" s="229">
        <v>4</v>
      </c>
      <c r="B9" s="904" t="s">
        <v>57</v>
      </c>
      <c r="C9" s="904"/>
      <c r="D9" s="904"/>
      <c r="E9" s="904" t="s">
        <v>499</v>
      </c>
      <c r="F9" s="905"/>
      <c r="G9" s="371">
        <v>4</v>
      </c>
      <c r="H9" s="371">
        <v>3</v>
      </c>
      <c r="I9" s="371">
        <v>4</v>
      </c>
      <c r="J9" s="371">
        <v>1</v>
      </c>
      <c r="K9" s="371">
        <v>4</v>
      </c>
      <c r="L9" s="209" t="s">
        <v>591</v>
      </c>
      <c r="M9" s="210">
        <v>5</v>
      </c>
      <c r="N9" s="210">
        <v>3</v>
      </c>
      <c r="O9" s="210">
        <v>2</v>
      </c>
      <c r="P9" s="210" t="s">
        <v>198</v>
      </c>
      <c r="Q9" s="210" t="s">
        <v>198</v>
      </c>
      <c r="R9" s="210" t="s">
        <v>198</v>
      </c>
      <c r="S9" s="210" t="s">
        <v>198</v>
      </c>
      <c r="T9" s="210" t="s">
        <v>198</v>
      </c>
      <c r="U9" s="210" t="s">
        <v>198</v>
      </c>
      <c r="V9" s="210" t="s">
        <v>198</v>
      </c>
    </row>
    <row r="10" spans="1:22" ht="24" customHeight="1" thickTop="1" thickBot="1">
      <c r="A10" s="229">
        <v>5</v>
      </c>
      <c r="B10" s="904" t="s">
        <v>592</v>
      </c>
      <c r="C10" s="904"/>
      <c r="D10" s="904"/>
      <c r="E10" s="904" t="s">
        <v>168</v>
      </c>
      <c r="F10" s="905"/>
      <c r="G10" s="215">
        <v>5</v>
      </c>
      <c r="H10" s="215">
        <v>3</v>
      </c>
      <c r="I10" s="215">
        <v>4</v>
      </c>
      <c r="J10" s="215">
        <v>1</v>
      </c>
      <c r="K10" s="215">
        <v>4</v>
      </c>
      <c r="L10" s="158" t="s">
        <v>593</v>
      </c>
      <c r="M10" s="151">
        <v>5</v>
      </c>
      <c r="N10" s="151">
        <v>3</v>
      </c>
      <c r="O10" s="151">
        <v>2</v>
      </c>
      <c r="P10" s="151">
        <v>1</v>
      </c>
      <c r="Q10" s="151" t="s">
        <v>198</v>
      </c>
      <c r="R10" s="151" t="s">
        <v>198</v>
      </c>
      <c r="S10" s="151" t="s">
        <v>198</v>
      </c>
      <c r="T10" s="151" t="s">
        <v>198</v>
      </c>
      <c r="U10" s="151" t="s">
        <v>198</v>
      </c>
      <c r="V10" s="151" t="s">
        <v>198</v>
      </c>
    </row>
    <row r="11" spans="1:22" ht="20.25" customHeight="1" thickTop="1" thickBot="1">
      <c r="A11" s="229">
        <v>6</v>
      </c>
      <c r="B11" s="904" t="s">
        <v>594</v>
      </c>
      <c r="C11" s="904"/>
      <c r="D11" s="904"/>
      <c r="E11" s="904" t="s">
        <v>507</v>
      </c>
      <c r="F11" s="905"/>
      <c r="G11" s="371">
        <v>6</v>
      </c>
      <c r="H11" s="371">
        <v>4</v>
      </c>
      <c r="I11" s="371">
        <v>5</v>
      </c>
      <c r="J11" s="371">
        <v>2</v>
      </c>
      <c r="K11" s="371">
        <v>5</v>
      </c>
      <c r="L11" s="209" t="s">
        <v>595</v>
      </c>
      <c r="M11" s="210">
        <v>5</v>
      </c>
      <c r="N11" s="210">
        <v>3</v>
      </c>
      <c r="O11" s="210">
        <v>3</v>
      </c>
      <c r="P11" s="210">
        <v>2</v>
      </c>
      <c r="Q11" s="210" t="s">
        <v>198</v>
      </c>
      <c r="R11" s="210" t="s">
        <v>198</v>
      </c>
      <c r="S11" s="210" t="s">
        <v>198</v>
      </c>
      <c r="T11" s="210" t="s">
        <v>198</v>
      </c>
      <c r="U11" s="210" t="s">
        <v>198</v>
      </c>
      <c r="V11" s="210" t="s">
        <v>198</v>
      </c>
    </row>
    <row r="12" spans="1:22" ht="19.5" customHeight="1" thickTop="1" thickBot="1">
      <c r="A12" s="229">
        <v>7</v>
      </c>
      <c r="B12" s="904" t="s">
        <v>68</v>
      </c>
      <c r="C12" s="904"/>
      <c r="D12" s="904"/>
      <c r="E12" s="904" t="s">
        <v>168</v>
      </c>
      <c r="F12" s="905"/>
      <c r="G12" s="218">
        <v>7</v>
      </c>
      <c r="H12" s="218">
        <v>5</v>
      </c>
      <c r="I12" s="218">
        <v>5</v>
      </c>
      <c r="J12" s="218">
        <v>2</v>
      </c>
      <c r="K12" s="218">
        <v>5</v>
      </c>
      <c r="L12" s="158" t="s">
        <v>596</v>
      </c>
      <c r="M12" s="151">
        <v>6</v>
      </c>
      <c r="N12" s="151">
        <v>4</v>
      </c>
      <c r="O12" s="151">
        <v>3</v>
      </c>
      <c r="P12" s="151">
        <v>2</v>
      </c>
      <c r="Q12" s="151">
        <v>1</v>
      </c>
      <c r="R12" s="151" t="s">
        <v>198</v>
      </c>
      <c r="S12" s="151" t="s">
        <v>198</v>
      </c>
      <c r="T12" s="151" t="s">
        <v>198</v>
      </c>
      <c r="U12" s="151" t="s">
        <v>198</v>
      </c>
      <c r="V12" s="151" t="s">
        <v>198</v>
      </c>
    </row>
    <row r="13" spans="1:22" ht="22.5" customHeight="1" thickTop="1" thickBot="1">
      <c r="A13" s="229">
        <v>8</v>
      </c>
      <c r="B13" s="904" t="s">
        <v>597</v>
      </c>
      <c r="C13" s="904"/>
      <c r="D13" s="904"/>
      <c r="E13" s="904" t="s">
        <v>168</v>
      </c>
      <c r="F13" s="905"/>
      <c r="G13" s="371">
        <v>8</v>
      </c>
      <c r="H13" s="371">
        <v>6</v>
      </c>
      <c r="I13" s="371">
        <v>6</v>
      </c>
      <c r="J13" s="371">
        <v>2</v>
      </c>
      <c r="K13" s="371">
        <v>6</v>
      </c>
      <c r="L13" s="209" t="s">
        <v>598</v>
      </c>
      <c r="M13" s="210">
        <v>6</v>
      </c>
      <c r="N13" s="210">
        <v>4</v>
      </c>
      <c r="O13" s="210">
        <v>3</v>
      </c>
      <c r="P13" s="210">
        <v>3</v>
      </c>
      <c r="Q13" s="210">
        <v>2</v>
      </c>
      <c r="R13" s="210" t="s">
        <v>198</v>
      </c>
      <c r="S13" s="210" t="s">
        <v>198</v>
      </c>
      <c r="T13" s="210" t="s">
        <v>198</v>
      </c>
      <c r="U13" s="210" t="s">
        <v>198</v>
      </c>
      <c r="V13" s="210" t="s">
        <v>198</v>
      </c>
    </row>
    <row r="14" spans="1:22" ht="25.5" customHeight="1" thickTop="1" thickBot="1">
      <c r="A14" s="229">
        <v>9</v>
      </c>
      <c r="B14" s="904" t="s">
        <v>565</v>
      </c>
      <c r="C14" s="904"/>
      <c r="D14" s="904"/>
      <c r="E14" s="904" t="s">
        <v>168</v>
      </c>
      <c r="F14" s="905"/>
      <c r="G14" s="218">
        <v>9</v>
      </c>
      <c r="H14" s="218">
        <v>6</v>
      </c>
      <c r="I14" s="218">
        <v>6</v>
      </c>
      <c r="J14" s="218">
        <v>3</v>
      </c>
      <c r="K14" s="218">
        <v>6</v>
      </c>
      <c r="L14" s="158" t="s">
        <v>599</v>
      </c>
      <c r="M14" s="151">
        <v>6</v>
      </c>
      <c r="N14" s="151">
        <v>4</v>
      </c>
      <c r="O14" s="151">
        <v>4</v>
      </c>
      <c r="P14" s="151">
        <v>3</v>
      </c>
      <c r="Q14" s="151">
        <v>2</v>
      </c>
      <c r="R14" s="151">
        <v>1</v>
      </c>
      <c r="S14" s="151" t="s">
        <v>198</v>
      </c>
      <c r="T14" s="151" t="s">
        <v>198</v>
      </c>
      <c r="U14" s="151" t="s">
        <v>198</v>
      </c>
      <c r="V14" s="151" t="s">
        <v>198</v>
      </c>
    </row>
    <row r="15" spans="1:22" ht="30.75" customHeight="1" thickTop="1" thickBot="1">
      <c r="A15" s="229">
        <v>10</v>
      </c>
      <c r="B15" s="904" t="s">
        <v>600</v>
      </c>
      <c r="C15" s="904"/>
      <c r="D15" s="904"/>
      <c r="E15" s="904" t="s">
        <v>168</v>
      </c>
      <c r="F15" s="905"/>
      <c r="G15" s="371">
        <v>10</v>
      </c>
      <c r="H15" s="371">
        <v>7</v>
      </c>
      <c r="I15" s="371">
        <v>7</v>
      </c>
      <c r="J15" s="371">
        <v>3</v>
      </c>
      <c r="K15" s="371">
        <v>7</v>
      </c>
      <c r="L15" s="209" t="s">
        <v>601</v>
      </c>
      <c r="M15" s="210">
        <v>6</v>
      </c>
      <c r="N15" s="210">
        <v>4</v>
      </c>
      <c r="O15" s="210">
        <v>4</v>
      </c>
      <c r="P15" s="210">
        <v>3</v>
      </c>
      <c r="Q15" s="210">
        <v>3</v>
      </c>
      <c r="R15" s="210">
        <v>2</v>
      </c>
      <c r="S15" s="210" t="s">
        <v>198</v>
      </c>
      <c r="T15" s="210" t="s">
        <v>198</v>
      </c>
      <c r="U15" s="210" t="s">
        <v>198</v>
      </c>
      <c r="V15" s="210" t="s">
        <v>198</v>
      </c>
    </row>
    <row r="16" spans="1:22" ht="30.75" customHeight="1" thickTop="1" thickBot="1">
      <c r="A16" s="229">
        <v>11</v>
      </c>
      <c r="B16" s="904" t="s">
        <v>76</v>
      </c>
      <c r="C16" s="904"/>
      <c r="D16" s="904"/>
      <c r="E16" s="904" t="s">
        <v>25</v>
      </c>
      <c r="F16" s="905"/>
      <c r="G16" s="218">
        <v>11</v>
      </c>
      <c r="H16" s="218">
        <v>8</v>
      </c>
      <c r="I16" s="218">
        <v>7</v>
      </c>
      <c r="J16" s="218">
        <v>3</v>
      </c>
      <c r="K16" s="218">
        <v>7</v>
      </c>
      <c r="L16" s="158" t="s">
        <v>602</v>
      </c>
      <c r="M16" s="151">
        <v>6</v>
      </c>
      <c r="N16" s="151">
        <v>5</v>
      </c>
      <c r="O16" s="151">
        <v>4</v>
      </c>
      <c r="P16" s="151">
        <v>4</v>
      </c>
      <c r="Q16" s="151">
        <v>3</v>
      </c>
      <c r="R16" s="151">
        <v>2</v>
      </c>
      <c r="S16" s="151">
        <v>1</v>
      </c>
      <c r="T16" s="151" t="s">
        <v>198</v>
      </c>
      <c r="U16" s="151" t="s">
        <v>198</v>
      </c>
      <c r="V16" s="151" t="s">
        <v>198</v>
      </c>
    </row>
    <row r="17" spans="1:22" ht="36" customHeight="1" thickTop="1" thickBot="1">
      <c r="A17" s="229">
        <v>12</v>
      </c>
      <c r="B17" s="904" t="s">
        <v>603</v>
      </c>
      <c r="C17" s="904"/>
      <c r="D17" s="904"/>
      <c r="E17" s="904" t="s">
        <v>499</v>
      </c>
      <c r="F17" s="905"/>
      <c r="G17" s="371">
        <v>12</v>
      </c>
      <c r="H17" s="371">
        <v>9</v>
      </c>
      <c r="I17" s="371">
        <v>8</v>
      </c>
      <c r="J17" s="371">
        <v>4</v>
      </c>
      <c r="K17" s="371">
        <v>8</v>
      </c>
      <c r="L17" s="209" t="s">
        <v>604</v>
      </c>
      <c r="M17" s="210">
        <v>6</v>
      </c>
      <c r="N17" s="210">
        <v>5</v>
      </c>
      <c r="O17" s="210">
        <v>4</v>
      </c>
      <c r="P17" s="210">
        <v>4</v>
      </c>
      <c r="Q17" s="210">
        <v>3</v>
      </c>
      <c r="R17" s="210">
        <v>3</v>
      </c>
      <c r="S17" s="210">
        <v>2</v>
      </c>
      <c r="T17" s="210" t="s">
        <v>198</v>
      </c>
      <c r="U17" s="210" t="s">
        <v>198</v>
      </c>
      <c r="V17" s="210" t="s">
        <v>198</v>
      </c>
    </row>
    <row r="18" spans="1:22" ht="30.75" customHeight="1" thickTop="1" thickBot="1">
      <c r="A18" s="229">
        <v>13</v>
      </c>
      <c r="B18" s="904" t="s">
        <v>533</v>
      </c>
      <c r="C18" s="904"/>
      <c r="D18" s="904"/>
      <c r="E18" s="904" t="s">
        <v>168</v>
      </c>
      <c r="F18" s="905"/>
      <c r="G18" s="218">
        <v>13</v>
      </c>
      <c r="H18" s="218">
        <v>9</v>
      </c>
      <c r="I18" s="218">
        <v>8</v>
      </c>
      <c r="J18" s="218">
        <v>4</v>
      </c>
      <c r="K18" s="218">
        <v>8</v>
      </c>
      <c r="L18" s="158" t="s">
        <v>605</v>
      </c>
      <c r="M18" s="151">
        <v>6</v>
      </c>
      <c r="N18" s="151">
        <v>5</v>
      </c>
      <c r="O18" s="151">
        <v>5</v>
      </c>
      <c r="P18" s="151">
        <v>4</v>
      </c>
      <c r="Q18" s="151">
        <v>4</v>
      </c>
      <c r="R18" s="151">
        <v>3</v>
      </c>
      <c r="S18" s="151">
        <v>2</v>
      </c>
      <c r="T18" s="151">
        <v>1</v>
      </c>
      <c r="U18" s="151" t="s">
        <v>198</v>
      </c>
      <c r="V18" s="151" t="s">
        <v>198</v>
      </c>
    </row>
    <row r="19" spans="1:22" ht="28.5" customHeight="1" thickTop="1" thickBot="1">
      <c r="G19" s="371">
        <v>14</v>
      </c>
      <c r="H19" s="371">
        <v>10</v>
      </c>
      <c r="I19" s="371">
        <v>9</v>
      </c>
      <c r="J19" s="371">
        <v>4</v>
      </c>
      <c r="K19" s="371">
        <v>9</v>
      </c>
      <c r="L19" s="209" t="s">
        <v>606</v>
      </c>
      <c r="M19" s="210">
        <v>6</v>
      </c>
      <c r="N19" s="210">
        <v>5</v>
      </c>
      <c r="O19" s="210">
        <v>5</v>
      </c>
      <c r="P19" s="210">
        <v>4</v>
      </c>
      <c r="Q19" s="210">
        <v>4</v>
      </c>
      <c r="R19" s="210">
        <v>3</v>
      </c>
      <c r="S19" s="210">
        <v>3</v>
      </c>
      <c r="T19" s="210">
        <v>2</v>
      </c>
      <c r="U19" s="210" t="s">
        <v>198</v>
      </c>
      <c r="V19" s="210" t="s">
        <v>198</v>
      </c>
    </row>
    <row r="20" spans="1:22" ht="28.5" customHeight="1" thickTop="1" thickBot="1">
      <c r="G20" s="218">
        <v>15</v>
      </c>
      <c r="H20" s="218">
        <v>11</v>
      </c>
      <c r="I20" s="218">
        <v>9</v>
      </c>
      <c r="J20" s="218">
        <v>5</v>
      </c>
      <c r="K20" s="218">
        <v>9</v>
      </c>
      <c r="L20" s="158" t="s">
        <v>607</v>
      </c>
      <c r="M20" s="151">
        <v>6</v>
      </c>
      <c r="N20" s="151">
        <v>5</v>
      </c>
      <c r="O20" s="151">
        <v>5</v>
      </c>
      <c r="P20" s="151">
        <v>4</v>
      </c>
      <c r="Q20" s="151">
        <v>4</v>
      </c>
      <c r="R20" s="151">
        <v>4</v>
      </c>
      <c r="S20" s="151">
        <v>3</v>
      </c>
      <c r="T20" s="151">
        <v>2</v>
      </c>
      <c r="U20" s="151">
        <v>1</v>
      </c>
      <c r="V20" s="151" t="s">
        <v>198</v>
      </c>
    </row>
    <row r="21" spans="1:22" ht="28.5" customHeight="1" thickTop="1" thickBot="1">
      <c r="G21" s="371">
        <v>16</v>
      </c>
      <c r="H21" s="371">
        <v>12</v>
      </c>
      <c r="I21" s="371">
        <v>10</v>
      </c>
      <c r="J21" s="371">
        <v>5</v>
      </c>
      <c r="K21" s="371">
        <v>10</v>
      </c>
      <c r="L21" s="209" t="s">
        <v>608</v>
      </c>
      <c r="M21" s="210">
        <v>6</v>
      </c>
      <c r="N21" s="210">
        <v>5</v>
      </c>
      <c r="O21" s="210">
        <v>5</v>
      </c>
      <c r="P21" s="210">
        <v>5</v>
      </c>
      <c r="Q21" s="210">
        <v>4</v>
      </c>
      <c r="R21" s="210">
        <v>4</v>
      </c>
      <c r="S21" s="210">
        <v>3</v>
      </c>
      <c r="T21" s="210">
        <v>3</v>
      </c>
      <c r="U21" s="210">
        <v>2</v>
      </c>
      <c r="V21" s="210" t="s">
        <v>198</v>
      </c>
    </row>
    <row r="22" spans="1:22" ht="28.5" customHeight="1" thickTop="1" thickBot="1">
      <c r="G22" s="218">
        <v>17</v>
      </c>
      <c r="H22" s="218">
        <v>12</v>
      </c>
      <c r="I22" s="218">
        <v>10</v>
      </c>
      <c r="J22" s="218">
        <v>5</v>
      </c>
      <c r="K22" s="218">
        <v>10</v>
      </c>
      <c r="L22" s="158"/>
      <c r="M22" s="151">
        <v>6</v>
      </c>
      <c r="N22" s="151">
        <v>5</v>
      </c>
      <c r="O22" s="151">
        <v>5</v>
      </c>
      <c r="P22" s="151">
        <v>5</v>
      </c>
      <c r="Q22" s="151">
        <v>5</v>
      </c>
      <c r="R22" s="151">
        <v>4</v>
      </c>
      <c r="S22" s="151">
        <v>4</v>
      </c>
      <c r="T22" s="151">
        <v>3</v>
      </c>
      <c r="U22" s="151">
        <v>2</v>
      </c>
      <c r="V22" s="151">
        <v>1</v>
      </c>
    </row>
    <row r="23" spans="1:22" ht="28.5" customHeight="1" thickTop="1" thickBot="1">
      <c r="G23" s="371">
        <v>18</v>
      </c>
      <c r="H23" s="371">
        <v>13</v>
      </c>
      <c r="I23" s="371">
        <v>11</v>
      </c>
      <c r="J23" s="371">
        <v>6</v>
      </c>
      <c r="K23" s="371">
        <v>11</v>
      </c>
      <c r="L23" s="209" t="s">
        <v>609</v>
      </c>
      <c r="M23" s="210">
        <v>6</v>
      </c>
      <c r="N23" s="210">
        <v>5</v>
      </c>
      <c r="O23" s="210">
        <v>5</v>
      </c>
      <c r="P23" s="210">
        <v>5</v>
      </c>
      <c r="Q23" s="210">
        <v>5</v>
      </c>
      <c r="R23" s="210">
        <v>4</v>
      </c>
      <c r="S23" s="210">
        <v>4</v>
      </c>
      <c r="T23" s="210">
        <v>3</v>
      </c>
      <c r="U23" s="210">
        <v>3</v>
      </c>
      <c r="V23" s="210">
        <v>2</v>
      </c>
    </row>
    <row r="24" spans="1:22" ht="28.5" customHeight="1" thickTop="1" thickBot="1">
      <c r="G24" s="218">
        <v>19</v>
      </c>
      <c r="H24" s="218">
        <v>14</v>
      </c>
      <c r="I24" s="218">
        <v>11</v>
      </c>
      <c r="J24" s="218">
        <v>6</v>
      </c>
      <c r="K24" s="218">
        <v>11</v>
      </c>
      <c r="L24" s="158"/>
      <c r="M24" s="151">
        <v>6</v>
      </c>
      <c r="N24" s="151">
        <v>5</v>
      </c>
      <c r="O24" s="151">
        <v>5</v>
      </c>
      <c r="P24" s="151">
        <v>5</v>
      </c>
      <c r="Q24" s="151">
        <v>5</v>
      </c>
      <c r="R24" s="151">
        <v>5</v>
      </c>
      <c r="S24" s="151">
        <v>4</v>
      </c>
      <c r="T24" s="151">
        <v>4</v>
      </c>
      <c r="U24" s="151">
        <v>3</v>
      </c>
      <c r="V24" s="151">
        <v>3</v>
      </c>
    </row>
    <row r="25" spans="1:22" ht="28.5" customHeight="1" thickTop="1" thickBot="1">
      <c r="G25" s="371">
        <v>20</v>
      </c>
      <c r="H25" s="371">
        <v>15</v>
      </c>
      <c r="I25" s="371">
        <v>12</v>
      </c>
      <c r="J25" s="371">
        <v>6</v>
      </c>
      <c r="K25" s="371">
        <v>12</v>
      </c>
      <c r="L25" s="209" t="s">
        <v>610</v>
      </c>
      <c r="M25" s="210">
        <v>6</v>
      </c>
      <c r="N25" s="210">
        <v>5</v>
      </c>
      <c r="O25" s="210">
        <v>5</v>
      </c>
      <c r="P25" s="210">
        <v>5</v>
      </c>
      <c r="Q25" s="210">
        <v>5</v>
      </c>
      <c r="R25" s="210">
        <v>5</v>
      </c>
      <c r="S25" s="210">
        <v>4</v>
      </c>
      <c r="T25" s="210">
        <v>4</v>
      </c>
      <c r="U25" s="210">
        <v>4</v>
      </c>
      <c r="V25" s="210">
        <v>4</v>
      </c>
    </row>
    <row r="26" spans="1:22" ht="15.75" thickTop="1">
      <c r="G26" s="897" t="s">
        <v>611</v>
      </c>
      <c r="H26" s="897"/>
      <c r="I26" s="897"/>
      <c r="J26" s="897"/>
      <c r="K26" s="897"/>
      <c r="L26" s="897"/>
    </row>
    <row r="27" spans="1:22">
      <c r="G27" s="898"/>
      <c r="H27" s="898"/>
      <c r="I27" s="898"/>
      <c r="J27" s="898"/>
      <c r="K27" s="898"/>
      <c r="L27" s="898"/>
    </row>
    <row r="28" spans="1:22" ht="45" customHeight="1">
      <c r="G28" s="235" t="s">
        <v>612</v>
      </c>
      <c r="H28" s="235" t="s">
        <v>613</v>
      </c>
      <c r="I28" s="235" t="s">
        <v>614</v>
      </c>
      <c r="J28" s="235" t="s">
        <v>615</v>
      </c>
      <c r="K28" s="235" t="s">
        <v>616</v>
      </c>
      <c r="L28" s="235" t="s">
        <v>472</v>
      </c>
    </row>
    <row r="29" spans="1:22" ht="24" customHeight="1">
      <c r="G29" s="236" t="s">
        <v>617</v>
      </c>
      <c r="H29" s="236">
        <v>0</v>
      </c>
      <c r="I29" s="236">
        <v>0</v>
      </c>
      <c r="J29" s="236">
        <v>0</v>
      </c>
      <c r="K29" s="236">
        <v>1</v>
      </c>
      <c r="L29" s="236" t="s">
        <v>618</v>
      </c>
    </row>
    <row r="30" spans="1:22" ht="24" customHeight="1">
      <c r="G30" s="235" t="s">
        <v>619</v>
      </c>
      <c r="H30" s="235">
        <v>2</v>
      </c>
      <c r="I30" s="235">
        <v>2</v>
      </c>
      <c r="J30" s="235">
        <v>1</v>
      </c>
      <c r="K30" s="235">
        <v>2</v>
      </c>
      <c r="L30" s="235" t="s">
        <v>548</v>
      </c>
    </row>
    <row r="31" spans="1:22" ht="24" customHeight="1">
      <c r="G31" s="236" t="s">
        <v>620</v>
      </c>
      <c r="H31" s="236">
        <v>4</v>
      </c>
      <c r="I31" s="236">
        <v>4</v>
      </c>
      <c r="J31" s="236">
        <v>2</v>
      </c>
      <c r="K31" s="236">
        <v>3</v>
      </c>
      <c r="L31" s="236" t="s">
        <v>621</v>
      </c>
    </row>
    <row r="32" spans="1:22" ht="24" customHeight="1">
      <c r="G32" s="235" t="s">
        <v>622</v>
      </c>
      <c r="H32" s="235">
        <v>6</v>
      </c>
      <c r="I32" s="235">
        <v>6</v>
      </c>
      <c r="J32" s="235">
        <v>3</v>
      </c>
      <c r="K32" s="235">
        <v>4</v>
      </c>
      <c r="L32" s="235" t="s">
        <v>623</v>
      </c>
    </row>
    <row r="33" spans="7:12" ht="24" customHeight="1">
      <c r="G33" s="236" t="s">
        <v>624</v>
      </c>
      <c r="H33" s="236">
        <v>8</v>
      </c>
      <c r="I33" s="236">
        <v>8</v>
      </c>
      <c r="J33" s="236">
        <v>4</v>
      </c>
      <c r="K33" s="236">
        <v>5</v>
      </c>
      <c r="L33" s="236"/>
    </row>
    <row r="34" spans="7:12" ht="24" customHeight="1">
      <c r="G34" s="235" t="s">
        <v>625</v>
      </c>
      <c r="H34" s="235">
        <v>10</v>
      </c>
      <c r="I34" s="235">
        <v>10</v>
      </c>
      <c r="J34" s="235">
        <v>5</v>
      </c>
      <c r="K34" s="235">
        <v>6</v>
      </c>
      <c r="L34" s="235" t="s">
        <v>626</v>
      </c>
    </row>
    <row r="35" spans="7:12" ht="24" customHeight="1">
      <c r="G35" s="236" t="s">
        <v>627</v>
      </c>
      <c r="H35" s="236">
        <v>12</v>
      </c>
      <c r="I35" s="236">
        <v>12</v>
      </c>
      <c r="J35" s="236">
        <v>6</v>
      </c>
      <c r="K35" s="236">
        <v>7</v>
      </c>
      <c r="L35" s="236"/>
    </row>
    <row r="36" spans="7:12">
      <c r="G36" s="142"/>
      <c r="H36" s="142"/>
      <c r="I36" s="142"/>
      <c r="J36" s="142"/>
      <c r="K36" s="142"/>
      <c r="L36" s="142"/>
    </row>
    <row r="37" spans="7:12">
      <c r="G37" s="142"/>
      <c r="H37" s="142"/>
      <c r="I37" s="142"/>
      <c r="J37" s="142"/>
      <c r="K37" s="142"/>
      <c r="L37" s="142"/>
    </row>
    <row r="38" spans="7:12">
      <c r="G38" s="142"/>
      <c r="H38" s="142"/>
      <c r="I38" s="142"/>
      <c r="J38" s="142"/>
      <c r="K38" s="142"/>
      <c r="L38" s="142"/>
    </row>
    <row r="39" spans="7:12">
      <c r="G39" s="142"/>
      <c r="H39" s="142"/>
      <c r="I39" s="142"/>
      <c r="J39" s="142"/>
      <c r="K39" s="142"/>
      <c r="L39" s="142"/>
    </row>
  </sheetData>
  <mergeCells count="37">
    <mergeCell ref="A1:F3"/>
    <mergeCell ref="G1:G2"/>
    <mergeCell ref="H1:H2"/>
    <mergeCell ref="G3:H4"/>
    <mergeCell ref="A4:F5"/>
    <mergeCell ref="B6:D6"/>
    <mergeCell ref="B7:D7"/>
    <mergeCell ref="B8:D8"/>
    <mergeCell ref="B9:D9"/>
    <mergeCell ref="B10:D10"/>
    <mergeCell ref="E18:F18"/>
    <mergeCell ref="B11:D11"/>
    <mergeCell ref="B12:D12"/>
    <mergeCell ref="B13:D13"/>
    <mergeCell ref="B14:D14"/>
    <mergeCell ref="B15:D15"/>
    <mergeCell ref="M3:V4"/>
    <mergeCell ref="B16:D16"/>
    <mergeCell ref="B17:D17"/>
    <mergeCell ref="B18:D18"/>
    <mergeCell ref="E6:F6"/>
    <mergeCell ref="E7:F7"/>
    <mergeCell ref="E8:F8"/>
    <mergeCell ref="E9:F9"/>
    <mergeCell ref="E10:F10"/>
    <mergeCell ref="E11:F11"/>
    <mergeCell ref="E12:F12"/>
    <mergeCell ref="E13:F13"/>
    <mergeCell ref="E14:F14"/>
    <mergeCell ref="E15:F15"/>
    <mergeCell ref="E16:F16"/>
    <mergeCell ref="E17:F17"/>
    <mergeCell ref="G26:L27"/>
    <mergeCell ref="I3:I5"/>
    <mergeCell ref="J3:J5"/>
    <mergeCell ref="K3:K5"/>
    <mergeCell ref="L3:L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97"/>
  <sheetViews>
    <sheetView showGridLines="0" topLeftCell="B1" workbookViewId="0">
      <selection activeCell="AA89" sqref="AA89"/>
    </sheetView>
  </sheetViews>
  <sheetFormatPr defaultRowHeight="15"/>
  <cols>
    <col min="12" max="12" width="28" customWidth="1"/>
    <col min="24" max="24" width="23" customWidth="1"/>
    <col min="25" max="25" width="24.42578125" customWidth="1"/>
    <col min="26" max="26" width="20" customWidth="1"/>
    <col min="27" max="27" width="33.28515625" customWidth="1"/>
    <col min="28" max="28" width="37.7109375" customWidth="1"/>
  </cols>
  <sheetData>
    <row r="1" spans="1:80" ht="16.5" thickTop="1" thickBot="1">
      <c r="A1" s="926" t="s">
        <v>189</v>
      </c>
      <c r="B1" s="926"/>
      <c r="C1" s="926"/>
      <c r="D1" s="926"/>
      <c r="E1" s="926"/>
      <c r="F1" s="926"/>
      <c r="G1" s="927" t="s">
        <v>26</v>
      </c>
      <c r="H1" s="928">
        <v>8</v>
      </c>
    </row>
    <row r="2" spans="1:80" ht="22.5" customHeight="1" thickTop="1" thickBot="1">
      <c r="A2" s="926"/>
      <c r="B2" s="926"/>
      <c r="C2" s="926"/>
      <c r="D2" s="926"/>
      <c r="E2" s="926"/>
      <c r="F2" s="926"/>
      <c r="G2" s="927"/>
      <c r="H2" s="928"/>
      <c r="CB2" s="157" t="s">
        <v>632</v>
      </c>
    </row>
    <row r="3" spans="1:80" ht="16.5" thickTop="1" thickBot="1">
      <c r="A3" s="926"/>
      <c r="B3" s="926"/>
      <c r="C3" s="926"/>
      <c r="D3" s="926"/>
      <c r="E3" s="926"/>
      <c r="F3" s="926"/>
      <c r="G3" s="923" t="s">
        <v>107</v>
      </c>
      <c r="H3" s="923"/>
      <c r="I3" s="922" t="s">
        <v>584</v>
      </c>
      <c r="J3" s="899" t="s">
        <v>585</v>
      </c>
      <c r="K3" s="899" t="s">
        <v>201</v>
      </c>
      <c r="L3" s="923" t="s">
        <v>472</v>
      </c>
      <c r="M3" s="924" t="s">
        <v>586</v>
      </c>
      <c r="N3" s="925"/>
      <c r="O3" s="925"/>
      <c r="P3" s="925"/>
      <c r="Q3" s="925"/>
      <c r="R3" s="925"/>
      <c r="S3" s="925"/>
      <c r="T3" s="925"/>
      <c r="U3" s="925"/>
      <c r="V3" s="925"/>
      <c r="X3" s="918" t="s">
        <v>1102</v>
      </c>
      <c r="Y3" s="919"/>
      <c r="Z3" s="919"/>
      <c r="AA3" s="919"/>
      <c r="AB3" s="919"/>
      <c r="CB3" s="155" t="s">
        <v>642</v>
      </c>
    </row>
    <row r="4" spans="1:80" ht="16.5" thickTop="1" thickBot="1">
      <c r="A4" s="839" t="s">
        <v>44</v>
      </c>
      <c r="B4" s="839"/>
      <c r="C4" s="839"/>
      <c r="D4" s="839"/>
      <c r="E4" s="839"/>
      <c r="F4" s="839"/>
      <c r="G4" s="923"/>
      <c r="H4" s="923"/>
      <c r="I4" s="922"/>
      <c r="J4" s="899"/>
      <c r="K4" s="899"/>
      <c r="L4" s="923"/>
      <c r="M4" s="925"/>
      <c r="N4" s="925"/>
      <c r="O4" s="925"/>
      <c r="P4" s="925"/>
      <c r="Q4" s="925"/>
      <c r="R4" s="925"/>
      <c r="S4" s="925"/>
      <c r="T4" s="925"/>
      <c r="U4" s="925"/>
      <c r="V4" s="925"/>
      <c r="X4" s="920"/>
      <c r="Y4" s="921"/>
      <c r="Z4" s="921"/>
      <c r="AA4" s="921"/>
      <c r="AB4" s="921"/>
      <c r="CB4" s="157" t="s">
        <v>651</v>
      </c>
    </row>
    <row r="5" spans="1:80" ht="20.25" thickTop="1" thickBot="1">
      <c r="A5" s="839"/>
      <c r="B5" s="839"/>
      <c r="C5" s="839"/>
      <c r="D5" s="839"/>
      <c r="E5" s="839"/>
      <c r="F5" s="839"/>
      <c r="G5" s="373" t="s">
        <v>470</v>
      </c>
      <c r="H5" s="373" t="s">
        <v>471</v>
      </c>
      <c r="I5" s="922"/>
      <c r="J5" s="899"/>
      <c r="K5" s="899"/>
      <c r="L5" s="923"/>
      <c r="M5" s="372">
        <v>0</v>
      </c>
      <c r="N5" s="372">
        <v>1</v>
      </c>
      <c r="O5" s="372">
        <v>2</v>
      </c>
      <c r="P5" s="372">
        <v>3</v>
      </c>
      <c r="Q5" s="372">
        <v>4</v>
      </c>
      <c r="R5" s="372">
        <v>5</v>
      </c>
      <c r="S5" s="372">
        <v>6</v>
      </c>
      <c r="T5" s="372">
        <v>7</v>
      </c>
      <c r="U5" s="372">
        <v>8</v>
      </c>
      <c r="V5" s="372">
        <v>9</v>
      </c>
      <c r="X5" s="910" t="s">
        <v>628</v>
      </c>
      <c r="Y5" s="911"/>
      <c r="Z5" s="156" t="s">
        <v>629</v>
      </c>
      <c r="AA5" s="156" t="s">
        <v>630</v>
      </c>
      <c r="AB5" s="156" t="s">
        <v>631</v>
      </c>
      <c r="CB5" s="157" t="s">
        <v>659</v>
      </c>
    </row>
    <row r="6" spans="1:80" ht="24.75" customHeight="1" thickTop="1" thickBot="1">
      <c r="A6" s="229">
        <v>1</v>
      </c>
      <c r="B6" s="904" t="s">
        <v>64</v>
      </c>
      <c r="C6" s="904"/>
      <c r="D6" s="904"/>
      <c r="E6" s="904" t="s">
        <v>588</v>
      </c>
      <c r="F6" s="904"/>
      <c r="G6" s="220">
        <v>1</v>
      </c>
      <c r="H6" s="220">
        <v>0</v>
      </c>
      <c r="I6" s="218">
        <v>2</v>
      </c>
      <c r="J6" s="218">
        <v>0</v>
      </c>
      <c r="K6" s="218">
        <v>2</v>
      </c>
      <c r="L6" s="218" t="s">
        <v>637</v>
      </c>
      <c r="M6" s="151">
        <v>3</v>
      </c>
      <c r="N6" s="151" t="s">
        <v>638</v>
      </c>
      <c r="O6" s="151" t="s">
        <v>198</v>
      </c>
      <c r="P6" s="151" t="s">
        <v>198</v>
      </c>
      <c r="Q6" s="151" t="s">
        <v>198</v>
      </c>
      <c r="R6" s="151" t="s">
        <v>198</v>
      </c>
      <c r="S6" s="151" t="s">
        <v>198</v>
      </c>
      <c r="T6" s="151" t="s">
        <v>198</v>
      </c>
      <c r="U6" s="151" t="s">
        <v>198</v>
      </c>
      <c r="V6" s="151" t="s">
        <v>198</v>
      </c>
      <c r="X6" s="157" t="s">
        <v>935</v>
      </c>
      <c r="Y6" s="157" t="s">
        <v>936</v>
      </c>
      <c r="Z6" s="157" t="s">
        <v>632</v>
      </c>
      <c r="AA6" s="157" t="s">
        <v>633</v>
      </c>
      <c r="AB6" s="157" t="s">
        <v>634</v>
      </c>
      <c r="CB6" s="157" t="s">
        <v>664</v>
      </c>
    </row>
    <row r="7" spans="1:80" ht="20.25" thickTop="1" thickBot="1">
      <c r="A7" s="229">
        <v>2</v>
      </c>
      <c r="B7" s="904" t="s">
        <v>479</v>
      </c>
      <c r="C7" s="904"/>
      <c r="D7" s="904"/>
      <c r="E7" s="904" t="s">
        <v>507</v>
      </c>
      <c r="F7" s="904"/>
      <c r="G7" s="371">
        <v>2</v>
      </c>
      <c r="H7" s="371">
        <v>1</v>
      </c>
      <c r="I7" s="371">
        <v>3</v>
      </c>
      <c r="J7" s="371">
        <v>0</v>
      </c>
      <c r="K7" s="371">
        <v>3</v>
      </c>
      <c r="L7" s="371"/>
      <c r="M7" s="210">
        <v>4</v>
      </c>
      <c r="N7" s="210" t="s">
        <v>641</v>
      </c>
      <c r="O7" s="210" t="s">
        <v>198</v>
      </c>
      <c r="P7" s="210" t="s">
        <v>198</v>
      </c>
      <c r="Q7" s="210" t="s">
        <v>198</v>
      </c>
      <c r="R7" s="210" t="s">
        <v>198</v>
      </c>
      <c r="S7" s="210" t="s">
        <v>198</v>
      </c>
      <c r="T7" s="210" t="s">
        <v>198</v>
      </c>
      <c r="U7" s="210" t="s">
        <v>198</v>
      </c>
      <c r="V7" s="210" t="s">
        <v>198</v>
      </c>
      <c r="X7" s="155" t="s">
        <v>937</v>
      </c>
      <c r="Y7" s="155" t="s">
        <v>938</v>
      </c>
      <c r="Z7" s="155" t="s">
        <v>632</v>
      </c>
      <c r="AA7" s="155" t="s">
        <v>635</v>
      </c>
      <c r="AB7" s="155" t="s">
        <v>636</v>
      </c>
      <c r="CB7" s="155" t="s">
        <v>672</v>
      </c>
    </row>
    <row r="8" spans="1:80" ht="31.5" customHeight="1" thickTop="1" thickBot="1">
      <c r="A8" s="229">
        <v>3</v>
      </c>
      <c r="B8" s="904" t="s">
        <v>57</v>
      </c>
      <c r="C8" s="904"/>
      <c r="D8" s="904"/>
      <c r="E8" s="904" t="s">
        <v>499</v>
      </c>
      <c r="F8" s="904"/>
      <c r="G8" s="218">
        <v>3</v>
      </c>
      <c r="H8" s="218">
        <v>2</v>
      </c>
      <c r="I8" s="218">
        <v>3</v>
      </c>
      <c r="J8" s="218">
        <v>1</v>
      </c>
      <c r="K8" s="218">
        <v>3</v>
      </c>
      <c r="L8" s="218"/>
      <c r="M8" s="151">
        <v>4</v>
      </c>
      <c r="N8" s="151" t="s">
        <v>641</v>
      </c>
      <c r="O8" s="151" t="s">
        <v>638</v>
      </c>
      <c r="P8" s="151" t="s">
        <v>198</v>
      </c>
      <c r="Q8" s="151" t="s">
        <v>198</v>
      </c>
      <c r="R8" s="151" t="s">
        <v>198</v>
      </c>
      <c r="S8" s="151" t="s">
        <v>198</v>
      </c>
      <c r="T8" s="151" t="s">
        <v>198</v>
      </c>
      <c r="U8" s="151" t="s">
        <v>198</v>
      </c>
      <c r="V8" s="151" t="s">
        <v>198</v>
      </c>
      <c r="X8" s="157" t="s">
        <v>939</v>
      </c>
      <c r="Y8" s="157" t="s">
        <v>940</v>
      </c>
      <c r="Z8" s="157" t="s">
        <v>632</v>
      </c>
      <c r="AA8" s="157" t="s">
        <v>639</v>
      </c>
      <c r="AB8" s="157" t="s">
        <v>640</v>
      </c>
      <c r="CB8" s="157" t="s">
        <v>675</v>
      </c>
    </row>
    <row r="9" spans="1:80" ht="28.5" customHeight="1" thickTop="1" thickBot="1">
      <c r="A9" s="229">
        <v>4</v>
      </c>
      <c r="B9" s="904" t="s">
        <v>68</v>
      </c>
      <c r="C9" s="904"/>
      <c r="D9" s="904"/>
      <c r="E9" s="904" t="s">
        <v>168</v>
      </c>
      <c r="F9" s="904"/>
      <c r="G9" s="371">
        <v>4</v>
      </c>
      <c r="H9" s="371">
        <v>3</v>
      </c>
      <c r="I9" s="371">
        <v>4</v>
      </c>
      <c r="J9" s="371">
        <v>1</v>
      </c>
      <c r="K9" s="371">
        <v>4</v>
      </c>
      <c r="L9" s="371"/>
      <c r="M9" s="210">
        <v>5</v>
      </c>
      <c r="N9" s="210" t="s">
        <v>647</v>
      </c>
      <c r="O9" s="210" t="s">
        <v>641</v>
      </c>
      <c r="P9" s="210" t="s">
        <v>198</v>
      </c>
      <c r="Q9" s="210" t="s">
        <v>198</v>
      </c>
      <c r="R9" s="210" t="s">
        <v>198</v>
      </c>
      <c r="S9" s="210" t="s">
        <v>198</v>
      </c>
      <c r="T9" s="210" t="s">
        <v>198</v>
      </c>
      <c r="U9" s="210" t="s">
        <v>198</v>
      </c>
      <c r="V9" s="210" t="s">
        <v>198</v>
      </c>
      <c r="X9" s="155" t="s">
        <v>941</v>
      </c>
      <c r="Y9" s="155" t="s">
        <v>942</v>
      </c>
      <c r="Z9" s="155" t="s">
        <v>642</v>
      </c>
      <c r="AA9" s="155" t="s">
        <v>643</v>
      </c>
      <c r="AB9" s="155" t="s">
        <v>644</v>
      </c>
      <c r="CB9" s="155" t="s">
        <v>678</v>
      </c>
    </row>
    <row r="10" spans="1:80" ht="24.75" customHeight="1" thickTop="1" thickBot="1">
      <c r="A10" s="229">
        <v>5</v>
      </c>
      <c r="B10" s="904" t="s">
        <v>650</v>
      </c>
      <c r="C10" s="904"/>
      <c r="D10" s="904"/>
      <c r="E10" s="904" t="s">
        <v>507</v>
      </c>
      <c r="F10" s="904"/>
      <c r="G10" s="215">
        <v>5</v>
      </c>
      <c r="H10" s="218">
        <v>3</v>
      </c>
      <c r="I10" s="218">
        <v>4</v>
      </c>
      <c r="J10" s="218">
        <v>1</v>
      </c>
      <c r="K10" s="218">
        <v>4</v>
      </c>
      <c r="L10" s="218"/>
      <c r="M10" s="151">
        <v>5</v>
      </c>
      <c r="N10" s="151" t="s">
        <v>647</v>
      </c>
      <c r="O10" s="151" t="s">
        <v>641</v>
      </c>
      <c r="P10" s="151" t="s">
        <v>638</v>
      </c>
      <c r="Q10" s="151" t="s">
        <v>198</v>
      </c>
      <c r="R10" s="151" t="s">
        <v>198</v>
      </c>
      <c r="S10" s="151" t="s">
        <v>198</v>
      </c>
      <c r="T10" s="151" t="s">
        <v>198</v>
      </c>
      <c r="U10" s="151" t="s">
        <v>198</v>
      </c>
      <c r="V10" s="151" t="s">
        <v>198</v>
      </c>
      <c r="X10" s="157" t="s">
        <v>943</v>
      </c>
      <c r="Y10" s="157" t="s">
        <v>944</v>
      </c>
      <c r="Z10" s="157" t="s">
        <v>642</v>
      </c>
      <c r="AA10" s="157" t="s">
        <v>645</v>
      </c>
      <c r="AB10" s="157" t="s">
        <v>646</v>
      </c>
      <c r="CB10" s="155" t="s">
        <v>683</v>
      </c>
    </row>
    <row r="11" spans="1:80" ht="24" customHeight="1" thickTop="1" thickBot="1">
      <c r="A11" s="229">
        <v>6</v>
      </c>
      <c r="B11" s="904" t="s">
        <v>654</v>
      </c>
      <c r="C11" s="904"/>
      <c r="D11" s="904"/>
      <c r="E11" s="904" t="s">
        <v>507</v>
      </c>
      <c r="F11" s="904"/>
      <c r="G11" s="371">
        <v>6</v>
      </c>
      <c r="H11" s="371">
        <v>4</v>
      </c>
      <c r="I11" s="371">
        <v>5</v>
      </c>
      <c r="J11" s="371">
        <v>2</v>
      </c>
      <c r="K11" s="371">
        <v>5</v>
      </c>
      <c r="L11" s="371"/>
      <c r="M11" s="210">
        <v>5</v>
      </c>
      <c r="N11" s="210" t="s">
        <v>647</v>
      </c>
      <c r="O11" s="210" t="s">
        <v>647</v>
      </c>
      <c r="P11" s="210" t="s">
        <v>641</v>
      </c>
      <c r="Q11" s="210" t="s">
        <v>198</v>
      </c>
      <c r="R11" s="210" t="s">
        <v>198</v>
      </c>
      <c r="S11" s="210" t="s">
        <v>198</v>
      </c>
      <c r="T11" s="210" t="s">
        <v>198</v>
      </c>
      <c r="U11" s="210" t="s">
        <v>198</v>
      </c>
      <c r="V11" s="210" t="s">
        <v>198</v>
      </c>
      <c r="X11" s="155" t="s">
        <v>945</v>
      </c>
      <c r="Y11" s="155" t="s">
        <v>946</v>
      </c>
      <c r="Z11" s="155" t="s">
        <v>642</v>
      </c>
      <c r="AA11" s="155" t="s">
        <v>648</v>
      </c>
      <c r="AB11" s="155" t="s">
        <v>649</v>
      </c>
    </row>
    <row r="12" spans="1:80" ht="24" customHeight="1" thickTop="1" thickBot="1">
      <c r="A12" s="229">
        <v>7</v>
      </c>
      <c r="B12" s="904" t="s">
        <v>657</v>
      </c>
      <c r="C12" s="904"/>
      <c r="D12" s="904"/>
      <c r="E12" s="904" t="s">
        <v>507</v>
      </c>
      <c r="F12" s="904"/>
      <c r="G12" s="218">
        <v>7</v>
      </c>
      <c r="H12" s="218">
        <v>5</v>
      </c>
      <c r="I12" s="218">
        <v>5</v>
      </c>
      <c r="J12" s="218">
        <v>2</v>
      </c>
      <c r="K12" s="218">
        <v>5</v>
      </c>
      <c r="L12" s="218"/>
      <c r="M12" s="151">
        <v>6</v>
      </c>
      <c r="N12" s="151" t="s">
        <v>658</v>
      </c>
      <c r="O12" s="151" t="s">
        <v>647</v>
      </c>
      <c r="P12" s="151" t="s">
        <v>641</v>
      </c>
      <c r="Q12" s="151" t="s">
        <v>638</v>
      </c>
      <c r="R12" s="151" t="s">
        <v>198</v>
      </c>
      <c r="S12" s="151" t="s">
        <v>198</v>
      </c>
      <c r="T12" s="151" t="s">
        <v>198</v>
      </c>
      <c r="U12" s="151" t="s">
        <v>198</v>
      </c>
      <c r="V12" s="151" t="s">
        <v>198</v>
      </c>
      <c r="X12" s="157" t="s">
        <v>947</v>
      </c>
      <c r="Y12" s="157" t="s">
        <v>948</v>
      </c>
      <c r="Z12" s="157" t="s">
        <v>651</v>
      </c>
      <c r="AA12" s="157" t="s">
        <v>652</v>
      </c>
      <c r="AB12" s="157" t="s">
        <v>653</v>
      </c>
    </row>
    <row r="13" spans="1:80" ht="25.5" customHeight="1" thickTop="1" thickBot="1">
      <c r="A13" s="229">
        <v>8</v>
      </c>
      <c r="B13" s="904" t="s">
        <v>479</v>
      </c>
      <c r="C13" s="904"/>
      <c r="D13" s="904"/>
      <c r="E13" s="904" t="s">
        <v>507</v>
      </c>
      <c r="F13" s="904"/>
      <c r="G13" s="371">
        <v>8</v>
      </c>
      <c r="H13" s="371">
        <v>6</v>
      </c>
      <c r="I13" s="371">
        <v>6</v>
      </c>
      <c r="J13" s="371">
        <v>2</v>
      </c>
      <c r="K13" s="371">
        <v>6</v>
      </c>
      <c r="L13" s="371"/>
      <c r="M13" s="210">
        <v>6</v>
      </c>
      <c r="N13" s="210" t="s">
        <v>658</v>
      </c>
      <c r="O13" s="210" t="s">
        <v>647</v>
      </c>
      <c r="P13" s="210" t="s">
        <v>647</v>
      </c>
      <c r="Q13" s="210" t="s">
        <v>641</v>
      </c>
      <c r="R13" s="210" t="s">
        <v>198</v>
      </c>
      <c r="S13" s="210" t="s">
        <v>198</v>
      </c>
      <c r="T13" s="210" t="s">
        <v>198</v>
      </c>
      <c r="U13" s="210" t="s">
        <v>198</v>
      </c>
      <c r="V13" s="210" t="s">
        <v>198</v>
      </c>
      <c r="X13" s="155" t="s">
        <v>949</v>
      </c>
      <c r="Y13" s="155" t="s">
        <v>950</v>
      </c>
      <c r="Z13" s="155" t="s">
        <v>651</v>
      </c>
      <c r="AA13" s="155" t="s">
        <v>655</v>
      </c>
      <c r="AB13" s="155" t="s">
        <v>656</v>
      </c>
    </row>
    <row r="14" spans="1:80" ht="27.75" customHeight="1" thickTop="1" thickBot="1">
      <c r="A14" s="229">
        <v>9</v>
      </c>
      <c r="B14" s="904" t="s">
        <v>600</v>
      </c>
      <c r="C14" s="904"/>
      <c r="D14" s="904"/>
      <c r="E14" s="904" t="s">
        <v>168</v>
      </c>
      <c r="F14" s="904"/>
      <c r="G14" s="218">
        <v>9</v>
      </c>
      <c r="H14" s="218">
        <v>6</v>
      </c>
      <c r="I14" s="218">
        <v>6</v>
      </c>
      <c r="J14" s="218">
        <v>3</v>
      </c>
      <c r="K14" s="218">
        <v>6</v>
      </c>
      <c r="L14" s="218"/>
      <c r="M14" s="151">
        <v>6</v>
      </c>
      <c r="N14" s="151" t="s">
        <v>658</v>
      </c>
      <c r="O14" s="151" t="s">
        <v>658</v>
      </c>
      <c r="P14" s="151" t="s">
        <v>647</v>
      </c>
      <c r="Q14" s="151" t="s">
        <v>641</v>
      </c>
      <c r="R14" s="151" t="s">
        <v>638</v>
      </c>
      <c r="S14" s="151" t="s">
        <v>198</v>
      </c>
      <c r="T14" s="151" t="s">
        <v>198</v>
      </c>
      <c r="U14" s="151" t="s">
        <v>198</v>
      </c>
      <c r="V14" s="151" t="s">
        <v>198</v>
      </c>
      <c r="X14" s="157" t="s">
        <v>951</v>
      </c>
      <c r="Y14" s="157" t="s">
        <v>972</v>
      </c>
      <c r="Z14" s="157" t="s">
        <v>659</v>
      </c>
      <c r="AA14" s="157" t="s">
        <v>660</v>
      </c>
      <c r="AB14" s="157" t="s">
        <v>661</v>
      </c>
    </row>
    <row r="15" spans="1:80" ht="22.5" customHeight="1" thickTop="1" thickBot="1">
      <c r="A15" s="229">
        <v>10</v>
      </c>
      <c r="B15" s="904" t="s">
        <v>594</v>
      </c>
      <c r="C15" s="904"/>
      <c r="D15" s="904"/>
      <c r="E15" s="904" t="s">
        <v>507</v>
      </c>
      <c r="F15" s="904"/>
      <c r="G15" s="371">
        <v>10</v>
      </c>
      <c r="H15" s="371">
        <v>7</v>
      </c>
      <c r="I15" s="371">
        <v>7</v>
      </c>
      <c r="J15" s="371">
        <v>3</v>
      </c>
      <c r="K15" s="371">
        <v>7</v>
      </c>
      <c r="L15" s="371"/>
      <c r="M15" s="210">
        <v>6</v>
      </c>
      <c r="N15" s="210" t="s">
        <v>658</v>
      </c>
      <c r="O15" s="210" t="s">
        <v>658</v>
      </c>
      <c r="P15" s="210" t="s">
        <v>647</v>
      </c>
      <c r="Q15" s="210" t="s">
        <v>647</v>
      </c>
      <c r="R15" s="210" t="s">
        <v>641</v>
      </c>
      <c r="S15" s="210" t="s">
        <v>198</v>
      </c>
      <c r="T15" s="210" t="s">
        <v>198</v>
      </c>
      <c r="U15" s="210" t="s">
        <v>198</v>
      </c>
      <c r="V15" s="210" t="s">
        <v>198</v>
      </c>
      <c r="X15" s="155" t="s">
        <v>952</v>
      </c>
      <c r="Y15" s="155" t="s">
        <v>953</v>
      </c>
      <c r="Z15" s="155" t="s">
        <v>659</v>
      </c>
      <c r="AA15" s="155" t="s">
        <v>662</v>
      </c>
      <c r="AB15" s="155" t="s">
        <v>663</v>
      </c>
    </row>
    <row r="16" spans="1:80" ht="20.25" thickTop="1" thickBot="1">
      <c r="G16" s="218">
        <v>11</v>
      </c>
      <c r="H16" s="218">
        <v>8</v>
      </c>
      <c r="I16" s="218">
        <v>7</v>
      </c>
      <c r="J16" s="218">
        <v>3</v>
      </c>
      <c r="K16" s="218">
        <v>7</v>
      </c>
      <c r="L16" s="218"/>
      <c r="M16" s="151">
        <v>6</v>
      </c>
      <c r="N16" s="151" t="s">
        <v>669</v>
      </c>
      <c r="O16" s="151" t="s">
        <v>658</v>
      </c>
      <c r="P16" s="151" t="s">
        <v>658</v>
      </c>
      <c r="Q16" s="151" t="s">
        <v>647</v>
      </c>
      <c r="R16" s="151" t="s">
        <v>641</v>
      </c>
      <c r="S16" s="151" t="s">
        <v>638</v>
      </c>
      <c r="T16" s="151" t="s">
        <v>198</v>
      </c>
      <c r="U16" s="151" t="s">
        <v>198</v>
      </c>
      <c r="V16" s="151" t="s">
        <v>198</v>
      </c>
      <c r="X16" s="157" t="s">
        <v>954</v>
      </c>
      <c r="Y16" s="157" t="s">
        <v>955</v>
      </c>
      <c r="Z16" s="157" t="s">
        <v>664</v>
      </c>
      <c r="AA16" s="157" t="s">
        <v>665</v>
      </c>
      <c r="AB16" s="157" t="s">
        <v>666</v>
      </c>
    </row>
    <row r="17" spans="7:28" ht="20.25" thickTop="1" thickBot="1">
      <c r="G17" s="371">
        <v>12</v>
      </c>
      <c r="H17" s="371">
        <v>9</v>
      </c>
      <c r="I17" s="371">
        <v>8</v>
      </c>
      <c r="J17" s="371">
        <v>4</v>
      </c>
      <c r="K17" s="371">
        <v>8</v>
      </c>
      <c r="L17" s="371"/>
      <c r="M17" s="210">
        <v>6</v>
      </c>
      <c r="N17" s="210" t="s">
        <v>669</v>
      </c>
      <c r="O17" s="210" t="s">
        <v>658</v>
      </c>
      <c r="P17" s="210" t="s">
        <v>658</v>
      </c>
      <c r="Q17" s="210" t="s">
        <v>647</v>
      </c>
      <c r="R17" s="210" t="s">
        <v>647</v>
      </c>
      <c r="S17" s="210" t="s">
        <v>641</v>
      </c>
      <c r="T17" s="210" t="s">
        <v>198</v>
      </c>
      <c r="U17" s="210" t="s">
        <v>198</v>
      </c>
      <c r="V17" s="210" t="s">
        <v>198</v>
      </c>
      <c r="X17" s="155" t="s">
        <v>956</v>
      </c>
      <c r="Y17" s="155" t="s">
        <v>957</v>
      </c>
      <c r="Z17" s="155" t="s">
        <v>664</v>
      </c>
      <c r="AA17" s="155" t="s">
        <v>667</v>
      </c>
      <c r="AB17" s="155" t="s">
        <v>668</v>
      </c>
    </row>
    <row r="18" spans="7:28" ht="31.5" thickTop="1" thickBot="1">
      <c r="G18" s="218">
        <v>13</v>
      </c>
      <c r="H18" s="218">
        <v>9</v>
      </c>
      <c r="I18" s="218">
        <v>8</v>
      </c>
      <c r="J18" s="218">
        <v>4</v>
      </c>
      <c r="K18" s="218">
        <v>8</v>
      </c>
      <c r="L18" s="218"/>
      <c r="M18" s="151">
        <v>6</v>
      </c>
      <c r="N18" s="151" t="s">
        <v>669</v>
      </c>
      <c r="O18" s="151" t="s">
        <v>669</v>
      </c>
      <c r="P18" s="151" t="s">
        <v>658</v>
      </c>
      <c r="Q18" s="151" t="s">
        <v>658</v>
      </c>
      <c r="R18" s="151" t="s">
        <v>647</v>
      </c>
      <c r="S18" s="151" t="s">
        <v>641</v>
      </c>
      <c r="T18" s="151" t="s">
        <v>638</v>
      </c>
      <c r="U18" s="151" t="s">
        <v>198</v>
      </c>
      <c r="V18" s="151" t="s">
        <v>198</v>
      </c>
      <c r="X18" s="157" t="s">
        <v>958</v>
      </c>
      <c r="Y18" s="157" t="s">
        <v>959</v>
      </c>
      <c r="Z18" s="157" t="s">
        <v>664</v>
      </c>
      <c r="AA18" s="157" t="s">
        <v>670</v>
      </c>
      <c r="AB18" s="157" t="s">
        <v>671</v>
      </c>
    </row>
    <row r="19" spans="7:28" ht="20.25" thickTop="1" thickBot="1">
      <c r="G19" s="371">
        <v>14</v>
      </c>
      <c r="H19" s="371">
        <v>10</v>
      </c>
      <c r="I19" s="371">
        <v>9</v>
      </c>
      <c r="J19" s="371">
        <v>4</v>
      </c>
      <c r="K19" s="371">
        <v>9</v>
      </c>
      <c r="L19" s="371"/>
      <c r="M19" s="210">
        <v>6</v>
      </c>
      <c r="N19" s="210" t="s">
        <v>669</v>
      </c>
      <c r="O19" s="210" t="s">
        <v>669</v>
      </c>
      <c r="P19" s="210" t="s">
        <v>658</v>
      </c>
      <c r="Q19" s="210" t="s">
        <v>658</v>
      </c>
      <c r="R19" s="210" t="s">
        <v>647</v>
      </c>
      <c r="S19" s="210" t="s">
        <v>647</v>
      </c>
      <c r="T19" s="210" t="s">
        <v>641</v>
      </c>
      <c r="U19" s="210" t="s">
        <v>198</v>
      </c>
      <c r="V19" s="210" t="s">
        <v>198</v>
      </c>
      <c r="X19" s="155" t="s">
        <v>960</v>
      </c>
      <c r="Y19" s="155" t="s">
        <v>961</v>
      </c>
      <c r="Z19" s="155" t="s">
        <v>672</v>
      </c>
      <c r="AA19" s="155" t="s">
        <v>673</v>
      </c>
      <c r="AB19" s="155" t="s">
        <v>674</v>
      </c>
    </row>
    <row r="20" spans="7:28" ht="20.25" thickTop="1" thickBot="1">
      <c r="G20" s="218">
        <v>15</v>
      </c>
      <c r="H20" s="218">
        <v>11</v>
      </c>
      <c r="I20" s="218">
        <v>9</v>
      </c>
      <c r="J20" s="218">
        <v>5</v>
      </c>
      <c r="K20" s="218">
        <v>9</v>
      </c>
      <c r="L20" s="218"/>
      <c r="M20" s="151">
        <v>6</v>
      </c>
      <c r="N20" s="151" t="s">
        <v>669</v>
      </c>
      <c r="O20" s="151" t="s">
        <v>669</v>
      </c>
      <c r="P20" s="151" t="s">
        <v>669</v>
      </c>
      <c r="Q20" s="151" t="s">
        <v>658</v>
      </c>
      <c r="R20" s="151" t="s">
        <v>658</v>
      </c>
      <c r="S20" s="151" t="s">
        <v>647</v>
      </c>
      <c r="T20" s="151" t="s">
        <v>641</v>
      </c>
      <c r="U20" s="151" t="s">
        <v>638</v>
      </c>
      <c r="V20" s="151" t="s">
        <v>198</v>
      </c>
      <c r="X20" s="157" t="s">
        <v>962</v>
      </c>
      <c r="Y20" s="157" t="s">
        <v>963</v>
      </c>
      <c r="Z20" s="157" t="s">
        <v>675</v>
      </c>
      <c r="AA20" s="157" t="s">
        <v>676</v>
      </c>
      <c r="AB20" s="157" t="s">
        <v>677</v>
      </c>
    </row>
    <row r="21" spans="7:28" ht="20.25" thickTop="1" thickBot="1">
      <c r="G21" s="371">
        <v>16</v>
      </c>
      <c r="H21" s="371">
        <v>12</v>
      </c>
      <c r="I21" s="371">
        <v>10</v>
      </c>
      <c r="J21" s="371">
        <v>5</v>
      </c>
      <c r="K21" s="371">
        <v>10</v>
      </c>
      <c r="L21" s="371"/>
      <c r="M21" s="210">
        <v>6</v>
      </c>
      <c r="N21" s="210" t="s">
        <v>669</v>
      </c>
      <c r="O21" s="210" t="s">
        <v>669</v>
      </c>
      <c r="P21" s="210" t="s">
        <v>669</v>
      </c>
      <c r="Q21" s="210" t="s">
        <v>658</v>
      </c>
      <c r="R21" s="210" t="s">
        <v>658</v>
      </c>
      <c r="S21" s="210" t="s">
        <v>647</v>
      </c>
      <c r="T21" s="210" t="s">
        <v>647</v>
      </c>
      <c r="U21" s="210" t="s">
        <v>641</v>
      </c>
      <c r="V21" s="210" t="s">
        <v>198</v>
      </c>
      <c r="X21" s="155" t="s">
        <v>964</v>
      </c>
      <c r="Y21" s="155" t="s">
        <v>965</v>
      </c>
      <c r="Z21" s="155" t="s">
        <v>678</v>
      </c>
      <c r="AA21" s="155" t="s">
        <v>679</v>
      </c>
      <c r="AB21" s="155" t="s">
        <v>680</v>
      </c>
    </row>
    <row r="22" spans="7:28" ht="20.25" thickTop="1" thickBot="1">
      <c r="G22" s="218">
        <v>17</v>
      </c>
      <c r="H22" s="218">
        <v>12</v>
      </c>
      <c r="I22" s="218">
        <v>10</v>
      </c>
      <c r="J22" s="218">
        <v>5</v>
      </c>
      <c r="K22" s="218">
        <v>10</v>
      </c>
      <c r="L22" s="218"/>
      <c r="M22" s="151">
        <v>6</v>
      </c>
      <c r="N22" s="151" t="s">
        <v>669</v>
      </c>
      <c r="O22" s="151" t="s">
        <v>669</v>
      </c>
      <c r="P22" s="151" t="s">
        <v>669</v>
      </c>
      <c r="Q22" s="151" t="s">
        <v>669</v>
      </c>
      <c r="R22" s="151" t="s">
        <v>658</v>
      </c>
      <c r="S22" s="151" t="s">
        <v>658</v>
      </c>
      <c r="T22" s="151" t="s">
        <v>647</v>
      </c>
      <c r="U22" s="151" t="s">
        <v>641</v>
      </c>
      <c r="V22" s="151" t="s">
        <v>638</v>
      </c>
      <c r="X22" s="157" t="s">
        <v>966</v>
      </c>
      <c r="Y22" s="157" t="s">
        <v>967</v>
      </c>
      <c r="Z22" s="157" t="s">
        <v>678</v>
      </c>
      <c r="AA22" s="157" t="s">
        <v>681</v>
      </c>
      <c r="AB22" s="157" t="s">
        <v>682</v>
      </c>
    </row>
    <row r="23" spans="7:28" ht="20.25" thickTop="1" thickBot="1">
      <c r="G23" s="371">
        <v>18</v>
      </c>
      <c r="H23" s="371">
        <v>13</v>
      </c>
      <c r="I23" s="371">
        <v>11</v>
      </c>
      <c r="J23" s="371">
        <v>6</v>
      </c>
      <c r="K23" s="371">
        <v>11</v>
      </c>
      <c r="L23" s="371"/>
      <c r="M23" s="210">
        <v>6</v>
      </c>
      <c r="N23" s="210" t="s">
        <v>669</v>
      </c>
      <c r="O23" s="210" t="s">
        <v>669</v>
      </c>
      <c r="P23" s="210" t="s">
        <v>669</v>
      </c>
      <c r="Q23" s="210" t="s">
        <v>669</v>
      </c>
      <c r="R23" s="210" t="s">
        <v>658</v>
      </c>
      <c r="S23" s="210" t="s">
        <v>658</v>
      </c>
      <c r="T23" s="210" t="s">
        <v>647</v>
      </c>
      <c r="U23" s="210" t="s">
        <v>647</v>
      </c>
      <c r="V23" s="210" t="s">
        <v>641</v>
      </c>
      <c r="X23" s="155" t="s">
        <v>968</v>
      </c>
      <c r="Y23" s="155" t="s">
        <v>969</v>
      </c>
      <c r="Z23" s="155" t="s">
        <v>683</v>
      </c>
      <c r="AA23" s="155" t="s">
        <v>684</v>
      </c>
      <c r="AB23" s="155" t="s">
        <v>685</v>
      </c>
    </row>
    <row r="24" spans="7:28" ht="20.25" thickTop="1" thickBot="1">
      <c r="G24" s="218">
        <v>19</v>
      </c>
      <c r="H24" s="218">
        <v>14</v>
      </c>
      <c r="I24" s="218">
        <v>11</v>
      </c>
      <c r="J24" s="218">
        <v>6</v>
      </c>
      <c r="K24" s="218">
        <v>11</v>
      </c>
      <c r="L24" s="218"/>
      <c r="M24" s="151">
        <v>6</v>
      </c>
      <c r="N24" s="151" t="s">
        <v>669</v>
      </c>
      <c r="O24" s="151" t="s">
        <v>669</v>
      </c>
      <c r="P24" s="151" t="s">
        <v>669</v>
      </c>
      <c r="Q24" s="151" t="s">
        <v>669</v>
      </c>
      <c r="R24" s="151" t="s">
        <v>669</v>
      </c>
      <c r="S24" s="151" t="s">
        <v>658</v>
      </c>
      <c r="T24" s="151" t="s">
        <v>658</v>
      </c>
      <c r="U24" s="151" t="s">
        <v>647</v>
      </c>
      <c r="V24" s="151" t="s">
        <v>647</v>
      </c>
      <c r="X24" s="157" t="s">
        <v>970</v>
      </c>
      <c r="Y24" s="157" t="s">
        <v>971</v>
      </c>
      <c r="Z24" s="157" t="s">
        <v>683</v>
      </c>
      <c r="AA24" s="157" t="s">
        <v>686</v>
      </c>
      <c r="AB24" s="157" t="s">
        <v>687</v>
      </c>
    </row>
    <row r="25" spans="7:28" ht="20.25" thickTop="1" thickBot="1">
      <c r="G25" s="371">
        <v>20</v>
      </c>
      <c r="H25" s="371">
        <v>15</v>
      </c>
      <c r="I25" s="371">
        <v>12</v>
      </c>
      <c r="J25" s="371">
        <v>6</v>
      </c>
      <c r="K25" s="371">
        <v>12</v>
      </c>
      <c r="L25" s="371"/>
      <c r="M25" s="210">
        <v>6</v>
      </c>
      <c r="N25" s="210" t="s">
        <v>669</v>
      </c>
      <c r="O25" s="210" t="s">
        <v>669</v>
      </c>
      <c r="P25" s="210" t="s">
        <v>669</v>
      </c>
      <c r="Q25" s="210" t="s">
        <v>669</v>
      </c>
      <c r="R25" s="210" t="s">
        <v>669</v>
      </c>
      <c r="S25" s="210" t="s">
        <v>658</v>
      </c>
      <c r="T25" s="210" t="s">
        <v>658</v>
      </c>
      <c r="U25" s="210" t="s">
        <v>658</v>
      </c>
      <c r="V25" s="210" t="s">
        <v>658</v>
      </c>
    </row>
    <row r="26" spans="7:28" ht="15.75" thickTop="1"/>
    <row r="28" spans="7:28">
      <c r="X28" s="916" t="s">
        <v>1103</v>
      </c>
      <c r="Y28" s="916"/>
      <c r="Z28" s="916"/>
      <c r="AA28" s="916"/>
      <c r="AB28" s="916"/>
    </row>
    <row r="29" spans="7:28">
      <c r="X29" s="917"/>
      <c r="Y29" s="917"/>
      <c r="Z29" s="917"/>
      <c r="AA29" s="917"/>
      <c r="AB29" s="917"/>
    </row>
    <row r="30" spans="7:28">
      <c r="X30" s="915" t="s">
        <v>973</v>
      </c>
      <c r="Y30" s="915"/>
      <c r="Z30" s="915"/>
      <c r="AA30" s="915"/>
      <c r="AB30" s="915"/>
    </row>
    <row r="31" spans="7:28">
      <c r="X31" s="910" t="s">
        <v>628</v>
      </c>
      <c r="Y31" s="911"/>
      <c r="Z31" s="156" t="s">
        <v>629</v>
      </c>
      <c r="AA31" s="156" t="s">
        <v>630</v>
      </c>
      <c r="AB31" s="156" t="s">
        <v>631</v>
      </c>
    </row>
    <row r="32" spans="7:28" ht="45">
      <c r="X32" s="157" t="s">
        <v>978</v>
      </c>
      <c r="Y32" s="157" t="s">
        <v>979</v>
      </c>
      <c r="Z32" s="157" t="s">
        <v>664</v>
      </c>
      <c r="AA32" s="157" t="s">
        <v>1104</v>
      </c>
      <c r="AB32" s="157" t="s">
        <v>1105</v>
      </c>
    </row>
    <row r="33" spans="24:28" ht="30">
      <c r="X33" s="155" t="s">
        <v>980</v>
      </c>
      <c r="Y33" s="155" t="s">
        <v>981</v>
      </c>
      <c r="Z33" s="155" t="s">
        <v>675</v>
      </c>
      <c r="AA33" s="155" t="s">
        <v>1106</v>
      </c>
      <c r="AB33" s="155" t="s">
        <v>1107</v>
      </c>
    </row>
    <row r="34" spans="24:28" ht="30">
      <c r="X34" s="157" t="s">
        <v>982</v>
      </c>
      <c r="Y34" s="157" t="s">
        <v>983</v>
      </c>
      <c r="Z34" s="157" t="s">
        <v>664</v>
      </c>
      <c r="AA34" s="157" t="s">
        <v>1108</v>
      </c>
      <c r="AB34" s="157" t="s">
        <v>1109</v>
      </c>
    </row>
    <row r="35" spans="24:28" ht="39.75" customHeight="1">
      <c r="X35" s="155" t="s">
        <v>984</v>
      </c>
      <c r="Y35" s="155" t="s">
        <v>985</v>
      </c>
      <c r="Z35" s="155" t="s">
        <v>664</v>
      </c>
      <c r="AA35" s="155" t="s">
        <v>1110</v>
      </c>
      <c r="AB35" s="155" t="s">
        <v>1111</v>
      </c>
    </row>
    <row r="36" spans="24:28" ht="47.25" customHeight="1">
      <c r="X36" s="157" t="s">
        <v>986</v>
      </c>
      <c r="Y36" s="157" t="s">
        <v>987</v>
      </c>
      <c r="Z36" s="157" t="s">
        <v>659</v>
      </c>
      <c r="AA36" s="157" t="s">
        <v>1112</v>
      </c>
      <c r="AB36" s="157" t="s">
        <v>1113</v>
      </c>
    </row>
    <row r="37" spans="24:28" ht="32.25" customHeight="1">
      <c r="X37" s="155" t="s">
        <v>988</v>
      </c>
      <c r="Y37" s="155" t="s">
        <v>989</v>
      </c>
      <c r="Z37" s="155" t="s">
        <v>664</v>
      </c>
      <c r="AA37" s="155" t="s">
        <v>1114</v>
      </c>
      <c r="AB37" s="155" t="s">
        <v>1115</v>
      </c>
    </row>
    <row r="38" spans="24:28" ht="60">
      <c r="X38" s="157" t="s">
        <v>990</v>
      </c>
      <c r="Y38" s="157" t="s">
        <v>991</v>
      </c>
      <c r="Z38" s="157" t="s">
        <v>642</v>
      </c>
      <c r="AA38" s="157" t="s">
        <v>1116</v>
      </c>
      <c r="AB38" s="157" t="s">
        <v>1117</v>
      </c>
    </row>
    <row r="39" spans="24:28" ht="45">
      <c r="X39" s="155" t="s">
        <v>992</v>
      </c>
      <c r="Y39" s="155" t="s">
        <v>993</v>
      </c>
      <c r="Z39" s="155" t="s">
        <v>683</v>
      </c>
      <c r="AA39" s="155" t="s">
        <v>1118</v>
      </c>
      <c r="AB39" s="155" t="s">
        <v>1119</v>
      </c>
    </row>
    <row r="40" spans="24:28" ht="81.75" customHeight="1">
      <c r="X40" s="157" t="s">
        <v>994</v>
      </c>
      <c r="Y40" s="157" t="s">
        <v>995</v>
      </c>
      <c r="Z40" s="157" t="s">
        <v>642</v>
      </c>
      <c r="AA40" s="157" t="s">
        <v>1120</v>
      </c>
      <c r="AB40" s="157" t="s">
        <v>1121</v>
      </c>
    </row>
    <row r="41" spans="24:28" ht="45">
      <c r="X41" s="155" t="s">
        <v>996</v>
      </c>
      <c r="Y41" s="155" t="s">
        <v>997</v>
      </c>
      <c r="Z41" s="155" t="s">
        <v>664</v>
      </c>
      <c r="AA41" s="155" t="s">
        <v>1122</v>
      </c>
      <c r="AB41" s="155" t="s">
        <v>1123</v>
      </c>
    </row>
    <row r="42" spans="24:28" ht="30">
      <c r="X42" s="157" t="s">
        <v>998</v>
      </c>
      <c r="Y42" s="157" t="s">
        <v>999</v>
      </c>
      <c r="Z42" s="157" t="s">
        <v>664</v>
      </c>
      <c r="AA42" s="157" t="s">
        <v>1124</v>
      </c>
      <c r="AB42" s="157" t="s">
        <v>1125</v>
      </c>
    </row>
    <row r="43" spans="24:28" ht="45">
      <c r="X43" s="155" t="s">
        <v>1000</v>
      </c>
      <c r="Y43" s="155" t="s">
        <v>1001</v>
      </c>
      <c r="Z43" s="155" t="s">
        <v>683</v>
      </c>
      <c r="AA43" s="155" t="s">
        <v>1126</v>
      </c>
      <c r="AB43" s="155" t="s">
        <v>1127</v>
      </c>
    </row>
    <row r="44" spans="24:28" ht="45">
      <c r="X44" s="157" t="s">
        <v>1002</v>
      </c>
      <c r="Y44" s="157" t="s">
        <v>1003</v>
      </c>
      <c r="Z44" s="157" t="s">
        <v>651</v>
      </c>
      <c r="AA44" s="157" t="s">
        <v>1128</v>
      </c>
      <c r="AB44" s="157" t="s">
        <v>1129</v>
      </c>
    </row>
    <row r="45" spans="24:28" ht="60">
      <c r="X45" s="155" t="s">
        <v>1004</v>
      </c>
      <c r="Y45" s="155" t="s">
        <v>1005</v>
      </c>
      <c r="Z45" s="155" t="s">
        <v>651</v>
      </c>
      <c r="AA45" s="155" t="s">
        <v>1130</v>
      </c>
      <c r="AB45" s="155" t="s">
        <v>1131</v>
      </c>
    </row>
    <row r="46" spans="24:28" ht="45">
      <c r="X46" s="157" t="s">
        <v>1006</v>
      </c>
      <c r="Y46" s="157" t="s">
        <v>1007</v>
      </c>
      <c r="Z46" s="157" t="s">
        <v>683</v>
      </c>
      <c r="AA46" s="157" t="s">
        <v>1132</v>
      </c>
      <c r="AB46" s="157" t="s">
        <v>1133</v>
      </c>
    </row>
    <row r="47" spans="24:28" ht="30">
      <c r="X47" s="155" t="s">
        <v>1008</v>
      </c>
      <c r="Y47" s="155" t="s">
        <v>1009</v>
      </c>
      <c r="Z47" s="155" t="s">
        <v>672</v>
      </c>
      <c r="AA47" s="155" t="s">
        <v>1134</v>
      </c>
      <c r="AB47" s="155" t="s">
        <v>1135</v>
      </c>
    </row>
    <row r="48" spans="24:28" ht="30">
      <c r="X48" s="157" t="s">
        <v>1010</v>
      </c>
      <c r="Y48" s="157" t="s">
        <v>1011</v>
      </c>
      <c r="Z48" s="157" t="s">
        <v>659</v>
      </c>
      <c r="AA48" s="157" t="s">
        <v>1136</v>
      </c>
      <c r="AB48" s="157" t="s">
        <v>1137</v>
      </c>
    </row>
    <row r="49" spans="24:28" ht="30">
      <c r="X49" s="155" t="s">
        <v>1012</v>
      </c>
      <c r="Y49" s="155" t="s">
        <v>1013</v>
      </c>
      <c r="Z49" s="155" t="s">
        <v>664</v>
      </c>
      <c r="AA49" s="155" t="s">
        <v>1138</v>
      </c>
      <c r="AB49" s="155" t="s">
        <v>1139</v>
      </c>
    </row>
    <row r="50" spans="24:28" ht="45">
      <c r="X50" s="157" t="s">
        <v>1014</v>
      </c>
      <c r="Y50" s="157" t="s">
        <v>1015</v>
      </c>
      <c r="Z50" s="157" t="s">
        <v>642</v>
      </c>
      <c r="AA50" s="157" t="s">
        <v>1140</v>
      </c>
      <c r="AB50" s="157" t="s">
        <v>1141</v>
      </c>
    </row>
    <row r="51" spans="24:28" ht="60">
      <c r="X51" s="155" t="s">
        <v>1016</v>
      </c>
      <c r="Y51" s="155" t="s">
        <v>1017</v>
      </c>
      <c r="Z51" s="155" t="s">
        <v>678</v>
      </c>
      <c r="AA51" s="155" t="s">
        <v>1142</v>
      </c>
      <c r="AB51" s="155" t="s">
        <v>1143</v>
      </c>
    </row>
    <row r="52" spans="24:28" ht="60">
      <c r="X52" s="157" t="s">
        <v>1018</v>
      </c>
      <c r="Y52" s="157" t="s">
        <v>1019</v>
      </c>
      <c r="Z52" s="157" t="s">
        <v>675</v>
      </c>
      <c r="AA52" s="157" t="s">
        <v>1144</v>
      </c>
      <c r="AB52" s="157" t="s">
        <v>1145</v>
      </c>
    </row>
    <row r="53" spans="24:28">
      <c r="X53" s="912" t="s">
        <v>974</v>
      </c>
      <c r="Y53" s="913"/>
      <c r="Z53" s="913"/>
      <c r="AA53" s="913"/>
      <c r="AB53" s="914"/>
    </row>
    <row r="54" spans="24:28" ht="30">
      <c r="X54" s="157" t="s">
        <v>1020</v>
      </c>
      <c r="Y54" s="157" t="s">
        <v>1021</v>
      </c>
      <c r="Z54" s="157"/>
      <c r="AA54" s="157"/>
      <c r="AB54" s="157"/>
    </row>
    <row r="55" spans="24:28" ht="60">
      <c r="X55" s="155" t="s">
        <v>1022</v>
      </c>
      <c r="Y55" s="155" t="s">
        <v>1023</v>
      </c>
      <c r="Z55" s="155"/>
      <c r="AA55" s="155"/>
      <c r="AB55" s="155"/>
    </row>
    <row r="56" spans="24:28" ht="45">
      <c r="X56" s="157" t="s">
        <v>1024</v>
      </c>
      <c r="Y56" s="157" t="s">
        <v>1025</v>
      </c>
      <c r="Z56" s="157"/>
      <c r="AA56" s="157"/>
      <c r="AB56" s="157"/>
    </row>
    <row r="57" spans="24:28" ht="45">
      <c r="X57" s="155" t="s">
        <v>1026</v>
      </c>
      <c r="Y57" s="155" t="s">
        <v>1027</v>
      </c>
      <c r="Z57" s="155"/>
      <c r="AA57" s="155"/>
      <c r="AB57" s="155"/>
    </row>
    <row r="58" spans="24:28" ht="45">
      <c r="X58" s="157" t="s">
        <v>1028</v>
      </c>
      <c r="Y58" s="157" t="s">
        <v>1029</v>
      </c>
      <c r="Z58" s="157"/>
      <c r="AA58" s="157"/>
      <c r="AB58" s="157"/>
    </row>
    <row r="59" spans="24:28" ht="30">
      <c r="X59" s="155" t="s">
        <v>1030</v>
      </c>
      <c r="Y59" s="155" t="s">
        <v>1031</v>
      </c>
      <c r="Z59" s="155"/>
      <c r="AA59" s="155"/>
      <c r="AB59" s="155"/>
    </row>
    <row r="60" spans="24:28" ht="45">
      <c r="X60" s="157" t="s">
        <v>1032</v>
      </c>
      <c r="Y60" s="157" t="s">
        <v>1033</v>
      </c>
      <c r="Z60" s="157"/>
      <c r="AA60" s="157"/>
      <c r="AB60" s="157"/>
    </row>
    <row r="61" spans="24:28">
      <c r="X61" s="155" t="s">
        <v>975</v>
      </c>
      <c r="Y61" s="155"/>
      <c r="Z61" s="155"/>
      <c r="AA61" s="155"/>
      <c r="AB61" s="155"/>
    </row>
    <row r="62" spans="24:28" ht="30">
      <c r="X62" s="157" t="s">
        <v>1034</v>
      </c>
      <c r="Y62" s="157" t="s">
        <v>1035</v>
      </c>
      <c r="Z62" s="157"/>
      <c r="AA62" s="157"/>
      <c r="AB62" s="157"/>
    </row>
    <row r="63" spans="24:28" ht="45">
      <c r="X63" s="155" t="s">
        <v>1036</v>
      </c>
      <c r="Y63" s="155" t="s">
        <v>1037</v>
      </c>
      <c r="Z63" s="155"/>
      <c r="AA63" s="155"/>
      <c r="AB63" s="155"/>
    </row>
    <row r="64" spans="24:28" ht="45">
      <c r="X64" s="157" t="s">
        <v>1038</v>
      </c>
      <c r="Y64" s="157" t="s">
        <v>1039</v>
      </c>
      <c r="Z64" s="157"/>
      <c r="AA64" s="157"/>
      <c r="AB64" s="157"/>
    </row>
    <row r="65" spans="24:28" ht="30">
      <c r="X65" s="155" t="s">
        <v>1040</v>
      </c>
      <c r="Y65" s="155" t="s">
        <v>1041</v>
      </c>
      <c r="Z65" s="155"/>
      <c r="AA65" s="155"/>
      <c r="AB65" s="155"/>
    </row>
    <row r="66" spans="24:28" ht="30">
      <c r="X66" s="157" t="s">
        <v>1042</v>
      </c>
      <c r="Y66" s="157" t="s">
        <v>1043</v>
      </c>
      <c r="Z66" s="157"/>
      <c r="AA66" s="157"/>
      <c r="AB66" s="157"/>
    </row>
    <row r="67" spans="24:28">
      <c r="X67" s="155" t="s">
        <v>1044</v>
      </c>
      <c r="Y67" s="155" t="s">
        <v>1045</v>
      </c>
      <c r="Z67" s="155"/>
      <c r="AA67" s="155"/>
      <c r="AB67" s="155"/>
    </row>
    <row r="68" spans="24:28" ht="30">
      <c r="X68" s="157" t="s">
        <v>1046</v>
      </c>
      <c r="Y68" s="157" t="s">
        <v>1047</v>
      </c>
      <c r="Z68" s="157"/>
      <c r="AA68" s="157"/>
      <c r="AB68" s="157"/>
    </row>
    <row r="69" spans="24:28">
      <c r="X69" s="155" t="s">
        <v>1048</v>
      </c>
      <c r="Y69" s="155" t="s">
        <v>1049</v>
      </c>
      <c r="Z69" s="155"/>
      <c r="AA69" s="155"/>
      <c r="AB69" s="155"/>
    </row>
    <row r="70" spans="24:28">
      <c r="X70" s="157" t="s">
        <v>1050</v>
      </c>
      <c r="Y70" s="157" t="s">
        <v>1051</v>
      </c>
      <c r="Z70" s="157"/>
      <c r="AA70" s="157"/>
      <c r="AB70" s="157"/>
    </row>
    <row r="71" spans="24:28" ht="45">
      <c r="X71" s="155" t="s">
        <v>1052</v>
      </c>
      <c r="Y71" s="155" t="s">
        <v>1053</v>
      </c>
      <c r="Z71" s="155"/>
      <c r="AA71" s="155"/>
      <c r="AB71" s="155"/>
    </row>
    <row r="72" spans="24:28" ht="45">
      <c r="X72" s="157" t="s">
        <v>1054</v>
      </c>
      <c r="Y72" s="157" t="s">
        <v>1055</v>
      </c>
      <c r="Z72" s="157"/>
      <c r="AA72" s="157"/>
      <c r="AB72" s="157"/>
    </row>
    <row r="73" spans="24:28" ht="30">
      <c r="X73" s="155" t="s">
        <v>1056</v>
      </c>
      <c r="Y73" s="155" t="s">
        <v>1057</v>
      </c>
      <c r="Z73" s="155"/>
      <c r="AA73" s="155"/>
      <c r="AB73" s="155"/>
    </row>
    <row r="74" spans="24:28" ht="45">
      <c r="X74" s="157" t="s">
        <v>1058</v>
      </c>
      <c r="Y74" s="157" t="s">
        <v>1059</v>
      </c>
      <c r="Z74" s="157"/>
      <c r="AA74" s="157"/>
      <c r="AB74" s="157"/>
    </row>
    <row r="75" spans="24:28" ht="45">
      <c r="X75" s="155" t="s">
        <v>1060</v>
      </c>
      <c r="Y75" s="155" t="s">
        <v>1061</v>
      </c>
      <c r="Z75" s="155"/>
      <c r="AA75" s="155"/>
      <c r="AB75" s="155"/>
    </row>
    <row r="76" spans="24:28">
      <c r="X76" s="912" t="s">
        <v>976</v>
      </c>
      <c r="Y76" s="913"/>
      <c r="Z76" s="913"/>
      <c r="AA76" s="913"/>
      <c r="AB76" s="914"/>
    </row>
    <row r="77" spans="24:28" ht="45">
      <c r="X77" s="157" t="s">
        <v>1062</v>
      </c>
      <c r="Y77" s="157" t="s">
        <v>1063</v>
      </c>
      <c r="Z77" s="157"/>
      <c r="AA77" s="157"/>
      <c r="AB77" s="157"/>
    </row>
    <row r="78" spans="24:28" ht="45">
      <c r="X78" s="155" t="s">
        <v>1064</v>
      </c>
      <c r="Y78" s="155" t="s">
        <v>1065</v>
      </c>
      <c r="Z78" s="155"/>
      <c r="AA78" s="155"/>
      <c r="AB78" s="155"/>
    </row>
    <row r="79" spans="24:28" ht="45">
      <c r="X79" s="157" t="s">
        <v>1066</v>
      </c>
      <c r="Y79" s="157" t="s">
        <v>1067</v>
      </c>
      <c r="Z79" s="157"/>
      <c r="AA79" s="157"/>
      <c r="AB79" s="157"/>
    </row>
    <row r="80" spans="24:28" ht="45">
      <c r="X80" s="155" t="s">
        <v>1068</v>
      </c>
      <c r="Y80" s="155" t="s">
        <v>1069</v>
      </c>
      <c r="Z80" s="155"/>
      <c r="AA80" s="155"/>
      <c r="AB80" s="155"/>
    </row>
    <row r="81" spans="24:28" ht="30">
      <c r="X81" s="157" t="s">
        <v>1070</v>
      </c>
      <c r="Y81" s="157" t="s">
        <v>1071</v>
      </c>
      <c r="Z81" s="157"/>
      <c r="AA81" s="157"/>
      <c r="AB81" s="157"/>
    </row>
    <row r="82" spans="24:28" ht="45">
      <c r="X82" s="155" t="s">
        <v>1072</v>
      </c>
      <c r="Y82" s="155" t="s">
        <v>1073</v>
      </c>
      <c r="Z82" s="155"/>
      <c r="AA82" s="155"/>
      <c r="AB82" s="155"/>
    </row>
    <row r="83" spans="24:28" ht="30">
      <c r="X83" s="157" t="s">
        <v>1074</v>
      </c>
      <c r="Y83" s="157" t="s">
        <v>1075</v>
      </c>
      <c r="Z83" s="157"/>
      <c r="AA83" s="157"/>
      <c r="AB83" s="157"/>
    </row>
    <row r="84" spans="24:28" ht="45">
      <c r="X84" s="155" t="s">
        <v>1076</v>
      </c>
      <c r="Y84" s="155" t="s">
        <v>1077</v>
      </c>
      <c r="Z84" s="155"/>
      <c r="AA84" s="155"/>
      <c r="AB84" s="155"/>
    </row>
    <row r="85" spans="24:28" ht="30">
      <c r="X85" s="157" t="s">
        <v>1078</v>
      </c>
      <c r="Y85" s="157" t="s">
        <v>1079</v>
      </c>
      <c r="Z85" s="157"/>
      <c r="AA85" s="157"/>
      <c r="AB85" s="157"/>
    </row>
    <row r="86" spans="24:28" ht="30">
      <c r="X86" s="155" t="s">
        <v>1080</v>
      </c>
      <c r="Y86" s="155" t="s">
        <v>1081</v>
      </c>
      <c r="Z86" s="155"/>
      <c r="AA86" s="155"/>
      <c r="AB86" s="155"/>
    </row>
    <row r="87" spans="24:28">
      <c r="X87" s="157" t="s">
        <v>1082</v>
      </c>
      <c r="Y87" s="157" t="s">
        <v>1083</v>
      </c>
      <c r="Z87" s="157"/>
      <c r="AA87" s="157"/>
      <c r="AB87" s="157"/>
    </row>
    <row r="88" spans="24:28" ht="30">
      <c r="X88" s="155" t="s">
        <v>1084</v>
      </c>
      <c r="Y88" s="155" t="s">
        <v>1085</v>
      </c>
      <c r="Z88" s="155"/>
      <c r="AA88" s="155"/>
      <c r="AB88" s="155"/>
    </row>
    <row r="89" spans="24:28" ht="30">
      <c r="X89" s="157" t="s">
        <v>1086</v>
      </c>
      <c r="Y89" s="157" t="s">
        <v>1087</v>
      </c>
      <c r="Z89" s="157"/>
      <c r="AA89" s="157"/>
      <c r="AB89" s="157"/>
    </row>
    <row r="90" spans="24:28" ht="45">
      <c r="X90" s="155" t="s">
        <v>1088</v>
      </c>
      <c r="Y90" s="155" t="s">
        <v>1089</v>
      </c>
      <c r="Z90" s="155"/>
      <c r="AA90" s="155"/>
      <c r="AB90" s="155"/>
    </row>
    <row r="91" spans="24:28" ht="30">
      <c r="X91" s="157" t="s">
        <v>1090</v>
      </c>
      <c r="Y91" s="157" t="s">
        <v>1091</v>
      </c>
      <c r="Z91" s="157"/>
      <c r="AA91" s="157"/>
      <c r="AB91" s="157"/>
    </row>
    <row r="92" spans="24:28" ht="75">
      <c r="X92" s="155" t="s">
        <v>1092</v>
      </c>
      <c r="Y92" s="155" t="s">
        <v>1093</v>
      </c>
      <c r="Z92" s="155"/>
      <c r="AA92" s="155"/>
      <c r="AB92" s="155"/>
    </row>
    <row r="93" spans="24:28" ht="45">
      <c r="X93" s="157" t="s">
        <v>1094</v>
      </c>
      <c r="Y93" s="157" t="s">
        <v>1095</v>
      </c>
      <c r="Z93" s="157"/>
      <c r="AA93" s="157"/>
      <c r="AB93" s="157"/>
    </row>
    <row r="94" spans="24:28">
      <c r="X94" s="912" t="s">
        <v>977</v>
      </c>
      <c r="Y94" s="913"/>
      <c r="Z94" s="913"/>
      <c r="AA94" s="913"/>
      <c r="AB94" s="914"/>
    </row>
    <row r="95" spans="24:28" ht="30">
      <c r="X95" s="157" t="s">
        <v>1096</v>
      </c>
      <c r="Y95" s="157" t="s">
        <v>1097</v>
      </c>
      <c r="Z95" s="157"/>
      <c r="AA95" s="157"/>
      <c r="AB95" s="157"/>
    </row>
    <row r="96" spans="24:28">
      <c r="X96" s="155" t="s">
        <v>1098</v>
      </c>
      <c r="Y96" s="155" t="s">
        <v>1099</v>
      </c>
      <c r="Z96" s="155"/>
      <c r="AA96" s="155"/>
      <c r="AB96" s="155"/>
    </row>
    <row r="97" spans="24:28" ht="30">
      <c r="X97" s="157" t="s">
        <v>1100</v>
      </c>
      <c r="Y97" s="157" t="s">
        <v>1101</v>
      </c>
      <c r="Z97" s="157"/>
      <c r="AA97" s="157"/>
      <c r="AB97" s="157"/>
    </row>
  </sheetData>
  <mergeCells count="38">
    <mergeCell ref="X3:AB4"/>
    <mergeCell ref="B14:D14"/>
    <mergeCell ref="X5:Y5"/>
    <mergeCell ref="B6:D6"/>
    <mergeCell ref="B7:D7"/>
    <mergeCell ref="B8:D8"/>
    <mergeCell ref="B9:D9"/>
    <mergeCell ref="I3:I5"/>
    <mergeCell ref="J3:J5"/>
    <mergeCell ref="K3:K5"/>
    <mergeCell ref="L3:L5"/>
    <mergeCell ref="M3:V4"/>
    <mergeCell ref="A1:F3"/>
    <mergeCell ref="G1:G2"/>
    <mergeCell ref="H1:H2"/>
    <mergeCell ref="G3:H4"/>
    <mergeCell ref="A4:F5"/>
    <mergeCell ref="X28:AB29"/>
    <mergeCell ref="B15:D15"/>
    <mergeCell ref="E6:F6"/>
    <mergeCell ref="E7:F7"/>
    <mergeCell ref="E8:F8"/>
    <mergeCell ref="E9:F9"/>
    <mergeCell ref="E10:F10"/>
    <mergeCell ref="E11:F11"/>
    <mergeCell ref="E12:F12"/>
    <mergeCell ref="E13:F13"/>
    <mergeCell ref="E14:F14"/>
    <mergeCell ref="E15:F15"/>
    <mergeCell ref="B10:D10"/>
    <mergeCell ref="B11:D11"/>
    <mergeCell ref="B12:D12"/>
    <mergeCell ref="B13:D13"/>
    <mergeCell ref="X31:Y31"/>
    <mergeCell ref="X53:AB53"/>
    <mergeCell ref="X76:AB76"/>
    <mergeCell ref="X94:AB94"/>
    <mergeCell ref="X30:AB3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showGridLines="0" showRowColHeaders="0" topLeftCell="E1" workbookViewId="0">
      <selection activeCell="H1" sqref="H1:H2"/>
    </sheetView>
  </sheetViews>
  <sheetFormatPr defaultRowHeight="15"/>
  <cols>
    <col min="12" max="12" width="38" customWidth="1"/>
    <col min="24" max="24" width="24.28515625" customWidth="1"/>
    <col min="25" max="25" width="38.28515625" customWidth="1"/>
  </cols>
  <sheetData>
    <row r="1" spans="1:25" ht="16.5" thickTop="1" thickBot="1">
      <c r="A1" s="939" t="s">
        <v>192</v>
      </c>
      <c r="B1" s="939"/>
      <c r="C1" s="939"/>
      <c r="D1" s="939"/>
      <c r="E1" s="939"/>
      <c r="F1" s="939"/>
      <c r="G1" s="940" t="s">
        <v>26</v>
      </c>
      <c r="H1" s="941">
        <v>4</v>
      </c>
    </row>
    <row r="2" spans="1:25" ht="16.5" thickTop="1" thickBot="1">
      <c r="A2" s="939"/>
      <c r="B2" s="939"/>
      <c r="C2" s="939"/>
      <c r="D2" s="939"/>
      <c r="E2" s="939"/>
      <c r="F2" s="939"/>
      <c r="G2" s="940"/>
      <c r="H2" s="941"/>
    </row>
    <row r="3" spans="1:25" ht="16.5" thickTop="1" thickBot="1">
      <c r="A3" s="939"/>
      <c r="B3" s="939"/>
      <c r="C3" s="939"/>
      <c r="D3" s="939"/>
      <c r="E3" s="939"/>
      <c r="F3" s="939"/>
      <c r="G3" s="942" t="s">
        <v>107</v>
      </c>
      <c r="H3" s="943"/>
      <c r="I3" s="932" t="s">
        <v>584</v>
      </c>
      <c r="J3" s="934" t="s">
        <v>585</v>
      </c>
      <c r="K3" s="934" t="s">
        <v>201</v>
      </c>
      <c r="L3" s="934" t="s">
        <v>472</v>
      </c>
      <c r="M3" s="936" t="s">
        <v>196</v>
      </c>
      <c r="N3" s="937"/>
      <c r="O3" s="937"/>
      <c r="P3" s="937"/>
      <c r="Q3" s="937"/>
      <c r="R3" s="937"/>
      <c r="S3" s="937"/>
      <c r="T3" s="937"/>
      <c r="U3" s="937"/>
      <c r="V3" s="937"/>
    </row>
    <row r="4" spans="1:25" ht="16.5" thickTop="1" thickBot="1">
      <c r="A4" s="944" t="s">
        <v>44</v>
      </c>
      <c r="B4" s="944"/>
      <c r="C4" s="944"/>
      <c r="D4" s="944"/>
      <c r="E4" s="944"/>
      <c r="F4" s="944"/>
      <c r="G4" s="942"/>
      <c r="H4" s="943"/>
      <c r="I4" s="932"/>
      <c r="J4" s="934"/>
      <c r="K4" s="934"/>
      <c r="L4" s="934"/>
      <c r="M4" s="938"/>
      <c r="N4" s="938"/>
      <c r="O4" s="938"/>
      <c r="P4" s="938"/>
      <c r="Q4" s="938"/>
      <c r="R4" s="938"/>
      <c r="S4" s="938"/>
      <c r="T4" s="938"/>
      <c r="U4" s="938"/>
      <c r="V4" s="938"/>
    </row>
    <row r="5" spans="1:25" ht="18.75" customHeight="1" thickTop="1" thickBot="1">
      <c r="A5" s="944"/>
      <c r="B5" s="944"/>
      <c r="C5" s="944"/>
      <c r="D5" s="944"/>
      <c r="E5" s="944"/>
      <c r="F5" s="944"/>
      <c r="G5" s="374" t="s">
        <v>470</v>
      </c>
      <c r="H5" s="375" t="s">
        <v>471</v>
      </c>
      <c r="I5" s="933"/>
      <c r="J5" s="935"/>
      <c r="K5" s="935"/>
      <c r="L5" s="935"/>
      <c r="M5" s="211">
        <v>0</v>
      </c>
      <c r="N5" s="211">
        <v>1</v>
      </c>
      <c r="O5" s="211">
        <v>2</v>
      </c>
      <c r="P5" s="211">
        <v>3</v>
      </c>
      <c r="Q5" s="211">
        <v>4</v>
      </c>
      <c r="R5" s="211">
        <v>5</v>
      </c>
      <c r="S5" s="211">
        <v>6</v>
      </c>
      <c r="T5" s="211">
        <v>7</v>
      </c>
      <c r="U5" s="211">
        <v>8</v>
      </c>
      <c r="V5" s="211">
        <v>9</v>
      </c>
      <c r="X5" s="233" t="s">
        <v>688</v>
      </c>
      <c r="Y5" s="233" t="s">
        <v>472</v>
      </c>
    </row>
    <row r="6" spans="1:25" ht="29.25" customHeight="1" thickTop="1" thickBot="1">
      <c r="A6" s="230">
        <v>1</v>
      </c>
      <c r="B6" s="929" t="s">
        <v>689</v>
      </c>
      <c r="C6" s="929"/>
      <c r="D6" s="929" t="s">
        <v>690</v>
      </c>
      <c r="E6" s="929"/>
      <c r="F6" s="929"/>
      <c r="G6" s="221">
        <v>1</v>
      </c>
      <c r="H6" s="222">
        <v>0</v>
      </c>
      <c r="I6" s="221">
        <v>0</v>
      </c>
      <c r="J6" s="221">
        <v>0</v>
      </c>
      <c r="K6" s="221">
        <v>2</v>
      </c>
      <c r="L6" s="221" t="s">
        <v>691</v>
      </c>
      <c r="M6" s="153">
        <v>3</v>
      </c>
      <c r="N6" s="153">
        <v>1</v>
      </c>
      <c r="O6" s="153" t="s">
        <v>198</v>
      </c>
      <c r="P6" s="153" t="s">
        <v>198</v>
      </c>
      <c r="Q6" s="153" t="s">
        <v>198</v>
      </c>
      <c r="R6" s="153" t="s">
        <v>198</v>
      </c>
      <c r="S6" s="153" t="s">
        <v>198</v>
      </c>
      <c r="T6" s="153" t="s">
        <v>198</v>
      </c>
      <c r="U6" s="153" t="s">
        <v>198</v>
      </c>
      <c r="V6" s="153" t="s">
        <v>198</v>
      </c>
      <c r="X6" s="234" t="s">
        <v>692</v>
      </c>
      <c r="Y6" s="234" t="s">
        <v>693</v>
      </c>
    </row>
    <row r="7" spans="1:25" ht="29.25" customHeight="1" thickTop="1" thickBot="1">
      <c r="A7" s="230">
        <v>2</v>
      </c>
      <c r="B7" s="929" t="s">
        <v>594</v>
      </c>
      <c r="C7" s="929"/>
      <c r="D7" s="929" t="s">
        <v>507</v>
      </c>
      <c r="E7" s="929"/>
      <c r="F7" s="929"/>
      <c r="G7" s="200">
        <v>2</v>
      </c>
      <c r="H7" s="201">
        <v>1</v>
      </c>
      <c r="I7" s="200">
        <v>0</v>
      </c>
      <c r="J7" s="200">
        <v>0</v>
      </c>
      <c r="K7" s="200">
        <v>3</v>
      </c>
      <c r="L7" s="200"/>
      <c r="M7" s="212">
        <v>4</v>
      </c>
      <c r="N7" s="212">
        <v>2</v>
      </c>
      <c r="O7" s="212" t="s">
        <v>198</v>
      </c>
      <c r="P7" s="212" t="s">
        <v>198</v>
      </c>
      <c r="Q7" s="212" t="s">
        <v>198</v>
      </c>
      <c r="R7" s="212" t="s">
        <v>198</v>
      </c>
      <c r="S7" s="212" t="s">
        <v>198</v>
      </c>
      <c r="T7" s="212" t="s">
        <v>198</v>
      </c>
      <c r="U7" s="212" t="s">
        <v>198</v>
      </c>
      <c r="V7" s="212" t="s">
        <v>198</v>
      </c>
      <c r="X7" s="234" t="s">
        <v>694</v>
      </c>
      <c r="Y7" s="234" t="s">
        <v>695</v>
      </c>
    </row>
    <row r="8" spans="1:25" ht="22.5" customHeight="1" thickTop="1" thickBot="1">
      <c r="A8" s="230">
        <v>3</v>
      </c>
      <c r="B8" s="929" t="s">
        <v>64</v>
      </c>
      <c r="C8" s="929"/>
      <c r="D8" s="929" t="s">
        <v>588</v>
      </c>
      <c r="E8" s="929"/>
      <c r="F8" s="929"/>
      <c r="G8" s="221">
        <v>3</v>
      </c>
      <c r="H8" s="223">
        <v>1</v>
      </c>
      <c r="I8" s="221">
        <v>1</v>
      </c>
      <c r="J8" s="221">
        <v>1</v>
      </c>
      <c r="K8" s="221">
        <v>3</v>
      </c>
      <c r="L8" s="221"/>
      <c r="M8" s="153">
        <v>4</v>
      </c>
      <c r="N8" s="153">
        <v>2</v>
      </c>
      <c r="O8" s="153">
        <v>1</v>
      </c>
      <c r="P8" s="153" t="s">
        <v>198</v>
      </c>
      <c r="Q8" s="153" t="s">
        <v>198</v>
      </c>
      <c r="R8" s="153" t="s">
        <v>198</v>
      </c>
      <c r="S8" s="153" t="s">
        <v>198</v>
      </c>
      <c r="T8" s="153" t="s">
        <v>198</v>
      </c>
      <c r="U8" s="153" t="s">
        <v>198</v>
      </c>
      <c r="V8" s="153" t="s">
        <v>198</v>
      </c>
      <c r="X8" s="234" t="s">
        <v>696</v>
      </c>
      <c r="Y8" s="234" t="s">
        <v>697</v>
      </c>
    </row>
    <row r="9" spans="1:25" ht="29.25" customHeight="1" thickTop="1" thickBot="1">
      <c r="A9" s="230">
        <v>4</v>
      </c>
      <c r="B9" s="929" t="s">
        <v>600</v>
      </c>
      <c r="C9" s="929"/>
      <c r="D9" s="929" t="s">
        <v>168</v>
      </c>
      <c r="E9" s="929"/>
      <c r="F9" s="929"/>
      <c r="G9" s="200">
        <v>4</v>
      </c>
      <c r="H9" s="201">
        <v>2</v>
      </c>
      <c r="I9" s="200">
        <v>1</v>
      </c>
      <c r="J9" s="200">
        <v>1</v>
      </c>
      <c r="K9" s="200">
        <v>4</v>
      </c>
      <c r="L9" s="200"/>
      <c r="M9" s="212">
        <v>4</v>
      </c>
      <c r="N9" s="212">
        <v>3</v>
      </c>
      <c r="O9" s="212">
        <v>2</v>
      </c>
      <c r="P9" s="212" t="s">
        <v>198</v>
      </c>
      <c r="Q9" s="212" t="s">
        <v>198</v>
      </c>
      <c r="R9" s="212" t="s">
        <v>198</v>
      </c>
      <c r="S9" s="212" t="s">
        <v>198</v>
      </c>
      <c r="T9" s="212" t="s">
        <v>198</v>
      </c>
      <c r="U9" s="212" t="s">
        <v>198</v>
      </c>
      <c r="V9" s="212" t="s">
        <v>198</v>
      </c>
      <c r="X9" s="234" t="s">
        <v>698</v>
      </c>
      <c r="Y9" s="234" t="s">
        <v>699</v>
      </c>
    </row>
    <row r="10" spans="1:25" ht="29.25" customHeight="1" thickTop="1" thickBot="1">
      <c r="A10" s="230">
        <v>5</v>
      </c>
      <c r="B10" s="929" t="s">
        <v>700</v>
      </c>
      <c r="C10" s="929"/>
      <c r="D10" s="929" t="s">
        <v>507</v>
      </c>
      <c r="E10" s="929"/>
      <c r="F10" s="929"/>
      <c r="G10" s="221">
        <v>5</v>
      </c>
      <c r="H10" s="223">
        <v>2</v>
      </c>
      <c r="I10" s="221">
        <v>1</v>
      </c>
      <c r="J10" s="221">
        <v>1</v>
      </c>
      <c r="K10" s="221">
        <v>4</v>
      </c>
      <c r="L10" s="221" t="s">
        <v>701</v>
      </c>
      <c r="M10" s="153">
        <v>4</v>
      </c>
      <c r="N10" s="153">
        <v>3</v>
      </c>
      <c r="O10" s="153">
        <v>2</v>
      </c>
      <c r="P10" s="153">
        <v>1</v>
      </c>
      <c r="Q10" s="153" t="s">
        <v>198</v>
      </c>
      <c r="R10" s="153" t="s">
        <v>198</v>
      </c>
      <c r="S10" s="153" t="s">
        <v>198</v>
      </c>
      <c r="T10" s="153" t="s">
        <v>198</v>
      </c>
      <c r="U10" s="153" t="s">
        <v>198</v>
      </c>
      <c r="V10" s="153" t="s">
        <v>198</v>
      </c>
      <c r="X10" s="234" t="s">
        <v>702</v>
      </c>
      <c r="Y10" s="234" t="s">
        <v>703</v>
      </c>
    </row>
    <row r="11" spans="1:25" ht="29.25" customHeight="1" thickTop="1" thickBot="1">
      <c r="A11" s="230">
        <v>6</v>
      </c>
      <c r="B11" s="929" t="s">
        <v>479</v>
      </c>
      <c r="C11" s="929"/>
      <c r="D11" s="929" t="s">
        <v>507</v>
      </c>
      <c r="E11" s="929"/>
      <c r="F11" s="929"/>
      <c r="G11" s="200">
        <v>6</v>
      </c>
      <c r="H11" s="201">
        <v>3</v>
      </c>
      <c r="I11" s="200">
        <v>2</v>
      </c>
      <c r="J11" s="200">
        <v>2</v>
      </c>
      <c r="K11" s="200">
        <v>5</v>
      </c>
      <c r="L11" s="200"/>
      <c r="M11" s="212">
        <v>4</v>
      </c>
      <c r="N11" s="212">
        <v>3</v>
      </c>
      <c r="O11" s="212">
        <v>3</v>
      </c>
      <c r="P11" s="212">
        <v>2</v>
      </c>
      <c r="Q11" s="212" t="s">
        <v>198</v>
      </c>
      <c r="R11" s="212" t="s">
        <v>198</v>
      </c>
      <c r="S11" s="212" t="s">
        <v>198</v>
      </c>
      <c r="T11" s="212" t="s">
        <v>198</v>
      </c>
      <c r="U11" s="212" t="s">
        <v>198</v>
      </c>
      <c r="V11" s="212" t="s">
        <v>198</v>
      </c>
      <c r="X11" s="234" t="s">
        <v>704</v>
      </c>
      <c r="Y11" s="234" t="s">
        <v>705</v>
      </c>
    </row>
    <row r="12" spans="1:25" ht="21.75" customHeight="1" thickTop="1" thickBot="1">
      <c r="G12" s="223">
        <v>7</v>
      </c>
      <c r="H12" s="223">
        <v>3</v>
      </c>
      <c r="I12" s="221">
        <v>2</v>
      </c>
      <c r="J12" s="221">
        <v>2</v>
      </c>
      <c r="K12" s="221">
        <v>5</v>
      </c>
      <c r="L12" s="221"/>
      <c r="M12" s="153">
        <v>4</v>
      </c>
      <c r="N12" s="153">
        <v>4</v>
      </c>
      <c r="O12" s="153">
        <v>3</v>
      </c>
      <c r="P12" s="153">
        <v>2</v>
      </c>
      <c r="Q12" s="153">
        <v>1</v>
      </c>
      <c r="R12" s="153" t="s">
        <v>198</v>
      </c>
      <c r="S12" s="153" t="s">
        <v>198</v>
      </c>
      <c r="T12" s="153" t="s">
        <v>198</v>
      </c>
      <c r="U12" s="153" t="s">
        <v>198</v>
      </c>
      <c r="V12" s="153" t="s">
        <v>198</v>
      </c>
      <c r="X12" s="234" t="s">
        <v>706</v>
      </c>
      <c r="Y12" s="234" t="s">
        <v>707</v>
      </c>
    </row>
    <row r="13" spans="1:25" ht="29.25" customHeight="1" thickTop="1" thickBot="1">
      <c r="G13" s="201">
        <v>8</v>
      </c>
      <c r="H13" s="201">
        <v>4</v>
      </c>
      <c r="I13" s="200">
        <v>2</v>
      </c>
      <c r="J13" s="200">
        <v>2</v>
      </c>
      <c r="K13" s="200">
        <v>6</v>
      </c>
      <c r="L13" s="200"/>
      <c r="M13" s="212">
        <v>4</v>
      </c>
      <c r="N13" s="212">
        <v>4</v>
      </c>
      <c r="O13" s="212">
        <v>3</v>
      </c>
      <c r="P13" s="212">
        <v>3</v>
      </c>
      <c r="Q13" s="212">
        <v>2</v>
      </c>
      <c r="R13" s="212" t="s">
        <v>198</v>
      </c>
      <c r="S13" s="212" t="s">
        <v>198</v>
      </c>
      <c r="T13" s="212" t="s">
        <v>198</v>
      </c>
      <c r="U13" s="212" t="s">
        <v>198</v>
      </c>
      <c r="V13" s="212" t="s">
        <v>198</v>
      </c>
      <c r="X13" s="234" t="s">
        <v>708</v>
      </c>
      <c r="Y13" s="234" t="s">
        <v>709</v>
      </c>
    </row>
    <row r="14" spans="1:25" ht="33.75" customHeight="1" thickTop="1" thickBot="1">
      <c r="G14" s="223">
        <v>9</v>
      </c>
      <c r="H14" s="223">
        <v>4</v>
      </c>
      <c r="I14" s="221">
        <v>3</v>
      </c>
      <c r="J14" s="221">
        <v>3</v>
      </c>
      <c r="K14" s="221">
        <v>6</v>
      </c>
      <c r="L14" s="221"/>
      <c r="M14" s="153">
        <v>4</v>
      </c>
      <c r="N14" s="153">
        <v>4</v>
      </c>
      <c r="O14" s="153">
        <v>4</v>
      </c>
      <c r="P14" s="153">
        <v>3</v>
      </c>
      <c r="Q14" s="153">
        <v>2</v>
      </c>
      <c r="R14" s="153">
        <v>1</v>
      </c>
      <c r="S14" s="153" t="s">
        <v>198</v>
      </c>
      <c r="T14" s="153" t="s">
        <v>198</v>
      </c>
      <c r="U14" s="153" t="s">
        <v>198</v>
      </c>
      <c r="V14" s="153" t="s">
        <v>198</v>
      </c>
      <c r="X14" s="234" t="s">
        <v>710</v>
      </c>
      <c r="Y14" s="234" t="s">
        <v>711</v>
      </c>
    </row>
    <row r="15" spans="1:25" ht="23.25" customHeight="1" thickTop="1" thickBot="1">
      <c r="G15" s="201">
        <v>10</v>
      </c>
      <c r="H15" s="201">
        <v>5</v>
      </c>
      <c r="I15" s="200">
        <v>3</v>
      </c>
      <c r="J15" s="200">
        <v>3</v>
      </c>
      <c r="K15" s="200">
        <v>7</v>
      </c>
      <c r="L15" s="200" t="s">
        <v>474</v>
      </c>
      <c r="M15" s="212">
        <v>4</v>
      </c>
      <c r="N15" s="212">
        <v>4</v>
      </c>
      <c r="O15" s="212">
        <v>4</v>
      </c>
      <c r="P15" s="212">
        <v>3</v>
      </c>
      <c r="Q15" s="212">
        <v>3</v>
      </c>
      <c r="R15" s="212">
        <v>2</v>
      </c>
      <c r="S15" s="212" t="s">
        <v>198</v>
      </c>
      <c r="T15" s="212" t="s">
        <v>198</v>
      </c>
      <c r="U15" s="212" t="s">
        <v>198</v>
      </c>
      <c r="V15" s="212" t="s">
        <v>198</v>
      </c>
      <c r="X15" s="234" t="s">
        <v>712</v>
      </c>
      <c r="Y15" s="234" t="s">
        <v>713</v>
      </c>
    </row>
    <row r="16" spans="1:25" ht="19.5" customHeight="1" thickBot="1">
      <c r="G16" s="223">
        <v>11</v>
      </c>
      <c r="H16" s="223">
        <v>5</v>
      </c>
      <c r="I16" s="221">
        <v>3</v>
      </c>
      <c r="J16" s="221">
        <v>3</v>
      </c>
      <c r="K16" s="221">
        <v>7</v>
      </c>
      <c r="L16" s="221"/>
      <c r="M16" s="153">
        <v>4</v>
      </c>
      <c r="N16" s="153">
        <v>4</v>
      </c>
      <c r="O16" s="153">
        <v>4</v>
      </c>
      <c r="P16" s="153">
        <v>4</v>
      </c>
      <c r="Q16" s="153">
        <v>3</v>
      </c>
      <c r="R16" s="153">
        <v>2</v>
      </c>
      <c r="S16" s="153">
        <v>1</v>
      </c>
      <c r="T16" s="153" t="s">
        <v>198</v>
      </c>
      <c r="U16" s="153" t="s">
        <v>198</v>
      </c>
      <c r="V16" s="153" t="s">
        <v>198</v>
      </c>
    </row>
    <row r="17" spans="7:22" ht="19.5" customHeight="1" thickBot="1">
      <c r="G17" s="201">
        <v>12</v>
      </c>
      <c r="H17" s="201">
        <v>6</v>
      </c>
      <c r="I17" s="200">
        <v>4</v>
      </c>
      <c r="J17" s="200">
        <v>4</v>
      </c>
      <c r="K17" s="200">
        <v>8</v>
      </c>
      <c r="L17" s="200"/>
      <c r="M17" s="212">
        <v>4</v>
      </c>
      <c r="N17" s="212">
        <v>4</v>
      </c>
      <c r="O17" s="212">
        <v>4</v>
      </c>
      <c r="P17" s="212">
        <v>4</v>
      </c>
      <c r="Q17" s="212">
        <v>3</v>
      </c>
      <c r="R17" s="212">
        <v>3</v>
      </c>
      <c r="S17" s="212">
        <v>2</v>
      </c>
      <c r="T17" s="212" t="s">
        <v>198</v>
      </c>
      <c r="U17" s="212" t="s">
        <v>198</v>
      </c>
      <c r="V17" s="212" t="s">
        <v>198</v>
      </c>
    </row>
    <row r="18" spans="7:22" ht="19.5" customHeight="1" thickBot="1">
      <c r="G18" s="223">
        <v>13</v>
      </c>
      <c r="H18" s="223">
        <v>6</v>
      </c>
      <c r="I18" s="221">
        <v>4</v>
      </c>
      <c r="J18" s="221">
        <v>4</v>
      </c>
      <c r="K18" s="221">
        <v>8</v>
      </c>
      <c r="L18" s="221"/>
      <c r="M18" s="153">
        <v>4</v>
      </c>
      <c r="N18" s="153">
        <v>4</v>
      </c>
      <c r="O18" s="153">
        <v>4</v>
      </c>
      <c r="P18" s="153">
        <v>4</v>
      </c>
      <c r="Q18" s="153">
        <v>4</v>
      </c>
      <c r="R18" s="153">
        <v>3</v>
      </c>
      <c r="S18" s="153">
        <v>2</v>
      </c>
      <c r="T18" s="153">
        <v>1</v>
      </c>
      <c r="U18" s="153" t="s">
        <v>198</v>
      </c>
      <c r="V18" s="153" t="s">
        <v>198</v>
      </c>
    </row>
    <row r="19" spans="7:22" ht="19.5" customHeight="1" thickBot="1">
      <c r="G19" s="201">
        <v>14</v>
      </c>
      <c r="H19" s="201">
        <v>7</v>
      </c>
      <c r="I19" s="200">
        <v>4</v>
      </c>
      <c r="J19" s="200">
        <v>4</v>
      </c>
      <c r="K19" s="200">
        <v>9</v>
      </c>
      <c r="L19" s="200" t="s">
        <v>486</v>
      </c>
      <c r="M19" s="212">
        <v>4</v>
      </c>
      <c r="N19" s="212">
        <v>4</v>
      </c>
      <c r="O19" s="212">
        <v>4</v>
      </c>
      <c r="P19" s="212">
        <v>4</v>
      </c>
      <c r="Q19" s="212">
        <v>4</v>
      </c>
      <c r="R19" s="212">
        <v>3</v>
      </c>
      <c r="S19" s="212">
        <v>3</v>
      </c>
      <c r="T19" s="212">
        <v>2</v>
      </c>
      <c r="U19" s="212" t="s">
        <v>198</v>
      </c>
      <c r="V19" s="212" t="s">
        <v>198</v>
      </c>
    </row>
    <row r="20" spans="7:22" ht="19.5" customHeight="1" thickBot="1">
      <c r="G20" s="223">
        <v>15</v>
      </c>
      <c r="H20" s="223">
        <v>7</v>
      </c>
      <c r="I20" s="221">
        <v>5</v>
      </c>
      <c r="J20" s="221">
        <v>5</v>
      </c>
      <c r="K20" s="221">
        <v>9</v>
      </c>
      <c r="L20" s="221" t="s">
        <v>474</v>
      </c>
      <c r="M20" s="153">
        <v>4</v>
      </c>
      <c r="N20" s="153">
        <v>4</v>
      </c>
      <c r="O20" s="153">
        <v>4</v>
      </c>
      <c r="P20" s="153">
        <v>4</v>
      </c>
      <c r="Q20" s="153">
        <v>4</v>
      </c>
      <c r="R20" s="153">
        <v>4</v>
      </c>
      <c r="S20" s="153">
        <v>3</v>
      </c>
      <c r="T20" s="153">
        <v>2</v>
      </c>
      <c r="U20" s="153">
        <v>1</v>
      </c>
      <c r="V20" s="153" t="s">
        <v>198</v>
      </c>
    </row>
    <row r="21" spans="7:22" ht="19.5" customHeight="1" thickBot="1">
      <c r="G21" s="201">
        <v>16</v>
      </c>
      <c r="H21" s="201">
        <v>8</v>
      </c>
      <c r="I21" s="200">
        <v>5</v>
      </c>
      <c r="J21" s="200">
        <v>5</v>
      </c>
      <c r="K21" s="200">
        <v>10</v>
      </c>
      <c r="L21" s="200"/>
      <c r="M21" s="212">
        <v>4</v>
      </c>
      <c r="N21" s="212">
        <v>4</v>
      </c>
      <c r="O21" s="212">
        <v>4</v>
      </c>
      <c r="P21" s="212">
        <v>4</v>
      </c>
      <c r="Q21" s="212">
        <v>4</v>
      </c>
      <c r="R21" s="212">
        <v>4</v>
      </c>
      <c r="S21" s="212">
        <v>3</v>
      </c>
      <c r="T21" s="212">
        <v>3</v>
      </c>
      <c r="U21" s="212">
        <v>2</v>
      </c>
      <c r="V21" s="212" t="s">
        <v>198</v>
      </c>
    </row>
    <row r="22" spans="7:22" ht="19.5" customHeight="1" thickBot="1">
      <c r="G22" s="223">
        <v>17</v>
      </c>
      <c r="H22" s="223">
        <v>8</v>
      </c>
      <c r="I22" s="221">
        <v>5</v>
      </c>
      <c r="J22" s="221">
        <v>5</v>
      </c>
      <c r="K22" s="221">
        <v>10</v>
      </c>
      <c r="L22" s="221"/>
      <c r="M22" s="153">
        <v>4</v>
      </c>
      <c r="N22" s="153">
        <v>4</v>
      </c>
      <c r="O22" s="153">
        <v>4</v>
      </c>
      <c r="P22" s="153">
        <v>4</v>
      </c>
      <c r="Q22" s="153">
        <v>4</v>
      </c>
      <c r="R22" s="153">
        <v>4</v>
      </c>
      <c r="S22" s="153">
        <v>4</v>
      </c>
      <c r="T22" s="153">
        <v>3</v>
      </c>
      <c r="U22" s="153">
        <v>2</v>
      </c>
      <c r="V22" s="153">
        <v>1</v>
      </c>
    </row>
    <row r="23" spans="7:22" ht="19.5" customHeight="1" thickBot="1">
      <c r="G23" s="201">
        <v>18</v>
      </c>
      <c r="H23" s="201">
        <v>9</v>
      </c>
      <c r="I23" s="200">
        <v>6</v>
      </c>
      <c r="J23" s="200">
        <v>6</v>
      </c>
      <c r="K23" s="200">
        <v>11</v>
      </c>
      <c r="L23" s="200"/>
      <c r="M23" s="212">
        <v>4</v>
      </c>
      <c r="N23" s="212">
        <v>4</v>
      </c>
      <c r="O23" s="212">
        <v>4</v>
      </c>
      <c r="P23" s="212">
        <v>4</v>
      </c>
      <c r="Q23" s="212">
        <v>4</v>
      </c>
      <c r="R23" s="212">
        <v>4</v>
      </c>
      <c r="S23" s="212">
        <v>4</v>
      </c>
      <c r="T23" s="212">
        <v>3</v>
      </c>
      <c r="U23" s="212">
        <v>3</v>
      </c>
      <c r="V23" s="212">
        <v>2</v>
      </c>
    </row>
    <row r="24" spans="7:22" ht="19.5" customHeight="1" thickBot="1">
      <c r="G24" s="223">
        <v>19</v>
      </c>
      <c r="H24" s="223">
        <v>9</v>
      </c>
      <c r="I24" s="221">
        <v>6</v>
      </c>
      <c r="J24" s="221">
        <v>6</v>
      </c>
      <c r="K24" s="221">
        <v>11</v>
      </c>
      <c r="L24" s="221"/>
      <c r="M24" s="153">
        <v>4</v>
      </c>
      <c r="N24" s="153">
        <v>4</v>
      </c>
      <c r="O24" s="153">
        <v>4</v>
      </c>
      <c r="P24" s="153">
        <v>4</v>
      </c>
      <c r="Q24" s="153">
        <v>4</v>
      </c>
      <c r="R24" s="153">
        <v>4</v>
      </c>
      <c r="S24" s="153">
        <v>4</v>
      </c>
      <c r="T24" s="153">
        <v>4</v>
      </c>
      <c r="U24" s="153">
        <v>3</v>
      </c>
      <c r="V24" s="153">
        <v>3</v>
      </c>
    </row>
    <row r="25" spans="7:22" ht="19.5" customHeight="1" thickBot="1">
      <c r="G25" s="201">
        <v>20</v>
      </c>
      <c r="H25" s="201">
        <v>10</v>
      </c>
      <c r="I25" s="200">
        <v>6</v>
      </c>
      <c r="J25" s="200">
        <v>6</v>
      </c>
      <c r="K25" s="200">
        <v>12</v>
      </c>
      <c r="L25" s="200" t="s">
        <v>474</v>
      </c>
      <c r="M25" s="212">
        <v>4</v>
      </c>
      <c r="N25" s="212">
        <v>4</v>
      </c>
      <c r="O25" s="212">
        <v>4</v>
      </c>
      <c r="P25" s="212">
        <v>4</v>
      </c>
      <c r="Q25" s="212">
        <v>4</v>
      </c>
      <c r="R25" s="212">
        <v>4</v>
      </c>
      <c r="S25" s="212">
        <v>4</v>
      </c>
      <c r="T25" s="212">
        <v>4</v>
      </c>
      <c r="U25" s="212">
        <v>4</v>
      </c>
      <c r="V25" s="212">
        <v>4</v>
      </c>
    </row>
    <row r="26" spans="7:22" ht="15.75" thickBot="1"/>
    <row r="27" spans="7:22" ht="16.5" thickTop="1" thickBot="1">
      <c r="I27" s="930" t="s">
        <v>714</v>
      </c>
      <c r="J27" s="931"/>
      <c r="K27" s="931"/>
      <c r="L27" s="931"/>
      <c r="N27" s="196"/>
    </row>
    <row r="28" spans="7:22" ht="23.25" customHeight="1" thickTop="1" thickBot="1">
      <c r="I28" s="931"/>
      <c r="J28" s="931"/>
      <c r="K28" s="931"/>
      <c r="L28" s="931"/>
    </row>
    <row r="29" spans="7:22" ht="24.75" customHeight="1" thickTop="1" thickBot="1">
      <c r="I29" s="931"/>
      <c r="J29" s="931"/>
      <c r="K29" s="931"/>
      <c r="L29" s="931"/>
    </row>
    <row r="30" spans="7:22" ht="61.5" thickTop="1" thickBot="1">
      <c r="I30" s="234" t="s">
        <v>715</v>
      </c>
      <c r="J30" s="234" t="s">
        <v>716</v>
      </c>
      <c r="K30" s="234" t="s">
        <v>507</v>
      </c>
      <c r="L30" s="234" t="s">
        <v>472</v>
      </c>
    </row>
    <row r="31" spans="7:22" ht="46.5" thickTop="1" thickBot="1">
      <c r="I31" s="154" t="s">
        <v>717</v>
      </c>
      <c r="J31" s="154">
        <v>1</v>
      </c>
      <c r="K31" s="154">
        <v>6</v>
      </c>
      <c r="L31" s="154" t="s">
        <v>718</v>
      </c>
    </row>
    <row r="32" spans="7:22" ht="16.5" thickTop="1" thickBot="1">
      <c r="I32" s="234" t="s">
        <v>719</v>
      </c>
      <c r="J32" s="234">
        <v>2</v>
      </c>
      <c r="K32" s="234">
        <v>7</v>
      </c>
      <c r="L32" s="234" t="s">
        <v>720</v>
      </c>
    </row>
    <row r="33" spans="9:12" ht="16.5" thickTop="1" thickBot="1">
      <c r="I33" s="154" t="s">
        <v>721</v>
      </c>
      <c r="J33" s="154">
        <v>3</v>
      </c>
      <c r="K33" s="154">
        <v>8</v>
      </c>
      <c r="L33" s="154" t="s">
        <v>722</v>
      </c>
    </row>
    <row r="34" spans="9:12" ht="16.5" thickTop="1" thickBot="1">
      <c r="I34" s="234" t="s">
        <v>723</v>
      </c>
      <c r="J34" s="234">
        <v>4</v>
      </c>
      <c r="K34" s="234">
        <v>9</v>
      </c>
      <c r="L34" s="234" t="s">
        <v>724</v>
      </c>
    </row>
    <row r="35" spans="9:12" ht="16.5" thickTop="1" thickBot="1">
      <c r="I35" s="154" t="s">
        <v>725</v>
      </c>
      <c r="J35" s="154">
        <v>5</v>
      </c>
      <c r="K35" s="154">
        <v>10</v>
      </c>
      <c r="L35" s="154" t="s">
        <v>198</v>
      </c>
    </row>
    <row r="36" spans="9:12" ht="16.5" thickTop="1" thickBot="1">
      <c r="I36" s="234" t="s">
        <v>726</v>
      </c>
      <c r="J36" s="234">
        <v>6</v>
      </c>
      <c r="K36" s="234">
        <v>11</v>
      </c>
      <c r="L36" s="234" t="s">
        <v>727</v>
      </c>
    </row>
    <row r="37" spans="9:12" ht="16.5" thickTop="1" thickBot="1">
      <c r="I37" s="154" t="s">
        <v>728</v>
      </c>
      <c r="J37" s="154">
        <v>7</v>
      </c>
      <c r="K37" s="154">
        <v>12</v>
      </c>
      <c r="L37" s="154" t="s">
        <v>729</v>
      </c>
    </row>
    <row r="38" spans="9:12" ht="16.5" thickTop="1" thickBot="1">
      <c r="I38" s="234" t="s">
        <v>730</v>
      </c>
      <c r="J38" s="234">
        <v>8</v>
      </c>
      <c r="K38" s="234">
        <v>13</v>
      </c>
      <c r="L38" s="234" t="s">
        <v>198</v>
      </c>
    </row>
    <row r="39" spans="9:12" ht="16.5" thickTop="1" thickBot="1">
      <c r="I39" s="154" t="s">
        <v>731</v>
      </c>
      <c r="J39" s="154">
        <v>9</v>
      </c>
      <c r="K39" s="154">
        <v>14</v>
      </c>
      <c r="L39" s="154" t="s">
        <v>198</v>
      </c>
    </row>
    <row r="40" spans="9:12" ht="16.5" thickTop="1" thickBot="1">
      <c r="I40" s="234" t="s">
        <v>732</v>
      </c>
      <c r="J40" s="234">
        <v>10</v>
      </c>
      <c r="K40" s="234">
        <v>15</v>
      </c>
      <c r="L40" s="234" t="s">
        <v>198</v>
      </c>
    </row>
    <row r="41" spans="9:12" ht="15.75" thickTop="1"/>
  </sheetData>
  <mergeCells count="23">
    <mergeCell ref="A1:F3"/>
    <mergeCell ref="G1:G2"/>
    <mergeCell ref="H1:H2"/>
    <mergeCell ref="G3:H4"/>
    <mergeCell ref="A4:F5"/>
    <mergeCell ref="I3:I5"/>
    <mergeCell ref="J3:J5"/>
    <mergeCell ref="K3:K5"/>
    <mergeCell ref="L3:L5"/>
    <mergeCell ref="M3:V4"/>
    <mergeCell ref="I27:L29"/>
    <mergeCell ref="D6:F6"/>
    <mergeCell ref="D7:F7"/>
    <mergeCell ref="D8:F8"/>
    <mergeCell ref="D9:F9"/>
    <mergeCell ref="D10:F10"/>
    <mergeCell ref="D11:F11"/>
    <mergeCell ref="B11:C11"/>
    <mergeCell ref="B6:C6"/>
    <mergeCell ref="B7:C7"/>
    <mergeCell ref="B8:C8"/>
    <mergeCell ref="B9:C9"/>
    <mergeCell ref="B10:C1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showGridLines="0" workbookViewId="0">
      <selection activeCell="O32" sqref="O32"/>
    </sheetView>
  </sheetViews>
  <sheetFormatPr defaultRowHeight="15"/>
  <cols>
    <col min="7" max="11" width="9.42578125" bestFit="1" customWidth="1"/>
    <col min="12" max="12" width="48.5703125" customWidth="1"/>
    <col min="13" max="13" width="15" bestFit="1" customWidth="1"/>
    <col min="14" max="14" width="18.85546875" customWidth="1"/>
    <col min="15" max="15" width="14.7109375" customWidth="1"/>
    <col min="16" max="16" width="16" customWidth="1"/>
    <col min="18" max="18" width="16.42578125" customWidth="1"/>
    <col min="19" max="19" width="16.85546875" customWidth="1"/>
    <col min="20" max="20" width="15.85546875" customWidth="1"/>
  </cols>
  <sheetData>
    <row r="1" spans="1:20" ht="16.5" thickTop="1" thickBot="1">
      <c r="A1" s="948" t="s">
        <v>733</v>
      </c>
      <c r="B1" s="948"/>
      <c r="C1" s="948"/>
      <c r="D1" s="948"/>
      <c r="E1" s="948"/>
      <c r="F1" s="948"/>
      <c r="G1" s="940" t="s">
        <v>26</v>
      </c>
      <c r="H1" s="941">
        <v>8</v>
      </c>
    </row>
    <row r="2" spans="1:20" ht="16.5" thickTop="1" thickBot="1">
      <c r="A2" s="948"/>
      <c r="B2" s="948"/>
      <c r="C2" s="948"/>
      <c r="D2" s="948"/>
      <c r="E2" s="948"/>
      <c r="F2" s="948"/>
      <c r="G2" s="940"/>
      <c r="H2" s="941"/>
    </row>
    <row r="3" spans="1:20" ht="16.5" customHeight="1" thickTop="1" thickBot="1">
      <c r="A3" s="948"/>
      <c r="B3" s="948"/>
      <c r="C3" s="948"/>
      <c r="D3" s="948"/>
      <c r="E3" s="948"/>
      <c r="F3" s="948"/>
      <c r="G3" s="840" t="s">
        <v>107</v>
      </c>
      <c r="H3" s="841"/>
      <c r="I3" s="841"/>
      <c r="J3" s="841"/>
      <c r="K3" s="841"/>
      <c r="L3" s="841"/>
      <c r="M3" s="841"/>
      <c r="N3" s="841"/>
      <c r="O3" s="841"/>
      <c r="P3" s="841"/>
      <c r="Q3" s="841"/>
      <c r="R3" s="841"/>
      <c r="S3" s="841"/>
      <c r="T3" s="841"/>
    </row>
    <row r="4" spans="1:20" ht="16.5" customHeight="1" thickTop="1" thickBot="1">
      <c r="A4" s="944" t="s">
        <v>44</v>
      </c>
      <c r="B4" s="944"/>
      <c r="C4" s="944"/>
      <c r="D4" s="944"/>
      <c r="E4" s="944"/>
      <c r="F4" s="944"/>
      <c r="G4" s="840"/>
      <c r="H4" s="841"/>
      <c r="I4" s="841"/>
      <c r="J4" s="841"/>
      <c r="K4" s="841"/>
      <c r="L4" s="841"/>
      <c r="M4" s="841"/>
      <c r="N4" s="841"/>
      <c r="O4" s="841"/>
      <c r="P4" s="841"/>
      <c r="Q4" s="841"/>
      <c r="R4" s="841"/>
      <c r="S4" s="841"/>
      <c r="T4" s="841"/>
    </row>
    <row r="5" spans="1:20" ht="31.5" thickTop="1" thickBot="1">
      <c r="A5" s="944"/>
      <c r="B5" s="944"/>
      <c r="C5" s="944"/>
      <c r="D5" s="944"/>
      <c r="E5" s="944"/>
      <c r="F5" s="944"/>
      <c r="G5" s="202" t="s">
        <v>470</v>
      </c>
      <c r="H5" s="203" t="s">
        <v>471</v>
      </c>
      <c r="I5" s="204" t="s">
        <v>584</v>
      </c>
      <c r="J5" s="204" t="s">
        <v>585</v>
      </c>
      <c r="K5" s="204" t="s">
        <v>201</v>
      </c>
      <c r="L5" s="204" t="s">
        <v>472</v>
      </c>
      <c r="M5" s="945" t="s">
        <v>734</v>
      </c>
      <c r="N5" s="946"/>
      <c r="O5" s="946"/>
      <c r="P5" s="946"/>
      <c r="Q5" s="947"/>
      <c r="R5" s="204" t="s">
        <v>735</v>
      </c>
      <c r="S5" s="204" t="s">
        <v>736</v>
      </c>
      <c r="T5" s="204" t="s">
        <v>737</v>
      </c>
    </row>
    <row r="6" spans="1:20" s="145" customFormat="1" ht="36" customHeight="1" thickTop="1" thickBot="1">
      <c r="A6" s="229">
        <v>1</v>
      </c>
      <c r="B6" s="929" t="s">
        <v>738</v>
      </c>
      <c r="C6" s="929"/>
      <c r="D6" s="929"/>
      <c r="E6" s="929" t="s">
        <v>499</v>
      </c>
      <c r="F6" s="929"/>
      <c r="G6" s="224">
        <v>1</v>
      </c>
      <c r="H6" s="225">
        <v>0</v>
      </c>
      <c r="I6" s="224">
        <v>2</v>
      </c>
      <c r="J6" s="224">
        <v>2</v>
      </c>
      <c r="K6" s="224">
        <v>2</v>
      </c>
      <c r="L6" s="224" t="s">
        <v>739</v>
      </c>
      <c r="M6" s="416" t="s">
        <v>1161</v>
      </c>
      <c r="N6" s="417" t="s">
        <v>1162</v>
      </c>
      <c r="O6" s="417" t="s">
        <v>1165</v>
      </c>
      <c r="P6" s="417" t="s">
        <v>1165</v>
      </c>
      <c r="Q6" s="417" t="s">
        <v>1165</v>
      </c>
      <c r="R6" s="224" t="s">
        <v>740</v>
      </c>
      <c r="S6" s="224">
        <v>0</v>
      </c>
      <c r="T6" s="224" t="s">
        <v>741</v>
      </c>
    </row>
    <row r="7" spans="1:20" s="145" customFormat="1" ht="36" customHeight="1" thickTop="1" thickBot="1">
      <c r="A7" s="229">
        <v>2</v>
      </c>
      <c r="B7" s="929" t="s">
        <v>53</v>
      </c>
      <c r="C7" s="929"/>
      <c r="D7" s="929"/>
      <c r="E7" s="929" t="s">
        <v>166</v>
      </c>
      <c r="F7" s="929"/>
      <c r="G7" s="205">
        <v>2</v>
      </c>
      <c r="H7" s="206">
        <v>1</v>
      </c>
      <c r="I7" s="207">
        <v>3</v>
      </c>
      <c r="J7" s="207">
        <v>3</v>
      </c>
      <c r="K7" s="207">
        <v>3</v>
      </c>
      <c r="L7" s="207" t="s">
        <v>742</v>
      </c>
      <c r="M7" s="415" t="s">
        <v>1163</v>
      </c>
      <c r="N7" s="418" t="s">
        <v>1164</v>
      </c>
      <c r="O7" s="417" t="s">
        <v>1165</v>
      </c>
      <c r="P7" s="417" t="s">
        <v>1165</v>
      </c>
      <c r="Q7" s="417" t="s">
        <v>1165</v>
      </c>
      <c r="R7" s="207" t="s">
        <v>740</v>
      </c>
      <c r="S7" s="207">
        <v>0</v>
      </c>
      <c r="T7" s="207" t="s">
        <v>741</v>
      </c>
    </row>
    <row r="8" spans="1:20" s="145" customFormat="1" ht="36" customHeight="1" thickTop="1" thickBot="1">
      <c r="A8" s="229">
        <v>3</v>
      </c>
      <c r="B8" s="929" t="s">
        <v>549</v>
      </c>
      <c r="C8" s="929"/>
      <c r="D8" s="929"/>
      <c r="E8" s="929" t="s">
        <v>166</v>
      </c>
      <c r="F8" s="929"/>
      <c r="G8" s="226">
        <v>3</v>
      </c>
      <c r="H8" s="227">
        <v>2</v>
      </c>
      <c r="I8" s="224">
        <v>3</v>
      </c>
      <c r="J8" s="224">
        <v>3</v>
      </c>
      <c r="K8" s="224">
        <v>3</v>
      </c>
      <c r="L8" s="224" t="s">
        <v>743</v>
      </c>
      <c r="M8" s="416">
        <v>0</v>
      </c>
      <c r="N8" s="417">
        <v>0</v>
      </c>
      <c r="O8" s="417" t="s">
        <v>1165</v>
      </c>
      <c r="P8" s="417" t="s">
        <v>1165</v>
      </c>
      <c r="Q8" s="417" t="s">
        <v>1165</v>
      </c>
      <c r="R8" s="224" t="s">
        <v>740</v>
      </c>
      <c r="S8" s="224">
        <v>0</v>
      </c>
      <c r="T8" s="224" t="s">
        <v>744</v>
      </c>
    </row>
    <row r="9" spans="1:20" s="145" customFormat="1" ht="36" customHeight="1" thickTop="1" thickBot="1">
      <c r="A9" s="229">
        <v>4</v>
      </c>
      <c r="B9" s="929" t="s">
        <v>473</v>
      </c>
      <c r="C9" s="929"/>
      <c r="D9" s="929"/>
      <c r="E9" s="929" t="s">
        <v>25</v>
      </c>
      <c r="F9" s="929"/>
      <c r="G9" s="205">
        <v>4</v>
      </c>
      <c r="H9" s="206">
        <v>3</v>
      </c>
      <c r="I9" s="207">
        <v>4</v>
      </c>
      <c r="J9" s="207">
        <v>4</v>
      </c>
      <c r="K9" s="207">
        <v>4</v>
      </c>
      <c r="L9" s="207" t="s">
        <v>745</v>
      </c>
      <c r="M9" s="415">
        <v>1</v>
      </c>
      <c r="N9" s="418">
        <v>1</v>
      </c>
      <c r="O9" s="417" t="s">
        <v>1165</v>
      </c>
      <c r="P9" s="417" t="s">
        <v>1165</v>
      </c>
      <c r="Q9" s="417" t="s">
        <v>1165</v>
      </c>
      <c r="R9" s="207" t="s">
        <v>746</v>
      </c>
      <c r="S9" s="207">
        <v>0</v>
      </c>
      <c r="T9" s="207" t="s">
        <v>744</v>
      </c>
    </row>
    <row r="10" spans="1:20" s="145" customFormat="1" ht="36" customHeight="1" thickTop="1" thickBot="1">
      <c r="A10" s="229">
        <v>5</v>
      </c>
      <c r="B10" s="929" t="s">
        <v>57</v>
      </c>
      <c r="C10" s="929"/>
      <c r="D10" s="929"/>
      <c r="E10" s="929" t="s">
        <v>499</v>
      </c>
      <c r="F10" s="929"/>
      <c r="G10" s="226">
        <v>5</v>
      </c>
      <c r="H10" s="227">
        <v>3</v>
      </c>
      <c r="I10" s="224">
        <v>4</v>
      </c>
      <c r="J10" s="224">
        <v>4</v>
      </c>
      <c r="K10" s="224">
        <v>4</v>
      </c>
      <c r="L10" s="224" t="s">
        <v>747</v>
      </c>
      <c r="M10" s="416">
        <v>2</v>
      </c>
      <c r="N10" s="417">
        <v>2</v>
      </c>
      <c r="O10" s="417" t="s">
        <v>1165</v>
      </c>
      <c r="P10" s="417" t="s">
        <v>1165</v>
      </c>
      <c r="Q10" s="417" t="s">
        <v>1165</v>
      </c>
      <c r="R10" s="224" t="s">
        <v>746</v>
      </c>
      <c r="S10" s="224">
        <v>1</v>
      </c>
      <c r="T10" s="224" t="s">
        <v>744</v>
      </c>
    </row>
    <row r="11" spans="1:20" s="145" customFormat="1" ht="36" customHeight="1" thickTop="1" thickBot="1">
      <c r="A11" s="229">
        <v>6</v>
      </c>
      <c r="B11" s="929" t="s">
        <v>650</v>
      </c>
      <c r="C11" s="929"/>
      <c r="D11" s="929"/>
      <c r="E11" s="929" t="s">
        <v>507</v>
      </c>
      <c r="F11" s="929"/>
      <c r="G11" s="205">
        <v>6</v>
      </c>
      <c r="H11" s="206">
        <v>4</v>
      </c>
      <c r="I11" s="207">
        <v>5</v>
      </c>
      <c r="J11" s="207">
        <v>5</v>
      </c>
      <c r="K11" s="207">
        <v>5</v>
      </c>
      <c r="L11" s="207" t="s">
        <v>748</v>
      </c>
      <c r="M11" s="415">
        <v>3</v>
      </c>
      <c r="N11" s="418">
        <v>3</v>
      </c>
      <c r="O11" s="417" t="s">
        <v>1165</v>
      </c>
      <c r="P11" s="417" t="s">
        <v>1165</v>
      </c>
      <c r="Q11" s="417" t="s">
        <v>1165</v>
      </c>
      <c r="R11" s="207" t="s">
        <v>746</v>
      </c>
      <c r="S11" s="207">
        <v>1</v>
      </c>
      <c r="T11" s="207" t="s">
        <v>749</v>
      </c>
    </row>
    <row r="12" spans="1:20" s="145" customFormat="1" ht="36" customHeight="1" thickTop="1" thickBot="1">
      <c r="A12" s="229">
        <v>7</v>
      </c>
      <c r="B12" s="929" t="s">
        <v>654</v>
      </c>
      <c r="C12" s="929"/>
      <c r="D12" s="929"/>
      <c r="E12" s="929" t="s">
        <v>507</v>
      </c>
      <c r="F12" s="929"/>
      <c r="G12" s="226">
        <v>7</v>
      </c>
      <c r="H12" s="227">
        <v>5</v>
      </c>
      <c r="I12" s="224">
        <v>5</v>
      </c>
      <c r="J12" s="224">
        <v>5</v>
      </c>
      <c r="K12" s="224">
        <v>5</v>
      </c>
      <c r="L12" s="224" t="s">
        <v>750</v>
      </c>
      <c r="M12" s="416">
        <v>4</v>
      </c>
      <c r="N12" s="417">
        <v>4</v>
      </c>
      <c r="O12" s="417" t="s">
        <v>1165</v>
      </c>
      <c r="P12" s="417" t="s">
        <v>1165</v>
      </c>
      <c r="Q12" s="417" t="s">
        <v>1165</v>
      </c>
      <c r="R12" s="224" t="s">
        <v>746</v>
      </c>
      <c r="S12" s="224">
        <v>1</v>
      </c>
      <c r="T12" s="224" t="s">
        <v>749</v>
      </c>
    </row>
    <row r="13" spans="1:20" s="145" customFormat="1" ht="36" customHeight="1" thickTop="1" thickBot="1">
      <c r="A13" s="229">
        <v>8</v>
      </c>
      <c r="B13" s="929" t="s">
        <v>751</v>
      </c>
      <c r="C13" s="929"/>
      <c r="D13" s="929"/>
      <c r="E13" s="929" t="s">
        <v>166</v>
      </c>
      <c r="F13" s="929"/>
      <c r="G13" s="205">
        <v>8</v>
      </c>
      <c r="H13" s="206">
        <v>6</v>
      </c>
      <c r="I13" s="207">
        <v>6</v>
      </c>
      <c r="J13" s="207">
        <v>6</v>
      </c>
      <c r="K13" s="207">
        <v>6</v>
      </c>
      <c r="L13" s="207" t="s">
        <v>752</v>
      </c>
      <c r="M13" s="415">
        <v>5</v>
      </c>
      <c r="N13" s="418">
        <v>5</v>
      </c>
      <c r="O13" s="417">
        <v>0</v>
      </c>
      <c r="P13" s="417" t="s">
        <v>1165</v>
      </c>
      <c r="Q13" s="417" t="s">
        <v>1165</v>
      </c>
      <c r="R13" s="207" t="s">
        <v>753</v>
      </c>
      <c r="S13" s="207">
        <v>1</v>
      </c>
      <c r="T13" s="207" t="s">
        <v>749</v>
      </c>
    </row>
    <row r="14" spans="1:20" s="145" customFormat="1" ht="36" customHeight="1" thickTop="1" thickBot="1">
      <c r="A14" s="229">
        <v>9</v>
      </c>
      <c r="B14" s="929" t="s">
        <v>64</v>
      </c>
      <c r="C14" s="929"/>
      <c r="D14" s="929"/>
      <c r="E14" s="929" t="s">
        <v>588</v>
      </c>
      <c r="F14" s="929"/>
      <c r="G14" s="226">
        <v>9</v>
      </c>
      <c r="H14" s="227">
        <v>6</v>
      </c>
      <c r="I14" s="224">
        <v>6</v>
      </c>
      <c r="J14" s="224">
        <v>6</v>
      </c>
      <c r="K14" s="224">
        <v>6</v>
      </c>
      <c r="L14" s="224" t="s">
        <v>754</v>
      </c>
      <c r="M14" s="416">
        <v>6</v>
      </c>
      <c r="N14" s="417">
        <v>6</v>
      </c>
      <c r="O14" s="417">
        <v>1</v>
      </c>
      <c r="P14" s="417" t="s">
        <v>1165</v>
      </c>
      <c r="Q14" s="417" t="s">
        <v>1165</v>
      </c>
      <c r="R14" s="224" t="s">
        <v>753</v>
      </c>
      <c r="S14" s="224">
        <v>1</v>
      </c>
      <c r="T14" s="224" t="s">
        <v>755</v>
      </c>
    </row>
    <row r="15" spans="1:20" s="145" customFormat="1" ht="36" customHeight="1" thickTop="1" thickBot="1">
      <c r="A15" s="229">
        <v>10</v>
      </c>
      <c r="B15" s="929" t="s">
        <v>565</v>
      </c>
      <c r="C15" s="929"/>
      <c r="D15" s="929"/>
      <c r="E15" s="929" t="s">
        <v>168</v>
      </c>
      <c r="F15" s="929"/>
      <c r="G15" s="205">
        <v>10</v>
      </c>
      <c r="H15" s="206">
        <v>7</v>
      </c>
      <c r="I15" s="207">
        <v>7</v>
      </c>
      <c r="J15" s="207">
        <v>7</v>
      </c>
      <c r="K15" s="207">
        <v>7</v>
      </c>
      <c r="L15" s="207" t="s">
        <v>756</v>
      </c>
      <c r="M15" s="415">
        <v>7</v>
      </c>
      <c r="N15" s="418">
        <v>7</v>
      </c>
      <c r="O15" s="418">
        <v>2</v>
      </c>
      <c r="P15" s="417" t="s">
        <v>1165</v>
      </c>
      <c r="Q15" s="417" t="s">
        <v>1165</v>
      </c>
      <c r="R15" s="207" t="s">
        <v>753</v>
      </c>
      <c r="S15" s="207">
        <v>2</v>
      </c>
      <c r="T15" s="207" t="s">
        <v>755</v>
      </c>
    </row>
    <row r="16" spans="1:20" s="145" customFormat="1" ht="36" customHeight="1" thickTop="1" thickBot="1">
      <c r="A16" s="229">
        <v>11</v>
      </c>
      <c r="B16" s="929" t="s">
        <v>76</v>
      </c>
      <c r="C16" s="929"/>
      <c r="D16" s="929"/>
      <c r="E16" s="929" t="s">
        <v>25</v>
      </c>
      <c r="F16" s="929"/>
      <c r="G16" s="226">
        <v>11</v>
      </c>
      <c r="H16" s="227">
        <v>8</v>
      </c>
      <c r="I16" s="224">
        <v>7</v>
      </c>
      <c r="J16" s="224">
        <v>7</v>
      </c>
      <c r="K16" s="224">
        <v>7</v>
      </c>
      <c r="L16" s="224" t="s">
        <v>757</v>
      </c>
      <c r="M16" s="416">
        <v>8</v>
      </c>
      <c r="N16" s="417">
        <v>8</v>
      </c>
      <c r="O16" s="417">
        <v>8</v>
      </c>
      <c r="P16" s="417">
        <v>3</v>
      </c>
      <c r="Q16" s="417" t="s">
        <v>1165</v>
      </c>
      <c r="R16" s="224" t="s">
        <v>753</v>
      </c>
      <c r="S16" s="224">
        <v>2</v>
      </c>
      <c r="T16" s="224" t="s">
        <v>755</v>
      </c>
    </row>
    <row r="17" spans="1:20" s="145" customFormat="1" ht="36" customHeight="1" thickTop="1" thickBot="1">
      <c r="A17" s="229">
        <v>12</v>
      </c>
      <c r="B17" s="929" t="s">
        <v>533</v>
      </c>
      <c r="C17" s="929"/>
      <c r="D17" s="929"/>
      <c r="E17" s="929" t="s">
        <v>168</v>
      </c>
      <c r="F17" s="929"/>
      <c r="G17" s="205">
        <v>12</v>
      </c>
      <c r="H17" s="206">
        <v>9</v>
      </c>
      <c r="I17" s="207">
        <v>8</v>
      </c>
      <c r="J17" s="207">
        <v>8</v>
      </c>
      <c r="K17" s="207">
        <v>8</v>
      </c>
      <c r="L17" s="207" t="s">
        <v>758</v>
      </c>
      <c r="M17" s="415">
        <v>9</v>
      </c>
      <c r="N17" s="418">
        <v>9</v>
      </c>
      <c r="O17" s="418">
        <v>9</v>
      </c>
      <c r="P17" s="418">
        <v>4</v>
      </c>
      <c r="Q17" s="417" t="s">
        <v>1165</v>
      </c>
      <c r="R17" s="207" t="s">
        <v>759</v>
      </c>
      <c r="S17" s="207">
        <v>2</v>
      </c>
      <c r="T17" s="207" t="s">
        <v>760</v>
      </c>
    </row>
    <row r="18" spans="1:20" s="145" customFormat="1" ht="36" customHeight="1" thickTop="1" thickBot="1">
      <c r="A18" s="229">
        <v>13</v>
      </c>
      <c r="B18" s="929" t="s">
        <v>600</v>
      </c>
      <c r="C18" s="929"/>
      <c r="D18" s="929"/>
      <c r="E18" s="929" t="s">
        <v>168</v>
      </c>
      <c r="F18" s="929"/>
      <c r="G18" s="226">
        <v>13</v>
      </c>
      <c r="H18" s="227">
        <v>9</v>
      </c>
      <c r="I18" s="224">
        <v>8</v>
      </c>
      <c r="J18" s="224">
        <v>8</v>
      </c>
      <c r="K18" s="224">
        <v>8</v>
      </c>
      <c r="L18" s="224" t="s">
        <v>761</v>
      </c>
      <c r="M18" s="416">
        <v>9</v>
      </c>
      <c r="N18" s="417">
        <v>9</v>
      </c>
      <c r="O18" s="417">
        <v>9</v>
      </c>
      <c r="P18" s="417">
        <v>4</v>
      </c>
      <c r="Q18" s="417" t="s">
        <v>1165</v>
      </c>
      <c r="R18" s="224" t="s">
        <v>759</v>
      </c>
      <c r="S18" s="224">
        <v>2</v>
      </c>
      <c r="T18" s="224" t="s">
        <v>760</v>
      </c>
    </row>
    <row r="19" spans="1:20" s="145" customFormat="1" ht="36" customHeight="1" thickTop="1" thickBot="1">
      <c r="A19" s="229">
        <v>14</v>
      </c>
      <c r="B19" s="929" t="s">
        <v>477</v>
      </c>
      <c r="C19" s="929"/>
      <c r="D19" s="929"/>
      <c r="E19" s="929" t="s">
        <v>25</v>
      </c>
      <c r="F19" s="929"/>
      <c r="G19" s="205">
        <v>14</v>
      </c>
      <c r="H19" s="206">
        <v>10</v>
      </c>
      <c r="I19" s="207">
        <v>9</v>
      </c>
      <c r="J19" s="207">
        <v>9</v>
      </c>
      <c r="K19" s="207">
        <v>9</v>
      </c>
      <c r="L19" s="207" t="s">
        <v>762</v>
      </c>
      <c r="M19" s="415">
        <v>10</v>
      </c>
      <c r="N19" s="418">
        <v>10</v>
      </c>
      <c r="O19" s="418">
        <v>10</v>
      </c>
      <c r="P19" s="418">
        <v>5</v>
      </c>
      <c r="Q19" s="417" t="s">
        <v>1165</v>
      </c>
      <c r="R19" s="207" t="s">
        <v>759</v>
      </c>
      <c r="S19" s="207">
        <v>2</v>
      </c>
      <c r="T19" s="207" t="s">
        <v>760</v>
      </c>
    </row>
    <row r="20" spans="1:20" s="145" customFormat="1" ht="36" customHeight="1" thickTop="1" thickBot="1">
      <c r="A20" s="229">
        <v>15</v>
      </c>
      <c r="B20" s="929" t="s">
        <v>479</v>
      </c>
      <c r="C20" s="929"/>
      <c r="D20" s="929"/>
      <c r="E20" s="929" t="s">
        <v>507</v>
      </c>
      <c r="F20" s="929"/>
      <c r="G20" s="226">
        <v>15</v>
      </c>
      <c r="H20" s="227">
        <v>11</v>
      </c>
      <c r="I20" s="224">
        <v>9</v>
      </c>
      <c r="J20" s="224">
        <v>9</v>
      </c>
      <c r="K20" s="224">
        <v>9</v>
      </c>
      <c r="L20" s="224" t="s">
        <v>763</v>
      </c>
      <c r="M20" s="416">
        <v>11</v>
      </c>
      <c r="N20" s="417">
        <v>11</v>
      </c>
      <c r="O20" s="417">
        <v>11</v>
      </c>
      <c r="P20" s="417">
        <v>6</v>
      </c>
      <c r="Q20" s="417">
        <v>1</v>
      </c>
      <c r="R20" s="224" t="s">
        <v>759</v>
      </c>
      <c r="S20" s="224">
        <v>3</v>
      </c>
      <c r="T20" s="224" t="s">
        <v>764</v>
      </c>
    </row>
    <row r="21" spans="1:20" s="145" customFormat="1" ht="36" customHeight="1" thickTop="1" thickBot="1">
      <c r="A21" s="229">
        <v>16</v>
      </c>
      <c r="B21" s="929" t="s">
        <v>765</v>
      </c>
      <c r="C21" s="929"/>
      <c r="D21" s="929"/>
      <c r="E21" s="929" t="s">
        <v>166</v>
      </c>
      <c r="F21" s="929"/>
      <c r="G21" s="205">
        <v>16</v>
      </c>
      <c r="H21" s="206">
        <v>12</v>
      </c>
      <c r="I21" s="207">
        <v>10</v>
      </c>
      <c r="J21" s="207">
        <v>10</v>
      </c>
      <c r="K21" s="207">
        <v>10</v>
      </c>
      <c r="L21" s="207" t="s">
        <v>766</v>
      </c>
      <c r="M21" s="415">
        <v>12</v>
      </c>
      <c r="N21" s="418">
        <v>12</v>
      </c>
      <c r="O21" s="418">
        <v>12</v>
      </c>
      <c r="P21" s="418">
        <v>7</v>
      </c>
      <c r="Q21" s="418">
        <v>2</v>
      </c>
      <c r="R21" s="207" t="s">
        <v>767</v>
      </c>
      <c r="S21" s="207">
        <v>3</v>
      </c>
      <c r="T21" s="207" t="s">
        <v>764</v>
      </c>
    </row>
    <row r="22" spans="1:20" s="145" customFormat="1" ht="36" customHeight="1" thickTop="1" thickBot="1">
      <c r="A22" s="229">
        <v>17</v>
      </c>
      <c r="B22" s="929" t="s">
        <v>768</v>
      </c>
      <c r="C22" s="929"/>
      <c r="D22" s="929"/>
      <c r="E22" s="929" t="s">
        <v>166</v>
      </c>
      <c r="F22" s="929"/>
      <c r="G22" s="226">
        <v>17</v>
      </c>
      <c r="H22" s="227">
        <v>12</v>
      </c>
      <c r="I22" s="224">
        <v>10</v>
      </c>
      <c r="J22" s="224">
        <v>10</v>
      </c>
      <c r="K22" s="224">
        <v>10</v>
      </c>
      <c r="L22" s="224" t="s">
        <v>769</v>
      </c>
      <c r="M22" s="416">
        <v>12</v>
      </c>
      <c r="N22" s="417">
        <v>12</v>
      </c>
      <c r="O22" s="417">
        <v>12</v>
      </c>
      <c r="P22" s="417">
        <v>7</v>
      </c>
      <c r="Q22" s="417">
        <v>2</v>
      </c>
      <c r="R22" s="224" t="s">
        <v>767</v>
      </c>
      <c r="S22" s="224">
        <v>3</v>
      </c>
      <c r="T22" s="224" t="s">
        <v>764</v>
      </c>
    </row>
    <row r="23" spans="1:20" s="145" customFormat="1" ht="36" customHeight="1" thickTop="1" thickBot="1">
      <c r="G23" s="208">
        <v>18</v>
      </c>
      <c r="H23" s="206">
        <v>13</v>
      </c>
      <c r="I23" s="207">
        <v>11</v>
      </c>
      <c r="J23" s="207">
        <v>11</v>
      </c>
      <c r="K23" s="207">
        <v>11</v>
      </c>
      <c r="L23" s="207" t="s">
        <v>770</v>
      </c>
      <c r="M23" s="415">
        <v>13</v>
      </c>
      <c r="N23" s="418">
        <v>13</v>
      </c>
      <c r="O23" s="418">
        <v>13</v>
      </c>
      <c r="P23" s="418">
        <v>8</v>
      </c>
      <c r="Q23" s="418">
        <v>3</v>
      </c>
      <c r="R23" s="207" t="s">
        <v>767</v>
      </c>
      <c r="S23" s="207">
        <v>3</v>
      </c>
      <c r="T23" s="207" t="s">
        <v>771</v>
      </c>
    </row>
    <row r="24" spans="1:20" s="145" customFormat="1" ht="36" customHeight="1" thickBot="1">
      <c r="B24"/>
      <c r="G24" s="228">
        <v>19</v>
      </c>
      <c r="H24" s="227">
        <v>14</v>
      </c>
      <c r="I24" s="224">
        <v>11</v>
      </c>
      <c r="J24" s="224">
        <v>11</v>
      </c>
      <c r="K24" s="224">
        <v>11</v>
      </c>
      <c r="L24" s="224" t="s">
        <v>772</v>
      </c>
      <c r="M24" s="416">
        <v>14</v>
      </c>
      <c r="N24" s="417">
        <v>14</v>
      </c>
      <c r="O24" s="417">
        <v>14</v>
      </c>
      <c r="P24" s="417">
        <v>9</v>
      </c>
      <c r="Q24" s="417">
        <v>4</v>
      </c>
      <c r="R24" s="224" t="s">
        <v>767</v>
      </c>
      <c r="S24" s="224">
        <v>3</v>
      </c>
      <c r="T24" s="224" t="s">
        <v>771</v>
      </c>
    </row>
    <row r="25" spans="1:20" s="145" customFormat="1" ht="36" customHeight="1" thickBot="1">
      <c r="G25" s="208">
        <v>20</v>
      </c>
      <c r="H25" s="206">
        <v>15</v>
      </c>
      <c r="I25" s="207">
        <v>12</v>
      </c>
      <c r="J25" s="207">
        <v>12</v>
      </c>
      <c r="K25" s="207">
        <v>12</v>
      </c>
      <c r="L25" s="207" t="s">
        <v>773</v>
      </c>
      <c r="M25" s="415">
        <v>15</v>
      </c>
      <c r="N25" s="418">
        <v>15</v>
      </c>
      <c r="O25" s="418">
        <v>15</v>
      </c>
      <c r="P25" s="418">
        <v>10</v>
      </c>
      <c r="Q25" s="418">
        <v>5</v>
      </c>
      <c r="R25" s="207" t="s">
        <v>774</v>
      </c>
      <c r="S25" s="207">
        <v>4</v>
      </c>
      <c r="T25" s="207" t="s">
        <v>771</v>
      </c>
    </row>
    <row r="26" spans="1:20" ht="15.75" thickBot="1"/>
    <row r="27" spans="1:20" ht="63" customHeight="1" thickBot="1">
      <c r="M27" s="194" t="s">
        <v>2</v>
      </c>
      <c r="N27" s="194" t="s">
        <v>775</v>
      </c>
      <c r="O27" s="194" t="s">
        <v>776</v>
      </c>
    </row>
    <row r="28" spans="1:20" ht="19.5" thickBot="1">
      <c r="M28" s="225">
        <v>1</v>
      </c>
      <c r="N28" s="225" t="s">
        <v>777</v>
      </c>
      <c r="O28" s="225" t="s">
        <v>746</v>
      </c>
    </row>
    <row r="29" spans="1:20" ht="19.5" thickBot="1">
      <c r="M29" s="421">
        <v>2</v>
      </c>
      <c r="N29" s="225" t="s">
        <v>777</v>
      </c>
      <c r="O29" s="225" t="s">
        <v>746</v>
      </c>
    </row>
    <row r="30" spans="1:20" ht="19.5" thickBot="1">
      <c r="M30" s="422">
        <v>3</v>
      </c>
      <c r="N30" s="225" t="s">
        <v>777</v>
      </c>
      <c r="O30" s="225" t="s">
        <v>746</v>
      </c>
    </row>
    <row r="31" spans="1:20" ht="19.5" thickBot="1">
      <c r="M31" s="421">
        <v>4</v>
      </c>
      <c r="N31" s="415" t="s">
        <v>740</v>
      </c>
      <c r="O31" s="415" t="s">
        <v>759</v>
      </c>
    </row>
    <row r="32" spans="1:20" ht="19.5" thickBot="1">
      <c r="M32" s="422">
        <v>5</v>
      </c>
      <c r="N32" s="415" t="s">
        <v>740</v>
      </c>
      <c r="O32" s="415" t="s">
        <v>759</v>
      </c>
    </row>
    <row r="33" spans="13:15" ht="19.5" thickBot="1">
      <c r="M33" s="421">
        <v>6</v>
      </c>
      <c r="N33" s="415" t="s">
        <v>740</v>
      </c>
      <c r="O33" s="415" t="s">
        <v>759</v>
      </c>
    </row>
    <row r="34" spans="13:15" ht="19.5" thickBot="1">
      <c r="M34" s="422">
        <v>7</v>
      </c>
      <c r="N34" s="415" t="s">
        <v>740</v>
      </c>
      <c r="O34" s="415" t="s">
        <v>759</v>
      </c>
    </row>
    <row r="35" spans="13:15" ht="19.5" thickBot="1">
      <c r="M35" s="421">
        <v>8</v>
      </c>
      <c r="N35" s="225" t="s">
        <v>746</v>
      </c>
      <c r="O35" s="225" t="s">
        <v>767</v>
      </c>
    </row>
    <row r="36" spans="13:15" ht="19.5" thickBot="1">
      <c r="M36" s="422">
        <v>9</v>
      </c>
      <c r="N36" s="225" t="s">
        <v>746</v>
      </c>
      <c r="O36" s="225" t="s">
        <v>767</v>
      </c>
    </row>
    <row r="37" spans="13:15" ht="19.5" thickBot="1">
      <c r="M37" s="421">
        <v>10</v>
      </c>
      <c r="N37" s="225" t="s">
        <v>746</v>
      </c>
      <c r="O37" s="225" t="s">
        <v>767</v>
      </c>
    </row>
    <row r="38" spans="13:15" ht="19.5" thickBot="1">
      <c r="M38" s="422">
        <v>11</v>
      </c>
      <c r="N38" s="225" t="s">
        <v>746</v>
      </c>
      <c r="O38" s="225" t="s">
        <v>767</v>
      </c>
    </row>
    <row r="39" spans="13:15" ht="19.5" thickBot="1">
      <c r="M39" s="421">
        <v>12</v>
      </c>
      <c r="N39" s="415" t="s">
        <v>753</v>
      </c>
      <c r="O39" s="415" t="s">
        <v>778</v>
      </c>
    </row>
    <row r="40" spans="13:15" ht="19.5" thickBot="1">
      <c r="M40" s="422">
        <v>13</v>
      </c>
      <c r="N40" s="415" t="s">
        <v>753</v>
      </c>
      <c r="O40" s="415" t="s">
        <v>778</v>
      </c>
    </row>
    <row r="41" spans="13:15" ht="19.5" thickBot="1">
      <c r="M41" s="421">
        <v>14</v>
      </c>
      <c r="N41" s="415" t="s">
        <v>753</v>
      </c>
      <c r="O41" s="415" t="s">
        <v>778</v>
      </c>
    </row>
    <row r="42" spans="13:15" ht="19.5" thickBot="1">
      <c r="M42" s="422">
        <v>15</v>
      </c>
      <c r="N42" s="415" t="s">
        <v>753</v>
      </c>
      <c r="O42" s="415" t="s">
        <v>778</v>
      </c>
    </row>
    <row r="43" spans="13:15" ht="19.5" thickBot="1">
      <c r="M43" s="421">
        <v>16</v>
      </c>
      <c r="N43" s="225" t="s">
        <v>759</v>
      </c>
      <c r="O43" s="225" t="s">
        <v>779</v>
      </c>
    </row>
    <row r="44" spans="13:15" ht="19.5" thickBot="1">
      <c r="M44" s="422">
        <v>17</v>
      </c>
      <c r="N44" s="225" t="s">
        <v>759</v>
      </c>
      <c r="O44" s="225" t="s">
        <v>779</v>
      </c>
    </row>
    <row r="45" spans="13:15" ht="19.5" thickBot="1">
      <c r="M45" s="421">
        <v>18</v>
      </c>
      <c r="N45" s="225" t="s">
        <v>759</v>
      </c>
      <c r="O45" s="225" t="s">
        <v>779</v>
      </c>
    </row>
    <row r="46" spans="13:15" ht="19.5" thickBot="1">
      <c r="M46" s="422">
        <v>19</v>
      </c>
      <c r="N46" s="225" t="s">
        <v>759</v>
      </c>
      <c r="O46" s="225" t="s">
        <v>779</v>
      </c>
    </row>
    <row r="47" spans="13:15" ht="19.5" thickBot="1">
      <c r="M47" s="421">
        <v>20</v>
      </c>
      <c r="N47" s="415" t="s">
        <v>767</v>
      </c>
      <c r="O47" s="415" t="s">
        <v>780</v>
      </c>
    </row>
  </sheetData>
  <mergeCells count="40">
    <mergeCell ref="M5:Q5"/>
    <mergeCell ref="G3:T4"/>
    <mergeCell ref="A1:F3"/>
    <mergeCell ref="G1:G2"/>
    <mergeCell ref="H1:H2"/>
    <mergeCell ref="A4:F5"/>
    <mergeCell ref="E6:F6"/>
    <mergeCell ref="E7:F7"/>
    <mergeCell ref="E8:F8"/>
    <mergeCell ref="E9:F9"/>
    <mergeCell ref="E10:F10"/>
    <mergeCell ref="E11:F11"/>
    <mergeCell ref="E12:F12"/>
    <mergeCell ref="E13:F13"/>
    <mergeCell ref="E14:F14"/>
    <mergeCell ref="E15:F15"/>
    <mergeCell ref="B16:D16"/>
    <mergeCell ref="B17:D17"/>
    <mergeCell ref="B18:D18"/>
    <mergeCell ref="B19:D19"/>
    <mergeCell ref="E16:F16"/>
    <mergeCell ref="E17:F17"/>
    <mergeCell ref="E18:F18"/>
    <mergeCell ref="E19:F19"/>
    <mergeCell ref="B20:D20"/>
    <mergeCell ref="B21:D21"/>
    <mergeCell ref="B22:D22"/>
    <mergeCell ref="E21:F21"/>
    <mergeCell ref="E22:F22"/>
    <mergeCell ref="E20:F20"/>
    <mergeCell ref="B6:D6"/>
    <mergeCell ref="B7:D7"/>
    <mergeCell ref="B8:D8"/>
    <mergeCell ref="B9:D9"/>
    <mergeCell ref="B10:D10"/>
    <mergeCell ref="B11:D11"/>
    <mergeCell ref="B12:D12"/>
    <mergeCell ref="B13:D13"/>
    <mergeCell ref="B14:D14"/>
    <mergeCell ref="B15:D15"/>
  </mergeCells>
  <phoneticPr fontId="107"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showGridLines="0" showRowColHeaders="0" workbookViewId="0">
      <selection activeCell="G3" sqref="G3:H4"/>
    </sheetView>
  </sheetViews>
  <sheetFormatPr defaultRowHeight="15"/>
  <cols>
    <col min="7" max="7" width="14" customWidth="1"/>
    <col min="9" max="9" width="12.42578125" customWidth="1"/>
    <col min="12" max="12" width="68.42578125" customWidth="1"/>
    <col min="14" max="14" width="8.85546875" customWidth="1"/>
  </cols>
  <sheetData>
    <row r="1" spans="1:16" ht="16.5" thickTop="1" thickBot="1">
      <c r="A1" s="951" t="s">
        <v>193</v>
      </c>
      <c r="B1" s="952"/>
      <c r="C1" s="952"/>
      <c r="D1" s="952"/>
      <c r="E1" s="952"/>
      <c r="F1" s="953"/>
      <c r="G1" s="954" t="s">
        <v>26</v>
      </c>
      <c r="H1" s="956">
        <v>10</v>
      </c>
    </row>
    <row r="2" spans="1:16" ht="16.5" thickTop="1" thickBot="1">
      <c r="A2" s="951"/>
      <c r="B2" s="952"/>
      <c r="C2" s="952"/>
      <c r="D2" s="952"/>
      <c r="E2" s="952"/>
      <c r="F2" s="953"/>
      <c r="G2" s="955"/>
      <c r="H2" s="957"/>
    </row>
    <row r="3" spans="1:16" ht="16.5" thickTop="1" thickBot="1">
      <c r="A3" s="951"/>
      <c r="B3" s="952"/>
      <c r="C3" s="952"/>
      <c r="D3" s="952"/>
      <c r="E3" s="952"/>
      <c r="F3" s="953"/>
      <c r="G3" s="896" t="s">
        <v>107</v>
      </c>
      <c r="H3" s="896"/>
      <c r="I3" s="923" t="s">
        <v>781</v>
      </c>
      <c r="J3" s="923" t="s">
        <v>782</v>
      </c>
      <c r="K3" s="923" t="s">
        <v>783</v>
      </c>
      <c r="L3" s="923" t="s">
        <v>472</v>
      </c>
      <c r="M3" s="924" t="s">
        <v>586</v>
      </c>
      <c r="N3" s="925"/>
      <c r="O3" s="925"/>
      <c r="P3" s="925"/>
    </row>
    <row r="4" spans="1:16" ht="16.5" thickTop="1" thickBot="1">
      <c r="A4" s="958" t="s">
        <v>44</v>
      </c>
      <c r="B4" s="959"/>
      <c r="C4" s="959"/>
      <c r="D4" s="959"/>
      <c r="E4" s="959"/>
      <c r="F4" s="960"/>
      <c r="G4" s="896"/>
      <c r="H4" s="896"/>
      <c r="I4" s="923"/>
      <c r="J4" s="923"/>
      <c r="K4" s="923"/>
      <c r="L4" s="923"/>
      <c r="M4" s="925"/>
      <c r="N4" s="925"/>
      <c r="O4" s="925"/>
      <c r="P4" s="925"/>
    </row>
    <row r="5" spans="1:16" ht="52.5" customHeight="1" thickTop="1" thickBot="1">
      <c r="A5" s="958"/>
      <c r="B5" s="959"/>
      <c r="C5" s="959"/>
      <c r="D5" s="959"/>
      <c r="E5" s="959"/>
      <c r="F5" s="960"/>
      <c r="G5" s="373" t="s">
        <v>470</v>
      </c>
      <c r="H5" s="373" t="s">
        <v>471</v>
      </c>
      <c r="I5" s="923"/>
      <c r="J5" s="923"/>
      <c r="K5" s="923"/>
      <c r="L5" s="923"/>
      <c r="M5" s="372">
        <v>1</v>
      </c>
      <c r="N5" s="372">
        <v>2</v>
      </c>
      <c r="O5" s="372">
        <v>3</v>
      </c>
      <c r="P5" s="372">
        <v>4</v>
      </c>
    </row>
    <row r="6" spans="1:16" ht="27" customHeight="1" thickTop="1" thickBot="1">
      <c r="A6" s="231">
        <v>1</v>
      </c>
      <c r="B6" s="950" t="s">
        <v>57</v>
      </c>
      <c r="C6" s="950"/>
      <c r="D6" s="950"/>
      <c r="E6" s="950" t="s">
        <v>499</v>
      </c>
      <c r="F6" s="950"/>
      <c r="G6" s="218">
        <v>1</v>
      </c>
      <c r="H6" s="218">
        <v>1</v>
      </c>
      <c r="I6" s="218">
        <v>2</v>
      </c>
      <c r="J6" s="218">
        <v>0</v>
      </c>
      <c r="K6" s="218">
        <v>0</v>
      </c>
      <c r="L6" s="218" t="s">
        <v>784</v>
      </c>
      <c r="M6" s="151" t="s">
        <v>198</v>
      </c>
      <c r="N6" s="151" t="s">
        <v>198</v>
      </c>
      <c r="O6" s="151" t="s">
        <v>198</v>
      </c>
      <c r="P6" s="151" t="s">
        <v>198</v>
      </c>
    </row>
    <row r="7" spans="1:16" ht="22.5" customHeight="1" thickTop="1" thickBot="1">
      <c r="A7" s="231">
        <v>2</v>
      </c>
      <c r="B7" s="950" t="s">
        <v>475</v>
      </c>
      <c r="C7" s="950"/>
      <c r="D7" s="950"/>
      <c r="E7" s="950" t="s">
        <v>166</v>
      </c>
      <c r="F7" s="950"/>
      <c r="G7" s="371">
        <v>2</v>
      </c>
      <c r="H7" s="371">
        <v>2</v>
      </c>
      <c r="I7" s="371">
        <v>3</v>
      </c>
      <c r="J7" s="371">
        <v>0</v>
      </c>
      <c r="K7" s="371">
        <v>0</v>
      </c>
      <c r="L7" s="371" t="s">
        <v>785</v>
      </c>
      <c r="M7" s="210" t="s">
        <v>198</v>
      </c>
      <c r="N7" s="210" t="s">
        <v>198</v>
      </c>
      <c r="O7" s="210" t="s">
        <v>198</v>
      </c>
      <c r="P7" s="210" t="s">
        <v>198</v>
      </c>
    </row>
    <row r="8" spans="1:16" ht="35.25" customHeight="1" thickTop="1" thickBot="1">
      <c r="A8" s="231">
        <v>3</v>
      </c>
      <c r="B8" s="950" t="s">
        <v>786</v>
      </c>
      <c r="C8" s="950"/>
      <c r="D8" s="950"/>
      <c r="E8" s="950"/>
      <c r="F8" s="950"/>
      <c r="G8" s="218">
        <v>3</v>
      </c>
      <c r="H8" s="218">
        <v>3</v>
      </c>
      <c r="I8" s="218">
        <v>3</v>
      </c>
      <c r="J8" s="218">
        <v>1</v>
      </c>
      <c r="K8" s="218">
        <v>1</v>
      </c>
      <c r="L8" s="218" t="s">
        <v>787</v>
      </c>
      <c r="M8" s="151" t="s">
        <v>198</v>
      </c>
      <c r="N8" s="151" t="s">
        <v>198</v>
      </c>
      <c r="O8" s="151" t="s">
        <v>198</v>
      </c>
      <c r="P8" s="151" t="s">
        <v>198</v>
      </c>
    </row>
    <row r="9" spans="1:16" ht="22.5" customHeight="1" thickTop="1" thickBot="1">
      <c r="A9" s="231">
        <v>4</v>
      </c>
      <c r="B9" s="950" t="s">
        <v>654</v>
      </c>
      <c r="C9" s="950"/>
      <c r="D9" s="950"/>
      <c r="E9" s="950"/>
      <c r="F9" s="950"/>
      <c r="G9" s="371">
        <v>4</v>
      </c>
      <c r="H9" s="371">
        <v>4</v>
      </c>
      <c r="I9" s="371">
        <v>4</v>
      </c>
      <c r="J9" s="371">
        <v>1</v>
      </c>
      <c r="K9" s="371">
        <v>1</v>
      </c>
      <c r="L9" s="371" t="s">
        <v>788</v>
      </c>
      <c r="M9" s="210">
        <v>0</v>
      </c>
      <c r="N9" s="210" t="s">
        <v>198</v>
      </c>
      <c r="O9" s="210" t="s">
        <v>198</v>
      </c>
      <c r="P9" s="210" t="s">
        <v>198</v>
      </c>
    </row>
    <row r="10" spans="1:16" ht="22.5" customHeight="1" thickTop="1" thickBot="1">
      <c r="A10" s="231">
        <v>5</v>
      </c>
      <c r="B10" s="950" t="s">
        <v>64</v>
      </c>
      <c r="C10" s="950"/>
      <c r="D10" s="950"/>
      <c r="E10" s="950" t="s">
        <v>588</v>
      </c>
      <c r="F10" s="950"/>
      <c r="G10" s="218">
        <v>5</v>
      </c>
      <c r="H10" s="218">
        <v>5</v>
      </c>
      <c r="I10" s="218">
        <v>4</v>
      </c>
      <c r="J10" s="218">
        <v>1</v>
      </c>
      <c r="K10" s="218">
        <v>1</v>
      </c>
      <c r="L10" s="218" t="s">
        <v>789</v>
      </c>
      <c r="M10" s="151">
        <v>0</v>
      </c>
      <c r="N10" s="151" t="s">
        <v>198</v>
      </c>
      <c r="O10" s="151" t="s">
        <v>198</v>
      </c>
      <c r="P10" s="151" t="s">
        <v>198</v>
      </c>
    </row>
    <row r="11" spans="1:16" ht="22.5" customHeight="1" thickTop="1" thickBot="1">
      <c r="A11" s="231">
        <v>6</v>
      </c>
      <c r="B11" s="950" t="s">
        <v>68</v>
      </c>
      <c r="C11" s="950"/>
      <c r="D11" s="950"/>
      <c r="E11" s="950" t="s">
        <v>168</v>
      </c>
      <c r="F11" s="950"/>
      <c r="G11" s="371">
        <v>6</v>
      </c>
      <c r="H11" s="371">
        <v>6</v>
      </c>
      <c r="I11" s="371">
        <v>5</v>
      </c>
      <c r="J11" s="371">
        <v>2</v>
      </c>
      <c r="K11" s="371">
        <v>2</v>
      </c>
      <c r="L11" s="371" t="s">
        <v>790</v>
      </c>
      <c r="M11" s="210">
        <v>1</v>
      </c>
      <c r="N11" s="210" t="s">
        <v>198</v>
      </c>
      <c r="O11" s="210" t="s">
        <v>198</v>
      </c>
      <c r="P11" s="210" t="s">
        <v>198</v>
      </c>
    </row>
    <row r="12" spans="1:16" ht="35.25" customHeight="1" thickTop="1" thickBot="1">
      <c r="A12" s="231">
        <v>7</v>
      </c>
      <c r="B12" s="950" t="s">
        <v>603</v>
      </c>
      <c r="C12" s="950"/>
      <c r="D12" s="950"/>
      <c r="E12" s="950" t="s">
        <v>791</v>
      </c>
      <c r="F12" s="950"/>
      <c r="G12" s="218">
        <v>7</v>
      </c>
      <c r="H12" s="218">
        <v>7</v>
      </c>
      <c r="I12" s="218">
        <v>5</v>
      </c>
      <c r="J12" s="218">
        <v>2</v>
      </c>
      <c r="K12" s="218">
        <v>2</v>
      </c>
      <c r="L12" s="218"/>
      <c r="M12" s="151">
        <v>1</v>
      </c>
      <c r="N12" s="151" t="s">
        <v>198</v>
      </c>
      <c r="O12" s="151" t="s">
        <v>198</v>
      </c>
      <c r="P12" s="151" t="s">
        <v>198</v>
      </c>
    </row>
    <row r="13" spans="1:16" ht="22.5" customHeight="1" thickTop="1" thickBot="1">
      <c r="A13" s="231">
        <v>8</v>
      </c>
      <c r="B13" s="950" t="s">
        <v>600</v>
      </c>
      <c r="C13" s="950"/>
      <c r="D13" s="950"/>
      <c r="E13" s="950" t="s">
        <v>168</v>
      </c>
      <c r="F13" s="950"/>
      <c r="G13" s="371">
        <v>8</v>
      </c>
      <c r="H13" s="371">
        <v>8</v>
      </c>
      <c r="I13" s="371">
        <v>6</v>
      </c>
      <c r="J13" s="371">
        <v>2</v>
      </c>
      <c r="K13" s="371">
        <v>2</v>
      </c>
      <c r="L13" s="371"/>
      <c r="M13" s="210">
        <v>1</v>
      </c>
      <c r="N13" s="210">
        <v>0</v>
      </c>
      <c r="O13" s="210" t="s">
        <v>198</v>
      </c>
      <c r="P13" s="210" t="s">
        <v>198</v>
      </c>
    </row>
    <row r="14" spans="1:16" ht="22.5" customHeight="1" thickTop="1" thickBot="1">
      <c r="A14" s="231">
        <v>9</v>
      </c>
      <c r="B14" s="950" t="s">
        <v>479</v>
      </c>
      <c r="C14" s="950"/>
      <c r="D14" s="950"/>
      <c r="E14" s="950" t="s">
        <v>507</v>
      </c>
      <c r="F14" s="950"/>
      <c r="G14" s="218">
        <v>9</v>
      </c>
      <c r="H14" s="218">
        <v>9</v>
      </c>
      <c r="I14" s="218">
        <v>6</v>
      </c>
      <c r="J14" s="218">
        <v>3</v>
      </c>
      <c r="K14" s="218">
        <v>3</v>
      </c>
      <c r="L14" s="218" t="s">
        <v>792</v>
      </c>
      <c r="M14" s="151">
        <v>1</v>
      </c>
      <c r="N14" s="151">
        <v>0</v>
      </c>
      <c r="O14" s="151" t="s">
        <v>198</v>
      </c>
      <c r="P14" s="151" t="s">
        <v>198</v>
      </c>
    </row>
    <row r="15" spans="1:16" ht="22.5" customHeight="1" thickTop="1" thickBot="1">
      <c r="A15" s="231">
        <v>10</v>
      </c>
      <c r="B15" s="950" t="s">
        <v>793</v>
      </c>
      <c r="C15" s="950"/>
      <c r="D15" s="950"/>
      <c r="E15" s="950" t="s">
        <v>168</v>
      </c>
      <c r="F15" s="950"/>
      <c r="G15" s="371">
        <v>10</v>
      </c>
      <c r="H15" s="371">
        <v>10</v>
      </c>
      <c r="I15" s="371">
        <v>7</v>
      </c>
      <c r="J15" s="371">
        <v>3</v>
      </c>
      <c r="K15" s="371">
        <v>3</v>
      </c>
      <c r="L15" s="371" t="s">
        <v>794</v>
      </c>
      <c r="M15" s="210">
        <v>1</v>
      </c>
      <c r="N15" s="210">
        <v>1</v>
      </c>
      <c r="O15" s="210" t="s">
        <v>198</v>
      </c>
      <c r="P15" s="210" t="s">
        <v>198</v>
      </c>
    </row>
    <row r="16" spans="1:16" ht="22.5" customHeight="1" thickTop="1" thickBot="1">
      <c r="G16" s="218">
        <v>11</v>
      </c>
      <c r="H16" s="218">
        <v>11</v>
      </c>
      <c r="I16" s="218">
        <v>7</v>
      </c>
      <c r="J16" s="218">
        <v>3</v>
      </c>
      <c r="K16" s="218">
        <v>3</v>
      </c>
      <c r="L16" s="218" t="s">
        <v>486</v>
      </c>
      <c r="M16" s="151">
        <v>1</v>
      </c>
      <c r="N16" s="151">
        <v>1</v>
      </c>
      <c r="O16" s="151">
        <v>0</v>
      </c>
      <c r="P16" s="151" t="s">
        <v>198</v>
      </c>
    </row>
    <row r="17" spans="7:16" ht="22.5" customHeight="1" thickTop="1" thickBot="1">
      <c r="G17" s="371">
        <v>12</v>
      </c>
      <c r="H17" s="371">
        <v>12</v>
      </c>
      <c r="I17" s="371">
        <v>8</v>
      </c>
      <c r="J17" s="371">
        <v>4</v>
      </c>
      <c r="K17" s="371">
        <v>4</v>
      </c>
      <c r="L17" s="371" t="s">
        <v>795</v>
      </c>
      <c r="M17" s="210">
        <v>1</v>
      </c>
      <c r="N17" s="210">
        <v>1</v>
      </c>
      <c r="O17" s="210">
        <v>1</v>
      </c>
      <c r="P17" s="210" t="s">
        <v>198</v>
      </c>
    </row>
    <row r="18" spans="7:16" ht="22.5" customHeight="1" thickTop="1" thickBot="1">
      <c r="G18" s="218">
        <v>13</v>
      </c>
      <c r="H18" s="218">
        <v>13</v>
      </c>
      <c r="I18" s="218">
        <v>8</v>
      </c>
      <c r="J18" s="218">
        <v>4</v>
      </c>
      <c r="K18" s="218">
        <v>4</v>
      </c>
      <c r="L18" s="218"/>
      <c r="M18" s="151">
        <v>1</v>
      </c>
      <c r="N18" s="151">
        <v>1</v>
      </c>
      <c r="O18" s="151">
        <v>1</v>
      </c>
      <c r="P18" s="151" t="s">
        <v>198</v>
      </c>
    </row>
    <row r="19" spans="7:16" ht="22.5" customHeight="1" thickTop="1" thickBot="1">
      <c r="G19" s="371">
        <v>14</v>
      </c>
      <c r="H19" s="371">
        <v>14</v>
      </c>
      <c r="I19" s="371">
        <v>9</v>
      </c>
      <c r="J19" s="371">
        <v>4</v>
      </c>
      <c r="K19" s="371">
        <v>4</v>
      </c>
      <c r="L19" s="371" t="s">
        <v>486</v>
      </c>
      <c r="M19" s="210">
        <v>2</v>
      </c>
      <c r="N19" s="210">
        <v>1</v>
      </c>
      <c r="O19" s="210">
        <v>1</v>
      </c>
      <c r="P19" s="210">
        <v>0</v>
      </c>
    </row>
    <row r="20" spans="7:16" ht="22.5" customHeight="1" thickTop="1" thickBot="1">
      <c r="G20" s="218">
        <v>15</v>
      </c>
      <c r="H20" s="218">
        <v>15</v>
      </c>
      <c r="I20" s="218">
        <v>9</v>
      </c>
      <c r="J20" s="218">
        <v>5</v>
      </c>
      <c r="K20" s="218">
        <v>5</v>
      </c>
      <c r="L20" s="218" t="s">
        <v>796</v>
      </c>
      <c r="M20" s="151">
        <v>2</v>
      </c>
      <c r="N20" s="151">
        <v>1</v>
      </c>
      <c r="O20" s="151">
        <v>1</v>
      </c>
      <c r="P20" s="151">
        <v>1</v>
      </c>
    </row>
    <row r="21" spans="7:16" ht="22.5" customHeight="1" thickTop="1" thickBot="1">
      <c r="G21" s="371">
        <v>16</v>
      </c>
      <c r="H21" s="371">
        <v>16</v>
      </c>
      <c r="I21" s="371">
        <v>10</v>
      </c>
      <c r="J21" s="371">
        <v>5</v>
      </c>
      <c r="K21" s="371">
        <v>5</v>
      </c>
      <c r="L21" s="371"/>
      <c r="M21" s="210">
        <v>2</v>
      </c>
      <c r="N21" s="210">
        <v>2</v>
      </c>
      <c r="O21" s="210">
        <v>1</v>
      </c>
      <c r="P21" s="210">
        <v>1</v>
      </c>
    </row>
    <row r="22" spans="7:16" ht="22.5" customHeight="1" thickTop="1" thickBot="1">
      <c r="G22" s="218">
        <v>17</v>
      </c>
      <c r="H22" s="218">
        <v>17</v>
      </c>
      <c r="I22" s="218">
        <v>10</v>
      </c>
      <c r="J22" s="218">
        <v>5</v>
      </c>
      <c r="K22" s="218">
        <v>5</v>
      </c>
      <c r="L22" s="218"/>
      <c r="M22" s="151">
        <v>2</v>
      </c>
      <c r="N22" s="151">
        <v>2</v>
      </c>
      <c r="O22" s="151">
        <v>2</v>
      </c>
      <c r="P22" s="151">
        <v>1</v>
      </c>
    </row>
    <row r="23" spans="7:16" ht="22.5" customHeight="1" thickTop="1" thickBot="1">
      <c r="G23" s="371">
        <v>18</v>
      </c>
      <c r="H23" s="371">
        <v>18</v>
      </c>
      <c r="I23" s="371">
        <v>11</v>
      </c>
      <c r="J23" s="371">
        <v>6</v>
      </c>
      <c r="K23" s="371">
        <v>6</v>
      </c>
      <c r="L23" s="371" t="s">
        <v>797</v>
      </c>
      <c r="M23" s="210">
        <v>3</v>
      </c>
      <c r="N23" s="210">
        <v>2</v>
      </c>
      <c r="O23" s="210">
        <v>2</v>
      </c>
      <c r="P23" s="210">
        <v>1</v>
      </c>
    </row>
    <row r="24" spans="7:16" ht="22.5" customHeight="1" thickTop="1" thickBot="1">
      <c r="G24" s="218">
        <v>19</v>
      </c>
      <c r="H24" s="218">
        <v>19</v>
      </c>
      <c r="I24" s="218">
        <v>11</v>
      </c>
      <c r="J24" s="218">
        <v>6</v>
      </c>
      <c r="K24" s="218">
        <v>6</v>
      </c>
      <c r="L24" s="218"/>
      <c r="M24" s="151">
        <v>3</v>
      </c>
      <c r="N24" s="151">
        <v>3</v>
      </c>
      <c r="O24" s="151">
        <v>3</v>
      </c>
      <c r="P24" s="151">
        <v>2</v>
      </c>
    </row>
    <row r="25" spans="7:16" ht="22.5" customHeight="1" thickTop="1" thickBot="1">
      <c r="G25" s="371">
        <v>20</v>
      </c>
      <c r="H25" s="371">
        <v>20</v>
      </c>
      <c r="I25" s="371">
        <v>12</v>
      </c>
      <c r="J25" s="371">
        <v>6</v>
      </c>
      <c r="K25" s="371">
        <v>6</v>
      </c>
      <c r="L25" s="371" t="s">
        <v>798</v>
      </c>
      <c r="M25" s="210">
        <v>3</v>
      </c>
      <c r="N25" s="210">
        <v>3</v>
      </c>
      <c r="O25" s="210">
        <v>3</v>
      </c>
      <c r="P25" s="210">
        <v>3</v>
      </c>
    </row>
    <row r="26" spans="7:16" ht="16.5" thickTop="1" thickBot="1"/>
    <row r="27" spans="7:16" ht="42" customHeight="1" thickTop="1" thickBot="1">
      <c r="G27" s="949" t="s">
        <v>799</v>
      </c>
      <c r="H27" s="949"/>
      <c r="I27" s="949"/>
      <c r="J27" s="949"/>
      <c r="K27" s="949"/>
      <c r="L27" s="949"/>
    </row>
    <row r="28" spans="7:16" ht="57.75" thickTop="1" thickBot="1">
      <c r="G28" s="146" t="s">
        <v>800</v>
      </c>
      <c r="H28" s="146" t="s">
        <v>801</v>
      </c>
      <c r="I28" s="146" t="s">
        <v>802</v>
      </c>
      <c r="J28" s="146" t="s">
        <v>803</v>
      </c>
      <c r="K28" s="146" t="s">
        <v>507</v>
      </c>
      <c r="L28" s="146" t="s">
        <v>472</v>
      </c>
    </row>
    <row r="29" spans="7:16" ht="39" thickTop="1" thickBot="1">
      <c r="G29" s="147" t="s">
        <v>804</v>
      </c>
      <c r="H29" s="147">
        <v>2</v>
      </c>
      <c r="I29" s="147">
        <v>4</v>
      </c>
      <c r="J29" s="147">
        <v>1</v>
      </c>
      <c r="K29" s="147">
        <v>6</v>
      </c>
      <c r="L29" s="147" t="s">
        <v>805</v>
      </c>
    </row>
    <row r="30" spans="7:16" ht="20.25" thickTop="1" thickBot="1">
      <c r="G30" s="147" t="s">
        <v>806</v>
      </c>
      <c r="H30" s="147">
        <v>4</v>
      </c>
      <c r="I30" s="147">
        <v>6</v>
      </c>
      <c r="J30" s="147">
        <v>2</v>
      </c>
      <c r="K30" s="147">
        <v>7</v>
      </c>
      <c r="L30" s="147" t="s">
        <v>807</v>
      </c>
    </row>
    <row r="31" spans="7:16" ht="20.25" thickTop="1" thickBot="1">
      <c r="G31" s="147" t="s">
        <v>808</v>
      </c>
      <c r="H31" s="147">
        <v>6</v>
      </c>
      <c r="I31" s="147">
        <v>8</v>
      </c>
      <c r="J31" s="147">
        <v>3</v>
      </c>
      <c r="K31" s="147">
        <v>8</v>
      </c>
      <c r="L31" s="147" t="s">
        <v>809</v>
      </c>
    </row>
    <row r="32" spans="7:16" ht="20.25" thickTop="1" thickBot="1">
      <c r="G32" s="147" t="s">
        <v>810</v>
      </c>
      <c r="H32" s="147">
        <v>8</v>
      </c>
      <c r="I32" s="147">
        <v>10</v>
      </c>
      <c r="J32" s="147">
        <v>4</v>
      </c>
      <c r="K32" s="147">
        <v>9</v>
      </c>
      <c r="L32" s="147" t="s">
        <v>727</v>
      </c>
    </row>
    <row r="33" ht="15.75" thickTop="1"/>
  </sheetData>
  <mergeCells count="31">
    <mergeCell ref="A1:F3"/>
    <mergeCell ref="G1:G2"/>
    <mergeCell ref="H1:H2"/>
    <mergeCell ref="G3:H4"/>
    <mergeCell ref="A4:F5"/>
    <mergeCell ref="M3:P4"/>
    <mergeCell ref="I3:I5"/>
    <mergeCell ref="J3:J5"/>
    <mergeCell ref="K3:K5"/>
    <mergeCell ref="L3:L5"/>
    <mergeCell ref="E6:F6"/>
    <mergeCell ref="E7:F7"/>
    <mergeCell ref="E8:F8"/>
    <mergeCell ref="E9:F9"/>
    <mergeCell ref="E10:F10"/>
    <mergeCell ref="B6:D6"/>
    <mergeCell ref="B7:D7"/>
    <mergeCell ref="B8:D8"/>
    <mergeCell ref="B9:D9"/>
    <mergeCell ref="B10:D10"/>
    <mergeCell ref="G27:L27"/>
    <mergeCell ref="B11:D11"/>
    <mergeCell ref="B12:D12"/>
    <mergeCell ref="B13:D13"/>
    <mergeCell ref="B14:D14"/>
    <mergeCell ref="B15:D15"/>
    <mergeCell ref="E11:F11"/>
    <mergeCell ref="E12:F12"/>
    <mergeCell ref="E13:F13"/>
    <mergeCell ref="E14:F14"/>
    <mergeCell ref="E15:F1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showGridLines="0" showRowColHeaders="0" workbookViewId="0">
      <selection activeCell="G3" sqref="G3:H4"/>
    </sheetView>
  </sheetViews>
  <sheetFormatPr defaultRowHeight="15"/>
  <cols>
    <col min="9" max="9" width="10.42578125" customWidth="1"/>
    <col min="10" max="10" width="15.85546875" customWidth="1"/>
    <col min="11" max="11" width="9.42578125" customWidth="1"/>
    <col min="12" max="12" width="46.140625" customWidth="1"/>
    <col min="13" max="13" width="6.42578125" customWidth="1"/>
    <col min="14" max="14" width="5.7109375" customWidth="1"/>
    <col min="15" max="15" width="12.85546875" customWidth="1"/>
    <col min="16" max="16" width="11" customWidth="1"/>
    <col min="17" max="17" width="9.7109375" customWidth="1"/>
    <col min="18" max="18" width="32" customWidth="1"/>
    <col min="19" max="19" width="27.7109375" customWidth="1"/>
  </cols>
  <sheetData>
    <row r="1" spans="1:19" ht="16.5" thickTop="1" thickBot="1">
      <c r="A1" s="962" t="s">
        <v>194</v>
      </c>
      <c r="B1" s="963"/>
      <c r="C1" s="963"/>
      <c r="D1" s="963"/>
      <c r="E1" s="963"/>
      <c r="F1" s="964"/>
      <c r="G1" s="965" t="s">
        <v>26</v>
      </c>
      <c r="H1" s="967">
        <v>8</v>
      </c>
      <c r="R1" s="961" t="s">
        <v>811</v>
      </c>
      <c r="S1" s="961"/>
    </row>
    <row r="2" spans="1:19" ht="16.5" thickTop="1" thickBot="1">
      <c r="A2" s="962"/>
      <c r="B2" s="963"/>
      <c r="C2" s="963"/>
      <c r="D2" s="963"/>
      <c r="E2" s="963"/>
      <c r="F2" s="964"/>
      <c r="G2" s="966"/>
      <c r="H2" s="968"/>
      <c r="R2" s="961"/>
      <c r="S2" s="961"/>
    </row>
    <row r="3" spans="1:19" ht="20.25" thickTop="1" thickBot="1">
      <c r="A3" s="962"/>
      <c r="B3" s="963"/>
      <c r="C3" s="963"/>
      <c r="D3" s="963"/>
      <c r="E3" s="963"/>
      <c r="F3" s="964"/>
      <c r="G3" s="969" t="s">
        <v>107</v>
      </c>
      <c r="H3" s="896"/>
      <c r="I3" s="923" t="s">
        <v>781</v>
      </c>
      <c r="J3" s="923" t="s">
        <v>782</v>
      </c>
      <c r="K3" s="923" t="s">
        <v>783</v>
      </c>
      <c r="L3" s="923" t="s">
        <v>472</v>
      </c>
      <c r="M3" s="924" t="s">
        <v>196</v>
      </c>
      <c r="N3" s="925"/>
      <c r="O3" s="925"/>
      <c r="P3" s="925"/>
      <c r="R3" s="376" t="s">
        <v>812</v>
      </c>
      <c r="S3" s="376" t="s">
        <v>813</v>
      </c>
    </row>
    <row r="4" spans="1:19" ht="20.25" thickTop="1" thickBot="1">
      <c r="A4" s="958" t="s">
        <v>44</v>
      </c>
      <c r="B4" s="959"/>
      <c r="C4" s="959"/>
      <c r="D4" s="959"/>
      <c r="E4" s="959"/>
      <c r="F4" s="960"/>
      <c r="G4" s="969"/>
      <c r="H4" s="896"/>
      <c r="I4" s="923"/>
      <c r="J4" s="923"/>
      <c r="K4" s="923"/>
      <c r="L4" s="923"/>
      <c r="M4" s="925"/>
      <c r="N4" s="925"/>
      <c r="O4" s="925"/>
      <c r="P4" s="925"/>
      <c r="Q4" s="148"/>
      <c r="R4" s="149" t="s">
        <v>814</v>
      </c>
      <c r="S4" s="149" t="s">
        <v>815</v>
      </c>
    </row>
    <row r="5" spans="1:19" ht="20.25" customHeight="1" thickTop="1" thickBot="1">
      <c r="A5" s="958"/>
      <c r="B5" s="959"/>
      <c r="C5" s="959"/>
      <c r="D5" s="959"/>
      <c r="E5" s="959"/>
      <c r="F5" s="960"/>
      <c r="G5" s="377" t="s">
        <v>470</v>
      </c>
      <c r="H5" s="369" t="s">
        <v>471</v>
      </c>
      <c r="I5" s="923"/>
      <c r="J5" s="923"/>
      <c r="K5" s="923"/>
      <c r="L5" s="923"/>
      <c r="M5" s="213">
        <v>1</v>
      </c>
      <c r="N5" s="213">
        <v>2</v>
      </c>
      <c r="O5" s="213">
        <v>3</v>
      </c>
      <c r="P5" s="213">
        <v>4</v>
      </c>
      <c r="R5" s="149" t="s">
        <v>816</v>
      </c>
      <c r="S5" s="149" t="s">
        <v>817</v>
      </c>
    </row>
    <row r="6" spans="1:19" s="145" customFormat="1" ht="32.25" customHeight="1" thickTop="1" thickBot="1">
      <c r="A6" s="370"/>
      <c r="B6" s="950" t="s">
        <v>549</v>
      </c>
      <c r="C6" s="950"/>
      <c r="D6" s="950"/>
      <c r="E6" s="950" t="s">
        <v>166</v>
      </c>
      <c r="F6" s="950"/>
      <c r="G6" s="218">
        <v>1</v>
      </c>
      <c r="H6" s="218">
        <v>1</v>
      </c>
      <c r="I6" s="218">
        <v>2</v>
      </c>
      <c r="J6" s="218">
        <v>2</v>
      </c>
      <c r="K6" s="218">
        <v>0</v>
      </c>
      <c r="L6" s="218" t="s">
        <v>818</v>
      </c>
      <c r="M6" s="152" t="s">
        <v>198</v>
      </c>
      <c r="N6" s="152" t="s">
        <v>198</v>
      </c>
      <c r="O6" s="152" t="s">
        <v>198</v>
      </c>
      <c r="P6" s="152" t="s">
        <v>198</v>
      </c>
      <c r="R6" s="149" t="s">
        <v>819</v>
      </c>
      <c r="S6" s="149" t="s">
        <v>820</v>
      </c>
    </row>
    <row r="7" spans="1:19" s="145" customFormat="1" ht="30" customHeight="1" thickTop="1" thickBot="1">
      <c r="A7" s="370"/>
      <c r="B7" s="950" t="s">
        <v>473</v>
      </c>
      <c r="C7" s="950"/>
      <c r="D7" s="950"/>
      <c r="E7" s="950" t="s">
        <v>25</v>
      </c>
      <c r="F7" s="950"/>
      <c r="G7" s="371">
        <v>2</v>
      </c>
      <c r="H7" s="371">
        <v>2</v>
      </c>
      <c r="I7" s="371">
        <v>3</v>
      </c>
      <c r="J7" s="371">
        <v>3</v>
      </c>
      <c r="K7" s="371">
        <v>0</v>
      </c>
      <c r="L7" s="371" t="s">
        <v>821</v>
      </c>
      <c r="M7" s="214" t="s">
        <v>198</v>
      </c>
      <c r="N7" s="214" t="s">
        <v>198</v>
      </c>
      <c r="O7" s="214" t="s">
        <v>198</v>
      </c>
      <c r="P7" s="214" t="s">
        <v>198</v>
      </c>
      <c r="R7" s="149" t="s">
        <v>822</v>
      </c>
      <c r="S7" s="149" t="s">
        <v>823</v>
      </c>
    </row>
    <row r="8" spans="1:19" s="145" customFormat="1" ht="21" customHeight="1" thickTop="1" thickBot="1">
      <c r="A8" s="370"/>
      <c r="B8" s="950" t="s">
        <v>475</v>
      </c>
      <c r="C8" s="950"/>
      <c r="D8" s="950"/>
      <c r="E8" s="950" t="s">
        <v>166</v>
      </c>
      <c r="F8" s="950"/>
      <c r="G8" s="218">
        <v>3</v>
      </c>
      <c r="H8" s="218">
        <v>3</v>
      </c>
      <c r="I8" s="218">
        <v>3</v>
      </c>
      <c r="J8" s="218">
        <v>3</v>
      </c>
      <c r="K8" s="218">
        <v>1</v>
      </c>
      <c r="L8" s="218" t="s">
        <v>65</v>
      </c>
      <c r="M8" s="152" t="s">
        <v>198</v>
      </c>
      <c r="N8" s="152" t="s">
        <v>198</v>
      </c>
      <c r="O8" s="152" t="s">
        <v>198</v>
      </c>
      <c r="P8" s="152" t="s">
        <v>198</v>
      </c>
      <c r="R8" s="149" t="s">
        <v>824</v>
      </c>
      <c r="S8" s="149" t="s">
        <v>825</v>
      </c>
    </row>
    <row r="9" spans="1:19" s="145" customFormat="1" ht="21" customHeight="1" thickTop="1" thickBot="1">
      <c r="A9" s="370"/>
      <c r="B9" s="950" t="s">
        <v>826</v>
      </c>
      <c r="C9" s="950"/>
      <c r="D9" s="950"/>
      <c r="E9" s="950" t="s">
        <v>507</v>
      </c>
      <c r="F9" s="950"/>
      <c r="G9" s="371">
        <v>4</v>
      </c>
      <c r="H9" s="371">
        <v>4</v>
      </c>
      <c r="I9" s="371">
        <v>4</v>
      </c>
      <c r="J9" s="371">
        <v>3</v>
      </c>
      <c r="K9" s="371">
        <v>1</v>
      </c>
      <c r="L9" s="371" t="s">
        <v>827</v>
      </c>
      <c r="M9" s="210">
        <v>0</v>
      </c>
      <c r="N9" s="214" t="s">
        <v>198</v>
      </c>
      <c r="O9" s="214" t="s">
        <v>198</v>
      </c>
      <c r="P9" s="214" t="s">
        <v>198</v>
      </c>
      <c r="R9" s="149" t="s">
        <v>828</v>
      </c>
      <c r="S9" s="149" t="s">
        <v>829</v>
      </c>
    </row>
    <row r="10" spans="1:19" s="145" customFormat="1" ht="31.5" customHeight="1" thickTop="1" thickBot="1">
      <c r="A10" s="370"/>
      <c r="B10" s="950" t="s">
        <v>597</v>
      </c>
      <c r="C10" s="950"/>
      <c r="D10" s="950"/>
      <c r="E10" s="950" t="s">
        <v>507</v>
      </c>
      <c r="F10" s="950"/>
      <c r="G10" s="218">
        <v>5</v>
      </c>
      <c r="H10" s="218">
        <v>5</v>
      </c>
      <c r="I10" s="218">
        <v>4</v>
      </c>
      <c r="J10" s="218">
        <v>4</v>
      </c>
      <c r="K10" s="218">
        <v>1</v>
      </c>
      <c r="L10" s="218" t="s">
        <v>830</v>
      </c>
      <c r="M10" s="151">
        <v>0</v>
      </c>
      <c r="N10" s="152" t="s">
        <v>198</v>
      </c>
      <c r="O10" s="152" t="s">
        <v>198</v>
      </c>
      <c r="P10" s="152" t="s">
        <v>198</v>
      </c>
      <c r="R10" s="149" t="s">
        <v>831</v>
      </c>
      <c r="S10" s="149" t="s">
        <v>832</v>
      </c>
    </row>
    <row r="11" spans="1:19" s="145" customFormat="1" ht="38.25" customHeight="1" thickTop="1" thickBot="1">
      <c r="A11" s="370"/>
      <c r="B11" s="950" t="s">
        <v>833</v>
      </c>
      <c r="C11" s="950"/>
      <c r="D11" s="950"/>
      <c r="E11" s="950" t="s">
        <v>507</v>
      </c>
      <c r="F11" s="950"/>
      <c r="G11" s="371">
        <v>6</v>
      </c>
      <c r="H11" s="371">
        <v>6</v>
      </c>
      <c r="I11" s="371">
        <v>5</v>
      </c>
      <c r="J11" s="371">
        <v>4</v>
      </c>
      <c r="K11" s="371">
        <v>2</v>
      </c>
      <c r="L11" s="371" t="s">
        <v>834</v>
      </c>
      <c r="M11" s="210">
        <v>1</v>
      </c>
      <c r="N11" s="214" t="s">
        <v>198</v>
      </c>
      <c r="O11" s="214" t="s">
        <v>198</v>
      </c>
      <c r="P11" s="214" t="s">
        <v>198</v>
      </c>
      <c r="R11" s="149" t="s">
        <v>835</v>
      </c>
      <c r="S11" s="149" t="s">
        <v>836</v>
      </c>
    </row>
    <row r="12" spans="1:19" s="145" customFormat="1" ht="21" customHeight="1" thickTop="1" thickBot="1">
      <c r="A12" s="370"/>
      <c r="B12" s="950" t="s">
        <v>592</v>
      </c>
      <c r="C12" s="950"/>
      <c r="D12" s="950"/>
      <c r="E12" s="950" t="s">
        <v>168</v>
      </c>
      <c r="F12" s="950"/>
      <c r="G12" s="218">
        <v>7</v>
      </c>
      <c r="H12" s="218">
        <v>7</v>
      </c>
      <c r="I12" s="218">
        <v>5</v>
      </c>
      <c r="J12" s="218">
        <v>5</v>
      </c>
      <c r="K12" s="218">
        <v>2</v>
      </c>
      <c r="L12" s="218" t="s">
        <v>837</v>
      </c>
      <c r="M12" s="151">
        <v>1</v>
      </c>
      <c r="N12" s="152" t="s">
        <v>198</v>
      </c>
      <c r="O12" s="152" t="s">
        <v>198</v>
      </c>
      <c r="P12" s="152" t="s">
        <v>198</v>
      </c>
      <c r="R12" s="149" t="s">
        <v>838</v>
      </c>
      <c r="S12" s="149" t="s">
        <v>839</v>
      </c>
    </row>
    <row r="13" spans="1:19" s="145" customFormat="1" ht="33" customHeight="1" thickTop="1" thickBot="1">
      <c r="A13" s="370"/>
      <c r="B13" s="950" t="s">
        <v>840</v>
      </c>
      <c r="C13" s="950"/>
      <c r="D13" s="950"/>
      <c r="E13" s="950" t="s">
        <v>166</v>
      </c>
      <c r="F13" s="950"/>
      <c r="G13" s="371">
        <v>8</v>
      </c>
      <c r="H13" s="371">
        <v>8</v>
      </c>
      <c r="I13" s="371">
        <v>6</v>
      </c>
      <c r="J13" s="371">
        <v>6</v>
      </c>
      <c r="K13" s="371">
        <v>2</v>
      </c>
      <c r="L13" s="371" t="s">
        <v>841</v>
      </c>
      <c r="M13" s="210">
        <v>1</v>
      </c>
      <c r="N13" s="210">
        <v>0</v>
      </c>
      <c r="O13" s="214" t="s">
        <v>198</v>
      </c>
      <c r="P13" s="214" t="s">
        <v>198</v>
      </c>
      <c r="R13" s="149" t="s">
        <v>842</v>
      </c>
      <c r="S13" s="149" t="s">
        <v>843</v>
      </c>
    </row>
    <row r="14" spans="1:19" s="145" customFormat="1" ht="21" customHeight="1" thickTop="1" thickBot="1">
      <c r="A14" s="370"/>
      <c r="B14" s="950" t="s">
        <v>64</v>
      </c>
      <c r="C14" s="950"/>
      <c r="D14" s="950"/>
      <c r="E14" s="950" t="s">
        <v>588</v>
      </c>
      <c r="F14" s="950"/>
      <c r="G14" s="218">
        <v>9</v>
      </c>
      <c r="H14" s="218">
        <v>9</v>
      </c>
      <c r="I14" s="218">
        <v>6</v>
      </c>
      <c r="J14" s="218">
        <v>6</v>
      </c>
      <c r="K14" s="218">
        <v>3</v>
      </c>
      <c r="L14" s="218" t="s">
        <v>844</v>
      </c>
      <c r="M14" s="151">
        <v>1</v>
      </c>
      <c r="N14" s="151">
        <v>0</v>
      </c>
      <c r="O14" s="152" t="s">
        <v>198</v>
      </c>
      <c r="P14" s="152" t="s">
        <v>198</v>
      </c>
      <c r="R14" s="149" t="s">
        <v>845</v>
      </c>
      <c r="S14" s="149" t="s">
        <v>846</v>
      </c>
    </row>
    <row r="15" spans="1:19" s="145" customFormat="1" ht="21" customHeight="1" thickTop="1" thickBot="1">
      <c r="A15" s="370"/>
      <c r="B15" s="950" t="s">
        <v>68</v>
      </c>
      <c r="C15" s="950"/>
      <c r="D15" s="950"/>
      <c r="E15" s="950" t="s">
        <v>168</v>
      </c>
      <c r="F15" s="950"/>
      <c r="G15" s="371">
        <v>10</v>
      </c>
      <c r="H15" s="371">
        <v>10</v>
      </c>
      <c r="I15" s="371">
        <v>7</v>
      </c>
      <c r="J15" s="371">
        <v>7</v>
      </c>
      <c r="K15" s="371">
        <v>3</v>
      </c>
      <c r="L15" s="371" t="s">
        <v>847</v>
      </c>
      <c r="M15" s="210">
        <v>1</v>
      </c>
      <c r="N15" s="210">
        <v>1</v>
      </c>
      <c r="O15" s="214" t="s">
        <v>198</v>
      </c>
      <c r="P15" s="214" t="s">
        <v>198</v>
      </c>
      <c r="R15" s="149" t="s">
        <v>848</v>
      </c>
      <c r="S15" s="149" t="s">
        <v>849</v>
      </c>
    </row>
    <row r="16" spans="1:19" s="145" customFormat="1" ht="21" customHeight="1" thickTop="1" thickBot="1">
      <c r="A16" s="370"/>
      <c r="B16" s="950" t="s">
        <v>565</v>
      </c>
      <c r="C16" s="950"/>
      <c r="D16" s="950"/>
      <c r="E16" s="950" t="s">
        <v>168</v>
      </c>
      <c r="F16" s="950"/>
      <c r="G16" s="218">
        <v>11</v>
      </c>
      <c r="H16" s="218">
        <v>11</v>
      </c>
      <c r="I16" s="218">
        <v>7</v>
      </c>
      <c r="J16" s="218">
        <v>7</v>
      </c>
      <c r="K16" s="218">
        <v>3</v>
      </c>
      <c r="L16" s="218" t="s">
        <v>850</v>
      </c>
      <c r="M16" s="151">
        <v>1</v>
      </c>
      <c r="N16" s="151">
        <v>1</v>
      </c>
      <c r="O16" s="151">
        <v>0</v>
      </c>
      <c r="P16" s="152" t="s">
        <v>198</v>
      </c>
      <c r="R16" s="149" t="s">
        <v>851</v>
      </c>
      <c r="S16" s="149" t="s">
        <v>852</v>
      </c>
    </row>
    <row r="17" spans="1:19" s="145" customFormat="1" ht="21" customHeight="1" thickTop="1" thickBot="1">
      <c r="A17" s="370"/>
      <c r="B17" s="950" t="s">
        <v>76</v>
      </c>
      <c r="C17" s="950"/>
      <c r="D17" s="950"/>
      <c r="E17" s="950" t="s">
        <v>25</v>
      </c>
      <c r="F17" s="950"/>
      <c r="G17" s="371">
        <v>12</v>
      </c>
      <c r="H17" s="371">
        <v>12</v>
      </c>
      <c r="I17" s="371">
        <v>8</v>
      </c>
      <c r="J17" s="371">
        <v>8</v>
      </c>
      <c r="K17" s="371">
        <v>4</v>
      </c>
      <c r="L17" s="371"/>
      <c r="M17" s="210">
        <v>1</v>
      </c>
      <c r="N17" s="210">
        <v>1</v>
      </c>
      <c r="O17" s="210">
        <v>1</v>
      </c>
      <c r="P17" s="214" t="s">
        <v>198</v>
      </c>
      <c r="R17" s="149" t="s">
        <v>853</v>
      </c>
      <c r="S17" s="149" t="s">
        <v>854</v>
      </c>
    </row>
    <row r="18" spans="1:19" s="145" customFormat="1" ht="21" customHeight="1" thickTop="1" thickBot="1">
      <c r="A18" s="370"/>
      <c r="B18" s="950" t="s">
        <v>78</v>
      </c>
      <c r="C18" s="950"/>
      <c r="D18" s="950"/>
      <c r="E18" s="950" t="s">
        <v>507</v>
      </c>
      <c r="F18" s="950"/>
      <c r="G18" s="218">
        <v>13</v>
      </c>
      <c r="H18" s="218">
        <v>13</v>
      </c>
      <c r="I18" s="218">
        <v>8</v>
      </c>
      <c r="J18" s="218">
        <v>8</v>
      </c>
      <c r="K18" s="218">
        <v>4</v>
      </c>
      <c r="L18" s="218" t="s">
        <v>855</v>
      </c>
      <c r="M18" s="151">
        <v>1</v>
      </c>
      <c r="N18" s="151">
        <v>1</v>
      </c>
      <c r="O18" s="151">
        <v>1</v>
      </c>
      <c r="P18" s="152" t="s">
        <v>198</v>
      </c>
      <c r="R18" s="149" t="s">
        <v>856</v>
      </c>
      <c r="S18" s="149" t="s">
        <v>857</v>
      </c>
    </row>
    <row r="19" spans="1:19" s="145" customFormat="1" ht="34.5" customHeight="1" thickTop="1" thickBot="1">
      <c r="A19" s="370"/>
      <c r="B19" s="950" t="s">
        <v>603</v>
      </c>
      <c r="C19" s="950"/>
      <c r="D19" s="950"/>
      <c r="E19" s="950" t="s">
        <v>499</v>
      </c>
      <c r="F19" s="950"/>
      <c r="G19" s="371">
        <v>14</v>
      </c>
      <c r="H19" s="371">
        <v>14</v>
      </c>
      <c r="I19" s="371">
        <v>9</v>
      </c>
      <c r="J19" s="371">
        <v>9</v>
      </c>
      <c r="K19" s="371">
        <v>4</v>
      </c>
      <c r="L19" s="371"/>
      <c r="M19" s="210">
        <v>2</v>
      </c>
      <c r="N19" s="210">
        <v>1</v>
      </c>
      <c r="O19" s="210">
        <v>1</v>
      </c>
      <c r="P19" s="210">
        <v>0</v>
      </c>
      <c r="R19" s="149" t="s">
        <v>858</v>
      </c>
      <c r="S19" s="149" t="s">
        <v>859</v>
      </c>
    </row>
    <row r="20" spans="1:19" s="145" customFormat="1" ht="40.5" customHeight="1" thickTop="1" thickBot="1">
      <c r="A20" s="370"/>
      <c r="B20" s="950" t="s">
        <v>533</v>
      </c>
      <c r="C20" s="950"/>
      <c r="D20" s="950"/>
      <c r="E20" s="950" t="s">
        <v>168</v>
      </c>
      <c r="F20" s="950"/>
      <c r="G20" s="218">
        <v>15</v>
      </c>
      <c r="H20" s="218">
        <v>15</v>
      </c>
      <c r="I20" s="218">
        <v>9</v>
      </c>
      <c r="J20" s="218">
        <v>9</v>
      </c>
      <c r="K20" s="218">
        <v>5</v>
      </c>
      <c r="L20" s="218" t="s">
        <v>860</v>
      </c>
      <c r="M20" s="151">
        <v>2</v>
      </c>
      <c r="N20" s="151">
        <v>1</v>
      </c>
      <c r="O20" s="151">
        <v>1</v>
      </c>
      <c r="P20" s="151">
        <v>1</v>
      </c>
      <c r="R20" s="149" t="s">
        <v>861</v>
      </c>
      <c r="S20" s="149" t="s">
        <v>862</v>
      </c>
    </row>
    <row r="21" spans="1:19" s="145" customFormat="1" ht="21" customHeight="1" thickTop="1" thickBot="1">
      <c r="A21" s="370"/>
      <c r="B21" s="950" t="s">
        <v>600</v>
      </c>
      <c r="C21" s="950"/>
      <c r="D21" s="950"/>
      <c r="E21" s="950" t="s">
        <v>168</v>
      </c>
      <c r="F21" s="950"/>
      <c r="G21" s="371">
        <v>16</v>
      </c>
      <c r="H21" s="371">
        <v>16</v>
      </c>
      <c r="I21" s="371">
        <v>10</v>
      </c>
      <c r="J21" s="371">
        <v>10</v>
      </c>
      <c r="K21" s="371">
        <v>5</v>
      </c>
      <c r="L21" s="371"/>
      <c r="M21" s="210">
        <v>2</v>
      </c>
      <c r="N21" s="210">
        <v>2</v>
      </c>
      <c r="O21" s="210">
        <v>1</v>
      </c>
      <c r="P21" s="210">
        <v>1</v>
      </c>
      <c r="R21" s="149" t="s">
        <v>863</v>
      </c>
      <c r="S21" s="149" t="s">
        <v>864</v>
      </c>
    </row>
    <row r="22" spans="1:19" s="145" customFormat="1" ht="21" customHeight="1" thickTop="1" thickBot="1">
      <c r="A22" s="370"/>
      <c r="B22" s="950" t="s">
        <v>477</v>
      </c>
      <c r="C22" s="950"/>
      <c r="D22" s="950"/>
      <c r="E22" s="950" t="s">
        <v>25</v>
      </c>
      <c r="F22" s="950"/>
      <c r="G22" s="218">
        <v>17</v>
      </c>
      <c r="H22" s="218">
        <v>17</v>
      </c>
      <c r="I22" s="218">
        <v>10</v>
      </c>
      <c r="J22" s="218">
        <v>10</v>
      </c>
      <c r="K22" s="218">
        <v>5</v>
      </c>
      <c r="L22" s="218" t="s">
        <v>865</v>
      </c>
      <c r="M22" s="151">
        <v>2</v>
      </c>
      <c r="N22" s="151">
        <v>2</v>
      </c>
      <c r="O22" s="151">
        <v>2</v>
      </c>
      <c r="P22" s="151">
        <v>1</v>
      </c>
      <c r="R22" s="149" t="s">
        <v>866</v>
      </c>
      <c r="S22" s="149" t="s">
        <v>867</v>
      </c>
    </row>
    <row r="23" spans="1:19" s="145" customFormat="1" ht="21" customHeight="1" thickTop="1" thickBot="1">
      <c r="A23" s="370"/>
      <c r="B23" s="950" t="s">
        <v>479</v>
      </c>
      <c r="C23" s="950"/>
      <c r="D23" s="950"/>
      <c r="E23" s="950" t="s">
        <v>507</v>
      </c>
      <c r="F23" s="950"/>
      <c r="G23" s="371">
        <v>18</v>
      </c>
      <c r="H23" s="371">
        <v>18</v>
      </c>
      <c r="I23" s="371">
        <v>11</v>
      </c>
      <c r="J23" s="371">
        <v>11</v>
      </c>
      <c r="K23" s="371">
        <v>6</v>
      </c>
      <c r="L23" s="371"/>
      <c r="M23" s="210">
        <v>3</v>
      </c>
      <c r="N23" s="210">
        <v>2</v>
      </c>
      <c r="O23" s="210">
        <v>2</v>
      </c>
      <c r="P23" s="210">
        <v>1</v>
      </c>
      <c r="R23" s="149" t="s">
        <v>868</v>
      </c>
      <c r="S23" s="149" t="s">
        <v>869</v>
      </c>
    </row>
    <row r="24" spans="1:19" s="145" customFormat="1" ht="21" customHeight="1" thickTop="1" thickBot="1">
      <c r="A24" s="370"/>
      <c r="B24" s="950" t="s">
        <v>768</v>
      </c>
      <c r="C24" s="950"/>
      <c r="D24" s="950"/>
      <c r="E24" s="950" t="s">
        <v>166</v>
      </c>
      <c r="F24" s="950"/>
      <c r="G24" s="218">
        <v>19</v>
      </c>
      <c r="H24" s="218">
        <v>19</v>
      </c>
      <c r="I24" s="218">
        <v>11</v>
      </c>
      <c r="J24" s="218">
        <v>11</v>
      </c>
      <c r="K24" s="218">
        <v>6</v>
      </c>
      <c r="L24" s="218"/>
      <c r="M24" s="151">
        <v>3</v>
      </c>
      <c r="N24" s="151">
        <v>3</v>
      </c>
      <c r="O24" s="151">
        <v>3</v>
      </c>
      <c r="P24" s="151">
        <v>2</v>
      </c>
      <c r="R24" s="149" t="s">
        <v>870</v>
      </c>
      <c r="S24" s="149" t="s">
        <v>871</v>
      </c>
    </row>
    <row r="25" spans="1:19" s="145" customFormat="1" ht="21" customHeight="1" thickTop="1" thickBot="1">
      <c r="A25" s="150"/>
      <c r="B25" s="150"/>
      <c r="C25" s="150"/>
      <c r="D25" s="150"/>
      <c r="E25" s="150"/>
      <c r="F25" s="150"/>
      <c r="G25" s="371">
        <v>20</v>
      </c>
      <c r="H25" s="371">
        <v>20</v>
      </c>
      <c r="I25" s="371">
        <v>12</v>
      </c>
      <c r="J25" s="371">
        <v>12</v>
      </c>
      <c r="K25" s="371">
        <v>6</v>
      </c>
      <c r="L25" s="371" t="s">
        <v>872</v>
      </c>
      <c r="M25" s="210">
        <v>3</v>
      </c>
      <c r="N25" s="210">
        <v>3</v>
      </c>
      <c r="O25" s="210">
        <v>3</v>
      </c>
      <c r="P25" s="210">
        <v>3</v>
      </c>
      <c r="R25" s="149" t="s">
        <v>873</v>
      </c>
      <c r="S25" s="149" t="s">
        <v>874</v>
      </c>
    </row>
    <row r="26" spans="1:19" ht="20.25" thickTop="1" thickBot="1">
      <c r="R26" s="149" t="s">
        <v>875</v>
      </c>
      <c r="S26" s="149" t="s">
        <v>876</v>
      </c>
    </row>
    <row r="27" spans="1:19" ht="20.25" thickTop="1" thickBot="1">
      <c r="R27" s="149" t="s">
        <v>877</v>
      </c>
      <c r="S27" s="149" t="s">
        <v>878</v>
      </c>
    </row>
    <row r="28" spans="1:19" ht="20.25" thickTop="1" thickBot="1">
      <c r="R28" s="149" t="s">
        <v>879</v>
      </c>
      <c r="S28" s="149" t="s">
        <v>880</v>
      </c>
    </row>
    <row r="29" spans="1:19" ht="20.25" thickTop="1" thickBot="1">
      <c r="R29" s="149" t="s">
        <v>881</v>
      </c>
      <c r="S29" s="149" t="s">
        <v>882</v>
      </c>
    </row>
    <row r="30" spans="1:19" ht="20.25" thickTop="1" thickBot="1">
      <c r="R30" s="149" t="s">
        <v>883</v>
      </c>
      <c r="S30" s="149" t="s">
        <v>884</v>
      </c>
    </row>
    <row r="31" spans="1:19" ht="20.25" thickTop="1" thickBot="1">
      <c r="R31" s="149" t="s">
        <v>885</v>
      </c>
      <c r="S31" s="149" t="s">
        <v>886</v>
      </c>
    </row>
    <row r="32" spans="1:19" ht="20.25" thickTop="1" thickBot="1">
      <c r="R32" s="149" t="s">
        <v>887</v>
      </c>
      <c r="S32" s="149" t="s">
        <v>888</v>
      </c>
    </row>
    <row r="33" spans="18:19" ht="20.25" thickTop="1" thickBot="1">
      <c r="R33" s="149" t="s">
        <v>889</v>
      </c>
      <c r="S33" s="149" t="s">
        <v>890</v>
      </c>
    </row>
    <row r="34" spans="18:19" ht="39" thickTop="1" thickBot="1">
      <c r="R34" s="149" t="s">
        <v>891</v>
      </c>
      <c r="S34" s="149" t="s">
        <v>892</v>
      </c>
    </row>
    <row r="35" spans="18:19" ht="15.75" thickTop="1"/>
  </sheetData>
  <mergeCells count="49">
    <mergeCell ref="R1:S2"/>
    <mergeCell ref="E6:F6"/>
    <mergeCell ref="E7:F7"/>
    <mergeCell ref="E8:F8"/>
    <mergeCell ref="E9:F9"/>
    <mergeCell ref="I3:I5"/>
    <mergeCell ref="J3:J5"/>
    <mergeCell ref="K3:K5"/>
    <mergeCell ref="L3:L5"/>
    <mergeCell ref="M3:P4"/>
    <mergeCell ref="A1:F3"/>
    <mergeCell ref="G1:G2"/>
    <mergeCell ref="H1:H2"/>
    <mergeCell ref="G3:H4"/>
    <mergeCell ref="A4:F5"/>
    <mergeCell ref="B6:D6"/>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B7:D7"/>
    <mergeCell ref="B8:D8"/>
    <mergeCell ref="B9:D9"/>
    <mergeCell ref="B10:D10"/>
    <mergeCell ref="B11:D11"/>
    <mergeCell ref="B12:D12"/>
    <mergeCell ref="B13:D13"/>
    <mergeCell ref="B14:D14"/>
    <mergeCell ref="B15:D15"/>
    <mergeCell ref="B21:D21"/>
    <mergeCell ref="B22:D22"/>
    <mergeCell ref="B23:D23"/>
    <mergeCell ref="B24:D24"/>
    <mergeCell ref="B16:D16"/>
    <mergeCell ref="B17:D17"/>
    <mergeCell ref="B18:D18"/>
    <mergeCell ref="B19:D19"/>
    <mergeCell ref="B20:D20"/>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
  <sheetViews>
    <sheetView showGridLines="0" showRowColHeaders="0" workbookViewId="0">
      <selection activeCell="G3" sqref="G3:H4"/>
    </sheetView>
  </sheetViews>
  <sheetFormatPr defaultRowHeight="15"/>
  <cols>
    <col min="9" max="9" width="10.42578125" customWidth="1"/>
    <col min="12" max="12" width="19.140625" customWidth="1"/>
  </cols>
  <sheetData>
    <row r="1" spans="1:22">
      <c r="A1" s="972" t="s">
        <v>195</v>
      </c>
      <c r="B1" s="972"/>
      <c r="C1" s="972"/>
      <c r="D1" s="972"/>
      <c r="E1" s="972"/>
      <c r="F1" s="972"/>
      <c r="G1" s="975" t="s">
        <v>26</v>
      </c>
      <c r="H1" s="941">
        <v>4</v>
      </c>
    </row>
    <row r="2" spans="1:22" ht="15.75" thickBot="1">
      <c r="A2" s="972"/>
      <c r="B2" s="972"/>
      <c r="C2" s="972"/>
      <c r="D2" s="972"/>
      <c r="E2" s="972"/>
      <c r="F2" s="972"/>
      <c r="G2" s="976"/>
      <c r="H2" s="977"/>
    </row>
    <row r="3" spans="1:22" ht="15" customHeight="1" thickTop="1" thickBot="1">
      <c r="A3" s="973"/>
      <c r="B3" s="973"/>
      <c r="C3" s="973"/>
      <c r="D3" s="973"/>
      <c r="E3" s="973"/>
      <c r="F3" s="974"/>
      <c r="G3" s="978" t="s">
        <v>107</v>
      </c>
      <c r="H3" s="978"/>
      <c r="I3" s="971" t="s">
        <v>781</v>
      </c>
      <c r="J3" s="971" t="s">
        <v>782</v>
      </c>
      <c r="K3" s="971" t="s">
        <v>783</v>
      </c>
      <c r="L3" s="971" t="s">
        <v>472</v>
      </c>
      <c r="M3" s="924" t="s">
        <v>893</v>
      </c>
      <c r="N3" s="925"/>
      <c r="O3" s="925"/>
      <c r="P3" s="925"/>
      <c r="Q3" s="925"/>
      <c r="R3" s="925"/>
      <c r="S3" s="925"/>
      <c r="T3" s="925"/>
      <c r="U3" s="925"/>
      <c r="V3" s="925"/>
    </row>
    <row r="4" spans="1:22" ht="15" customHeight="1" thickTop="1" thickBot="1">
      <c r="A4" s="839" t="s">
        <v>44</v>
      </c>
      <c r="B4" s="839"/>
      <c r="C4" s="839"/>
      <c r="D4" s="839"/>
      <c r="E4" s="839"/>
      <c r="F4" s="839"/>
      <c r="G4" s="978"/>
      <c r="H4" s="978"/>
      <c r="I4" s="971"/>
      <c r="J4" s="971"/>
      <c r="K4" s="971"/>
      <c r="L4" s="971"/>
      <c r="M4" s="925"/>
      <c r="N4" s="925"/>
      <c r="O4" s="925"/>
      <c r="P4" s="925"/>
      <c r="Q4" s="925"/>
      <c r="R4" s="925"/>
      <c r="S4" s="925"/>
      <c r="T4" s="925"/>
      <c r="U4" s="925"/>
      <c r="V4" s="925"/>
    </row>
    <row r="5" spans="1:22" ht="45" customHeight="1" thickTop="1" thickBot="1">
      <c r="A5" s="839"/>
      <c r="B5" s="839"/>
      <c r="C5" s="839"/>
      <c r="D5" s="839"/>
      <c r="E5" s="839"/>
      <c r="F5" s="839"/>
      <c r="G5" s="378" t="s">
        <v>470</v>
      </c>
      <c r="H5" s="378" t="s">
        <v>471</v>
      </c>
      <c r="I5" s="971"/>
      <c r="J5" s="971"/>
      <c r="K5" s="971"/>
      <c r="L5" s="971"/>
      <c r="M5" s="372">
        <v>0</v>
      </c>
      <c r="N5" s="372">
        <v>1</v>
      </c>
      <c r="O5" s="372">
        <v>2</v>
      </c>
      <c r="P5" s="372">
        <v>3</v>
      </c>
      <c r="Q5" s="372">
        <v>4</v>
      </c>
      <c r="R5" s="372">
        <v>5</v>
      </c>
      <c r="S5" s="372">
        <v>6</v>
      </c>
      <c r="T5" s="372">
        <v>7</v>
      </c>
      <c r="U5" s="372">
        <v>8</v>
      </c>
      <c r="V5" s="372">
        <v>9</v>
      </c>
    </row>
    <row r="6" spans="1:22" ht="39" thickTop="1" thickBot="1">
      <c r="A6" s="232">
        <v>1</v>
      </c>
      <c r="B6" s="970" t="s">
        <v>894</v>
      </c>
      <c r="C6" s="970"/>
      <c r="D6" s="970"/>
      <c r="E6" s="970" t="s">
        <v>499</v>
      </c>
      <c r="F6" s="970"/>
      <c r="G6" s="218">
        <v>1</v>
      </c>
      <c r="H6" s="218">
        <v>0</v>
      </c>
      <c r="I6" s="218">
        <v>0</v>
      </c>
      <c r="J6" s="218">
        <v>0</v>
      </c>
      <c r="K6" s="218">
        <v>2</v>
      </c>
      <c r="L6" s="218" t="s">
        <v>895</v>
      </c>
      <c r="M6" s="151">
        <v>5</v>
      </c>
      <c r="N6" s="151">
        <v>3</v>
      </c>
      <c r="O6" s="151" t="s">
        <v>198</v>
      </c>
      <c r="P6" s="151" t="s">
        <v>198</v>
      </c>
      <c r="Q6" s="151" t="s">
        <v>198</v>
      </c>
      <c r="R6" s="151" t="s">
        <v>198</v>
      </c>
      <c r="S6" s="151" t="s">
        <v>198</v>
      </c>
      <c r="T6" s="151" t="s">
        <v>198</v>
      </c>
      <c r="U6" s="151" t="s">
        <v>198</v>
      </c>
      <c r="V6" s="151" t="s">
        <v>198</v>
      </c>
    </row>
    <row r="7" spans="1:22" ht="31.5" customHeight="1" thickTop="1" thickBot="1">
      <c r="A7" s="232">
        <v>2</v>
      </c>
      <c r="B7" s="970" t="s">
        <v>650</v>
      </c>
      <c r="C7" s="970"/>
      <c r="D7" s="970"/>
      <c r="E7" s="970" t="s">
        <v>507</v>
      </c>
      <c r="F7" s="970"/>
      <c r="G7" s="371">
        <v>2</v>
      </c>
      <c r="H7" s="371">
        <v>1</v>
      </c>
      <c r="I7" s="371">
        <v>0</v>
      </c>
      <c r="J7" s="371">
        <v>0</v>
      </c>
      <c r="K7" s="371">
        <v>3</v>
      </c>
      <c r="L7" s="371"/>
      <c r="M7" s="210">
        <v>6</v>
      </c>
      <c r="N7" s="210">
        <v>4</v>
      </c>
      <c r="O7" s="210" t="s">
        <v>198</v>
      </c>
      <c r="P7" s="210" t="s">
        <v>198</v>
      </c>
      <c r="Q7" s="210" t="s">
        <v>198</v>
      </c>
      <c r="R7" s="210" t="s">
        <v>198</v>
      </c>
      <c r="S7" s="210" t="s">
        <v>198</v>
      </c>
      <c r="T7" s="210" t="s">
        <v>198</v>
      </c>
      <c r="U7" s="210" t="s">
        <v>198</v>
      </c>
      <c r="V7" s="210" t="s">
        <v>198</v>
      </c>
    </row>
    <row r="8" spans="1:22" ht="31.5" customHeight="1" thickTop="1" thickBot="1">
      <c r="A8" s="232">
        <v>3</v>
      </c>
      <c r="B8" s="970" t="s">
        <v>594</v>
      </c>
      <c r="C8" s="970"/>
      <c r="D8" s="970"/>
      <c r="E8" s="970" t="s">
        <v>507</v>
      </c>
      <c r="F8" s="970"/>
      <c r="G8" s="218">
        <v>3</v>
      </c>
      <c r="H8" s="218">
        <v>1</v>
      </c>
      <c r="I8" s="218">
        <v>1</v>
      </c>
      <c r="J8" s="218">
        <v>1</v>
      </c>
      <c r="K8" s="218">
        <v>3</v>
      </c>
      <c r="L8" s="218"/>
      <c r="M8" s="151">
        <v>6</v>
      </c>
      <c r="N8" s="151">
        <v>5</v>
      </c>
      <c r="O8" s="151" t="s">
        <v>198</v>
      </c>
      <c r="P8" s="151" t="s">
        <v>198</v>
      </c>
      <c r="Q8" s="151" t="s">
        <v>198</v>
      </c>
      <c r="R8" s="151" t="s">
        <v>198</v>
      </c>
      <c r="S8" s="151" t="s">
        <v>198</v>
      </c>
      <c r="T8" s="151" t="s">
        <v>198</v>
      </c>
      <c r="U8" s="151" t="s">
        <v>198</v>
      </c>
      <c r="V8" s="151" t="s">
        <v>198</v>
      </c>
    </row>
    <row r="9" spans="1:22" ht="31.5" customHeight="1" thickTop="1" thickBot="1">
      <c r="A9" s="232">
        <v>4</v>
      </c>
      <c r="B9" s="970" t="s">
        <v>64</v>
      </c>
      <c r="C9" s="970"/>
      <c r="D9" s="970"/>
      <c r="E9" s="970" t="s">
        <v>588</v>
      </c>
      <c r="F9" s="970"/>
      <c r="G9" s="371">
        <v>4</v>
      </c>
      <c r="H9" s="371">
        <v>2</v>
      </c>
      <c r="I9" s="371">
        <v>1</v>
      </c>
      <c r="J9" s="371">
        <v>1</v>
      </c>
      <c r="K9" s="371">
        <v>4</v>
      </c>
      <c r="L9" s="371"/>
      <c r="M9" s="210">
        <v>6</v>
      </c>
      <c r="N9" s="210">
        <v>6</v>
      </c>
      <c r="O9" s="210">
        <v>3</v>
      </c>
      <c r="P9" s="210" t="s">
        <v>198</v>
      </c>
      <c r="Q9" s="210" t="s">
        <v>198</v>
      </c>
      <c r="R9" s="210" t="s">
        <v>198</v>
      </c>
      <c r="S9" s="210" t="s">
        <v>198</v>
      </c>
      <c r="T9" s="210" t="s">
        <v>198</v>
      </c>
      <c r="U9" s="210" t="s">
        <v>198</v>
      </c>
      <c r="V9" s="210" t="s">
        <v>198</v>
      </c>
    </row>
    <row r="10" spans="1:22" ht="31.5" customHeight="1" thickTop="1" thickBot="1">
      <c r="A10" s="232">
        <v>5</v>
      </c>
      <c r="B10" s="970" t="s">
        <v>600</v>
      </c>
      <c r="C10" s="970"/>
      <c r="D10" s="970"/>
      <c r="E10" s="970" t="s">
        <v>168</v>
      </c>
      <c r="F10" s="970"/>
      <c r="G10" s="218">
        <v>5</v>
      </c>
      <c r="H10" s="218">
        <v>2</v>
      </c>
      <c r="I10" s="218">
        <v>1</v>
      </c>
      <c r="J10" s="218">
        <v>1</v>
      </c>
      <c r="K10" s="218">
        <v>4</v>
      </c>
      <c r="L10" s="218"/>
      <c r="M10" s="151">
        <v>6</v>
      </c>
      <c r="N10" s="151">
        <v>6</v>
      </c>
      <c r="O10" s="151">
        <v>4</v>
      </c>
      <c r="P10" s="151" t="s">
        <v>198</v>
      </c>
      <c r="Q10" s="151" t="s">
        <v>198</v>
      </c>
      <c r="R10" s="151" t="s">
        <v>198</v>
      </c>
      <c r="S10" s="151" t="s">
        <v>198</v>
      </c>
      <c r="T10" s="151" t="s">
        <v>198</v>
      </c>
      <c r="U10" s="151" t="s">
        <v>198</v>
      </c>
      <c r="V10" s="151" t="s">
        <v>198</v>
      </c>
    </row>
    <row r="11" spans="1:22" ht="20.25" thickTop="1" thickBot="1">
      <c r="A11" s="232">
        <v>6</v>
      </c>
      <c r="B11" s="970" t="s">
        <v>479</v>
      </c>
      <c r="C11" s="970"/>
      <c r="D11" s="970"/>
      <c r="E11" s="970" t="s">
        <v>507</v>
      </c>
      <c r="F11" s="970"/>
      <c r="G11" s="371">
        <v>6</v>
      </c>
      <c r="H11" s="371">
        <v>3</v>
      </c>
      <c r="I11" s="371">
        <v>2</v>
      </c>
      <c r="J11" s="371">
        <v>2</v>
      </c>
      <c r="K11" s="371">
        <v>5</v>
      </c>
      <c r="L11" s="371"/>
      <c r="M11" s="210">
        <v>6</v>
      </c>
      <c r="N11" s="210">
        <v>6</v>
      </c>
      <c r="O11" s="210">
        <v>5</v>
      </c>
      <c r="P11" s="210">
        <v>3</v>
      </c>
      <c r="Q11" s="210" t="s">
        <v>198</v>
      </c>
      <c r="R11" s="210" t="s">
        <v>198</v>
      </c>
      <c r="S11" s="210" t="s">
        <v>198</v>
      </c>
      <c r="T11" s="210" t="s">
        <v>198</v>
      </c>
      <c r="U11" s="210" t="s">
        <v>198</v>
      </c>
      <c r="V11" s="210" t="s">
        <v>198</v>
      </c>
    </row>
    <row r="12" spans="1:22" ht="20.25" thickTop="1" thickBot="1">
      <c r="G12" s="218">
        <v>7</v>
      </c>
      <c r="H12" s="218">
        <v>3</v>
      </c>
      <c r="I12" s="218">
        <v>2</v>
      </c>
      <c r="J12" s="218">
        <v>2</v>
      </c>
      <c r="K12" s="218">
        <v>5</v>
      </c>
      <c r="L12" s="218"/>
      <c r="M12" s="151">
        <v>6</v>
      </c>
      <c r="N12" s="151">
        <v>6</v>
      </c>
      <c r="O12" s="151">
        <v>6</v>
      </c>
      <c r="P12" s="151">
        <v>4</v>
      </c>
      <c r="Q12" s="151" t="s">
        <v>198</v>
      </c>
      <c r="R12" s="151" t="s">
        <v>198</v>
      </c>
      <c r="S12" s="151" t="s">
        <v>198</v>
      </c>
      <c r="T12" s="151" t="s">
        <v>198</v>
      </c>
      <c r="U12" s="151" t="s">
        <v>198</v>
      </c>
      <c r="V12" s="151" t="s">
        <v>198</v>
      </c>
    </row>
    <row r="13" spans="1:22" ht="20.25" thickTop="1" thickBot="1">
      <c r="G13" s="371">
        <v>8</v>
      </c>
      <c r="H13" s="371">
        <v>4</v>
      </c>
      <c r="I13" s="371">
        <v>2</v>
      </c>
      <c r="J13" s="371">
        <v>2</v>
      </c>
      <c r="K13" s="371">
        <v>6</v>
      </c>
      <c r="L13" s="371"/>
      <c r="M13" s="210">
        <v>6</v>
      </c>
      <c r="N13" s="210">
        <v>6</v>
      </c>
      <c r="O13" s="210">
        <v>6</v>
      </c>
      <c r="P13" s="210">
        <v>5</v>
      </c>
      <c r="Q13" s="210">
        <v>3</v>
      </c>
      <c r="R13" s="210" t="s">
        <v>198</v>
      </c>
      <c r="S13" s="210" t="s">
        <v>198</v>
      </c>
      <c r="T13" s="210" t="s">
        <v>198</v>
      </c>
      <c r="U13" s="210" t="s">
        <v>198</v>
      </c>
      <c r="V13" s="210" t="s">
        <v>198</v>
      </c>
    </row>
    <row r="14" spans="1:22" ht="20.25" thickTop="1" thickBot="1">
      <c r="G14" s="218">
        <v>9</v>
      </c>
      <c r="H14" s="218">
        <v>4</v>
      </c>
      <c r="I14" s="218">
        <v>3</v>
      </c>
      <c r="J14" s="218">
        <v>3</v>
      </c>
      <c r="K14" s="218">
        <v>6</v>
      </c>
      <c r="L14" s="218"/>
      <c r="M14" s="151">
        <v>6</v>
      </c>
      <c r="N14" s="151">
        <v>6</v>
      </c>
      <c r="O14" s="151">
        <v>6</v>
      </c>
      <c r="P14" s="151">
        <v>6</v>
      </c>
      <c r="Q14" s="151">
        <v>4</v>
      </c>
      <c r="R14" s="151" t="s">
        <v>198</v>
      </c>
      <c r="S14" s="151" t="s">
        <v>198</v>
      </c>
      <c r="T14" s="151" t="s">
        <v>198</v>
      </c>
      <c r="U14" s="151" t="s">
        <v>198</v>
      </c>
      <c r="V14" s="151" t="s">
        <v>198</v>
      </c>
    </row>
    <row r="15" spans="1:22" ht="20.25" thickTop="1" thickBot="1">
      <c r="G15" s="371">
        <v>10</v>
      </c>
      <c r="H15" s="371">
        <v>5</v>
      </c>
      <c r="I15" s="371">
        <v>3</v>
      </c>
      <c r="J15" s="371">
        <v>3</v>
      </c>
      <c r="K15" s="371">
        <v>7</v>
      </c>
      <c r="L15" s="371"/>
      <c r="M15" s="210">
        <v>6</v>
      </c>
      <c r="N15" s="210">
        <v>6</v>
      </c>
      <c r="O15" s="210">
        <v>6</v>
      </c>
      <c r="P15" s="210">
        <v>6</v>
      </c>
      <c r="Q15" s="210">
        <v>5</v>
      </c>
      <c r="R15" s="210">
        <v>3</v>
      </c>
      <c r="S15" s="210" t="s">
        <v>198</v>
      </c>
      <c r="T15" s="210" t="s">
        <v>198</v>
      </c>
      <c r="U15" s="210" t="s">
        <v>198</v>
      </c>
      <c r="V15" s="210" t="s">
        <v>198</v>
      </c>
    </row>
    <row r="16" spans="1:22" ht="20.25" thickTop="1" thickBot="1">
      <c r="G16" s="218">
        <v>11</v>
      </c>
      <c r="H16" s="218">
        <v>5</v>
      </c>
      <c r="I16" s="218">
        <v>3</v>
      </c>
      <c r="J16" s="218">
        <v>3</v>
      </c>
      <c r="K16" s="218">
        <v>7</v>
      </c>
      <c r="L16" s="218"/>
      <c r="M16" s="151">
        <v>6</v>
      </c>
      <c r="N16" s="151">
        <v>6</v>
      </c>
      <c r="O16" s="151">
        <v>6</v>
      </c>
      <c r="P16" s="151">
        <v>6</v>
      </c>
      <c r="Q16" s="151">
        <v>6</v>
      </c>
      <c r="R16" s="151">
        <v>4</v>
      </c>
      <c r="S16" s="151" t="s">
        <v>198</v>
      </c>
      <c r="T16" s="151" t="s">
        <v>198</v>
      </c>
      <c r="U16" s="151" t="s">
        <v>198</v>
      </c>
      <c r="V16" s="151" t="s">
        <v>198</v>
      </c>
    </row>
    <row r="17" spans="7:24" ht="20.25" thickTop="1" thickBot="1">
      <c r="G17" s="371">
        <v>12</v>
      </c>
      <c r="H17" s="371">
        <v>6</v>
      </c>
      <c r="I17" s="371">
        <v>4</v>
      </c>
      <c r="J17" s="371">
        <v>4</v>
      </c>
      <c r="K17" s="371">
        <v>8</v>
      </c>
      <c r="L17" s="371"/>
      <c r="M17" s="210">
        <v>6</v>
      </c>
      <c r="N17" s="210">
        <v>6</v>
      </c>
      <c r="O17" s="210">
        <v>6</v>
      </c>
      <c r="P17" s="210">
        <v>6</v>
      </c>
      <c r="Q17" s="210">
        <v>6</v>
      </c>
      <c r="R17" s="210">
        <v>5</v>
      </c>
      <c r="S17" s="210">
        <v>3</v>
      </c>
      <c r="T17" s="210" t="s">
        <v>198</v>
      </c>
      <c r="U17" s="210" t="s">
        <v>198</v>
      </c>
      <c r="V17" s="210" t="s">
        <v>198</v>
      </c>
    </row>
    <row r="18" spans="7:24" ht="20.25" thickTop="1" thickBot="1">
      <c r="G18" s="218">
        <v>13</v>
      </c>
      <c r="H18" s="218">
        <v>6</v>
      </c>
      <c r="I18" s="218">
        <v>4</v>
      </c>
      <c r="J18" s="218">
        <v>4</v>
      </c>
      <c r="K18" s="218">
        <v>8</v>
      </c>
      <c r="L18" s="218"/>
      <c r="M18" s="151">
        <v>6</v>
      </c>
      <c r="N18" s="151">
        <v>6</v>
      </c>
      <c r="O18" s="151">
        <v>6</v>
      </c>
      <c r="P18" s="151">
        <v>6</v>
      </c>
      <c r="Q18" s="151">
        <v>6</v>
      </c>
      <c r="R18" s="151">
        <v>6</v>
      </c>
      <c r="S18" s="151">
        <v>4</v>
      </c>
      <c r="T18" s="151" t="s">
        <v>198</v>
      </c>
      <c r="U18" s="151" t="s">
        <v>198</v>
      </c>
      <c r="V18" s="151" t="s">
        <v>198</v>
      </c>
    </row>
    <row r="19" spans="7:24" ht="20.25" thickTop="1" thickBot="1">
      <c r="G19" s="371">
        <v>14</v>
      </c>
      <c r="H19" s="371">
        <v>7</v>
      </c>
      <c r="I19" s="371">
        <v>4</v>
      </c>
      <c r="J19" s="371">
        <v>4</v>
      </c>
      <c r="K19" s="371">
        <v>9</v>
      </c>
      <c r="L19" s="371"/>
      <c r="M19" s="210">
        <v>6</v>
      </c>
      <c r="N19" s="210">
        <v>6</v>
      </c>
      <c r="O19" s="210">
        <v>6</v>
      </c>
      <c r="P19" s="210">
        <v>6</v>
      </c>
      <c r="Q19" s="210">
        <v>6</v>
      </c>
      <c r="R19" s="210">
        <v>6</v>
      </c>
      <c r="S19" s="210">
        <v>5</v>
      </c>
      <c r="T19" s="210">
        <v>3</v>
      </c>
      <c r="U19" s="210" t="s">
        <v>198</v>
      </c>
      <c r="V19" s="210" t="s">
        <v>198</v>
      </c>
    </row>
    <row r="20" spans="7:24" ht="20.25" thickTop="1" thickBot="1">
      <c r="G20" s="218">
        <v>15</v>
      </c>
      <c r="H20" s="218">
        <v>7</v>
      </c>
      <c r="I20" s="218">
        <v>5</v>
      </c>
      <c r="J20" s="218">
        <v>5</v>
      </c>
      <c r="K20" s="218">
        <v>9</v>
      </c>
      <c r="L20" s="218"/>
      <c r="M20" s="151">
        <v>6</v>
      </c>
      <c r="N20" s="151">
        <v>6</v>
      </c>
      <c r="O20" s="151">
        <v>6</v>
      </c>
      <c r="P20" s="151">
        <v>6</v>
      </c>
      <c r="Q20" s="151">
        <v>6</v>
      </c>
      <c r="R20" s="151">
        <v>6</v>
      </c>
      <c r="S20" s="151">
        <v>6</v>
      </c>
      <c r="T20" s="151">
        <v>4</v>
      </c>
      <c r="U20" s="151" t="s">
        <v>198</v>
      </c>
      <c r="V20" s="151" t="s">
        <v>198</v>
      </c>
    </row>
    <row r="21" spans="7:24" ht="20.25" thickTop="1" thickBot="1">
      <c r="G21" s="371">
        <v>16</v>
      </c>
      <c r="H21" s="371">
        <v>8</v>
      </c>
      <c r="I21" s="371">
        <v>5</v>
      </c>
      <c r="J21" s="371">
        <v>5</v>
      </c>
      <c r="K21" s="371">
        <v>10</v>
      </c>
      <c r="L21" s="371"/>
      <c r="M21" s="210">
        <v>6</v>
      </c>
      <c r="N21" s="210">
        <v>6</v>
      </c>
      <c r="O21" s="210">
        <v>6</v>
      </c>
      <c r="P21" s="210">
        <v>6</v>
      </c>
      <c r="Q21" s="210">
        <v>6</v>
      </c>
      <c r="R21" s="210">
        <v>6</v>
      </c>
      <c r="S21" s="210">
        <v>6</v>
      </c>
      <c r="T21" s="210">
        <v>5</v>
      </c>
      <c r="U21" s="210">
        <v>3</v>
      </c>
      <c r="V21" s="210" t="s">
        <v>198</v>
      </c>
      <c r="X21" s="142"/>
    </row>
    <row r="22" spans="7:24" ht="20.25" thickTop="1" thickBot="1">
      <c r="G22" s="218">
        <v>17</v>
      </c>
      <c r="H22" s="218">
        <v>8</v>
      </c>
      <c r="I22" s="218">
        <v>5</v>
      </c>
      <c r="J22" s="218">
        <v>5</v>
      </c>
      <c r="K22" s="218">
        <v>10</v>
      </c>
      <c r="L22" s="218"/>
      <c r="M22" s="151">
        <v>6</v>
      </c>
      <c r="N22" s="151">
        <v>6</v>
      </c>
      <c r="O22" s="151">
        <v>6</v>
      </c>
      <c r="P22" s="151">
        <v>6</v>
      </c>
      <c r="Q22" s="151">
        <v>6</v>
      </c>
      <c r="R22" s="151">
        <v>6</v>
      </c>
      <c r="S22" s="151">
        <v>6</v>
      </c>
      <c r="T22" s="151">
        <v>6</v>
      </c>
      <c r="U22" s="151">
        <v>4</v>
      </c>
      <c r="V22" s="151" t="s">
        <v>198</v>
      </c>
    </row>
    <row r="23" spans="7:24" ht="20.25" thickTop="1" thickBot="1">
      <c r="G23" s="371">
        <v>18</v>
      </c>
      <c r="H23" s="371">
        <v>9</v>
      </c>
      <c r="I23" s="371">
        <v>6</v>
      </c>
      <c r="J23" s="371">
        <v>6</v>
      </c>
      <c r="K23" s="371">
        <v>11</v>
      </c>
      <c r="L23" s="371"/>
      <c r="M23" s="210">
        <v>6</v>
      </c>
      <c r="N23" s="210">
        <v>6</v>
      </c>
      <c r="O23" s="210">
        <v>6</v>
      </c>
      <c r="P23" s="210">
        <v>6</v>
      </c>
      <c r="Q23" s="210">
        <v>6</v>
      </c>
      <c r="R23" s="210">
        <v>6</v>
      </c>
      <c r="S23" s="210">
        <v>6</v>
      </c>
      <c r="T23" s="210">
        <v>6</v>
      </c>
      <c r="U23" s="210">
        <v>5</v>
      </c>
      <c r="V23" s="210">
        <v>3</v>
      </c>
    </row>
    <row r="24" spans="7:24" ht="20.25" thickTop="1" thickBot="1">
      <c r="G24" s="218">
        <v>19</v>
      </c>
      <c r="H24" s="218">
        <v>9</v>
      </c>
      <c r="I24" s="218">
        <v>6</v>
      </c>
      <c r="J24" s="218">
        <v>6</v>
      </c>
      <c r="K24" s="218">
        <v>11</v>
      </c>
      <c r="L24" s="218"/>
      <c r="M24" s="151">
        <v>6</v>
      </c>
      <c r="N24" s="151">
        <v>6</v>
      </c>
      <c r="O24" s="151">
        <v>6</v>
      </c>
      <c r="P24" s="151">
        <v>6</v>
      </c>
      <c r="Q24" s="151">
        <v>6</v>
      </c>
      <c r="R24" s="151">
        <v>6</v>
      </c>
      <c r="S24" s="151">
        <v>6</v>
      </c>
      <c r="T24" s="151">
        <v>6</v>
      </c>
      <c r="U24" s="151">
        <v>6</v>
      </c>
      <c r="V24" s="151">
        <v>4</v>
      </c>
    </row>
    <row r="25" spans="7:24" ht="20.25" thickTop="1" thickBot="1">
      <c r="G25" s="371">
        <v>20</v>
      </c>
      <c r="H25" s="371">
        <v>10</v>
      </c>
      <c r="I25" s="371">
        <v>6</v>
      </c>
      <c r="J25" s="371">
        <v>6</v>
      </c>
      <c r="K25" s="371">
        <v>12</v>
      </c>
      <c r="L25" s="371"/>
      <c r="M25" s="210">
        <v>6</v>
      </c>
      <c r="N25" s="210">
        <v>6</v>
      </c>
      <c r="O25" s="210">
        <v>6</v>
      </c>
      <c r="P25" s="210">
        <v>6</v>
      </c>
      <c r="Q25" s="210">
        <v>6</v>
      </c>
      <c r="R25" s="210">
        <v>6</v>
      </c>
      <c r="S25" s="210">
        <v>6</v>
      </c>
      <c r="T25" s="210">
        <v>6</v>
      </c>
      <c r="U25" s="210">
        <v>6</v>
      </c>
      <c r="V25" s="210">
        <v>6</v>
      </c>
    </row>
    <row r="26" spans="7:24" ht="16.5" thickTop="1" thickBot="1"/>
    <row r="27" spans="7:24" ht="16.5" thickTop="1" thickBot="1">
      <c r="L27" s="900" t="s">
        <v>2</v>
      </c>
      <c r="M27" s="924" t="s">
        <v>896</v>
      </c>
      <c r="N27" s="925"/>
      <c r="O27" s="925"/>
      <c r="P27" s="925"/>
      <c r="Q27" s="925"/>
      <c r="R27" s="925"/>
      <c r="S27" s="925"/>
      <c r="T27" s="925"/>
      <c r="U27" s="925"/>
      <c r="V27" s="925"/>
    </row>
    <row r="28" spans="7:24" ht="16.5" thickTop="1" thickBot="1">
      <c r="L28" s="901"/>
      <c r="M28" s="925"/>
      <c r="N28" s="925"/>
      <c r="O28" s="925"/>
      <c r="P28" s="925"/>
      <c r="Q28" s="925"/>
      <c r="R28" s="925"/>
      <c r="S28" s="925"/>
      <c r="T28" s="925"/>
      <c r="U28" s="925"/>
      <c r="V28" s="925"/>
    </row>
    <row r="29" spans="7:24" ht="20.25" thickTop="1" thickBot="1">
      <c r="L29" s="901"/>
      <c r="M29" s="372">
        <v>0</v>
      </c>
      <c r="N29" s="372">
        <v>1</v>
      </c>
      <c r="O29" s="372">
        <v>2</v>
      </c>
      <c r="P29" s="372">
        <v>3</v>
      </c>
      <c r="Q29" s="372">
        <v>4</v>
      </c>
      <c r="R29" s="372">
        <v>5</v>
      </c>
      <c r="S29" s="372">
        <v>6</v>
      </c>
      <c r="T29" s="372">
        <v>7</v>
      </c>
      <c r="U29" s="372">
        <v>8</v>
      </c>
      <c r="V29" s="372">
        <v>9</v>
      </c>
    </row>
    <row r="30" spans="7:24" ht="20.25" thickTop="1" thickBot="1">
      <c r="L30" s="163">
        <v>1</v>
      </c>
      <c r="M30" s="163">
        <v>4</v>
      </c>
      <c r="N30" s="163">
        <v>2</v>
      </c>
      <c r="O30" s="163" t="s">
        <v>198</v>
      </c>
      <c r="P30" s="163" t="s">
        <v>198</v>
      </c>
      <c r="Q30" s="163" t="s">
        <v>198</v>
      </c>
      <c r="R30" s="163" t="s">
        <v>198</v>
      </c>
      <c r="S30" s="163" t="s">
        <v>198</v>
      </c>
      <c r="T30" s="163" t="s">
        <v>198</v>
      </c>
      <c r="U30" s="163" t="s">
        <v>198</v>
      </c>
      <c r="V30" s="163" t="s">
        <v>198</v>
      </c>
    </row>
    <row r="31" spans="7:24" ht="20.25" thickTop="1" thickBot="1">
      <c r="L31" s="372">
        <v>2</v>
      </c>
      <c r="M31" s="372">
        <v>5</v>
      </c>
      <c r="N31" s="372">
        <v>2</v>
      </c>
      <c r="O31" s="372" t="s">
        <v>198</v>
      </c>
      <c r="P31" s="372" t="s">
        <v>198</v>
      </c>
      <c r="Q31" s="372" t="s">
        <v>198</v>
      </c>
      <c r="R31" s="372" t="s">
        <v>198</v>
      </c>
      <c r="S31" s="372" t="s">
        <v>198</v>
      </c>
      <c r="T31" s="372" t="s">
        <v>198</v>
      </c>
      <c r="U31" s="372" t="s">
        <v>198</v>
      </c>
      <c r="V31" s="372" t="s">
        <v>198</v>
      </c>
    </row>
    <row r="32" spans="7:24" ht="20.25" thickTop="1" thickBot="1">
      <c r="L32" s="163">
        <v>3</v>
      </c>
      <c r="M32" s="163">
        <v>5</v>
      </c>
      <c r="N32" s="163">
        <v>3</v>
      </c>
      <c r="O32" s="163" t="s">
        <v>198</v>
      </c>
      <c r="P32" s="163" t="s">
        <v>198</v>
      </c>
      <c r="Q32" s="163" t="s">
        <v>198</v>
      </c>
      <c r="R32" s="163" t="s">
        <v>198</v>
      </c>
      <c r="S32" s="163" t="s">
        <v>198</v>
      </c>
      <c r="T32" s="163" t="s">
        <v>198</v>
      </c>
      <c r="U32" s="163" t="s">
        <v>198</v>
      </c>
      <c r="V32" s="163" t="s">
        <v>198</v>
      </c>
    </row>
    <row r="33" spans="12:22" ht="20.25" thickTop="1" thickBot="1">
      <c r="L33" s="372">
        <v>4</v>
      </c>
      <c r="M33" s="372">
        <v>6</v>
      </c>
      <c r="N33" s="372">
        <v>3</v>
      </c>
      <c r="O33" s="372">
        <v>1</v>
      </c>
      <c r="P33" s="372" t="s">
        <v>198</v>
      </c>
      <c r="Q33" s="372" t="s">
        <v>198</v>
      </c>
      <c r="R33" s="372" t="s">
        <v>198</v>
      </c>
      <c r="S33" s="372" t="s">
        <v>198</v>
      </c>
      <c r="T33" s="372" t="s">
        <v>198</v>
      </c>
      <c r="U33" s="372" t="s">
        <v>198</v>
      </c>
      <c r="V33" s="372" t="s">
        <v>198</v>
      </c>
    </row>
    <row r="34" spans="12:22" ht="20.25" thickTop="1" thickBot="1">
      <c r="L34" s="163">
        <v>5</v>
      </c>
      <c r="M34" s="163">
        <v>6</v>
      </c>
      <c r="N34" s="163">
        <v>4</v>
      </c>
      <c r="O34" s="163">
        <v>2</v>
      </c>
      <c r="P34" s="163" t="s">
        <v>198</v>
      </c>
      <c r="Q34" s="163" t="s">
        <v>198</v>
      </c>
      <c r="R34" s="163" t="s">
        <v>198</v>
      </c>
      <c r="S34" s="163" t="s">
        <v>198</v>
      </c>
      <c r="T34" s="163" t="s">
        <v>198</v>
      </c>
      <c r="U34" s="163" t="s">
        <v>198</v>
      </c>
      <c r="V34" s="163" t="s">
        <v>198</v>
      </c>
    </row>
    <row r="35" spans="12:22" ht="20.25" thickTop="1" thickBot="1">
      <c r="L35" s="372">
        <v>6</v>
      </c>
      <c r="M35" s="372">
        <v>7</v>
      </c>
      <c r="N35" s="372">
        <v>4</v>
      </c>
      <c r="O35" s="372">
        <v>2</v>
      </c>
      <c r="P35" s="372">
        <v>1</v>
      </c>
      <c r="Q35" s="372" t="s">
        <v>198</v>
      </c>
      <c r="R35" s="372" t="s">
        <v>198</v>
      </c>
      <c r="S35" s="372" t="s">
        <v>198</v>
      </c>
      <c r="T35" s="372" t="s">
        <v>198</v>
      </c>
      <c r="U35" s="372" t="s">
        <v>198</v>
      </c>
      <c r="V35" s="372" t="s">
        <v>198</v>
      </c>
    </row>
    <row r="36" spans="12:22" ht="20.25" thickTop="1" thickBot="1">
      <c r="L36" s="163">
        <v>7</v>
      </c>
      <c r="M36" s="163">
        <v>7</v>
      </c>
      <c r="N36" s="163">
        <v>5</v>
      </c>
      <c r="O36" s="163">
        <v>3</v>
      </c>
      <c r="P36" s="163">
        <v>2</v>
      </c>
      <c r="Q36" s="163" t="s">
        <v>198</v>
      </c>
      <c r="R36" s="163" t="s">
        <v>198</v>
      </c>
      <c r="S36" s="163" t="s">
        <v>198</v>
      </c>
      <c r="T36" s="163" t="s">
        <v>198</v>
      </c>
      <c r="U36" s="163" t="s">
        <v>198</v>
      </c>
      <c r="V36" s="163" t="s">
        <v>198</v>
      </c>
    </row>
    <row r="37" spans="12:22" ht="20.25" thickTop="1" thickBot="1">
      <c r="L37" s="372">
        <v>8</v>
      </c>
      <c r="M37" s="372">
        <v>8</v>
      </c>
      <c r="N37" s="372">
        <v>5</v>
      </c>
      <c r="O37" s="372">
        <v>3</v>
      </c>
      <c r="P37" s="372">
        <v>2</v>
      </c>
      <c r="Q37" s="372">
        <v>1</v>
      </c>
      <c r="R37" s="372" t="s">
        <v>198</v>
      </c>
      <c r="S37" s="372" t="s">
        <v>198</v>
      </c>
      <c r="T37" s="372" t="s">
        <v>198</v>
      </c>
      <c r="U37" s="372" t="s">
        <v>198</v>
      </c>
      <c r="V37" s="372" t="s">
        <v>198</v>
      </c>
    </row>
    <row r="38" spans="12:22" ht="20.25" thickTop="1" thickBot="1">
      <c r="L38" s="163">
        <v>9</v>
      </c>
      <c r="M38" s="163">
        <v>8</v>
      </c>
      <c r="N38" s="163">
        <v>5</v>
      </c>
      <c r="O38" s="163">
        <v>4</v>
      </c>
      <c r="P38" s="163">
        <v>3</v>
      </c>
      <c r="Q38" s="163">
        <v>2</v>
      </c>
      <c r="R38" s="163" t="s">
        <v>198</v>
      </c>
      <c r="S38" s="163" t="s">
        <v>198</v>
      </c>
      <c r="T38" s="163" t="s">
        <v>198</v>
      </c>
      <c r="U38" s="163" t="s">
        <v>198</v>
      </c>
      <c r="V38" s="163" t="s">
        <v>198</v>
      </c>
    </row>
    <row r="39" spans="12:22" ht="20.25" thickTop="1" thickBot="1">
      <c r="L39" s="372">
        <v>10</v>
      </c>
      <c r="M39" s="372">
        <v>9</v>
      </c>
      <c r="N39" s="372">
        <v>5</v>
      </c>
      <c r="O39" s="372">
        <v>4</v>
      </c>
      <c r="P39" s="372">
        <v>3</v>
      </c>
      <c r="Q39" s="372">
        <v>2</v>
      </c>
      <c r="R39" s="372">
        <v>1</v>
      </c>
      <c r="S39" s="372" t="s">
        <v>198</v>
      </c>
      <c r="T39" s="372" t="s">
        <v>198</v>
      </c>
      <c r="U39" s="372" t="s">
        <v>198</v>
      </c>
      <c r="V39" s="372" t="s">
        <v>198</v>
      </c>
    </row>
    <row r="40" spans="12:22" ht="20.25" thickTop="1" thickBot="1">
      <c r="L40" s="163">
        <v>11</v>
      </c>
      <c r="M40" s="163">
        <v>9</v>
      </c>
      <c r="N40" s="163">
        <v>5</v>
      </c>
      <c r="O40" s="163">
        <v>5</v>
      </c>
      <c r="P40" s="163">
        <v>4</v>
      </c>
      <c r="Q40" s="163">
        <v>3</v>
      </c>
      <c r="R40" s="163">
        <v>2</v>
      </c>
      <c r="S40" s="163" t="s">
        <v>198</v>
      </c>
      <c r="T40" s="163" t="s">
        <v>198</v>
      </c>
      <c r="U40" s="163" t="s">
        <v>198</v>
      </c>
      <c r="V40" s="163" t="s">
        <v>198</v>
      </c>
    </row>
    <row r="41" spans="12:22" ht="20.25" thickTop="1" thickBot="1">
      <c r="L41" s="372">
        <v>12</v>
      </c>
      <c r="M41" s="372">
        <v>9</v>
      </c>
      <c r="N41" s="372">
        <v>5</v>
      </c>
      <c r="O41" s="372">
        <v>5</v>
      </c>
      <c r="P41" s="372">
        <v>4</v>
      </c>
      <c r="Q41" s="372">
        <v>3</v>
      </c>
      <c r="R41" s="372">
        <v>2</v>
      </c>
      <c r="S41" s="372">
        <v>1</v>
      </c>
      <c r="T41" s="372" t="s">
        <v>198</v>
      </c>
      <c r="U41" s="372" t="s">
        <v>198</v>
      </c>
      <c r="V41" s="372" t="s">
        <v>198</v>
      </c>
    </row>
    <row r="42" spans="12:22" ht="20.25" thickTop="1" thickBot="1">
      <c r="L42" s="163">
        <v>13</v>
      </c>
      <c r="M42" s="163">
        <v>9</v>
      </c>
      <c r="N42" s="163">
        <v>5</v>
      </c>
      <c r="O42" s="163">
        <v>5</v>
      </c>
      <c r="P42" s="163">
        <v>4</v>
      </c>
      <c r="Q42" s="163">
        <v>4</v>
      </c>
      <c r="R42" s="163">
        <v>3</v>
      </c>
      <c r="S42" s="163">
        <v>2</v>
      </c>
      <c r="T42" s="163" t="s">
        <v>198</v>
      </c>
      <c r="U42" s="163" t="s">
        <v>198</v>
      </c>
      <c r="V42" s="163" t="s">
        <v>198</v>
      </c>
    </row>
    <row r="43" spans="12:22" ht="20.25" thickTop="1" thickBot="1">
      <c r="L43" s="372">
        <v>14</v>
      </c>
      <c r="M43" s="372">
        <v>9</v>
      </c>
      <c r="N43" s="372">
        <v>5</v>
      </c>
      <c r="O43" s="372">
        <v>5</v>
      </c>
      <c r="P43" s="372">
        <v>4</v>
      </c>
      <c r="Q43" s="372">
        <v>4</v>
      </c>
      <c r="R43" s="372">
        <v>3</v>
      </c>
      <c r="S43" s="372">
        <v>2</v>
      </c>
      <c r="T43" s="372">
        <v>1</v>
      </c>
      <c r="U43" s="372" t="s">
        <v>198</v>
      </c>
      <c r="V43" s="372" t="s">
        <v>198</v>
      </c>
    </row>
    <row r="44" spans="12:22" ht="20.25" thickTop="1" thickBot="1">
      <c r="L44" s="163">
        <v>15</v>
      </c>
      <c r="M44" s="163">
        <v>9</v>
      </c>
      <c r="N44" s="163">
        <v>5</v>
      </c>
      <c r="O44" s="163">
        <v>5</v>
      </c>
      <c r="P44" s="163">
        <v>4</v>
      </c>
      <c r="Q44" s="163">
        <v>4</v>
      </c>
      <c r="R44" s="163">
        <v>4</v>
      </c>
      <c r="S44" s="163">
        <v>3</v>
      </c>
      <c r="T44" s="163">
        <v>2</v>
      </c>
      <c r="U44" s="163" t="s">
        <v>198</v>
      </c>
      <c r="V44" s="163" t="s">
        <v>198</v>
      </c>
    </row>
    <row r="45" spans="12:22" ht="20.25" thickTop="1" thickBot="1">
      <c r="L45" s="372">
        <v>16</v>
      </c>
      <c r="M45" s="372">
        <v>9</v>
      </c>
      <c r="N45" s="372">
        <v>5</v>
      </c>
      <c r="O45" s="372">
        <v>5</v>
      </c>
      <c r="P45" s="372">
        <v>4</v>
      </c>
      <c r="Q45" s="372">
        <v>4</v>
      </c>
      <c r="R45" s="372">
        <v>4</v>
      </c>
      <c r="S45" s="372">
        <v>3</v>
      </c>
      <c r="T45" s="372">
        <v>2</v>
      </c>
      <c r="U45" s="372">
        <v>1</v>
      </c>
      <c r="V45" s="372" t="s">
        <v>198</v>
      </c>
    </row>
    <row r="46" spans="12:22" ht="20.25" thickTop="1" thickBot="1">
      <c r="L46" s="163">
        <v>17</v>
      </c>
      <c r="M46" s="163">
        <v>9</v>
      </c>
      <c r="N46" s="163">
        <v>5</v>
      </c>
      <c r="O46" s="163">
        <v>5</v>
      </c>
      <c r="P46" s="163">
        <v>4</v>
      </c>
      <c r="Q46" s="163">
        <v>4</v>
      </c>
      <c r="R46" s="163">
        <v>4</v>
      </c>
      <c r="S46" s="163">
        <v>3</v>
      </c>
      <c r="T46" s="163">
        <v>3</v>
      </c>
      <c r="U46" s="163">
        <v>2</v>
      </c>
      <c r="V46" s="163" t="s">
        <v>198</v>
      </c>
    </row>
    <row r="47" spans="12:22" ht="20.25" thickTop="1" thickBot="1">
      <c r="L47" s="372">
        <v>18</v>
      </c>
      <c r="M47" s="372">
        <v>9</v>
      </c>
      <c r="N47" s="372">
        <v>5</v>
      </c>
      <c r="O47" s="372">
        <v>5</v>
      </c>
      <c r="P47" s="372">
        <v>4</v>
      </c>
      <c r="Q47" s="372">
        <v>4</v>
      </c>
      <c r="R47" s="372">
        <v>4</v>
      </c>
      <c r="S47" s="372">
        <v>3</v>
      </c>
      <c r="T47" s="372">
        <v>3</v>
      </c>
      <c r="U47" s="372">
        <v>2</v>
      </c>
      <c r="V47" s="372">
        <v>1</v>
      </c>
    </row>
    <row r="48" spans="12:22" ht="20.25" thickTop="1" thickBot="1">
      <c r="L48" s="163">
        <v>19</v>
      </c>
      <c r="M48" s="163">
        <v>9</v>
      </c>
      <c r="N48" s="163">
        <v>5</v>
      </c>
      <c r="O48" s="163">
        <v>5</v>
      </c>
      <c r="P48" s="163">
        <v>4</v>
      </c>
      <c r="Q48" s="163">
        <v>4</v>
      </c>
      <c r="R48" s="163">
        <v>4</v>
      </c>
      <c r="S48" s="163">
        <v>3</v>
      </c>
      <c r="T48" s="163">
        <v>3</v>
      </c>
      <c r="U48" s="163">
        <v>3</v>
      </c>
      <c r="V48" s="163">
        <v>2</v>
      </c>
    </row>
    <row r="49" spans="12:22" ht="20.25" thickTop="1" thickBot="1">
      <c r="L49" s="372">
        <v>20</v>
      </c>
      <c r="M49" s="372">
        <v>9</v>
      </c>
      <c r="N49" s="372">
        <v>5</v>
      </c>
      <c r="O49" s="372">
        <v>5</v>
      </c>
      <c r="P49" s="372">
        <v>4</v>
      </c>
      <c r="Q49" s="372">
        <v>4</v>
      </c>
      <c r="R49" s="372">
        <v>4</v>
      </c>
      <c r="S49" s="372">
        <v>3</v>
      </c>
      <c r="T49" s="372">
        <v>3</v>
      </c>
      <c r="U49" s="372">
        <v>3</v>
      </c>
      <c r="V49" s="372">
        <v>3</v>
      </c>
    </row>
    <row r="50" spans="12:22" ht="15.75" thickTop="1"/>
  </sheetData>
  <mergeCells count="24">
    <mergeCell ref="A1:F3"/>
    <mergeCell ref="G1:G2"/>
    <mergeCell ref="H1:H2"/>
    <mergeCell ref="G3:H4"/>
    <mergeCell ref="A4:F5"/>
    <mergeCell ref="L27:L29"/>
    <mergeCell ref="M27:V28"/>
    <mergeCell ref="I3:I5"/>
    <mergeCell ref="J3:J5"/>
    <mergeCell ref="K3:K5"/>
    <mergeCell ref="L3:L5"/>
    <mergeCell ref="M3:V4"/>
    <mergeCell ref="E9:F9"/>
    <mergeCell ref="E10:F10"/>
    <mergeCell ref="B11:D11"/>
    <mergeCell ref="B6:D6"/>
    <mergeCell ref="B7:D7"/>
    <mergeCell ref="B8:D8"/>
    <mergeCell ref="B9:D9"/>
    <mergeCell ref="B10:D10"/>
    <mergeCell ref="E11:F11"/>
    <mergeCell ref="E6:F6"/>
    <mergeCell ref="E7:F7"/>
    <mergeCell ref="E8:F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79"/>
  <sheetViews>
    <sheetView showGridLines="0" showRowColHeaders="0" zoomScale="70" zoomScaleNormal="70" workbookViewId="0">
      <selection activeCell="AE39" sqref="AE38:AE39"/>
    </sheetView>
  </sheetViews>
  <sheetFormatPr defaultRowHeight="15"/>
  <sheetData>
    <row r="1" spans="1:45" ht="15" customHeight="1" thickBot="1">
      <c r="A1" s="991" t="s">
        <v>854</v>
      </c>
      <c r="B1" s="992"/>
      <c r="C1" s="992"/>
      <c r="D1" s="992"/>
      <c r="E1" s="992"/>
      <c r="F1" s="992"/>
      <c r="G1" s="992"/>
      <c r="H1" s="992"/>
      <c r="I1" s="992"/>
      <c r="J1" s="988" t="s">
        <v>857</v>
      </c>
      <c r="K1" s="989"/>
      <c r="L1" s="989"/>
      <c r="M1" s="989"/>
      <c r="N1" s="989"/>
      <c r="O1" s="989"/>
      <c r="P1" s="989"/>
      <c r="Q1" s="989"/>
      <c r="R1" s="990"/>
      <c r="S1" s="979" t="s">
        <v>916</v>
      </c>
      <c r="T1" s="980"/>
      <c r="U1" s="980"/>
      <c r="V1" s="980"/>
      <c r="W1" s="980"/>
      <c r="X1" s="980"/>
      <c r="Y1" s="980"/>
      <c r="Z1" s="980"/>
      <c r="AA1" s="981"/>
      <c r="AB1" s="995" t="s">
        <v>918</v>
      </c>
      <c r="AC1" s="996"/>
      <c r="AD1" s="996"/>
      <c r="AE1" s="996"/>
      <c r="AF1" s="996"/>
      <c r="AG1" s="996"/>
      <c r="AH1" s="996"/>
      <c r="AI1" s="996"/>
      <c r="AJ1" s="996"/>
      <c r="AK1" s="996"/>
      <c r="AL1" s="996"/>
      <c r="AM1" s="996"/>
      <c r="AN1" s="996"/>
      <c r="AO1" s="996"/>
      <c r="AP1" s="996"/>
      <c r="AQ1" s="996"/>
      <c r="AR1" s="996"/>
      <c r="AS1" s="997"/>
    </row>
    <row r="2" spans="1:45" ht="15" customHeight="1" thickBot="1">
      <c r="A2" s="991"/>
      <c r="B2" s="992"/>
      <c r="C2" s="992"/>
      <c r="D2" s="992"/>
      <c r="E2" s="992"/>
      <c r="F2" s="992"/>
      <c r="G2" s="992"/>
      <c r="H2" s="992"/>
      <c r="I2" s="992"/>
      <c r="J2" s="988"/>
      <c r="K2" s="989"/>
      <c r="L2" s="989"/>
      <c r="M2" s="989"/>
      <c r="N2" s="989"/>
      <c r="O2" s="989"/>
      <c r="P2" s="989"/>
      <c r="Q2" s="989"/>
      <c r="R2" s="990"/>
      <c r="S2" s="979"/>
      <c r="T2" s="980"/>
      <c r="U2" s="980"/>
      <c r="V2" s="980"/>
      <c r="W2" s="980"/>
      <c r="X2" s="980"/>
      <c r="Y2" s="980"/>
      <c r="Z2" s="980"/>
      <c r="AA2" s="981"/>
      <c r="AB2" s="998"/>
      <c r="AC2" s="999"/>
      <c r="AD2" s="999"/>
      <c r="AE2" s="999"/>
      <c r="AF2" s="999"/>
      <c r="AG2" s="999"/>
      <c r="AH2" s="999"/>
      <c r="AI2" s="999"/>
      <c r="AJ2" s="999"/>
      <c r="AK2" s="999"/>
      <c r="AL2" s="999"/>
      <c r="AM2" s="999"/>
      <c r="AN2" s="999"/>
      <c r="AO2" s="999"/>
      <c r="AP2" s="999"/>
      <c r="AQ2" s="999"/>
      <c r="AR2" s="999"/>
      <c r="AS2" s="1000"/>
    </row>
    <row r="3" spans="1:45" ht="15.75" thickBot="1">
      <c r="A3" s="982" t="s">
        <v>897</v>
      </c>
      <c r="B3" s="983"/>
      <c r="C3" s="983"/>
      <c r="D3" s="983"/>
      <c r="E3" s="983"/>
      <c r="F3" s="983"/>
      <c r="G3" s="983"/>
      <c r="H3" s="983"/>
      <c r="I3" s="983"/>
      <c r="J3" s="982" t="s">
        <v>897</v>
      </c>
      <c r="K3" s="983"/>
      <c r="L3" s="983"/>
      <c r="M3" s="983"/>
      <c r="N3" s="983"/>
      <c r="O3" s="983"/>
      <c r="P3" s="983"/>
      <c r="Q3" s="983"/>
      <c r="R3" s="984"/>
      <c r="S3" s="982" t="s">
        <v>897</v>
      </c>
      <c r="T3" s="983"/>
      <c r="U3" s="983"/>
      <c r="V3" s="983"/>
      <c r="W3" s="983"/>
      <c r="X3" s="983"/>
      <c r="Y3" s="983"/>
      <c r="Z3" s="983"/>
      <c r="AA3" s="984"/>
      <c r="AB3" s="993" t="s">
        <v>897</v>
      </c>
      <c r="AC3" s="994"/>
      <c r="AD3" s="994"/>
      <c r="AE3" s="994"/>
      <c r="AF3" s="994"/>
      <c r="AG3" s="994"/>
      <c r="AH3" s="994"/>
      <c r="AI3" s="994"/>
      <c r="AJ3" s="994"/>
      <c r="AK3" s="1001" t="s">
        <v>917</v>
      </c>
      <c r="AL3" s="1002"/>
      <c r="AM3" s="1002"/>
      <c r="AN3" s="1002"/>
      <c r="AO3" s="1002"/>
      <c r="AP3" s="1002"/>
      <c r="AQ3" s="1002"/>
      <c r="AR3" s="1002"/>
      <c r="AS3" s="1003"/>
    </row>
    <row r="4" spans="1:45" ht="15.75" thickBot="1">
      <c r="A4" s="982"/>
      <c r="B4" s="983"/>
      <c r="C4" s="983"/>
      <c r="D4" s="983"/>
      <c r="E4" s="983"/>
      <c r="F4" s="983"/>
      <c r="G4" s="983"/>
      <c r="H4" s="983"/>
      <c r="I4" s="983"/>
      <c r="J4" s="982"/>
      <c r="K4" s="983"/>
      <c r="L4" s="983"/>
      <c r="M4" s="983"/>
      <c r="N4" s="983"/>
      <c r="O4" s="983"/>
      <c r="P4" s="983"/>
      <c r="Q4" s="983"/>
      <c r="R4" s="984"/>
      <c r="S4" s="982"/>
      <c r="T4" s="983"/>
      <c r="U4" s="983"/>
      <c r="V4" s="983"/>
      <c r="W4" s="983"/>
      <c r="X4" s="983"/>
      <c r="Y4" s="983"/>
      <c r="Z4" s="983"/>
      <c r="AA4" s="984"/>
      <c r="AB4" s="982"/>
      <c r="AC4" s="983"/>
      <c r="AD4" s="983"/>
      <c r="AE4" s="983"/>
      <c r="AF4" s="983"/>
      <c r="AG4" s="983"/>
      <c r="AH4" s="983"/>
      <c r="AI4" s="983"/>
      <c r="AJ4" s="983"/>
      <c r="AK4" s="1001"/>
      <c r="AL4" s="1002"/>
      <c r="AM4" s="1002"/>
      <c r="AN4" s="1002"/>
      <c r="AO4" s="1002"/>
      <c r="AP4" s="1002"/>
      <c r="AQ4" s="1002"/>
      <c r="AR4" s="1002"/>
      <c r="AS4" s="1003"/>
    </row>
    <row r="5" spans="1:45" ht="15" customHeight="1" thickBot="1">
      <c r="A5" s="985" t="s">
        <v>898</v>
      </c>
      <c r="B5" s="986"/>
      <c r="C5" s="986"/>
      <c r="D5" s="986"/>
      <c r="E5" s="986"/>
      <c r="F5" s="986"/>
      <c r="G5" s="986"/>
      <c r="H5" s="986"/>
      <c r="I5" s="986"/>
      <c r="J5" s="985" t="s">
        <v>899</v>
      </c>
      <c r="K5" s="986"/>
      <c r="L5" s="986"/>
      <c r="M5" s="986"/>
      <c r="N5" s="986"/>
      <c r="O5" s="986"/>
      <c r="P5" s="986"/>
      <c r="Q5" s="986"/>
      <c r="R5" s="987"/>
      <c r="S5" s="985" t="s">
        <v>915</v>
      </c>
      <c r="T5" s="986"/>
      <c r="U5" s="986"/>
      <c r="V5" s="986"/>
      <c r="W5" s="986"/>
      <c r="X5" s="986"/>
      <c r="Y5" s="986"/>
      <c r="Z5" s="986"/>
      <c r="AA5" s="987"/>
      <c r="AB5" s="985" t="s">
        <v>915</v>
      </c>
      <c r="AC5" s="986"/>
      <c r="AD5" s="986"/>
      <c r="AE5" s="986"/>
      <c r="AF5" s="986"/>
      <c r="AG5" s="986"/>
      <c r="AH5" s="986"/>
      <c r="AI5" s="986"/>
      <c r="AJ5" s="986"/>
      <c r="AK5" s="982" t="s">
        <v>919</v>
      </c>
      <c r="AL5" s="983"/>
      <c r="AM5" s="983"/>
      <c r="AN5" s="983"/>
      <c r="AO5" s="983"/>
      <c r="AP5" s="983"/>
      <c r="AQ5" s="983"/>
      <c r="AR5" s="983"/>
      <c r="AS5" s="984"/>
    </row>
    <row r="6" spans="1:45" ht="15" customHeight="1" thickBot="1">
      <c r="A6" s="985"/>
      <c r="B6" s="986"/>
      <c r="C6" s="986"/>
      <c r="D6" s="986"/>
      <c r="E6" s="986"/>
      <c r="F6" s="986"/>
      <c r="G6" s="986"/>
      <c r="H6" s="986"/>
      <c r="I6" s="986"/>
      <c r="J6" s="985"/>
      <c r="K6" s="986"/>
      <c r="L6" s="986"/>
      <c r="M6" s="986"/>
      <c r="N6" s="986"/>
      <c r="O6" s="986"/>
      <c r="P6" s="986"/>
      <c r="Q6" s="986"/>
      <c r="R6" s="987"/>
      <c r="S6" s="985"/>
      <c r="T6" s="986"/>
      <c r="U6" s="986"/>
      <c r="V6" s="986"/>
      <c r="W6" s="986"/>
      <c r="X6" s="986"/>
      <c r="Y6" s="986"/>
      <c r="Z6" s="986"/>
      <c r="AA6" s="987"/>
      <c r="AB6" s="985"/>
      <c r="AC6" s="986"/>
      <c r="AD6" s="986"/>
      <c r="AE6" s="986"/>
      <c r="AF6" s="986"/>
      <c r="AG6" s="986"/>
      <c r="AH6" s="986"/>
      <c r="AI6" s="986"/>
      <c r="AJ6" s="986"/>
      <c r="AK6" s="982"/>
      <c r="AL6" s="983"/>
      <c r="AM6" s="983"/>
      <c r="AN6" s="983"/>
      <c r="AO6" s="983"/>
      <c r="AP6" s="983"/>
      <c r="AQ6" s="983"/>
      <c r="AR6" s="983"/>
      <c r="AS6" s="984"/>
    </row>
    <row r="7" spans="1:45" ht="15" customHeight="1" thickBot="1">
      <c r="A7" s="985"/>
      <c r="B7" s="986"/>
      <c r="C7" s="986"/>
      <c r="D7" s="986"/>
      <c r="E7" s="986"/>
      <c r="F7" s="986"/>
      <c r="G7" s="986"/>
      <c r="H7" s="986"/>
      <c r="I7" s="986"/>
      <c r="J7" s="985"/>
      <c r="K7" s="986"/>
      <c r="L7" s="986"/>
      <c r="M7" s="986"/>
      <c r="N7" s="986"/>
      <c r="O7" s="986"/>
      <c r="P7" s="986"/>
      <c r="Q7" s="986"/>
      <c r="R7" s="987"/>
      <c r="S7" s="985"/>
      <c r="T7" s="986"/>
      <c r="U7" s="986"/>
      <c r="V7" s="986"/>
      <c r="W7" s="986"/>
      <c r="X7" s="986"/>
      <c r="Y7" s="986"/>
      <c r="Z7" s="986"/>
      <c r="AA7" s="987"/>
      <c r="AB7" s="985"/>
      <c r="AC7" s="986"/>
      <c r="AD7" s="986"/>
      <c r="AE7" s="986"/>
      <c r="AF7" s="986"/>
      <c r="AG7" s="986"/>
      <c r="AH7" s="986"/>
      <c r="AI7" s="986"/>
      <c r="AJ7" s="986"/>
      <c r="AK7" s="985" t="s">
        <v>920</v>
      </c>
      <c r="AL7" s="986"/>
      <c r="AM7" s="986"/>
      <c r="AN7" s="986"/>
      <c r="AO7" s="986"/>
      <c r="AP7" s="986"/>
      <c r="AQ7" s="986"/>
      <c r="AR7" s="986"/>
      <c r="AS7" s="987"/>
    </row>
    <row r="8" spans="1:45" ht="15" customHeight="1" thickBot="1">
      <c r="A8" s="985"/>
      <c r="B8" s="986"/>
      <c r="C8" s="986"/>
      <c r="D8" s="986"/>
      <c r="E8" s="986"/>
      <c r="F8" s="986"/>
      <c r="G8" s="986"/>
      <c r="H8" s="986"/>
      <c r="I8" s="986"/>
      <c r="J8" s="985"/>
      <c r="K8" s="986"/>
      <c r="L8" s="986"/>
      <c r="M8" s="986"/>
      <c r="N8" s="986"/>
      <c r="O8" s="986"/>
      <c r="P8" s="986"/>
      <c r="Q8" s="986"/>
      <c r="R8" s="987"/>
      <c r="S8" s="985"/>
      <c r="T8" s="986"/>
      <c r="U8" s="986"/>
      <c r="V8" s="986"/>
      <c r="W8" s="986"/>
      <c r="X8" s="986"/>
      <c r="Y8" s="986"/>
      <c r="Z8" s="986"/>
      <c r="AA8" s="987"/>
      <c r="AB8" s="985"/>
      <c r="AC8" s="986"/>
      <c r="AD8" s="986"/>
      <c r="AE8" s="986"/>
      <c r="AF8" s="986"/>
      <c r="AG8" s="986"/>
      <c r="AH8" s="986"/>
      <c r="AI8" s="986"/>
      <c r="AJ8" s="986"/>
      <c r="AK8" s="985"/>
      <c r="AL8" s="986"/>
      <c r="AM8" s="986"/>
      <c r="AN8" s="986"/>
      <c r="AO8" s="986"/>
      <c r="AP8" s="986"/>
      <c r="AQ8" s="986"/>
      <c r="AR8" s="986"/>
      <c r="AS8" s="987"/>
    </row>
    <row r="9" spans="1:45" ht="15" customHeight="1" thickBot="1">
      <c r="A9" s="985"/>
      <c r="B9" s="986"/>
      <c r="C9" s="986"/>
      <c r="D9" s="986"/>
      <c r="E9" s="986"/>
      <c r="F9" s="986"/>
      <c r="G9" s="986"/>
      <c r="H9" s="986"/>
      <c r="I9" s="986"/>
      <c r="J9" s="985"/>
      <c r="K9" s="986"/>
      <c r="L9" s="986"/>
      <c r="M9" s="986"/>
      <c r="N9" s="986"/>
      <c r="O9" s="986"/>
      <c r="P9" s="986"/>
      <c r="Q9" s="986"/>
      <c r="R9" s="987"/>
      <c r="S9" s="985"/>
      <c r="T9" s="986"/>
      <c r="U9" s="986"/>
      <c r="V9" s="986"/>
      <c r="W9" s="986"/>
      <c r="X9" s="986"/>
      <c r="Y9" s="986"/>
      <c r="Z9" s="986"/>
      <c r="AA9" s="987"/>
      <c r="AB9" s="985"/>
      <c r="AC9" s="986"/>
      <c r="AD9" s="986"/>
      <c r="AE9" s="986"/>
      <c r="AF9" s="986"/>
      <c r="AG9" s="986"/>
      <c r="AH9" s="986"/>
      <c r="AI9" s="986"/>
      <c r="AJ9" s="986"/>
      <c r="AK9" s="985"/>
      <c r="AL9" s="986"/>
      <c r="AM9" s="986"/>
      <c r="AN9" s="986"/>
      <c r="AO9" s="986"/>
      <c r="AP9" s="986"/>
      <c r="AQ9" s="986"/>
      <c r="AR9" s="986"/>
      <c r="AS9" s="987"/>
    </row>
    <row r="10" spans="1:45" ht="15" customHeight="1" thickBot="1">
      <c r="A10" s="985"/>
      <c r="B10" s="986"/>
      <c r="C10" s="986"/>
      <c r="D10" s="986"/>
      <c r="E10" s="986"/>
      <c r="F10" s="986"/>
      <c r="G10" s="986"/>
      <c r="H10" s="986"/>
      <c r="I10" s="986"/>
      <c r="J10" s="985"/>
      <c r="K10" s="986"/>
      <c r="L10" s="986"/>
      <c r="M10" s="986"/>
      <c r="N10" s="986"/>
      <c r="O10" s="986"/>
      <c r="P10" s="986"/>
      <c r="Q10" s="986"/>
      <c r="R10" s="987"/>
      <c r="S10" s="985"/>
      <c r="T10" s="986"/>
      <c r="U10" s="986"/>
      <c r="V10" s="986"/>
      <c r="W10" s="986"/>
      <c r="X10" s="986"/>
      <c r="Y10" s="986"/>
      <c r="Z10" s="986"/>
      <c r="AA10" s="987"/>
      <c r="AB10" s="985"/>
      <c r="AC10" s="986"/>
      <c r="AD10" s="986"/>
      <c r="AE10" s="986"/>
      <c r="AF10" s="986"/>
      <c r="AG10" s="986"/>
      <c r="AH10" s="986"/>
      <c r="AI10" s="986"/>
      <c r="AJ10" s="986"/>
      <c r="AK10" s="985"/>
      <c r="AL10" s="986"/>
      <c r="AM10" s="986"/>
      <c r="AN10" s="986"/>
      <c r="AO10" s="986"/>
      <c r="AP10" s="986"/>
      <c r="AQ10" s="986"/>
      <c r="AR10" s="986"/>
      <c r="AS10" s="987"/>
    </row>
    <row r="11" spans="1:45" ht="73.5" customHeight="1" thickBot="1">
      <c r="A11" s="985"/>
      <c r="B11" s="986"/>
      <c r="C11" s="986"/>
      <c r="D11" s="986"/>
      <c r="E11" s="986"/>
      <c r="F11" s="986"/>
      <c r="G11" s="986"/>
      <c r="H11" s="986"/>
      <c r="I11" s="986"/>
      <c r="J11" s="985"/>
      <c r="K11" s="986"/>
      <c r="L11" s="986"/>
      <c r="M11" s="986"/>
      <c r="N11" s="986"/>
      <c r="O11" s="986"/>
      <c r="P11" s="986"/>
      <c r="Q11" s="986"/>
      <c r="R11" s="987"/>
      <c r="S11" s="985"/>
      <c r="T11" s="986"/>
      <c r="U11" s="986"/>
      <c r="V11" s="986"/>
      <c r="W11" s="986"/>
      <c r="X11" s="986"/>
      <c r="Y11" s="986"/>
      <c r="Z11" s="986"/>
      <c r="AA11" s="987"/>
      <c r="AB11" s="985"/>
      <c r="AC11" s="986"/>
      <c r="AD11" s="986"/>
      <c r="AE11" s="986"/>
      <c r="AF11" s="986"/>
      <c r="AG11" s="986"/>
      <c r="AH11" s="986"/>
      <c r="AI11" s="986"/>
      <c r="AJ11" s="986"/>
      <c r="AK11" s="985"/>
      <c r="AL11" s="986"/>
      <c r="AM11" s="986"/>
      <c r="AN11" s="986"/>
      <c r="AO11" s="986"/>
      <c r="AP11" s="986"/>
      <c r="AQ11" s="986"/>
      <c r="AR11" s="986"/>
      <c r="AS11" s="987"/>
    </row>
    <row r="12" spans="1:45" ht="15" customHeight="1" thickBot="1">
      <c r="A12" s="985" t="s">
        <v>900</v>
      </c>
      <c r="B12" s="986"/>
      <c r="C12" s="986"/>
      <c r="D12" s="986"/>
      <c r="E12" s="986"/>
      <c r="F12" s="986"/>
      <c r="G12" s="986"/>
      <c r="H12" s="986"/>
      <c r="I12" s="986"/>
      <c r="J12" s="985" t="s">
        <v>901</v>
      </c>
      <c r="K12" s="986"/>
      <c r="L12" s="986"/>
      <c r="M12" s="986"/>
      <c r="N12" s="986"/>
      <c r="O12" s="986"/>
      <c r="P12" s="986"/>
      <c r="Q12" s="986"/>
      <c r="R12" s="987"/>
      <c r="S12" s="985" t="s">
        <v>930</v>
      </c>
      <c r="T12" s="986"/>
      <c r="U12" s="986"/>
      <c r="V12" s="986"/>
      <c r="W12" s="986"/>
      <c r="X12" s="986"/>
      <c r="Y12" s="986"/>
      <c r="Z12" s="986"/>
      <c r="AA12" s="987"/>
      <c r="AB12" s="1004" t="s">
        <v>929</v>
      </c>
      <c r="AC12" s="1004"/>
      <c r="AD12" s="1004"/>
      <c r="AE12" s="1004"/>
      <c r="AF12" s="1004"/>
      <c r="AG12" s="1004"/>
      <c r="AH12" s="1004"/>
      <c r="AI12" s="1004"/>
      <c r="AJ12" s="1005"/>
      <c r="AK12" s="985"/>
      <c r="AL12" s="986"/>
      <c r="AM12" s="986"/>
      <c r="AN12" s="986"/>
      <c r="AO12" s="986"/>
      <c r="AP12" s="986"/>
      <c r="AQ12" s="986"/>
      <c r="AR12" s="986"/>
      <c r="AS12" s="987"/>
    </row>
    <row r="13" spans="1:45" ht="15" customHeight="1" thickBot="1">
      <c r="A13" s="985"/>
      <c r="B13" s="986"/>
      <c r="C13" s="986"/>
      <c r="D13" s="986"/>
      <c r="E13" s="986"/>
      <c r="F13" s="986"/>
      <c r="G13" s="986"/>
      <c r="H13" s="986"/>
      <c r="I13" s="986"/>
      <c r="J13" s="985"/>
      <c r="K13" s="986"/>
      <c r="L13" s="986"/>
      <c r="M13" s="986"/>
      <c r="N13" s="986"/>
      <c r="O13" s="986"/>
      <c r="P13" s="986"/>
      <c r="Q13" s="986"/>
      <c r="R13" s="987"/>
      <c r="S13" s="985"/>
      <c r="T13" s="986"/>
      <c r="U13" s="986"/>
      <c r="V13" s="986"/>
      <c r="W13" s="986"/>
      <c r="X13" s="986"/>
      <c r="Y13" s="986"/>
      <c r="Z13" s="986"/>
      <c r="AA13" s="987"/>
      <c r="AB13" s="1006"/>
      <c r="AC13" s="1006"/>
      <c r="AD13" s="1006"/>
      <c r="AE13" s="1006"/>
      <c r="AF13" s="1006"/>
      <c r="AG13" s="1006"/>
      <c r="AH13" s="1006"/>
      <c r="AI13" s="1006"/>
      <c r="AJ13" s="1007"/>
      <c r="AK13" s="985"/>
      <c r="AL13" s="986"/>
      <c r="AM13" s="986"/>
      <c r="AN13" s="986"/>
      <c r="AO13" s="986"/>
      <c r="AP13" s="986"/>
      <c r="AQ13" s="986"/>
      <c r="AR13" s="986"/>
      <c r="AS13" s="987"/>
    </row>
    <row r="14" spans="1:45" ht="15" customHeight="1" thickBot="1">
      <c r="A14" s="985"/>
      <c r="B14" s="986"/>
      <c r="C14" s="986"/>
      <c r="D14" s="986"/>
      <c r="E14" s="986"/>
      <c r="F14" s="986"/>
      <c r="G14" s="986"/>
      <c r="H14" s="986"/>
      <c r="I14" s="986"/>
      <c r="J14" s="985"/>
      <c r="K14" s="986"/>
      <c r="L14" s="986"/>
      <c r="M14" s="986"/>
      <c r="N14" s="986"/>
      <c r="O14" s="986"/>
      <c r="P14" s="986"/>
      <c r="Q14" s="986"/>
      <c r="R14" s="987"/>
      <c r="S14" s="985"/>
      <c r="T14" s="986"/>
      <c r="U14" s="986"/>
      <c r="V14" s="986"/>
      <c r="W14" s="986"/>
      <c r="X14" s="986"/>
      <c r="Y14" s="986"/>
      <c r="Z14" s="986"/>
      <c r="AA14" s="987"/>
      <c r="AB14" s="1006"/>
      <c r="AC14" s="1006"/>
      <c r="AD14" s="1006"/>
      <c r="AE14" s="1006"/>
      <c r="AF14" s="1006"/>
      <c r="AG14" s="1006"/>
      <c r="AH14" s="1006"/>
      <c r="AI14" s="1006"/>
      <c r="AJ14" s="1007"/>
      <c r="AK14" s="985"/>
      <c r="AL14" s="986"/>
      <c r="AM14" s="986"/>
      <c r="AN14" s="986"/>
      <c r="AO14" s="986"/>
      <c r="AP14" s="986"/>
      <c r="AQ14" s="986"/>
      <c r="AR14" s="986"/>
      <c r="AS14" s="987"/>
    </row>
    <row r="15" spans="1:45" ht="15" customHeight="1" thickBot="1">
      <c r="A15" s="985"/>
      <c r="B15" s="986"/>
      <c r="C15" s="986"/>
      <c r="D15" s="986"/>
      <c r="E15" s="986"/>
      <c r="F15" s="986"/>
      <c r="G15" s="986"/>
      <c r="H15" s="986"/>
      <c r="I15" s="986"/>
      <c r="J15" s="985"/>
      <c r="K15" s="986"/>
      <c r="L15" s="986"/>
      <c r="M15" s="986"/>
      <c r="N15" s="986"/>
      <c r="O15" s="986"/>
      <c r="P15" s="986"/>
      <c r="Q15" s="986"/>
      <c r="R15" s="987"/>
      <c r="S15" s="985"/>
      <c r="T15" s="986"/>
      <c r="U15" s="986"/>
      <c r="V15" s="986"/>
      <c r="W15" s="986"/>
      <c r="X15" s="986"/>
      <c r="Y15" s="986"/>
      <c r="Z15" s="986"/>
      <c r="AA15" s="987"/>
      <c r="AB15" s="1006"/>
      <c r="AC15" s="1006"/>
      <c r="AD15" s="1006"/>
      <c r="AE15" s="1006"/>
      <c r="AF15" s="1006"/>
      <c r="AG15" s="1006"/>
      <c r="AH15" s="1006"/>
      <c r="AI15" s="1006"/>
      <c r="AJ15" s="1007"/>
      <c r="AK15" s="985"/>
      <c r="AL15" s="986"/>
      <c r="AM15" s="986"/>
      <c r="AN15" s="986"/>
      <c r="AO15" s="986"/>
      <c r="AP15" s="986"/>
      <c r="AQ15" s="986"/>
      <c r="AR15" s="986"/>
      <c r="AS15" s="987"/>
    </row>
    <row r="16" spans="1:45" ht="15" customHeight="1" thickBot="1">
      <c r="A16" s="985"/>
      <c r="B16" s="986"/>
      <c r="C16" s="986"/>
      <c r="D16" s="986"/>
      <c r="E16" s="986"/>
      <c r="F16" s="986"/>
      <c r="G16" s="986"/>
      <c r="H16" s="986"/>
      <c r="I16" s="986"/>
      <c r="J16" s="985"/>
      <c r="K16" s="986"/>
      <c r="L16" s="986"/>
      <c r="M16" s="986"/>
      <c r="N16" s="986"/>
      <c r="O16" s="986"/>
      <c r="P16" s="986"/>
      <c r="Q16" s="986"/>
      <c r="R16" s="987"/>
      <c r="S16" s="985"/>
      <c r="T16" s="986"/>
      <c r="U16" s="986"/>
      <c r="V16" s="986"/>
      <c r="W16" s="986"/>
      <c r="X16" s="986"/>
      <c r="Y16" s="986"/>
      <c r="Z16" s="986"/>
      <c r="AA16" s="987"/>
      <c r="AB16" s="1006"/>
      <c r="AC16" s="1006"/>
      <c r="AD16" s="1006"/>
      <c r="AE16" s="1006"/>
      <c r="AF16" s="1006"/>
      <c r="AG16" s="1006"/>
      <c r="AH16" s="1006"/>
      <c r="AI16" s="1006"/>
      <c r="AJ16" s="1007"/>
      <c r="AK16" s="985"/>
      <c r="AL16" s="986"/>
      <c r="AM16" s="986"/>
      <c r="AN16" s="986"/>
      <c r="AO16" s="986"/>
      <c r="AP16" s="986"/>
      <c r="AQ16" s="986"/>
      <c r="AR16" s="986"/>
      <c r="AS16" s="987"/>
    </row>
    <row r="17" spans="1:45" ht="15" customHeight="1" thickBot="1">
      <c r="A17" s="985"/>
      <c r="B17" s="986"/>
      <c r="C17" s="986"/>
      <c r="D17" s="986"/>
      <c r="E17" s="986"/>
      <c r="F17" s="986"/>
      <c r="G17" s="986"/>
      <c r="H17" s="986"/>
      <c r="I17" s="986"/>
      <c r="J17" s="985"/>
      <c r="K17" s="986"/>
      <c r="L17" s="986"/>
      <c r="M17" s="986"/>
      <c r="N17" s="986"/>
      <c r="O17" s="986"/>
      <c r="P17" s="986"/>
      <c r="Q17" s="986"/>
      <c r="R17" s="987"/>
      <c r="S17" s="985"/>
      <c r="T17" s="986"/>
      <c r="U17" s="986"/>
      <c r="V17" s="986"/>
      <c r="W17" s="986"/>
      <c r="X17" s="986"/>
      <c r="Y17" s="986"/>
      <c r="Z17" s="986"/>
      <c r="AA17" s="987"/>
      <c r="AB17" s="1006"/>
      <c r="AC17" s="1006"/>
      <c r="AD17" s="1006"/>
      <c r="AE17" s="1006"/>
      <c r="AF17" s="1006"/>
      <c r="AG17" s="1006"/>
      <c r="AH17" s="1006"/>
      <c r="AI17" s="1006"/>
      <c r="AJ17" s="1007"/>
      <c r="AK17" s="985"/>
      <c r="AL17" s="986"/>
      <c r="AM17" s="986"/>
      <c r="AN17" s="986"/>
      <c r="AO17" s="986"/>
      <c r="AP17" s="986"/>
      <c r="AQ17" s="986"/>
      <c r="AR17" s="986"/>
      <c r="AS17" s="987"/>
    </row>
    <row r="18" spans="1:45" ht="15" customHeight="1" thickBot="1">
      <c r="A18" s="985"/>
      <c r="B18" s="986"/>
      <c r="C18" s="986"/>
      <c r="D18" s="986"/>
      <c r="E18" s="986"/>
      <c r="F18" s="986"/>
      <c r="G18" s="986"/>
      <c r="H18" s="986"/>
      <c r="I18" s="986"/>
      <c r="J18" s="985"/>
      <c r="K18" s="986"/>
      <c r="L18" s="986"/>
      <c r="M18" s="986"/>
      <c r="N18" s="986"/>
      <c r="O18" s="986"/>
      <c r="P18" s="986"/>
      <c r="Q18" s="986"/>
      <c r="R18" s="987"/>
      <c r="S18" s="985"/>
      <c r="T18" s="986"/>
      <c r="U18" s="986"/>
      <c r="V18" s="986"/>
      <c r="W18" s="986"/>
      <c r="X18" s="986"/>
      <c r="Y18" s="986"/>
      <c r="Z18" s="986"/>
      <c r="AA18" s="987"/>
      <c r="AB18" s="1006"/>
      <c r="AC18" s="1006"/>
      <c r="AD18" s="1006"/>
      <c r="AE18" s="1006"/>
      <c r="AF18" s="1006"/>
      <c r="AG18" s="1006"/>
      <c r="AH18" s="1006"/>
      <c r="AI18" s="1006"/>
      <c r="AJ18" s="1007"/>
      <c r="AK18" s="985"/>
      <c r="AL18" s="986"/>
      <c r="AM18" s="986"/>
      <c r="AN18" s="986"/>
      <c r="AO18" s="986"/>
      <c r="AP18" s="986"/>
      <c r="AQ18" s="986"/>
      <c r="AR18" s="986"/>
      <c r="AS18" s="987"/>
    </row>
    <row r="19" spans="1:45" ht="15" customHeight="1" thickBot="1">
      <c r="A19" s="985" t="s">
        <v>902</v>
      </c>
      <c r="B19" s="986"/>
      <c r="C19" s="986"/>
      <c r="D19" s="986"/>
      <c r="E19" s="986"/>
      <c r="F19" s="986"/>
      <c r="G19" s="986"/>
      <c r="H19" s="986"/>
      <c r="I19" s="986"/>
      <c r="J19" s="985" t="s">
        <v>903</v>
      </c>
      <c r="K19" s="986"/>
      <c r="L19" s="986"/>
      <c r="M19" s="986"/>
      <c r="N19" s="986"/>
      <c r="O19" s="986"/>
      <c r="P19" s="986"/>
      <c r="Q19" s="986"/>
      <c r="R19" s="987"/>
      <c r="S19" s="985"/>
      <c r="T19" s="986"/>
      <c r="U19" s="986"/>
      <c r="V19" s="986"/>
      <c r="W19" s="986"/>
      <c r="X19" s="986"/>
      <c r="Y19" s="986"/>
      <c r="Z19" s="986"/>
      <c r="AA19" s="987"/>
      <c r="AB19" s="1006"/>
      <c r="AC19" s="1006"/>
      <c r="AD19" s="1006"/>
      <c r="AE19" s="1006"/>
      <c r="AF19" s="1006"/>
      <c r="AG19" s="1006"/>
      <c r="AH19" s="1006"/>
      <c r="AI19" s="1006"/>
      <c r="AJ19" s="1007"/>
      <c r="AK19" s="985"/>
      <c r="AL19" s="986"/>
      <c r="AM19" s="986"/>
      <c r="AN19" s="986"/>
      <c r="AO19" s="986"/>
      <c r="AP19" s="986"/>
      <c r="AQ19" s="986"/>
      <c r="AR19" s="986"/>
      <c r="AS19" s="987"/>
    </row>
    <row r="20" spans="1:45" ht="15" customHeight="1" thickBot="1">
      <c r="A20" s="985"/>
      <c r="B20" s="986"/>
      <c r="C20" s="986"/>
      <c r="D20" s="986"/>
      <c r="E20" s="986"/>
      <c r="F20" s="986"/>
      <c r="G20" s="986"/>
      <c r="H20" s="986"/>
      <c r="I20" s="986"/>
      <c r="J20" s="985"/>
      <c r="K20" s="986"/>
      <c r="L20" s="986"/>
      <c r="M20" s="986"/>
      <c r="N20" s="986"/>
      <c r="O20" s="986"/>
      <c r="P20" s="986"/>
      <c r="Q20" s="986"/>
      <c r="R20" s="987"/>
      <c r="S20" s="985"/>
      <c r="T20" s="986"/>
      <c r="U20" s="986"/>
      <c r="V20" s="986"/>
      <c r="W20" s="986"/>
      <c r="X20" s="986"/>
      <c r="Y20" s="986"/>
      <c r="Z20" s="986"/>
      <c r="AA20" s="987"/>
      <c r="AB20" s="1006"/>
      <c r="AC20" s="1006"/>
      <c r="AD20" s="1006"/>
      <c r="AE20" s="1006"/>
      <c r="AF20" s="1006"/>
      <c r="AG20" s="1006"/>
      <c r="AH20" s="1006"/>
      <c r="AI20" s="1006"/>
      <c r="AJ20" s="1007"/>
      <c r="AK20" s="985"/>
      <c r="AL20" s="986"/>
      <c r="AM20" s="986"/>
      <c r="AN20" s="986"/>
      <c r="AO20" s="986"/>
      <c r="AP20" s="986"/>
      <c r="AQ20" s="986"/>
      <c r="AR20" s="986"/>
      <c r="AS20" s="987"/>
    </row>
    <row r="21" spans="1:45" ht="15" customHeight="1" thickBot="1">
      <c r="A21" s="985"/>
      <c r="B21" s="986"/>
      <c r="C21" s="986"/>
      <c r="D21" s="986"/>
      <c r="E21" s="986"/>
      <c r="F21" s="986"/>
      <c r="G21" s="986"/>
      <c r="H21" s="986"/>
      <c r="I21" s="986"/>
      <c r="J21" s="985"/>
      <c r="K21" s="986"/>
      <c r="L21" s="986"/>
      <c r="M21" s="986"/>
      <c r="N21" s="986"/>
      <c r="O21" s="986"/>
      <c r="P21" s="986"/>
      <c r="Q21" s="986"/>
      <c r="R21" s="987"/>
      <c r="S21" s="985"/>
      <c r="T21" s="986"/>
      <c r="U21" s="986"/>
      <c r="V21" s="986"/>
      <c r="W21" s="986"/>
      <c r="X21" s="986"/>
      <c r="Y21" s="986"/>
      <c r="Z21" s="986"/>
      <c r="AA21" s="987"/>
      <c r="AB21" s="1008"/>
      <c r="AC21" s="1008"/>
      <c r="AD21" s="1008"/>
      <c r="AE21" s="1008"/>
      <c r="AF21" s="1008"/>
      <c r="AG21" s="1008"/>
      <c r="AH21" s="1008"/>
      <c r="AI21" s="1008"/>
      <c r="AJ21" s="1009"/>
      <c r="AK21" s="985"/>
      <c r="AL21" s="986"/>
      <c r="AM21" s="986"/>
      <c r="AN21" s="986"/>
      <c r="AO21" s="986"/>
      <c r="AP21" s="986"/>
      <c r="AQ21" s="986"/>
      <c r="AR21" s="986"/>
      <c r="AS21" s="987"/>
    </row>
    <row r="22" spans="1:45" ht="15" customHeight="1" thickBot="1">
      <c r="A22" s="985"/>
      <c r="B22" s="986"/>
      <c r="C22" s="986"/>
      <c r="D22" s="986"/>
      <c r="E22" s="986"/>
      <c r="F22" s="986"/>
      <c r="G22" s="986"/>
      <c r="H22" s="986"/>
      <c r="I22" s="986"/>
      <c r="J22" s="985"/>
      <c r="K22" s="986"/>
      <c r="L22" s="986"/>
      <c r="M22" s="986"/>
      <c r="N22" s="986"/>
      <c r="O22" s="986"/>
      <c r="P22" s="986"/>
      <c r="Q22" s="986"/>
      <c r="R22" s="987"/>
      <c r="S22" s="985" t="s">
        <v>931</v>
      </c>
      <c r="T22" s="986"/>
      <c r="U22" s="986"/>
      <c r="V22" s="986"/>
      <c r="W22" s="986"/>
      <c r="X22" s="986"/>
      <c r="Y22" s="986"/>
      <c r="Z22" s="986"/>
      <c r="AA22" s="987"/>
      <c r="AB22" s="344"/>
      <c r="AC22" s="344"/>
      <c r="AD22" s="344"/>
      <c r="AE22" s="344"/>
      <c r="AF22" s="344"/>
      <c r="AG22" s="344"/>
      <c r="AH22" s="344"/>
      <c r="AI22" s="344"/>
      <c r="AJ22" s="344"/>
      <c r="AK22" s="985"/>
      <c r="AL22" s="986"/>
      <c r="AM22" s="986"/>
      <c r="AN22" s="986"/>
      <c r="AO22" s="986"/>
      <c r="AP22" s="986"/>
      <c r="AQ22" s="986"/>
      <c r="AR22" s="986"/>
      <c r="AS22" s="987"/>
    </row>
    <row r="23" spans="1:45" ht="15" customHeight="1" thickBot="1">
      <c r="A23" s="985"/>
      <c r="B23" s="986"/>
      <c r="C23" s="986"/>
      <c r="D23" s="986"/>
      <c r="E23" s="986"/>
      <c r="F23" s="986"/>
      <c r="G23" s="986"/>
      <c r="H23" s="986"/>
      <c r="I23" s="986"/>
      <c r="J23" s="985"/>
      <c r="K23" s="986"/>
      <c r="L23" s="986"/>
      <c r="M23" s="986"/>
      <c r="N23" s="986"/>
      <c r="O23" s="986"/>
      <c r="P23" s="986"/>
      <c r="Q23" s="986"/>
      <c r="R23" s="987"/>
      <c r="S23" s="985"/>
      <c r="T23" s="986"/>
      <c r="U23" s="986"/>
      <c r="V23" s="986"/>
      <c r="W23" s="986"/>
      <c r="X23" s="986"/>
      <c r="Y23" s="986"/>
      <c r="Z23" s="986"/>
      <c r="AA23" s="987"/>
      <c r="AB23" s="344"/>
      <c r="AC23" s="344"/>
      <c r="AD23" s="344"/>
      <c r="AE23" s="344"/>
      <c r="AF23" s="344"/>
      <c r="AG23" s="344"/>
      <c r="AH23" s="344"/>
      <c r="AI23" s="344"/>
      <c r="AJ23" s="344"/>
      <c r="AK23" s="985"/>
      <c r="AL23" s="986"/>
      <c r="AM23" s="986"/>
      <c r="AN23" s="986"/>
      <c r="AO23" s="986"/>
      <c r="AP23" s="986"/>
      <c r="AQ23" s="986"/>
      <c r="AR23" s="986"/>
      <c r="AS23" s="987"/>
    </row>
    <row r="24" spans="1:45" ht="15" customHeight="1" thickBot="1">
      <c r="A24" s="985"/>
      <c r="B24" s="986"/>
      <c r="C24" s="986"/>
      <c r="D24" s="986"/>
      <c r="E24" s="986"/>
      <c r="F24" s="986"/>
      <c r="G24" s="986"/>
      <c r="H24" s="986"/>
      <c r="I24" s="986"/>
      <c r="J24" s="985"/>
      <c r="K24" s="986"/>
      <c r="L24" s="986"/>
      <c r="M24" s="986"/>
      <c r="N24" s="986"/>
      <c r="O24" s="986"/>
      <c r="P24" s="986"/>
      <c r="Q24" s="986"/>
      <c r="R24" s="987"/>
      <c r="S24" s="985"/>
      <c r="T24" s="986"/>
      <c r="U24" s="986"/>
      <c r="V24" s="986"/>
      <c r="W24" s="986"/>
      <c r="X24" s="986"/>
      <c r="Y24" s="986"/>
      <c r="Z24" s="986"/>
      <c r="AA24" s="987"/>
      <c r="AB24" s="344"/>
      <c r="AC24" s="344"/>
      <c r="AD24" s="344"/>
      <c r="AE24" s="344"/>
      <c r="AF24" s="344"/>
      <c r="AG24" s="344"/>
      <c r="AH24" s="344"/>
      <c r="AI24" s="344"/>
      <c r="AJ24" s="344"/>
      <c r="AK24" s="985"/>
      <c r="AL24" s="986"/>
      <c r="AM24" s="986"/>
      <c r="AN24" s="986"/>
      <c r="AO24" s="986"/>
      <c r="AP24" s="986"/>
      <c r="AQ24" s="986"/>
      <c r="AR24" s="986"/>
      <c r="AS24" s="987"/>
    </row>
    <row r="25" spans="1:45" ht="43.5" customHeight="1" thickBot="1">
      <c r="A25" s="985"/>
      <c r="B25" s="986"/>
      <c r="C25" s="986"/>
      <c r="D25" s="986"/>
      <c r="E25" s="986"/>
      <c r="F25" s="986"/>
      <c r="G25" s="986"/>
      <c r="H25" s="986"/>
      <c r="I25" s="986"/>
      <c r="J25" s="985"/>
      <c r="K25" s="986"/>
      <c r="L25" s="986"/>
      <c r="M25" s="986"/>
      <c r="N25" s="986"/>
      <c r="O25" s="986"/>
      <c r="P25" s="986"/>
      <c r="Q25" s="986"/>
      <c r="R25" s="987"/>
      <c r="S25" s="985"/>
      <c r="T25" s="986"/>
      <c r="U25" s="986"/>
      <c r="V25" s="986"/>
      <c r="W25" s="986"/>
      <c r="X25" s="986"/>
      <c r="Y25" s="986"/>
      <c r="Z25" s="986"/>
      <c r="AA25" s="987"/>
      <c r="AB25" s="344"/>
      <c r="AC25" s="344"/>
      <c r="AD25" s="344"/>
      <c r="AE25" s="344"/>
      <c r="AF25" s="344"/>
      <c r="AG25" s="344"/>
      <c r="AH25" s="344"/>
      <c r="AI25" s="344"/>
      <c r="AJ25" s="344"/>
      <c r="AK25" s="985"/>
      <c r="AL25" s="986"/>
      <c r="AM25" s="986"/>
      <c r="AN25" s="986"/>
      <c r="AO25" s="986"/>
      <c r="AP25" s="986"/>
      <c r="AQ25" s="986"/>
      <c r="AR25" s="986"/>
      <c r="AS25" s="987"/>
    </row>
    <row r="26" spans="1:45" ht="15" customHeight="1" thickBot="1">
      <c r="A26" s="985" t="s">
        <v>904</v>
      </c>
      <c r="B26" s="986"/>
      <c r="C26" s="986"/>
      <c r="D26" s="986"/>
      <c r="E26" s="986"/>
      <c r="F26" s="986"/>
      <c r="G26" s="986"/>
      <c r="H26" s="986"/>
      <c r="I26" s="986"/>
      <c r="J26" s="985" t="s">
        <v>905</v>
      </c>
      <c r="K26" s="986"/>
      <c r="L26" s="986"/>
      <c r="M26" s="986"/>
      <c r="N26" s="986"/>
      <c r="O26" s="986"/>
      <c r="P26" s="986"/>
      <c r="Q26" s="986"/>
      <c r="R26" s="987"/>
      <c r="S26" s="985"/>
      <c r="T26" s="986"/>
      <c r="U26" s="986"/>
      <c r="V26" s="986"/>
      <c r="W26" s="986"/>
      <c r="X26" s="986"/>
      <c r="Y26" s="986"/>
      <c r="Z26" s="986"/>
      <c r="AA26" s="987"/>
      <c r="AB26" s="344"/>
      <c r="AC26" s="344"/>
      <c r="AD26" s="344"/>
      <c r="AE26" s="344"/>
      <c r="AF26" s="344"/>
      <c r="AG26" s="344"/>
      <c r="AH26" s="344"/>
      <c r="AI26" s="344"/>
      <c r="AJ26" s="344"/>
      <c r="AK26" s="985"/>
      <c r="AL26" s="986"/>
      <c r="AM26" s="986"/>
      <c r="AN26" s="986"/>
      <c r="AO26" s="986"/>
      <c r="AP26" s="986"/>
      <c r="AQ26" s="986"/>
      <c r="AR26" s="986"/>
      <c r="AS26" s="987"/>
    </row>
    <row r="27" spans="1:45" ht="15" customHeight="1" thickBot="1">
      <c r="A27" s="985"/>
      <c r="B27" s="986"/>
      <c r="C27" s="986"/>
      <c r="D27" s="986"/>
      <c r="E27" s="986"/>
      <c r="F27" s="986"/>
      <c r="G27" s="986"/>
      <c r="H27" s="986"/>
      <c r="I27" s="986"/>
      <c r="J27" s="985"/>
      <c r="K27" s="986"/>
      <c r="L27" s="986"/>
      <c r="M27" s="986"/>
      <c r="N27" s="986"/>
      <c r="O27" s="986"/>
      <c r="P27" s="986"/>
      <c r="Q27" s="986"/>
      <c r="R27" s="987"/>
      <c r="S27" s="985"/>
      <c r="T27" s="986"/>
      <c r="U27" s="986"/>
      <c r="V27" s="986"/>
      <c r="W27" s="986"/>
      <c r="X27" s="986"/>
      <c r="Y27" s="986"/>
      <c r="Z27" s="986"/>
      <c r="AA27" s="987"/>
      <c r="AB27" s="344"/>
      <c r="AC27" s="344"/>
      <c r="AD27" s="344"/>
      <c r="AE27" s="344"/>
      <c r="AF27" s="344"/>
      <c r="AG27" s="344"/>
      <c r="AH27" s="344"/>
      <c r="AI27" s="344"/>
      <c r="AJ27" s="344"/>
      <c r="AK27" s="985"/>
      <c r="AL27" s="986"/>
      <c r="AM27" s="986"/>
      <c r="AN27" s="986"/>
      <c r="AO27" s="986"/>
      <c r="AP27" s="986"/>
      <c r="AQ27" s="986"/>
      <c r="AR27" s="986"/>
      <c r="AS27" s="987"/>
    </row>
    <row r="28" spans="1:45" ht="15" customHeight="1" thickBot="1">
      <c r="A28" s="985"/>
      <c r="B28" s="986"/>
      <c r="C28" s="986"/>
      <c r="D28" s="986"/>
      <c r="E28" s="986"/>
      <c r="F28" s="986"/>
      <c r="G28" s="986"/>
      <c r="H28" s="986"/>
      <c r="I28" s="986"/>
      <c r="J28" s="985"/>
      <c r="K28" s="986"/>
      <c r="L28" s="986"/>
      <c r="M28" s="986"/>
      <c r="N28" s="986"/>
      <c r="O28" s="986"/>
      <c r="P28" s="986"/>
      <c r="Q28" s="986"/>
      <c r="R28" s="987"/>
      <c r="S28" s="985"/>
      <c r="T28" s="986"/>
      <c r="U28" s="986"/>
      <c r="V28" s="986"/>
      <c r="W28" s="986"/>
      <c r="X28" s="986"/>
      <c r="Y28" s="986"/>
      <c r="Z28" s="986"/>
      <c r="AA28" s="987"/>
      <c r="AB28" s="344"/>
      <c r="AC28" s="344"/>
      <c r="AD28" s="344"/>
      <c r="AE28" s="344"/>
      <c r="AF28" s="344"/>
      <c r="AG28" s="344"/>
      <c r="AH28" s="344"/>
      <c r="AI28" s="344"/>
      <c r="AJ28" s="344"/>
      <c r="AK28" s="982" t="s">
        <v>921</v>
      </c>
      <c r="AL28" s="983"/>
      <c r="AM28" s="983"/>
      <c r="AN28" s="983"/>
      <c r="AO28" s="983"/>
      <c r="AP28" s="983"/>
      <c r="AQ28" s="983"/>
      <c r="AR28" s="983"/>
      <c r="AS28" s="984"/>
    </row>
    <row r="29" spans="1:45" ht="15" customHeight="1" thickBot="1">
      <c r="A29" s="985"/>
      <c r="B29" s="986"/>
      <c r="C29" s="986"/>
      <c r="D29" s="986"/>
      <c r="E29" s="986"/>
      <c r="F29" s="986"/>
      <c r="G29" s="986"/>
      <c r="H29" s="986"/>
      <c r="I29" s="986"/>
      <c r="J29" s="985"/>
      <c r="K29" s="986"/>
      <c r="L29" s="986"/>
      <c r="M29" s="986"/>
      <c r="N29" s="986"/>
      <c r="O29" s="986"/>
      <c r="P29" s="986"/>
      <c r="Q29" s="986"/>
      <c r="R29" s="987"/>
      <c r="S29" s="985"/>
      <c r="T29" s="986"/>
      <c r="U29" s="986"/>
      <c r="V29" s="986"/>
      <c r="W29" s="986"/>
      <c r="X29" s="986"/>
      <c r="Y29" s="986"/>
      <c r="Z29" s="986"/>
      <c r="AA29" s="987"/>
      <c r="AB29" s="344"/>
      <c r="AC29" s="344"/>
      <c r="AD29" s="344"/>
      <c r="AE29" s="344"/>
      <c r="AF29" s="344"/>
      <c r="AG29" s="344"/>
      <c r="AH29" s="344"/>
      <c r="AI29" s="344"/>
      <c r="AJ29" s="344"/>
      <c r="AK29" s="982"/>
      <c r="AL29" s="983"/>
      <c r="AM29" s="983"/>
      <c r="AN29" s="983"/>
      <c r="AO29" s="983"/>
      <c r="AP29" s="983"/>
      <c r="AQ29" s="983"/>
      <c r="AR29" s="983"/>
      <c r="AS29" s="984"/>
    </row>
    <row r="30" spans="1:45" ht="15" customHeight="1" thickBot="1">
      <c r="A30" s="985"/>
      <c r="B30" s="986"/>
      <c r="C30" s="986"/>
      <c r="D30" s="986"/>
      <c r="E30" s="986"/>
      <c r="F30" s="986"/>
      <c r="G30" s="986"/>
      <c r="H30" s="986"/>
      <c r="I30" s="986"/>
      <c r="J30" s="985"/>
      <c r="K30" s="986"/>
      <c r="L30" s="986"/>
      <c r="M30" s="986"/>
      <c r="N30" s="986"/>
      <c r="O30" s="986"/>
      <c r="P30" s="986"/>
      <c r="Q30" s="986"/>
      <c r="R30" s="987"/>
      <c r="S30" s="985"/>
      <c r="T30" s="986"/>
      <c r="U30" s="986"/>
      <c r="V30" s="986"/>
      <c r="W30" s="986"/>
      <c r="X30" s="986"/>
      <c r="Y30" s="986"/>
      <c r="Z30" s="986"/>
      <c r="AA30" s="987"/>
      <c r="AB30" s="344"/>
      <c r="AC30" s="344"/>
      <c r="AD30" s="344"/>
      <c r="AE30" s="344"/>
      <c r="AF30" s="344"/>
      <c r="AG30" s="344"/>
      <c r="AH30" s="344"/>
      <c r="AI30" s="344"/>
      <c r="AJ30" s="344"/>
      <c r="AK30" s="985" t="s">
        <v>923</v>
      </c>
      <c r="AL30" s="1010"/>
      <c r="AM30" s="1010"/>
      <c r="AN30" s="1010"/>
      <c r="AO30" s="1010"/>
      <c r="AP30" s="1010"/>
      <c r="AQ30" s="1010"/>
      <c r="AR30" s="1010"/>
      <c r="AS30" s="1011"/>
    </row>
    <row r="31" spans="1:45" ht="15" customHeight="1" thickBot="1">
      <c r="A31" s="985"/>
      <c r="B31" s="986"/>
      <c r="C31" s="986"/>
      <c r="D31" s="986"/>
      <c r="E31" s="986"/>
      <c r="F31" s="986"/>
      <c r="G31" s="986"/>
      <c r="H31" s="986"/>
      <c r="I31" s="986"/>
      <c r="J31" s="985"/>
      <c r="K31" s="986"/>
      <c r="L31" s="986"/>
      <c r="M31" s="986"/>
      <c r="N31" s="986"/>
      <c r="O31" s="986"/>
      <c r="P31" s="986"/>
      <c r="Q31" s="986"/>
      <c r="R31" s="987"/>
      <c r="S31" s="985"/>
      <c r="T31" s="986"/>
      <c r="U31" s="986"/>
      <c r="V31" s="986"/>
      <c r="W31" s="986"/>
      <c r="X31" s="986"/>
      <c r="Y31" s="986"/>
      <c r="Z31" s="986"/>
      <c r="AA31" s="987"/>
      <c r="AB31" s="344"/>
      <c r="AC31" s="344"/>
      <c r="AD31" s="344"/>
      <c r="AE31" s="344"/>
      <c r="AF31" s="344"/>
      <c r="AG31" s="344"/>
      <c r="AH31" s="344"/>
      <c r="AI31" s="344"/>
      <c r="AJ31" s="344"/>
      <c r="AK31" s="1012"/>
      <c r="AL31" s="1010"/>
      <c r="AM31" s="1010"/>
      <c r="AN31" s="1010"/>
      <c r="AO31" s="1010"/>
      <c r="AP31" s="1010"/>
      <c r="AQ31" s="1010"/>
      <c r="AR31" s="1010"/>
      <c r="AS31" s="1011"/>
    </row>
    <row r="32" spans="1:45" ht="14.25" customHeight="1" thickBot="1">
      <c r="A32" s="985"/>
      <c r="B32" s="986"/>
      <c r="C32" s="986"/>
      <c r="D32" s="986"/>
      <c r="E32" s="986"/>
      <c r="F32" s="986"/>
      <c r="G32" s="986"/>
      <c r="H32" s="986"/>
      <c r="I32" s="986"/>
      <c r="J32" s="985"/>
      <c r="K32" s="986"/>
      <c r="L32" s="986"/>
      <c r="M32" s="986"/>
      <c r="N32" s="986"/>
      <c r="O32" s="986"/>
      <c r="P32" s="986"/>
      <c r="Q32" s="986"/>
      <c r="R32" s="987"/>
      <c r="S32" s="985" t="s">
        <v>932</v>
      </c>
      <c r="T32" s="986"/>
      <c r="U32" s="986"/>
      <c r="V32" s="986"/>
      <c r="W32" s="986"/>
      <c r="X32" s="986"/>
      <c r="Y32" s="986"/>
      <c r="Z32" s="986"/>
      <c r="AA32" s="987"/>
      <c r="AB32" s="344"/>
      <c r="AC32" s="344"/>
      <c r="AD32" s="344"/>
      <c r="AE32" s="344"/>
      <c r="AF32" s="344"/>
      <c r="AG32" s="344"/>
      <c r="AH32" s="344"/>
      <c r="AI32" s="344"/>
      <c r="AJ32" s="344"/>
      <c r="AK32" s="1012"/>
      <c r="AL32" s="1010"/>
      <c r="AM32" s="1010"/>
      <c r="AN32" s="1010"/>
      <c r="AO32" s="1010"/>
      <c r="AP32" s="1010"/>
      <c r="AQ32" s="1010"/>
      <c r="AR32" s="1010"/>
      <c r="AS32" s="1011"/>
    </row>
    <row r="33" spans="1:45" ht="15" customHeight="1" thickBot="1">
      <c r="A33" s="985" t="s">
        <v>906</v>
      </c>
      <c r="B33" s="986"/>
      <c r="C33" s="986"/>
      <c r="D33" s="986"/>
      <c r="E33" s="986"/>
      <c r="F33" s="986"/>
      <c r="G33" s="986"/>
      <c r="H33" s="986"/>
      <c r="I33" s="986"/>
      <c r="J33" s="985" t="s">
        <v>907</v>
      </c>
      <c r="K33" s="986"/>
      <c r="L33" s="986"/>
      <c r="M33" s="986"/>
      <c r="N33" s="986"/>
      <c r="O33" s="986"/>
      <c r="P33" s="986"/>
      <c r="Q33" s="986"/>
      <c r="R33" s="987"/>
      <c r="S33" s="985"/>
      <c r="T33" s="986"/>
      <c r="U33" s="986"/>
      <c r="V33" s="986"/>
      <c r="W33" s="986"/>
      <c r="X33" s="986"/>
      <c r="Y33" s="986"/>
      <c r="Z33" s="986"/>
      <c r="AA33" s="987"/>
      <c r="AB33" s="344"/>
      <c r="AC33" s="344"/>
      <c r="AD33" s="344"/>
      <c r="AE33" s="344"/>
      <c r="AF33" s="344"/>
      <c r="AG33" s="344"/>
      <c r="AH33" s="344"/>
      <c r="AI33" s="344"/>
      <c r="AJ33" s="344"/>
      <c r="AK33" s="1012"/>
      <c r="AL33" s="1010"/>
      <c r="AM33" s="1010"/>
      <c r="AN33" s="1010"/>
      <c r="AO33" s="1010"/>
      <c r="AP33" s="1010"/>
      <c r="AQ33" s="1010"/>
      <c r="AR33" s="1010"/>
      <c r="AS33" s="1011"/>
    </row>
    <row r="34" spans="1:45" ht="15" customHeight="1" thickBot="1">
      <c r="A34" s="985"/>
      <c r="B34" s="986"/>
      <c r="C34" s="986"/>
      <c r="D34" s="986"/>
      <c r="E34" s="986"/>
      <c r="F34" s="986"/>
      <c r="G34" s="986"/>
      <c r="H34" s="986"/>
      <c r="I34" s="986"/>
      <c r="J34" s="985"/>
      <c r="K34" s="986"/>
      <c r="L34" s="986"/>
      <c r="M34" s="986"/>
      <c r="N34" s="986"/>
      <c r="O34" s="986"/>
      <c r="P34" s="986"/>
      <c r="Q34" s="986"/>
      <c r="R34" s="987"/>
      <c r="S34" s="985"/>
      <c r="T34" s="986"/>
      <c r="U34" s="986"/>
      <c r="V34" s="986"/>
      <c r="W34" s="986"/>
      <c r="X34" s="986"/>
      <c r="Y34" s="986"/>
      <c r="Z34" s="986"/>
      <c r="AA34" s="987"/>
      <c r="AB34" s="344"/>
      <c r="AC34" s="344"/>
      <c r="AD34" s="344"/>
      <c r="AE34" s="344"/>
      <c r="AF34" s="344"/>
      <c r="AG34" s="344"/>
      <c r="AH34" s="344"/>
      <c r="AI34" s="344"/>
      <c r="AJ34" s="344"/>
      <c r="AK34" s="1012"/>
      <c r="AL34" s="1010"/>
      <c r="AM34" s="1010"/>
      <c r="AN34" s="1010"/>
      <c r="AO34" s="1010"/>
      <c r="AP34" s="1010"/>
      <c r="AQ34" s="1010"/>
      <c r="AR34" s="1010"/>
      <c r="AS34" s="1011"/>
    </row>
    <row r="35" spans="1:45" ht="15" customHeight="1" thickBot="1">
      <c r="A35" s="985"/>
      <c r="B35" s="986"/>
      <c r="C35" s="986"/>
      <c r="D35" s="986"/>
      <c r="E35" s="986"/>
      <c r="F35" s="986"/>
      <c r="G35" s="986"/>
      <c r="H35" s="986"/>
      <c r="I35" s="986"/>
      <c r="J35" s="985"/>
      <c r="K35" s="986"/>
      <c r="L35" s="986"/>
      <c r="M35" s="986"/>
      <c r="N35" s="986"/>
      <c r="O35" s="986"/>
      <c r="P35" s="986"/>
      <c r="Q35" s="986"/>
      <c r="R35" s="987"/>
      <c r="S35" s="985"/>
      <c r="T35" s="986"/>
      <c r="U35" s="986"/>
      <c r="V35" s="986"/>
      <c r="W35" s="986"/>
      <c r="X35" s="986"/>
      <c r="Y35" s="986"/>
      <c r="Z35" s="986"/>
      <c r="AA35" s="987"/>
      <c r="AB35" s="344"/>
      <c r="AC35" s="344"/>
      <c r="AD35" s="344"/>
      <c r="AE35" s="344"/>
      <c r="AF35" s="344"/>
      <c r="AG35" s="344"/>
      <c r="AH35" s="344"/>
      <c r="AI35" s="344"/>
      <c r="AJ35" s="344"/>
      <c r="AK35" s="1012"/>
      <c r="AL35" s="1010"/>
      <c r="AM35" s="1010"/>
      <c r="AN35" s="1010"/>
      <c r="AO35" s="1010"/>
      <c r="AP35" s="1010"/>
      <c r="AQ35" s="1010"/>
      <c r="AR35" s="1010"/>
      <c r="AS35" s="1011"/>
    </row>
    <row r="36" spans="1:45" ht="15" customHeight="1" thickBot="1">
      <c r="A36" s="985"/>
      <c r="B36" s="986"/>
      <c r="C36" s="986"/>
      <c r="D36" s="986"/>
      <c r="E36" s="986"/>
      <c r="F36" s="986"/>
      <c r="G36" s="986"/>
      <c r="H36" s="986"/>
      <c r="I36" s="986"/>
      <c r="J36" s="985"/>
      <c r="K36" s="986"/>
      <c r="L36" s="986"/>
      <c r="M36" s="986"/>
      <c r="N36" s="986"/>
      <c r="O36" s="986"/>
      <c r="P36" s="986"/>
      <c r="Q36" s="986"/>
      <c r="R36" s="987"/>
      <c r="S36" s="985"/>
      <c r="T36" s="986"/>
      <c r="U36" s="986"/>
      <c r="V36" s="986"/>
      <c r="W36" s="986"/>
      <c r="X36" s="986"/>
      <c r="Y36" s="986"/>
      <c r="Z36" s="986"/>
      <c r="AA36" s="987"/>
      <c r="AB36" s="344"/>
      <c r="AC36" s="344"/>
      <c r="AD36" s="344"/>
      <c r="AE36" s="344"/>
      <c r="AF36" s="344"/>
      <c r="AG36" s="344"/>
      <c r="AH36" s="344"/>
      <c r="AI36" s="344"/>
      <c r="AJ36" s="344"/>
      <c r="AK36" s="1012"/>
      <c r="AL36" s="1010"/>
      <c r="AM36" s="1010"/>
      <c r="AN36" s="1010"/>
      <c r="AO36" s="1010"/>
      <c r="AP36" s="1010"/>
      <c r="AQ36" s="1010"/>
      <c r="AR36" s="1010"/>
      <c r="AS36" s="1011"/>
    </row>
    <row r="37" spans="1:45" ht="15" customHeight="1" thickBot="1">
      <c r="A37" s="985"/>
      <c r="B37" s="986"/>
      <c r="C37" s="986"/>
      <c r="D37" s="986"/>
      <c r="E37" s="986"/>
      <c r="F37" s="986"/>
      <c r="G37" s="986"/>
      <c r="H37" s="986"/>
      <c r="I37" s="986"/>
      <c r="J37" s="985"/>
      <c r="K37" s="986"/>
      <c r="L37" s="986"/>
      <c r="M37" s="986"/>
      <c r="N37" s="986"/>
      <c r="O37" s="986"/>
      <c r="P37" s="986"/>
      <c r="Q37" s="986"/>
      <c r="R37" s="987"/>
      <c r="S37" s="985"/>
      <c r="T37" s="986"/>
      <c r="U37" s="986"/>
      <c r="V37" s="986"/>
      <c r="W37" s="986"/>
      <c r="X37" s="986"/>
      <c r="Y37" s="986"/>
      <c r="Z37" s="986"/>
      <c r="AA37" s="987"/>
      <c r="AB37" s="344"/>
      <c r="AC37" s="344"/>
      <c r="AD37" s="344"/>
      <c r="AE37" s="344"/>
      <c r="AF37" s="344"/>
      <c r="AG37" s="344"/>
      <c r="AH37" s="344"/>
      <c r="AI37" s="344"/>
      <c r="AJ37" s="344"/>
      <c r="AK37" s="1012"/>
      <c r="AL37" s="1010"/>
      <c r="AM37" s="1010"/>
      <c r="AN37" s="1010"/>
      <c r="AO37" s="1010"/>
      <c r="AP37" s="1010"/>
      <c r="AQ37" s="1010"/>
      <c r="AR37" s="1010"/>
      <c r="AS37" s="1011"/>
    </row>
    <row r="38" spans="1:45" ht="15" customHeight="1" thickBot="1">
      <c r="A38" s="985"/>
      <c r="B38" s="986"/>
      <c r="C38" s="986"/>
      <c r="D38" s="986"/>
      <c r="E38" s="986"/>
      <c r="F38" s="986"/>
      <c r="G38" s="986"/>
      <c r="H38" s="986"/>
      <c r="I38" s="986"/>
      <c r="J38" s="985"/>
      <c r="K38" s="986"/>
      <c r="L38" s="986"/>
      <c r="M38" s="986"/>
      <c r="N38" s="986"/>
      <c r="O38" s="986"/>
      <c r="P38" s="986"/>
      <c r="Q38" s="986"/>
      <c r="R38" s="987"/>
      <c r="S38" s="985"/>
      <c r="T38" s="986"/>
      <c r="U38" s="986"/>
      <c r="V38" s="986"/>
      <c r="W38" s="986"/>
      <c r="X38" s="986"/>
      <c r="Y38" s="986"/>
      <c r="Z38" s="986"/>
      <c r="AA38" s="987"/>
      <c r="AB38" s="344"/>
      <c r="AC38" s="344"/>
      <c r="AD38" s="344"/>
      <c r="AE38" s="344"/>
      <c r="AF38" s="344"/>
      <c r="AG38" s="344"/>
      <c r="AH38" s="344"/>
      <c r="AI38" s="344"/>
      <c r="AJ38" s="344"/>
      <c r="AK38" s="1012"/>
      <c r="AL38" s="1010"/>
      <c r="AM38" s="1010"/>
      <c r="AN38" s="1010"/>
      <c r="AO38" s="1010"/>
      <c r="AP38" s="1010"/>
      <c r="AQ38" s="1010"/>
      <c r="AR38" s="1010"/>
      <c r="AS38" s="1011"/>
    </row>
    <row r="39" spans="1:45" ht="15" customHeight="1" thickBot="1">
      <c r="A39" s="985"/>
      <c r="B39" s="986"/>
      <c r="C39" s="986"/>
      <c r="D39" s="986"/>
      <c r="E39" s="986"/>
      <c r="F39" s="986"/>
      <c r="G39" s="986"/>
      <c r="H39" s="986"/>
      <c r="I39" s="986"/>
      <c r="J39" s="985"/>
      <c r="K39" s="986"/>
      <c r="L39" s="986"/>
      <c r="M39" s="986"/>
      <c r="N39" s="986"/>
      <c r="O39" s="986"/>
      <c r="P39" s="986"/>
      <c r="Q39" s="986"/>
      <c r="R39" s="987"/>
      <c r="S39" s="985"/>
      <c r="T39" s="986"/>
      <c r="U39" s="986"/>
      <c r="V39" s="986"/>
      <c r="W39" s="986"/>
      <c r="X39" s="986"/>
      <c r="Y39" s="986"/>
      <c r="Z39" s="986"/>
      <c r="AA39" s="987"/>
      <c r="AB39" s="344"/>
      <c r="AC39" s="344"/>
      <c r="AD39" s="344"/>
      <c r="AE39" s="344"/>
      <c r="AF39" s="344"/>
      <c r="AG39" s="344"/>
      <c r="AH39" s="344"/>
      <c r="AI39" s="344"/>
      <c r="AJ39" s="344"/>
      <c r="AK39" s="1012"/>
      <c r="AL39" s="1010"/>
      <c r="AM39" s="1010"/>
      <c r="AN39" s="1010"/>
      <c r="AO39" s="1010"/>
      <c r="AP39" s="1010"/>
      <c r="AQ39" s="1010"/>
      <c r="AR39" s="1010"/>
      <c r="AS39" s="1011"/>
    </row>
    <row r="40" spans="1:45" ht="15.75" thickBot="1">
      <c r="A40" s="344"/>
      <c r="B40" s="344"/>
      <c r="C40" s="344"/>
      <c r="D40" s="344"/>
      <c r="E40" s="344"/>
      <c r="F40" s="344"/>
      <c r="G40" s="344"/>
      <c r="H40" s="344"/>
      <c r="I40" s="344"/>
      <c r="J40" s="985" t="s">
        <v>908</v>
      </c>
      <c r="K40" s="986"/>
      <c r="L40" s="986"/>
      <c r="M40" s="986"/>
      <c r="N40" s="986"/>
      <c r="O40" s="986"/>
      <c r="P40" s="986"/>
      <c r="Q40" s="986"/>
      <c r="R40" s="987"/>
      <c r="S40" s="985"/>
      <c r="T40" s="986"/>
      <c r="U40" s="986"/>
      <c r="V40" s="986"/>
      <c r="W40" s="986"/>
      <c r="X40" s="986"/>
      <c r="Y40" s="986"/>
      <c r="Z40" s="986"/>
      <c r="AA40" s="987"/>
      <c r="AB40" s="344"/>
      <c r="AC40" s="344"/>
      <c r="AD40" s="344"/>
      <c r="AE40" s="344"/>
      <c r="AF40" s="344"/>
      <c r="AG40" s="344"/>
      <c r="AH40" s="344"/>
      <c r="AI40" s="344"/>
      <c r="AJ40" s="344"/>
      <c r="AK40" s="1012"/>
      <c r="AL40" s="1010"/>
      <c r="AM40" s="1010"/>
      <c r="AN40" s="1010"/>
      <c r="AO40" s="1010"/>
      <c r="AP40" s="1010"/>
      <c r="AQ40" s="1010"/>
      <c r="AR40" s="1010"/>
      <c r="AS40" s="1011"/>
    </row>
    <row r="41" spans="1:45" ht="15.75" thickBot="1">
      <c r="A41" s="344"/>
      <c r="B41" s="344"/>
      <c r="C41" s="344"/>
      <c r="D41" s="344"/>
      <c r="E41" s="344"/>
      <c r="F41" s="344"/>
      <c r="G41" s="344"/>
      <c r="H41" s="344"/>
      <c r="I41" s="344"/>
      <c r="J41" s="985"/>
      <c r="K41" s="986"/>
      <c r="L41" s="986"/>
      <c r="M41" s="986"/>
      <c r="N41" s="986"/>
      <c r="O41" s="986"/>
      <c r="P41" s="986"/>
      <c r="Q41" s="986"/>
      <c r="R41" s="987"/>
      <c r="S41" s="985"/>
      <c r="T41" s="986"/>
      <c r="U41" s="986"/>
      <c r="V41" s="986"/>
      <c r="W41" s="986"/>
      <c r="X41" s="986"/>
      <c r="Y41" s="986"/>
      <c r="Z41" s="986"/>
      <c r="AA41" s="987"/>
      <c r="AB41" s="344"/>
      <c r="AC41" s="344"/>
      <c r="AD41" s="344"/>
      <c r="AE41" s="344"/>
      <c r="AF41" s="344"/>
      <c r="AG41" s="344"/>
      <c r="AH41" s="344"/>
      <c r="AI41" s="344"/>
      <c r="AJ41" s="344"/>
      <c r="AK41" s="1012"/>
      <c r="AL41" s="1010"/>
      <c r="AM41" s="1010"/>
      <c r="AN41" s="1010"/>
      <c r="AO41" s="1010"/>
      <c r="AP41" s="1010"/>
      <c r="AQ41" s="1010"/>
      <c r="AR41" s="1010"/>
      <c r="AS41" s="1011"/>
    </row>
    <row r="42" spans="1:45" ht="15.75" thickBot="1">
      <c r="A42" s="344"/>
      <c r="B42" s="344"/>
      <c r="C42" s="344"/>
      <c r="D42" s="344"/>
      <c r="E42" s="344"/>
      <c r="F42" s="344"/>
      <c r="G42" s="344"/>
      <c r="H42" s="344"/>
      <c r="I42" s="344"/>
      <c r="J42" s="985"/>
      <c r="K42" s="986"/>
      <c r="L42" s="986"/>
      <c r="M42" s="986"/>
      <c r="N42" s="986"/>
      <c r="O42" s="986"/>
      <c r="P42" s="986"/>
      <c r="Q42" s="986"/>
      <c r="R42" s="987"/>
      <c r="S42" s="985"/>
      <c r="T42" s="986"/>
      <c r="U42" s="986"/>
      <c r="V42" s="986"/>
      <c r="W42" s="986"/>
      <c r="X42" s="986"/>
      <c r="Y42" s="986"/>
      <c r="Z42" s="986"/>
      <c r="AA42" s="987"/>
      <c r="AB42" s="344"/>
      <c r="AC42" s="344"/>
      <c r="AD42" s="344"/>
      <c r="AE42" s="344"/>
      <c r="AF42" s="344"/>
      <c r="AG42" s="344"/>
      <c r="AH42" s="344"/>
      <c r="AI42" s="344"/>
      <c r="AJ42" s="344"/>
      <c r="AK42" s="1012"/>
      <c r="AL42" s="1010"/>
      <c r="AM42" s="1010"/>
      <c r="AN42" s="1010"/>
      <c r="AO42" s="1010"/>
      <c r="AP42" s="1010"/>
      <c r="AQ42" s="1010"/>
      <c r="AR42" s="1010"/>
      <c r="AS42" s="1011"/>
    </row>
    <row r="43" spans="1:45" ht="15.75" thickBot="1">
      <c r="A43" s="344"/>
      <c r="B43" s="344"/>
      <c r="C43" s="344"/>
      <c r="D43" s="344"/>
      <c r="E43" s="344"/>
      <c r="F43" s="344"/>
      <c r="G43" s="344"/>
      <c r="H43" s="344"/>
      <c r="I43" s="344"/>
      <c r="J43" s="985"/>
      <c r="K43" s="986"/>
      <c r="L43" s="986"/>
      <c r="M43" s="986"/>
      <c r="N43" s="986"/>
      <c r="O43" s="986"/>
      <c r="P43" s="986"/>
      <c r="Q43" s="986"/>
      <c r="R43" s="987"/>
      <c r="S43" s="985"/>
      <c r="T43" s="986"/>
      <c r="U43" s="986"/>
      <c r="V43" s="986"/>
      <c r="W43" s="986"/>
      <c r="X43" s="986"/>
      <c r="Y43" s="986"/>
      <c r="Z43" s="986"/>
      <c r="AA43" s="987"/>
      <c r="AB43" s="344"/>
      <c r="AC43" s="344"/>
      <c r="AD43" s="344"/>
      <c r="AE43" s="344"/>
      <c r="AF43" s="344"/>
      <c r="AG43" s="344"/>
      <c r="AH43" s="344"/>
      <c r="AI43" s="344"/>
      <c r="AJ43" s="344"/>
      <c r="AK43" s="1012"/>
      <c r="AL43" s="1010"/>
      <c r="AM43" s="1010"/>
      <c r="AN43" s="1010"/>
      <c r="AO43" s="1010"/>
      <c r="AP43" s="1010"/>
      <c r="AQ43" s="1010"/>
      <c r="AR43" s="1010"/>
      <c r="AS43" s="1011"/>
    </row>
    <row r="44" spans="1:45" ht="15.75" thickBot="1">
      <c r="A44" s="344"/>
      <c r="B44" s="344"/>
      <c r="C44" s="344"/>
      <c r="D44" s="344"/>
      <c r="E44" s="344"/>
      <c r="F44" s="344"/>
      <c r="G44" s="344"/>
      <c r="H44" s="344"/>
      <c r="I44" s="344"/>
      <c r="J44" s="985"/>
      <c r="K44" s="986"/>
      <c r="L44" s="986"/>
      <c r="M44" s="986"/>
      <c r="N44" s="986"/>
      <c r="O44" s="986"/>
      <c r="P44" s="986"/>
      <c r="Q44" s="986"/>
      <c r="R44" s="987"/>
      <c r="S44" s="344"/>
      <c r="T44" s="344"/>
      <c r="U44" s="344"/>
      <c r="V44" s="344"/>
      <c r="W44" s="344"/>
      <c r="X44" s="344"/>
      <c r="Y44" s="344"/>
      <c r="Z44" s="344"/>
      <c r="AA44" s="344"/>
      <c r="AB44" s="344"/>
      <c r="AC44" s="344"/>
      <c r="AD44" s="344"/>
      <c r="AE44" s="344"/>
      <c r="AF44" s="344"/>
      <c r="AG44" s="344"/>
      <c r="AH44" s="344"/>
      <c r="AI44" s="344"/>
      <c r="AJ44" s="344"/>
      <c r="AK44" s="1012"/>
      <c r="AL44" s="1010"/>
      <c r="AM44" s="1010"/>
      <c r="AN44" s="1010"/>
      <c r="AO44" s="1010"/>
      <c r="AP44" s="1010"/>
      <c r="AQ44" s="1010"/>
      <c r="AR44" s="1010"/>
      <c r="AS44" s="1011"/>
    </row>
    <row r="45" spans="1:45" ht="15.75" thickBot="1">
      <c r="A45" s="344"/>
      <c r="B45" s="344"/>
      <c r="C45" s="344"/>
      <c r="D45" s="344"/>
      <c r="E45" s="344"/>
      <c r="F45" s="344"/>
      <c r="G45" s="344"/>
      <c r="H45" s="344"/>
      <c r="I45" s="344"/>
      <c r="J45" s="985"/>
      <c r="K45" s="986"/>
      <c r="L45" s="986"/>
      <c r="M45" s="986"/>
      <c r="N45" s="986"/>
      <c r="O45" s="986"/>
      <c r="P45" s="986"/>
      <c r="Q45" s="986"/>
      <c r="R45" s="987"/>
      <c r="S45" s="344"/>
      <c r="T45" s="344"/>
      <c r="U45" s="344"/>
      <c r="V45" s="344"/>
      <c r="W45" s="344"/>
      <c r="X45" s="344"/>
      <c r="Y45" s="344"/>
      <c r="Z45" s="344"/>
      <c r="AA45" s="344"/>
      <c r="AB45" s="344"/>
      <c r="AC45" s="344"/>
      <c r="AD45" s="344"/>
      <c r="AE45" s="344"/>
      <c r="AF45" s="344"/>
      <c r="AG45" s="344"/>
      <c r="AH45" s="344"/>
      <c r="AI45" s="344"/>
      <c r="AJ45" s="344"/>
      <c r="AK45" s="1012"/>
      <c r="AL45" s="1010"/>
      <c r="AM45" s="1010"/>
      <c r="AN45" s="1010"/>
      <c r="AO45" s="1010"/>
      <c r="AP45" s="1010"/>
      <c r="AQ45" s="1010"/>
      <c r="AR45" s="1010"/>
      <c r="AS45" s="1011"/>
    </row>
    <row r="46" spans="1:45" ht="15.75" thickBot="1">
      <c r="A46" s="344"/>
      <c r="B46" s="344"/>
      <c r="C46" s="344"/>
      <c r="D46" s="344"/>
      <c r="E46" s="344"/>
      <c r="F46" s="344"/>
      <c r="G46" s="344"/>
      <c r="H46" s="344"/>
      <c r="I46" s="344"/>
      <c r="J46" s="985"/>
      <c r="K46" s="986"/>
      <c r="L46" s="986"/>
      <c r="M46" s="986"/>
      <c r="N46" s="986"/>
      <c r="O46" s="986"/>
      <c r="P46" s="986"/>
      <c r="Q46" s="986"/>
      <c r="R46" s="987"/>
      <c r="S46" s="344"/>
      <c r="T46" s="344"/>
      <c r="U46" s="344"/>
      <c r="V46" s="344"/>
      <c r="W46" s="344"/>
      <c r="X46" s="344"/>
      <c r="Y46" s="344"/>
      <c r="Z46" s="344"/>
      <c r="AA46" s="344"/>
      <c r="AB46" s="344"/>
      <c r="AC46" s="344"/>
      <c r="AD46" s="344"/>
      <c r="AE46" s="344"/>
      <c r="AF46" s="344"/>
      <c r="AG46" s="344"/>
      <c r="AH46" s="344"/>
      <c r="AI46" s="344"/>
      <c r="AJ46" s="344"/>
      <c r="AK46" s="1012"/>
      <c r="AL46" s="1010"/>
      <c r="AM46" s="1010"/>
      <c r="AN46" s="1010"/>
      <c r="AO46" s="1010"/>
      <c r="AP46" s="1010"/>
      <c r="AQ46" s="1010"/>
      <c r="AR46" s="1010"/>
      <c r="AS46" s="1011"/>
    </row>
    <row r="47" spans="1:45" ht="15.75" thickBot="1">
      <c r="A47" s="344"/>
      <c r="B47" s="344"/>
      <c r="C47" s="344"/>
      <c r="D47" s="344"/>
      <c r="E47" s="344"/>
      <c r="F47" s="344"/>
      <c r="G47" s="344"/>
      <c r="H47" s="344"/>
      <c r="I47" s="344"/>
      <c r="J47" s="985" t="s">
        <v>909</v>
      </c>
      <c r="K47" s="986"/>
      <c r="L47" s="986"/>
      <c r="M47" s="986"/>
      <c r="N47" s="986"/>
      <c r="O47" s="986"/>
      <c r="P47" s="986"/>
      <c r="Q47" s="986"/>
      <c r="R47" s="987"/>
      <c r="S47" s="344"/>
      <c r="T47" s="344"/>
      <c r="U47" s="344"/>
      <c r="V47" s="344"/>
      <c r="W47" s="344"/>
      <c r="X47" s="344"/>
      <c r="Y47" s="344"/>
      <c r="Z47" s="344"/>
      <c r="AA47" s="344"/>
      <c r="AB47" s="344"/>
      <c r="AC47" s="344"/>
      <c r="AD47" s="344"/>
      <c r="AE47" s="344"/>
      <c r="AF47" s="344"/>
      <c r="AG47" s="344"/>
      <c r="AH47" s="344"/>
      <c r="AI47" s="344"/>
      <c r="AJ47" s="344"/>
      <c r="AK47" s="1012"/>
      <c r="AL47" s="1010"/>
      <c r="AM47" s="1010"/>
      <c r="AN47" s="1010"/>
      <c r="AO47" s="1010"/>
      <c r="AP47" s="1010"/>
      <c r="AQ47" s="1010"/>
      <c r="AR47" s="1010"/>
      <c r="AS47" s="1011"/>
    </row>
    <row r="48" spans="1:45" ht="15.75" thickBot="1">
      <c r="A48" s="344"/>
      <c r="B48" s="344"/>
      <c r="C48" s="344"/>
      <c r="D48" s="344"/>
      <c r="E48" s="344"/>
      <c r="F48" s="344"/>
      <c r="G48" s="344"/>
      <c r="H48" s="344"/>
      <c r="I48" s="344"/>
      <c r="J48" s="985"/>
      <c r="K48" s="986"/>
      <c r="L48" s="986"/>
      <c r="M48" s="986"/>
      <c r="N48" s="986"/>
      <c r="O48" s="986"/>
      <c r="P48" s="986"/>
      <c r="Q48" s="986"/>
      <c r="R48" s="987"/>
      <c r="S48" s="344"/>
      <c r="T48" s="344"/>
      <c r="U48" s="344"/>
      <c r="V48" s="344"/>
      <c r="W48" s="344"/>
      <c r="X48" s="344"/>
      <c r="Y48" s="344"/>
      <c r="Z48" s="344"/>
      <c r="AA48" s="344"/>
      <c r="AB48" s="344"/>
      <c r="AC48" s="344"/>
      <c r="AD48" s="344"/>
      <c r="AE48" s="344"/>
      <c r="AF48" s="344"/>
      <c r="AG48" s="344"/>
      <c r="AH48" s="344"/>
      <c r="AI48" s="344"/>
      <c r="AJ48" s="344"/>
      <c r="AK48" s="1012"/>
      <c r="AL48" s="1010"/>
      <c r="AM48" s="1010"/>
      <c r="AN48" s="1010"/>
      <c r="AO48" s="1010"/>
      <c r="AP48" s="1010"/>
      <c r="AQ48" s="1010"/>
      <c r="AR48" s="1010"/>
      <c r="AS48" s="1011"/>
    </row>
    <row r="49" spans="1:45" ht="86.25" customHeight="1" thickBot="1">
      <c r="A49" s="344"/>
      <c r="B49" s="344"/>
      <c r="C49" s="344"/>
      <c r="D49" s="344"/>
      <c r="E49" s="344"/>
      <c r="F49" s="344"/>
      <c r="G49" s="344"/>
      <c r="H49" s="344"/>
      <c r="I49" s="344"/>
      <c r="J49" s="985"/>
      <c r="K49" s="986"/>
      <c r="L49" s="986"/>
      <c r="M49" s="986"/>
      <c r="N49" s="986"/>
      <c r="O49" s="986"/>
      <c r="P49" s="986"/>
      <c r="Q49" s="986"/>
      <c r="R49" s="987"/>
      <c r="S49" s="344"/>
      <c r="T49" s="344"/>
      <c r="U49" s="344"/>
      <c r="V49" s="344"/>
      <c r="W49" s="344"/>
      <c r="X49" s="344"/>
      <c r="Y49" s="344"/>
      <c r="Z49" s="344"/>
      <c r="AA49" s="344"/>
      <c r="AB49" s="344"/>
      <c r="AC49" s="344"/>
      <c r="AD49" s="344"/>
      <c r="AE49" s="344"/>
      <c r="AF49" s="344"/>
      <c r="AG49" s="344"/>
      <c r="AH49" s="344"/>
      <c r="AI49" s="344"/>
      <c r="AJ49" s="344"/>
      <c r="AK49" s="1012"/>
      <c r="AL49" s="1010"/>
      <c r="AM49" s="1010"/>
      <c r="AN49" s="1010"/>
      <c r="AO49" s="1010"/>
      <c r="AP49" s="1010"/>
      <c r="AQ49" s="1010"/>
      <c r="AR49" s="1010"/>
      <c r="AS49" s="1011"/>
    </row>
    <row r="50" spans="1:45" ht="15.75" thickBot="1">
      <c r="A50" s="344"/>
      <c r="B50" s="344"/>
      <c r="C50" s="344"/>
      <c r="D50" s="344"/>
      <c r="E50" s="344"/>
      <c r="F50" s="344"/>
      <c r="G50" s="344"/>
      <c r="H50" s="344"/>
      <c r="I50" s="344"/>
      <c r="J50" s="985"/>
      <c r="K50" s="986"/>
      <c r="L50" s="986"/>
      <c r="M50" s="986"/>
      <c r="N50" s="986"/>
      <c r="O50" s="986"/>
      <c r="P50" s="986"/>
      <c r="Q50" s="986"/>
      <c r="R50" s="987"/>
      <c r="S50" s="344"/>
      <c r="T50" s="344"/>
      <c r="U50" s="344"/>
      <c r="V50" s="344"/>
      <c r="W50" s="344"/>
      <c r="X50" s="344"/>
      <c r="Y50" s="344"/>
      <c r="Z50" s="344"/>
      <c r="AA50" s="344"/>
      <c r="AB50" s="344"/>
      <c r="AC50" s="344"/>
      <c r="AD50" s="344"/>
      <c r="AE50" s="344"/>
      <c r="AF50" s="344"/>
      <c r="AG50" s="344"/>
      <c r="AH50" s="344"/>
      <c r="AI50" s="344"/>
      <c r="AJ50" s="344"/>
      <c r="AK50" s="982" t="s">
        <v>922</v>
      </c>
      <c r="AL50" s="983"/>
      <c r="AM50" s="983"/>
      <c r="AN50" s="983"/>
      <c r="AO50" s="983"/>
      <c r="AP50" s="983"/>
      <c r="AQ50" s="983"/>
      <c r="AR50" s="983"/>
      <c r="AS50" s="984"/>
    </row>
    <row r="51" spans="1:45" ht="15.75" thickBot="1">
      <c r="A51" s="344"/>
      <c r="B51" s="344"/>
      <c r="C51" s="344"/>
      <c r="D51" s="344"/>
      <c r="E51" s="344"/>
      <c r="F51" s="344"/>
      <c r="G51" s="344"/>
      <c r="H51" s="344"/>
      <c r="I51" s="344"/>
      <c r="J51" s="985"/>
      <c r="K51" s="986"/>
      <c r="L51" s="986"/>
      <c r="M51" s="986"/>
      <c r="N51" s="986"/>
      <c r="O51" s="986"/>
      <c r="P51" s="986"/>
      <c r="Q51" s="986"/>
      <c r="R51" s="987"/>
      <c r="S51" s="344"/>
      <c r="T51" s="344"/>
      <c r="U51" s="344"/>
      <c r="V51" s="344"/>
      <c r="W51" s="344"/>
      <c r="X51" s="344"/>
      <c r="Y51" s="344"/>
      <c r="Z51" s="344"/>
      <c r="AA51" s="344"/>
      <c r="AB51" s="344"/>
      <c r="AC51" s="344"/>
      <c r="AD51" s="344"/>
      <c r="AE51" s="344"/>
      <c r="AF51" s="344"/>
      <c r="AG51" s="344"/>
      <c r="AH51" s="344"/>
      <c r="AI51" s="344"/>
      <c r="AJ51" s="344"/>
      <c r="AK51" s="982"/>
      <c r="AL51" s="983"/>
      <c r="AM51" s="983"/>
      <c r="AN51" s="983"/>
      <c r="AO51" s="983"/>
      <c r="AP51" s="983"/>
      <c r="AQ51" s="983"/>
      <c r="AR51" s="983"/>
      <c r="AS51" s="984"/>
    </row>
    <row r="52" spans="1:45" ht="15" customHeight="1" thickBot="1">
      <c r="A52" s="344"/>
      <c r="B52" s="344"/>
      <c r="C52" s="344"/>
      <c r="D52" s="344"/>
      <c r="E52" s="344"/>
      <c r="F52" s="344"/>
      <c r="G52" s="344"/>
      <c r="H52" s="344"/>
      <c r="I52" s="344"/>
      <c r="J52" s="985"/>
      <c r="K52" s="986"/>
      <c r="L52" s="986"/>
      <c r="M52" s="986"/>
      <c r="N52" s="986"/>
      <c r="O52" s="986"/>
      <c r="P52" s="986"/>
      <c r="Q52" s="986"/>
      <c r="R52" s="987"/>
      <c r="S52" s="344"/>
      <c r="T52" s="344"/>
      <c r="U52" s="344"/>
      <c r="V52" s="344"/>
      <c r="W52" s="344"/>
      <c r="X52" s="344"/>
      <c r="Y52" s="344"/>
      <c r="Z52" s="344"/>
      <c r="AA52" s="344"/>
      <c r="AB52" s="344"/>
      <c r="AC52" s="344"/>
      <c r="AD52" s="344"/>
      <c r="AE52" s="344"/>
      <c r="AF52" s="344"/>
      <c r="AG52" s="344"/>
      <c r="AH52" s="344"/>
      <c r="AI52" s="344"/>
      <c r="AJ52" s="344"/>
      <c r="AK52" s="985" t="s">
        <v>924</v>
      </c>
      <c r="AL52" s="986"/>
      <c r="AM52" s="986"/>
      <c r="AN52" s="986"/>
      <c r="AO52" s="986"/>
      <c r="AP52" s="986"/>
      <c r="AQ52" s="986"/>
      <c r="AR52" s="986"/>
      <c r="AS52" s="987"/>
    </row>
    <row r="53" spans="1:45" ht="15" customHeight="1" thickBot="1">
      <c r="A53" s="344"/>
      <c r="B53" s="344"/>
      <c r="C53" s="344"/>
      <c r="D53" s="344"/>
      <c r="E53" s="344"/>
      <c r="F53" s="344"/>
      <c r="G53" s="344"/>
      <c r="H53" s="344"/>
      <c r="I53" s="344"/>
      <c r="J53" s="985"/>
      <c r="K53" s="986"/>
      <c r="L53" s="986"/>
      <c r="M53" s="986"/>
      <c r="N53" s="986"/>
      <c r="O53" s="986"/>
      <c r="P53" s="986"/>
      <c r="Q53" s="986"/>
      <c r="R53" s="987"/>
      <c r="S53" s="344"/>
      <c r="T53" s="344"/>
      <c r="U53" s="344"/>
      <c r="V53" s="344"/>
      <c r="W53" s="344"/>
      <c r="X53" s="344"/>
      <c r="Y53" s="344"/>
      <c r="Z53" s="344"/>
      <c r="AA53" s="344"/>
      <c r="AB53" s="344"/>
      <c r="AC53" s="344"/>
      <c r="AD53" s="344"/>
      <c r="AE53" s="344"/>
      <c r="AF53" s="344"/>
      <c r="AG53" s="344"/>
      <c r="AH53" s="344"/>
      <c r="AI53" s="344"/>
      <c r="AJ53" s="344"/>
      <c r="AK53" s="985"/>
      <c r="AL53" s="986"/>
      <c r="AM53" s="986"/>
      <c r="AN53" s="986"/>
      <c r="AO53" s="986"/>
      <c r="AP53" s="986"/>
      <c r="AQ53" s="986"/>
      <c r="AR53" s="986"/>
      <c r="AS53" s="987"/>
    </row>
    <row r="54" spans="1:45" ht="15" customHeight="1" thickBot="1">
      <c r="A54" s="344"/>
      <c r="B54" s="344"/>
      <c r="C54" s="344"/>
      <c r="D54" s="344"/>
      <c r="E54" s="344"/>
      <c r="F54" s="344"/>
      <c r="G54" s="344"/>
      <c r="H54" s="344"/>
      <c r="I54" s="344"/>
      <c r="J54" s="985" t="s">
        <v>910</v>
      </c>
      <c r="K54" s="986"/>
      <c r="L54" s="986"/>
      <c r="M54" s="986"/>
      <c r="N54" s="986"/>
      <c r="O54" s="986"/>
      <c r="P54" s="986"/>
      <c r="Q54" s="986"/>
      <c r="R54" s="987"/>
      <c r="S54" s="344"/>
      <c r="T54" s="344"/>
      <c r="U54" s="344"/>
      <c r="V54" s="344"/>
      <c r="W54" s="344"/>
      <c r="X54" s="344"/>
      <c r="Y54" s="344"/>
      <c r="Z54" s="344"/>
      <c r="AA54" s="344"/>
      <c r="AB54" s="344"/>
      <c r="AC54" s="344"/>
      <c r="AD54" s="344"/>
      <c r="AE54" s="344"/>
      <c r="AF54" s="344"/>
      <c r="AG54" s="344"/>
      <c r="AH54" s="344"/>
      <c r="AI54" s="344"/>
      <c r="AJ54" s="344"/>
      <c r="AK54" s="985"/>
      <c r="AL54" s="986"/>
      <c r="AM54" s="986"/>
      <c r="AN54" s="986"/>
      <c r="AO54" s="986"/>
      <c r="AP54" s="986"/>
      <c r="AQ54" s="986"/>
      <c r="AR54" s="986"/>
      <c r="AS54" s="987"/>
    </row>
    <row r="55" spans="1:45" ht="15" customHeight="1" thickBot="1">
      <c r="A55" s="344"/>
      <c r="B55" s="344"/>
      <c r="C55" s="344"/>
      <c r="D55" s="344"/>
      <c r="E55" s="344"/>
      <c r="F55" s="344"/>
      <c r="G55" s="344"/>
      <c r="H55" s="344"/>
      <c r="I55" s="344"/>
      <c r="J55" s="985"/>
      <c r="K55" s="986"/>
      <c r="L55" s="986"/>
      <c r="M55" s="986"/>
      <c r="N55" s="986"/>
      <c r="O55" s="986"/>
      <c r="P55" s="986"/>
      <c r="Q55" s="986"/>
      <c r="R55" s="987"/>
      <c r="S55" s="344"/>
      <c r="T55" s="344"/>
      <c r="U55" s="344"/>
      <c r="V55" s="344"/>
      <c r="W55" s="344"/>
      <c r="X55" s="344"/>
      <c r="Y55" s="344"/>
      <c r="Z55" s="344"/>
      <c r="AA55" s="344"/>
      <c r="AB55" s="344"/>
      <c r="AC55" s="344"/>
      <c r="AD55" s="344"/>
      <c r="AE55" s="344"/>
      <c r="AF55" s="344"/>
      <c r="AG55" s="344"/>
      <c r="AH55" s="344"/>
      <c r="AI55" s="344"/>
      <c r="AJ55" s="344"/>
      <c r="AK55" s="985"/>
      <c r="AL55" s="986"/>
      <c r="AM55" s="986"/>
      <c r="AN55" s="986"/>
      <c r="AO55" s="986"/>
      <c r="AP55" s="986"/>
      <c r="AQ55" s="986"/>
      <c r="AR55" s="986"/>
      <c r="AS55" s="987"/>
    </row>
    <row r="56" spans="1:45" ht="15" customHeight="1" thickBot="1">
      <c r="A56" s="344"/>
      <c r="B56" s="344"/>
      <c r="C56" s="344"/>
      <c r="D56" s="344"/>
      <c r="E56" s="344"/>
      <c r="F56" s="344"/>
      <c r="G56" s="344"/>
      <c r="H56" s="344"/>
      <c r="I56" s="344"/>
      <c r="J56" s="985"/>
      <c r="K56" s="986"/>
      <c r="L56" s="986"/>
      <c r="M56" s="986"/>
      <c r="N56" s="986"/>
      <c r="O56" s="986"/>
      <c r="P56" s="986"/>
      <c r="Q56" s="986"/>
      <c r="R56" s="987"/>
      <c r="S56" s="344"/>
      <c r="T56" s="344"/>
      <c r="U56" s="344"/>
      <c r="V56" s="344"/>
      <c r="W56" s="344"/>
      <c r="X56" s="344"/>
      <c r="Y56" s="344"/>
      <c r="Z56" s="344"/>
      <c r="AA56" s="344"/>
      <c r="AB56" s="344"/>
      <c r="AC56" s="344"/>
      <c r="AD56" s="344"/>
      <c r="AE56" s="344"/>
      <c r="AF56" s="344"/>
      <c r="AG56" s="344"/>
      <c r="AH56" s="344"/>
      <c r="AI56" s="344"/>
      <c r="AJ56" s="344"/>
      <c r="AK56" s="985"/>
      <c r="AL56" s="986"/>
      <c r="AM56" s="986"/>
      <c r="AN56" s="986"/>
      <c r="AO56" s="986"/>
      <c r="AP56" s="986"/>
      <c r="AQ56" s="986"/>
      <c r="AR56" s="986"/>
      <c r="AS56" s="987"/>
    </row>
    <row r="57" spans="1:45" ht="15" customHeight="1" thickBot="1">
      <c r="A57" s="344"/>
      <c r="B57" s="344"/>
      <c r="C57" s="344"/>
      <c r="D57" s="344"/>
      <c r="E57" s="344"/>
      <c r="F57" s="344"/>
      <c r="G57" s="344"/>
      <c r="H57" s="344"/>
      <c r="I57" s="344"/>
      <c r="J57" s="985"/>
      <c r="K57" s="986"/>
      <c r="L57" s="986"/>
      <c r="M57" s="986"/>
      <c r="N57" s="986"/>
      <c r="O57" s="986"/>
      <c r="P57" s="986"/>
      <c r="Q57" s="986"/>
      <c r="R57" s="987"/>
      <c r="S57" s="344"/>
      <c r="T57" s="344"/>
      <c r="U57" s="344"/>
      <c r="V57" s="344"/>
      <c r="W57" s="344"/>
      <c r="X57" s="344"/>
      <c r="Y57" s="344"/>
      <c r="Z57" s="344"/>
      <c r="AA57" s="344"/>
      <c r="AB57" s="344"/>
      <c r="AC57" s="344"/>
      <c r="AD57" s="344"/>
      <c r="AE57" s="344"/>
      <c r="AF57" s="344"/>
      <c r="AG57" s="344"/>
      <c r="AH57" s="344"/>
      <c r="AI57" s="344"/>
      <c r="AJ57" s="344"/>
      <c r="AK57" s="985"/>
      <c r="AL57" s="986"/>
      <c r="AM57" s="986"/>
      <c r="AN57" s="986"/>
      <c r="AO57" s="986"/>
      <c r="AP57" s="986"/>
      <c r="AQ57" s="986"/>
      <c r="AR57" s="986"/>
      <c r="AS57" s="987"/>
    </row>
    <row r="58" spans="1:45" ht="15" customHeight="1" thickBot="1">
      <c r="A58" s="344"/>
      <c r="B58" s="344"/>
      <c r="C58" s="344"/>
      <c r="D58" s="344"/>
      <c r="E58" s="344"/>
      <c r="F58" s="344"/>
      <c r="G58" s="344"/>
      <c r="H58" s="344"/>
      <c r="I58" s="344"/>
      <c r="J58" s="985"/>
      <c r="K58" s="986"/>
      <c r="L58" s="986"/>
      <c r="M58" s="986"/>
      <c r="N58" s="986"/>
      <c r="O58" s="986"/>
      <c r="P58" s="986"/>
      <c r="Q58" s="986"/>
      <c r="R58" s="987"/>
      <c r="S58" s="344"/>
      <c r="T58" s="344"/>
      <c r="U58" s="344"/>
      <c r="V58" s="344"/>
      <c r="W58" s="344"/>
      <c r="X58" s="344"/>
      <c r="Y58" s="344"/>
      <c r="Z58" s="344"/>
      <c r="AA58" s="344"/>
      <c r="AB58" s="344"/>
      <c r="AC58" s="344"/>
      <c r="AD58" s="344"/>
      <c r="AE58" s="344"/>
      <c r="AF58" s="344"/>
      <c r="AG58" s="344"/>
      <c r="AH58" s="344"/>
      <c r="AI58" s="344"/>
      <c r="AJ58" s="344"/>
      <c r="AK58" s="985"/>
      <c r="AL58" s="986"/>
      <c r="AM58" s="986"/>
      <c r="AN58" s="986"/>
      <c r="AO58" s="986"/>
      <c r="AP58" s="986"/>
      <c r="AQ58" s="986"/>
      <c r="AR58" s="986"/>
      <c r="AS58" s="987"/>
    </row>
    <row r="59" spans="1:45" ht="15" customHeight="1" thickBot="1">
      <c r="A59" s="344"/>
      <c r="B59" s="344"/>
      <c r="C59" s="344"/>
      <c r="D59" s="344"/>
      <c r="E59" s="344"/>
      <c r="F59" s="344"/>
      <c r="G59" s="344"/>
      <c r="H59" s="344"/>
      <c r="I59" s="344"/>
      <c r="J59" s="985"/>
      <c r="K59" s="986"/>
      <c r="L59" s="986"/>
      <c r="M59" s="986"/>
      <c r="N59" s="986"/>
      <c r="O59" s="986"/>
      <c r="P59" s="986"/>
      <c r="Q59" s="986"/>
      <c r="R59" s="987"/>
      <c r="S59" s="344"/>
      <c r="T59" s="344"/>
      <c r="U59" s="344"/>
      <c r="V59" s="344"/>
      <c r="W59" s="344"/>
      <c r="X59" s="344"/>
      <c r="Y59" s="344"/>
      <c r="Z59" s="344"/>
      <c r="AA59" s="344"/>
      <c r="AB59" s="344"/>
      <c r="AC59" s="344"/>
      <c r="AD59" s="344"/>
      <c r="AE59" s="344"/>
      <c r="AF59" s="344"/>
      <c r="AG59" s="344"/>
      <c r="AH59" s="344"/>
      <c r="AI59" s="344"/>
      <c r="AJ59" s="344"/>
      <c r="AK59" s="985"/>
      <c r="AL59" s="986"/>
      <c r="AM59" s="986"/>
      <c r="AN59" s="986"/>
      <c r="AO59" s="986"/>
      <c r="AP59" s="986"/>
      <c r="AQ59" s="986"/>
      <c r="AR59" s="986"/>
      <c r="AS59" s="987"/>
    </row>
    <row r="60" spans="1:45" ht="15" customHeight="1" thickBot="1">
      <c r="A60" s="344"/>
      <c r="B60" s="344"/>
      <c r="C60" s="344"/>
      <c r="D60" s="344"/>
      <c r="E60" s="344"/>
      <c r="F60" s="344"/>
      <c r="G60" s="344"/>
      <c r="H60" s="344"/>
      <c r="I60" s="344"/>
      <c r="J60" s="985"/>
      <c r="K60" s="986"/>
      <c r="L60" s="986"/>
      <c r="M60" s="986"/>
      <c r="N60" s="986"/>
      <c r="O60" s="986"/>
      <c r="P60" s="986"/>
      <c r="Q60" s="986"/>
      <c r="R60" s="987"/>
      <c r="S60" s="344"/>
      <c r="T60" s="344"/>
      <c r="U60" s="344"/>
      <c r="V60" s="344"/>
      <c r="W60" s="344"/>
      <c r="X60" s="344"/>
      <c r="Y60" s="344"/>
      <c r="Z60" s="344"/>
      <c r="AA60" s="344"/>
      <c r="AB60" s="344"/>
      <c r="AC60" s="344"/>
      <c r="AD60" s="344"/>
      <c r="AE60" s="344"/>
      <c r="AF60" s="344"/>
      <c r="AG60" s="344"/>
      <c r="AH60" s="344"/>
      <c r="AI60" s="344"/>
      <c r="AJ60" s="344"/>
      <c r="AK60" s="985"/>
      <c r="AL60" s="986"/>
      <c r="AM60" s="986"/>
      <c r="AN60" s="986"/>
      <c r="AO60" s="986"/>
      <c r="AP60" s="986"/>
      <c r="AQ60" s="986"/>
      <c r="AR60" s="986"/>
      <c r="AS60" s="987"/>
    </row>
    <row r="61" spans="1:45" ht="15" customHeight="1" thickBot="1">
      <c r="A61" s="344"/>
      <c r="B61" s="344"/>
      <c r="C61" s="344"/>
      <c r="D61" s="344"/>
      <c r="E61" s="344"/>
      <c r="F61" s="344"/>
      <c r="G61" s="344"/>
      <c r="H61" s="344"/>
      <c r="I61" s="344"/>
      <c r="J61" s="985" t="s">
        <v>911</v>
      </c>
      <c r="K61" s="986"/>
      <c r="L61" s="986"/>
      <c r="M61" s="986"/>
      <c r="N61" s="986"/>
      <c r="O61" s="986"/>
      <c r="P61" s="986"/>
      <c r="Q61" s="986"/>
      <c r="R61" s="987"/>
      <c r="S61" s="344"/>
      <c r="T61" s="344"/>
      <c r="U61" s="344"/>
      <c r="V61" s="344"/>
      <c r="W61" s="344"/>
      <c r="X61" s="344"/>
      <c r="Y61" s="344"/>
      <c r="Z61" s="344"/>
      <c r="AA61" s="344"/>
      <c r="AB61" s="344"/>
      <c r="AC61" s="344"/>
      <c r="AD61" s="344"/>
      <c r="AE61" s="344"/>
      <c r="AF61" s="344"/>
      <c r="AG61" s="344"/>
      <c r="AH61" s="344"/>
      <c r="AI61" s="344"/>
      <c r="AJ61" s="344"/>
      <c r="AK61" s="985"/>
      <c r="AL61" s="986"/>
      <c r="AM61" s="986"/>
      <c r="AN61" s="986"/>
      <c r="AO61" s="986"/>
      <c r="AP61" s="986"/>
      <c r="AQ61" s="986"/>
      <c r="AR61" s="986"/>
      <c r="AS61" s="987"/>
    </row>
    <row r="62" spans="1:45" ht="15" customHeight="1" thickBot="1">
      <c r="A62" s="344"/>
      <c r="B62" s="344"/>
      <c r="C62" s="344"/>
      <c r="D62" s="344"/>
      <c r="E62" s="344"/>
      <c r="F62" s="344"/>
      <c r="G62" s="344"/>
      <c r="H62" s="344"/>
      <c r="I62" s="344"/>
      <c r="J62" s="985"/>
      <c r="K62" s="986"/>
      <c r="L62" s="986"/>
      <c r="M62" s="986"/>
      <c r="N62" s="986"/>
      <c r="O62" s="986"/>
      <c r="P62" s="986"/>
      <c r="Q62" s="986"/>
      <c r="R62" s="987"/>
      <c r="S62" s="344"/>
      <c r="T62" s="344"/>
      <c r="U62" s="344"/>
      <c r="V62" s="344"/>
      <c r="W62" s="344"/>
      <c r="X62" s="344"/>
      <c r="Y62" s="344"/>
      <c r="Z62" s="344"/>
      <c r="AA62" s="344"/>
      <c r="AB62" s="344"/>
      <c r="AC62" s="344"/>
      <c r="AD62" s="344"/>
      <c r="AE62" s="344"/>
      <c r="AF62" s="344"/>
      <c r="AG62" s="344"/>
      <c r="AH62" s="344"/>
      <c r="AI62" s="344"/>
      <c r="AJ62" s="344"/>
      <c r="AK62" s="985"/>
      <c r="AL62" s="986"/>
      <c r="AM62" s="986"/>
      <c r="AN62" s="986"/>
      <c r="AO62" s="986"/>
      <c r="AP62" s="986"/>
      <c r="AQ62" s="986"/>
      <c r="AR62" s="986"/>
      <c r="AS62" s="987"/>
    </row>
    <row r="63" spans="1:45" ht="15" customHeight="1" thickBot="1">
      <c r="A63" s="344"/>
      <c r="B63" s="344"/>
      <c r="C63" s="344"/>
      <c r="D63" s="344"/>
      <c r="E63" s="344"/>
      <c r="F63" s="344"/>
      <c r="G63" s="344"/>
      <c r="H63" s="344"/>
      <c r="I63" s="344"/>
      <c r="J63" s="985"/>
      <c r="K63" s="986"/>
      <c r="L63" s="986"/>
      <c r="M63" s="986"/>
      <c r="N63" s="986"/>
      <c r="O63" s="986"/>
      <c r="P63" s="986"/>
      <c r="Q63" s="986"/>
      <c r="R63" s="987"/>
      <c r="S63" s="344"/>
      <c r="T63" s="344"/>
      <c r="U63" s="344"/>
      <c r="V63" s="344"/>
      <c r="W63" s="344"/>
      <c r="X63" s="344"/>
      <c r="Y63" s="344"/>
      <c r="Z63" s="344"/>
      <c r="AA63" s="344"/>
      <c r="AB63" s="344"/>
      <c r="AC63" s="344"/>
      <c r="AD63" s="344"/>
      <c r="AE63" s="344"/>
      <c r="AF63" s="344"/>
      <c r="AG63" s="344"/>
      <c r="AH63" s="344"/>
      <c r="AI63" s="344"/>
      <c r="AJ63" s="344"/>
      <c r="AK63" s="985"/>
      <c r="AL63" s="986"/>
      <c r="AM63" s="986"/>
      <c r="AN63" s="986"/>
      <c r="AO63" s="986"/>
      <c r="AP63" s="986"/>
      <c r="AQ63" s="986"/>
      <c r="AR63" s="986"/>
      <c r="AS63" s="987"/>
    </row>
    <row r="64" spans="1:45" ht="15" customHeight="1" thickBot="1">
      <c r="A64" s="344"/>
      <c r="B64" s="344"/>
      <c r="C64" s="344"/>
      <c r="D64" s="344"/>
      <c r="E64" s="344"/>
      <c r="F64" s="344"/>
      <c r="G64" s="344"/>
      <c r="H64" s="344"/>
      <c r="I64" s="344"/>
      <c r="J64" s="985"/>
      <c r="K64" s="986"/>
      <c r="L64" s="986"/>
      <c r="M64" s="986"/>
      <c r="N64" s="986"/>
      <c r="O64" s="986"/>
      <c r="P64" s="986"/>
      <c r="Q64" s="986"/>
      <c r="R64" s="987"/>
      <c r="S64" s="344"/>
      <c r="T64" s="344"/>
      <c r="U64" s="344"/>
      <c r="V64" s="344"/>
      <c r="W64" s="344"/>
      <c r="X64" s="344"/>
      <c r="Y64" s="344"/>
      <c r="Z64" s="344"/>
      <c r="AA64" s="344"/>
      <c r="AB64" s="344"/>
      <c r="AC64" s="344"/>
      <c r="AD64" s="344"/>
      <c r="AE64" s="344"/>
      <c r="AF64" s="344"/>
      <c r="AG64" s="344"/>
      <c r="AH64" s="344"/>
      <c r="AI64" s="344"/>
      <c r="AJ64" s="344"/>
      <c r="AK64" s="1013" t="s">
        <v>925</v>
      </c>
      <c r="AL64" s="1014"/>
      <c r="AM64" s="1014"/>
      <c r="AN64" s="1014"/>
      <c r="AO64" s="1014"/>
      <c r="AP64" s="1014"/>
      <c r="AQ64" s="1014"/>
      <c r="AR64" s="1014"/>
      <c r="AS64" s="1015"/>
    </row>
    <row r="65" spans="1:45" ht="15" customHeight="1" thickBot="1">
      <c r="A65" s="344"/>
      <c r="B65" s="344"/>
      <c r="C65" s="344"/>
      <c r="D65" s="344"/>
      <c r="E65" s="344"/>
      <c r="F65" s="344"/>
      <c r="G65" s="344"/>
      <c r="H65" s="344"/>
      <c r="I65" s="344"/>
      <c r="J65" s="985"/>
      <c r="K65" s="986"/>
      <c r="L65" s="986"/>
      <c r="M65" s="986"/>
      <c r="N65" s="986"/>
      <c r="O65" s="986"/>
      <c r="P65" s="986"/>
      <c r="Q65" s="986"/>
      <c r="R65" s="987"/>
      <c r="S65" s="344"/>
      <c r="T65" s="344"/>
      <c r="U65" s="344"/>
      <c r="V65" s="344"/>
      <c r="W65" s="344"/>
      <c r="X65" s="344"/>
      <c r="Y65" s="344"/>
      <c r="Z65" s="344"/>
      <c r="AA65" s="344"/>
      <c r="AB65" s="344"/>
      <c r="AC65" s="344"/>
      <c r="AD65" s="344"/>
      <c r="AE65" s="344"/>
      <c r="AF65" s="344"/>
      <c r="AG65" s="344"/>
      <c r="AH65" s="344"/>
      <c r="AI65" s="344"/>
      <c r="AJ65" s="344"/>
      <c r="AK65" s="1013"/>
      <c r="AL65" s="1014"/>
      <c r="AM65" s="1014"/>
      <c r="AN65" s="1014"/>
      <c r="AO65" s="1014"/>
      <c r="AP65" s="1014"/>
      <c r="AQ65" s="1014"/>
      <c r="AR65" s="1014"/>
      <c r="AS65" s="1015"/>
    </row>
    <row r="66" spans="1:45" ht="15" customHeight="1" thickBot="1">
      <c r="A66" s="344"/>
      <c r="B66" s="344"/>
      <c r="C66" s="344"/>
      <c r="D66" s="344"/>
      <c r="E66" s="344"/>
      <c r="F66" s="344"/>
      <c r="G66" s="344"/>
      <c r="H66" s="344"/>
      <c r="I66" s="344"/>
      <c r="J66" s="985"/>
      <c r="K66" s="986"/>
      <c r="L66" s="986"/>
      <c r="M66" s="986"/>
      <c r="N66" s="986"/>
      <c r="O66" s="986"/>
      <c r="P66" s="986"/>
      <c r="Q66" s="986"/>
      <c r="R66" s="987"/>
      <c r="S66" s="344"/>
      <c r="T66" s="344"/>
      <c r="U66" s="344"/>
      <c r="V66" s="344"/>
      <c r="W66" s="344"/>
      <c r="X66" s="344"/>
      <c r="Y66" s="344"/>
      <c r="Z66" s="344"/>
      <c r="AA66" s="344"/>
      <c r="AB66" s="344"/>
      <c r="AC66" s="344"/>
      <c r="AD66" s="344"/>
      <c r="AE66" s="344"/>
      <c r="AF66" s="344"/>
      <c r="AG66" s="344"/>
      <c r="AH66" s="344"/>
      <c r="AI66" s="344"/>
      <c r="AJ66" s="344"/>
      <c r="AK66" s="985" t="s">
        <v>926</v>
      </c>
      <c r="AL66" s="986"/>
      <c r="AM66" s="986"/>
      <c r="AN66" s="986"/>
      <c r="AO66" s="986"/>
      <c r="AP66" s="986"/>
      <c r="AQ66" s="986"/>
      <c r="AR66" s="986"/>
      <c r="AS66" s="987"/>
    </row>
    <row r="67" spans="1:45" ht="15" customHeight="1" thickBot="1">
      <c r="A67" s="344"/>
      <c r="B67" s="344"/>
      <c r="C67" s="344"/>
      <c r="D67" s="344"/>
      <c r="E67" s="344"/>
      <c r="F67" s="344"/>
      <c r="G67" s="344"/>
      <c r="H67" s="344"/>
      <c r="I67" s="344"/>
      <c r="J67" s="985"/>
      <c r="K67" s="986"/>
      <c r="L67" s="986"/>
      <c r="M67" s="986"/>
      <c r="N67" s="986"/>
      <c r="O67" s="986"/>
      <c r="P67" s="986"/>
      <c r="Q67" s="986"/>
      <c r="R67" s="987"/>
      <c r="S67" s="344"/>
      <c r="T67" s="344"/>
      <c r="U67" s="344"/>
      <c r="V67" s="344"/>
      <c r="W67" s="344"/>
      <c r="X67" s="344"/>
      <c r="Y67" s="344"/>
      <c r="Z67" s="344"/>
      <c r="AA67" s="344"/>
      <c r="AB67" s="344"/>
      <c r="AC67" s="344"/>
      <c r="AD67" s="344"/>
      <c r="AE67" s="344"/>
      <c r="AF67" s="344"/>
      <c r="AG67" s="344"/>
      <c r="AH67" s="344"/>
      <c r="AI67" s="344"/>
      <c r="AJ67" s="344"/>
      <c r="AK67" s="985"/>
      <c r="AL67" s="986"/>
      <c r="AM67" s="986"/>
      <c r="AN67" s="986"/>
      <c r="AO67" s="986"/>
      <c r="AP67" s="986"/>
      <c r="AQ67" s="986"/>
      <c r="AR67" s="986"/>
      <c r="AS67" s="987"/>
    </row>
    <row r="68" spans="1:45" ht="15" customHeight="1" thickBot="1">
      <c r="A68" s="407"/>
      <c r="B68" s="407"/>
      <c r="C68" s="407"/>
      <c r="D68" s="407"/>
      <c r="E68" s="407"/>
      <c r="F68" s="407"/>
      <c r="G68" s="407"/>
      <c r="H68" s="407"/>
      <c r="I68" s="407"/>
      <c r="J68" s="407"/>
      <c r="K68" s="407"/>
      <c r="L68" s="407"/>
      <c r="M68" s="407"/>
      <c r="N68" s="407"/>
      <c r="O68" s="407"/>
      <c r="P68" s="407"/>
      <c r="Q68" s="407"/>
      <c r="R68" s="407"/>
      <c r="S68" s="407"/>
      <c r="T68" s="407"/>
      <c r="U68" s="407"/>
      <c r="V68" s="407"/>
      <c r="W68" s="407"/>
      <c r="X68" s="407"/>
      <c r="Y68" s="407"/>
      <c r="Z68" s="407"/>
      <c r="AA68" s="407"/>
      <c r="AB68" s="407"/>
      <c r="AC68" s="407"/>
      <c r="AD68" s="407"/>
      <c r="AE68" s="407"/>
      <c r="AF68" s="407"/>
      <c r="AG68" s="407"/>
      <c r="AH68" s="407"/>
      <c r="AI68" s="407"/>
      <c r="AJ68" s="407"/>
      <c r="AK68" s="985"/>
      <c r="AL68" s="986"/>
      <c r="AM68" s="986"/>
      <c r="AN68" s="986"/>
      <c r="AO68" s="986"/>
      <c r="AP68" s="986"/>
      <c r="AQ68" s="986"/>
      <c r="AR68" s="986"/>
      <c r="AS68" s="987"/>
    </row>
    <row r="69" spans="1:45" ht="15" customHeight="1" thickBot="1">
      <c r="A69" s="407"/>
      <c r="B69" s="407"/>
      <c r="C69" s="407"/>
      <c r="D69" s="407"/>
      <c r="E69" s="407"/>
      <c r="F69" s="407"/>
      <c r="G69" s="407"/>
      <c r="H69" s="407"/>
      <c r="I69" s="407"/>
      <c r="J69" s="407"/>
      <c r="K69" s="407"/>
      <c r="L69" s="407"/>
      <c r="M69" s="407"/>
      <c r="N69" s="407"/>
      <c r="O69" s="407"/>
      <c r="P69" s="407"/>
      <c r="Q69" s="407"/>
      <c r="R69" s="407"/>
      <c r="S69" s="407"/>
      <c r="T69" s="407"/>
      <c r="U69" s="407"/>
      <c r="V69" s="407"/>
      <c r="W69" s="407"/>
      <c r="X69" s="407"/>
      <c r="Y69" s="407"/>
      <c r="Z69" s="407"/>
      <c r="AA69" s="407"/>
      <c r="AB69" s="407"/>
      <c r="AC69" s="407"/>
      <c r="AD69" s="407"/>
      <c r="AE69" s="407"/>
      <c r="AF69" s="407"/>
      <c r="AG69" s="407"/>
      <c r="AH69" s="407"/>
      <c r="AI69" s="407"/>
      <c r="AJ69" s="407"/>
      <c r="AK69" s="985"/>
      <c r="AL69" s="986"/>
      <c r="AM69" s="986"/>
      <c r="AN69" s="986"/>
      <c r="AO69" s="986"/>
      <c r="AP69" s="986"/>
      <c r="AQ69" s="986"/>
      <c r="AR69" s="986"/>
      <c r="AS69" s="987"/>
    </row>
    <row r="70" spans="1:45" ht="15" customHeight="1" thickBot="1">
      <c r="A70" s="407"/>
      <c r="B70" s="407"/>
      <c r="C70" s="407"/>
      <c r="D70" s="407"/>
      <c r="E70" s="407"/>
      <c r="F70" s="407"/>
      <c r="G70" s="407"/>
      <c r="H70" s="407"/>
      <c r="I70" s="407"/>
      <c r="J70" s="407"/>
      <c r="K70" s="407"/>
      <c r="L70" s="407"/>
      <c r="M70" s="407"/>
      <c r="N70" s="407"/>
      <c r="O70" s="407"/>
      <c r="P70" s="407"/>
      <c r="Q70" s="407"/>
      <c r="R70" s="407"/>
      <c r="S70" s="407"/>
      <c r="T70" s="407"/>
      <c r="U70" s="407"/>
      <c r="V70" s="407"/>
      <c r="W70" s="407"/>
      <c r="X70" s="407"/>
      <c r="Y70" s="407"/>
      <c r="Z70" s="407"/>
      <c r="AA70" s="407"/>
      <c r="AB70" s="407"/>
      <c r="AC70" s="407"/>
      <c r="AD70" s="407"/>
      <c r="AE70" s="407"/>
      <c r="AF70" s="407"/>
      <c r="AG70" s="407"/>
      <c r="AH70" s="407"/>
      <c r="AI70" s="407"/>
      <c r="AJ70" s="407"/>
      <c r="AK70" s="985"/>
      <c r="AL70" s="986"/>
      <c r="AM70" s="986"/>
      <c r="AN70" s="986"/>
      <c r="AO70" s="986"/>
      <c r="AP70" s="986"/>
      <c r="AQ70" s="986"/>
      <c r="AR70" s="986"/>
      <c r="AS70" s="987"/>
    </row>
    <row r="71" spans="1:45" ht="15" customHeight="1" thickBot="1">
      <c r="A71" s="407"/>
      <c r="B71" s="407"/>
      <c r="C71" s="407"/>
      <c r="D71" s="407"/>
      <c r="E71" s="407"/>
      <c r="F71" s="407"/>
      <c r="G71" s="407"/>
      <c r="H71" s="407"/>
      <c r="I71" s="407"/>
      <c r="J71" s="407"/>
      <c r="K71" s="407"/>
      <c r="L71" s="407"/>
      <c r="M71" s="407"/>
      <c r="N71" s="407"/>
      <c r="O71" s="407"/>
      <c r="P71" s="407"/>
      <c r="Q71" s="407"/>
      <c r="R71" s="407"/>
      <c r="S71" s="407"/>
      <c r="T71" s="407"/>
      <c r="U71" s="407"/>
      <c r="V71" s="407"/>
      <c r="W71" s="407"/>
      <c r="X71" s="407"/>
      <c r="Y71" s="407"/>
      <c r="Z71" s="407"/>
      <c r="AA71" s="407"/>
      <c r="AB71" s="407"/>
      <c r="AC71" s="407"/>
      <c r="AD71" s="407"/>
      <c r="AE71" s="407"/>
      <c r="AF71" s="407"/>
      <c r="AG71" s="407"/>
      <c r="AH71" s="407"/>
      <c r="AI71" s="407"/>
      <c r="AJ71" s="407"/>
      <c r="AK71" s="985"/>
      <c r="AL71" s="986"/>
      <c r="AM71" s="986"/>
      <c r="AN71" s="986"/>
      <c r="AO71" s="986"/>
      <c r="AP71" s="986"/>
      <c r="AQ71" s="986"/>
      <c r="AR71" s="986"/>
      <c r="AS71" s="987"/>
    </row>
    <row r="72" spans="1:45" ht="15" customHeight="1" thickBot="1">
      <c r="A72" s="407"/>
      <c r="B72" s="407"/>
      <c r="C72" s="407"/>
      <c r="D72" s="407"/>
      <c r="E72" s="407"/>
      <c r="F72" s="407"/>
      <c r="G72" s="407"/>
      <c r="H72" s="407"/>
      <c r="I72" s="407"/>
      <c r="J72" s="407"/>
      <c r="K72" s="407"/>
      <c r="L72" s="407"/>
      <c r="M72" s="407"/>
      <c r="N72" s="407"/>
      <c r="O72" s="407"/>
      <c r="P72" s="407"/>
      <c r="Q72" s="407"/>
      <c r="R72" s="407"/>
      <c r="S72" s="407"/>
      <c r="T72" s="407"/>
      <c r="U72" s="407"/>
      <c r="V72" s="407"/>
      <c r="W72" s="407"/>
      <c r="X72" s="407"/>
      <c r="Y72" s="407"/>
      <c r="Z72" s="407"/>
      <c r="AA72" s="407"/>
      <c r="AB72" s="407"/>
      <c r="AC72" s="407"/>
      <c r="AD72" s="407"/>
      <c r="AE72" s="407"/>
      <c r="AF72" s="407"/>
      <c r="AG72" s="407"/>
      <c r="AH72" s="407"/>
      <c r="AI72" s="407"/>
      <c r="AJ72" s="407"/>
      <c r="AK72" s="985"/>
      <c r="AL72" s="986"/>
      <c r="AM72" s="986"/>
      <c r="AN72" s="986"/>
      <c r="AO72" s="986"/>
      <c r="AP72" s="986"/>
      <c r="AQ72" s="986"/>
      <c r="AR72" s="986"/>
      <c r="AS72" s="987"/>
    </row>
    <row r="73" spans="1:45" ht="15" customHeight="1" thickBot="1">
      <c r="A73" s="407"/>
      <c r="B73" s="407"/>
      <c r="C73" s="407"/>
      <c r="D73" s="407"/>
      <c r="E73" s="407"/>
      <c r="F73" s="407"/>
      <c r="G73" s="407"/>
      <c r="H73" s="407"/>
      <c r="I73" s="407"/>
      <c r="J73" s="407"/>
      <c r="K73" s="407"/>
      <c r="L73" s="407"/>
      <c r="M73" s="407"/>
      <c r="N73" s="407"/>
      <c r="O73" s="407"/>
      <c r="P73" s="407"/>
      <c r="Q73" s="407"/>
      <c r="R73" s="407"/>
      <c r="S73" s="407"/>
      <c r="T73" s="407"/>
      <c r="U73" s="407"/>
      <c r="V73" s="407"/>
      <c r="W73" s="407"/>
      <c r="X73" s="407"/>
      <c r="Y73" s="407"/>
      <c r="Z73" s="407"/>
      <c r="AA73" s="407"/>
      <c r="AB73" s="407"/>
      <c r="AC73" s="407"/>
      <c r="AD73" s="407"/>
      <c r="AE73" s="407"/>
      <c r="AF73" s="407"/>
      <c r="AG73" s="407"/>
      <c r="AH73" s="407"/>
      <c r="AI73" s="407"/>
      <c r="AJ73" s="407"/>
      <c r="AK73" s="985"/>
      <c r="AL73" s="986"/>
      <c r="AM73" s="986"/>
      <c r="AN73" s="986"/>
      <c r="AO73" s="986"/>
      <c r="AP73" s="986"/>
      <c r="AQ73" s="986"/>
      <c r="AR73" s="986"/>
      <c r="AS73" s="987"/>
    </row>
    <row r="74" spans="1:45" ht="15" customHeight="1" thickBot="1">
      <c r="A74" s="407"/>
      <c r="B74" s="407"/>
      <c r="C74" s="407"/>
      <c r="D74" s="407"/>
      <c r="E74" s="407"/>
      <c r="F74" s="407"/>
      <c r="G74" s="407"/>
      <c r="H74" s="407"/>
      <c r="I74" s="407"/>
      <c r="J74" s="407"/>
      <c r="K74" s="407"/>
      <c r="L74" s="407"/>
      <c r="M74" s="407"/>
      <c r="N74" s="407"/>
      <c r="O74" s="407"/>
      <c r="P74" s="407"/>
      <c r="Q74" s="407"/>
      <c r="R74" s="407"/>
      <c r="S74" s="407"/>
      <c r="T74" s="407"/>
      <c r="U74" s="407"/>
      <c r="V74" s="407"/>
      <c r="W74" s="407"/>
      <c r="X74" s="407"/>
      <c r="Y74" s="407"/>
      <c r="Z74" s="407"/>
      <c r="AA74" s="407"/>
      <c r="AB74" s="407"/>
      <c r="AC74" s="407"/>
      <c r="AD74" s="407"/>
      <c r="AE74" s="407"/>
      <c r="AF74" s="407"/>
      <c r="AG74" s="407"/>
      <c r="AH74" s="407"/>
      <c r="AI74" s="407"/>
      <c r="AJ74" s="407"/>
      <c r="AK74" s="985"/>
      <c r="AL74" s="986"/>
      <c r="AM74" s="986"/>
      <c r="AN74" s="986"/>
      <c r="AO74" s="986"/>
      <c r="AP74" s="986"/>
      <c r="AQ74" s="986"/>
      <c r="AR74" s="986"/>
      <c r="AS74" s="987"/>
    </row>
    <row r="75" spans="1:45" ht="15" customHeight="1" thickBot="1">
      <c r="A75" s="407"/>
      <c r="B75" s="407"/>
      <c r="C75" s="407"/>
      <c r="D75" s="407"/>
      <c r="E75" s="407"/>
      <c r="F75" s="407"/>
      <c r="G75" s="407"/>
      <c r="H75" s="407"/>
      <c r="I75" s="407"/>
      <c r="J75" s="407"/>
      <c r="K75" s="407"/>
      <c r="L75" s="407"/>
      <c r="M75" s="407"/>
      <c r="N75" s="407"/>
      <c r="O75" s="407"/>
      <c r="P75" s="407"/>
      <c r="Q75" s="407"/>
      <c r="R75" s="407"/>
      <c r="S75" s="407"/>
      <c r="T75" s="407"/>
      <c r="U75" s="407"/>
      <c r="V75" s="407"/>
      <c r="W75" s="407"/>
      <c r="X75" s="407"/>
      <c r="Y75" s="407"/>
      <c r="Z75" s="407"/>
      <c r="AA75" s="407"/>
      <c r="AB75" s="407"/>
      <c r="AC75" s="407"/>
      <c r="AD75" s="407"/>
      <c r="AE75" s="407"/>
      <c r="AF75" s="407"/>
      <c r="AG75" s="407"/>
      <c r="AH75" s="407"/>
      <c r="AI75" s="407"/>
      <c r="AJ75" s="407"/>
      <c r="AK75" s="985"/>
      <c r="AL75" s="986"/>
      <c r="AM75" s="986"/>
      <c r="AN75" s="986"/>
      <c r="AO75" s="986"/>
      <c r="AP75" s="986"/>
      <c r="AQ75" s="986"/>
      <c r="AR75" s="986"/>
      <c r="AS75" s="987"/>
    </row>
    <row r="76" spans="1:45" ht="15" customHeight="1" thickBot="1">
      <c r="A76" s="407"/>
      <c r="B76" s="407"/>
      <c r="C76" s="407"/>
      <c r="D76" s="407"/>
      <c r="E76" s="407"/>
      <c r="F76" s="407"/>
      <c r="G76" s="407"/>
      <c r="H76" s="407"/>
      <c r="I76" s="407"/>
      <c r="J76" s="407"/>
      <c r="K76" s="407"/>
      <c r="L76" s="407"/>
      <c r="M76" s="407"/>
      <c r="N76" s="407"/>
      <c r="O76" s="407"/>
      <c r="P76" s="407"/>
      <c r="Q76" s="407"/>
      <c r="R76" s="407"/>
      <c r="S76" s="407"/>
      <c r="T76" s="407"/>
      <c r="U76" s="407"/>
      <c r="V76" s="407"/>
      <c r="W76" s="407"/>
      <c r="X76" s="407"/>
      <c r="Y76" s="407"/>
      <c r="Z76" s="407"/>
      <c r="AA76" s="407"/>
      <c r="AB76" s="407"/>
      <c r="AC76" s="407"/>
      <c r="AD76" s="407"/>
      <c r="AE76" s="407"/>
      <c r="AF76" s="407"/>
      <c r="AG76" s="407"/>
      <c r="AH76" s="407"/>
      <c r="AI76" s="407"/>
      <c r="AJ76" s="407"/>
      <c r="AK76" s="985"/>
      <c r="AL76" s="986"/>
      <c r="AM76" s="986"/>
      <c r="AN76" s="986"/>
      <c r="AO76" s="986"/>
      <c r="AP76" s="986"/>
      <c r="AQ76" s="986"/>
      <c r="AR76" s="986"/>
      <c r="AS76" s="987"/>
    </row>
    <row r="77" spans="1:45" ht="15" customHeight="1" thickBot="1">
      <c r="A77" s="407"/>
      <c r="B77" s="407"/>
      <c r="C77" s="407"/>
      <c r="D77" s="407"/>
      <c r="E77" s="407"/>
      <c r="F77" s="407"/>
      <c r="G77" s="407"/>
      <c r="H77" s="407"/>
      <c r="I77" s="407"/>
      <c r="J77" s="407"/>
      <c r="K77" s="407"/>
      <c r="L77" s="407"/>
      <c r="M77" s="407"/>
      <c r="N77" s="407"/>
      <c r="O77" s="407"/>
      <c r="P77" s="407"/>
      <c r="Q77" s="407"/>
      <c r="R77" s="407"/>
      <c r="S77" s="407"/>
      <c r="T77" s="407"/>
      <c r="U77" s="407"/>
      <c r="V77" s="407"/>
      <c r="W77" s="407"/>
      <c r="X77" s="407"/>
      <c r="Y77" s="407"/>
      <c r="Z77" s="407"/>
      <c r="AA77" s="407"/>
      <c r="AB77" s="407"/>
      <c r="AC77" s="407"/>
      <c r="AD77" s="407"/>
      <c r="AE77" s="407"/>
      <c r="AF77" s="407"/>
      <c r="AG77" s="407"/>
      <c r="AH77" s="407"/>
      <c r="AI77" s="407"/>
      <c r="AJ77" s="407"/>
      <c r="AK77" s="985"/>
      <c r="AL77" s="986"/>
      <c r="AM77" s="986"/>
      <c r="AN77" s="986"/>
      <c r="AO77" s="986"/>
      <c r="AP77" s="986"/>
      <c r="AQ77" s="986"/>
      <c r="AR77" s="986"/>
      <c r="AS77" s="987"/>
    </row>
    <row r="78" spans="1:45" ht="15" customHeight="1" thickBot="1">
      <c r="A78" s="407"/>
      <c r="B78" s="407"/>
      <c r="C78" s="407"/>
      <c r="D78" s="407"/>
      <c r="E78" s="407"/>
      <c r="F78" s="407"/>
      <c r="G78" s="407"/>
      <c r="H78" s="407"/>
      <c r="I78" s="407"/>
      <c r="J78" s="407"/>
      <c r="K78" s="407"/>
      <c r="L78" s="407"/>
      <c r="M78" s="407"/>
      <c r="N78" s="407"/>
      <c r="O78" s="407"/>
      <c r="P78" s="407"/>
      <c r="Q78" s="407"/>
      <c r="R78" s="407"/>
      <c r="S78" s="407"/>
      <c r="T78" s="407"/>
      <c r="U78" s="407"/>
      <c r="V78" s="407"/>
      <c r="W78" s="407"/>
      <c r="X78" s="407"/>
      <c r="Y78" s="407"/>
      <c r="Z78" s="407"/>
      <c r="AA78" s="407"/>
      <c r="AB78" s="407"/>
      <c r="AC78" s="407"/>
      <c r="AD78" s="407"/>
      <c r="AE78" s="407"/>
      <c r="AF78" s="407"/>
      <c r="AG78" s="407"/>
      <c r="AH78" s="407"/>
      <c r="AI78" s="407"/>
      <c r="AJ78" s="407"/>
      <c r="AK78" s="985"/>
      <c r="AL78" s="986"/>
      <c r="AM78" s="986"/>
      <c r="AN78" s="986"/>
      <c r="AO78" s="986"/>
      <c r="AP78" s="986"/>
      <c r="AQ78" s="986"/>
      <c r="AR78" s="986"/>
      <c r="AS78" s="987"/>
    </row>
    <row r="79" spans="1:45" ht="15" customHeight="1" thickBot="1">
      <c r="A79" s="407"/>
      <c r="B79" s="407"/>
      <c r="C79" s="407"/>
      <c r="D79" s="407"/>
      <c r="E79" s="407"/>
      <c r="F79" s="407"/>
      <c r="G79" s="407"/>
      <c r="H79" s="407"/>
      <c r="I79" s="407"/>
      <c r="J79" s="407"/>
      <c r="K79" s="407"/>
      <c r="L79" s="407"/>
      <c r="M79" s="407"/>
      <c r="N79" s="407"/>
      <c r="O79" s="407"/>
      <c r="P79" s="407"/>
      <c r="Q79" s="407"/>
      <c r="R79" s="407"/>
      <c r="S79" s="407"/>
      <c r="T79" s="407"/>
      <c r="U79" s="407"/>
      <c r="V79" s="407"/>
      <c r="W79" s="407"/>
      <c r="X79" s="407"/>
      <c r="Y79" s="407"/>
      <c r="Z79" s="407"/>
      <c r="AA79" s="407"/>
      <c r="AB79" s="407"/>
      <c r="AC79" s="407"/>
      <c r="AD79" s="407"/>
      <c r="AE79" s="407"/>
      <c r="AF79" s="407"/>
      <c r="AG79" s="407"/>
      <c r="AH79" s="407"/>
      <c r="AI79" s="407"/>
      <c r="AJ79" s="407"/>
      <c r="AK79" s="985"/>
      <c r="AL79" s="986"/>
      <c r="AM79" s="986"/>
      <c r="AN79" s="986"/>
      <c r="AO79" s="986"/>
      <c r="AP79" s="986"/>
      <c r="AQ79" s="986"/>
      <c r="AR79" s="986"/>
      <c r="AS79" s="987"/>
    </row>
    <row r="80" spans="1:45" ht="15" customHeight="1" thickBot="1">
      <c r="A80" s="407"/>
      <c r="B80" s="407"/>
      <c r="C80" s="407"/>
      <c r="D80" s="407"/>
      <c r="E80" s="407"/>
      <c r="F80" s="407"/>
      <c r="G80" s="407"/>
      <c r="H80" s="407"/>
      <c r="I80" s="407"/>
      <c r="J80" s="407"/>
      <c r="K80" s="407"/>
      <c r="L80" s="407"/>
      <c r="M80" s="407"/>
      <c r="N80" s="407"/>
      <c r="O80" s="407"/>
      <c r="P80" s="407"/>
      <c r="Q80" s="407"/>
      <c r="R80" s="407"/>
      <c r="S80" s="407"/>
      <c r="T80" s="407"/>
      <c r="U80" s="407"/>
      <c r="V80" s="407"/>
      <c r="W80" s="407"/>
      <c r="X80" s="407"/>
      <c r="Y80" s="407"/>
      <c r="Z80" s="407"/>
      <c r="AA80" s="407"/>
      <c r="AB80" s="407"/>
      <c r="AC80" s="407"/>
      <c r="AD80" s="407"/>
      <c r="AE80" s="407"/>
      <c r="AF80" s="407"/>
      <c r="AG80" s="407"/>
      <c r="AH80" s="407"/>
      <c r="AI80" s="407"/>
      <c r="AJ80" s="407"/>
      <c r="AK80" s="985"/>
      <c r="AL80" s="986"/>
      <c r="AM80" s="986"/>
      <c r="AN80" s="986"/>
      <c r="AO80" s="986"/>
      <c r="AP80" s="986"/>
      <c r="AQ80" s="986"/>
      <c r="AR80" s="986"/>
      <c r="AS80" s="987"/>
    </row>
    <row r="81" spans="1:45" ht="15" customHeight="1" thickBot="1">
      <c r="A81" s="407"/>
      <c r="B81" s="407"/>
      <c r="C81" s="407"/>
      <c r="D81" s="407"/>
      <c r="E81" s="407"/>
      <c r="F81" s="407"/>
      <c r="G81" s="407"/>
      <c r="H81" s="407"/>
      <c r="I81" s="407"/>
      <c r="J81" s="407"/>
      <c r="K81" s="407"/>
      <c r="L81" s="407"/>
      <c r="M81" s="407"/>
      <c r="N81" s="407"/>
      <c r="O81" s="407"/>
      <c r="P81" s="407"/>
      <c r="Q81" s="407"/>
      <c r="R81" s="407"/>
      <c r="S81" s="407"/>
      <c r="T81" s="407"/>
      <c r="U81" s="407"/>
      <c r="V81" s="407"/>
      <c r="W81" s="407"/>
      <c r="X81" s="407"/>
      <c r="Y81" s="407"/>
      <c r="Z81" s="407"/>
      <c r="AA81" s="407"/>
      <c r="AB81" s="407"/>
      <c r="AC81" s="407"/>
      <c r="AD81" s="407"/>
      <c r="AE81" s="407"/>
      <c r="AF81" s="407"/>
      <c r="AG81" s="407"/>
      <c r="AH81" s="407"/>
      <c r="AI81" s="407"/>
      <c r="AJ81" s="407"/>
      <c r="AK81" s="985"/>
      <c r="AL81" s="986"/>
      <c r="AM81" s="986"/>
      <c r="AN81" s="986"/>
      <c r="AO81" s="986"/>
      <c r="AP81" s="986"/>
      <c r="AQ81" s="986"/>
      <c r="AR81" s="986"/>
      <c r="AS81" s="987"/>
    </row>
    <row r="82" spans="1:45" ht="15" customHeight="1" thickBot="1">
      <c r="A82" s="407"/>
      <c r="B82" s="407"/>
      <c r="C82" s="407"/>
      <c r="D82" s="407"/>
      <c r="E82" s="407"/>
      <c r="F82" s="407"/>
      <c r="G82" s="407"/>
      <c r="H82" s="407"/>
      <c r="I82" s="407"/>
      <c r="J82" s="407"/>
      <c r="K82" s="407"/>
      <c r="L82" s="407"/>
      <c r="M82" s="407"/>
      <c r="N82" s="407"/>
      <c r="O82" s="407"/>
      <c r="P82" s="407"/>
      <c r="Q82" s="407"/>
      <c r="R82" s="407"/>
      <c r="S82" s="407"/>
      <c r="T82" s="407"/>
      <c r="U82" s="407"/>
      <c r="V82" s="407"/>
      <c r="W82" s="407"/>
      <c r="X82" s="407"/>
      <c r="Y82" s="407"/>
      <c r="Z82" s="407"/>
      <c r="AA82" s="407"/>
      <c r="AB82" s="407"/>
      <c r="AC82" s="407"/>
      <c r="AD82" s="407"/>
      <c r="AE82" s="407"/>
      <c r="AF82" s="407"/>
      <c r="AG82" s="407"/>
      <c r="AH82" s="407"/>
      <c r="AI82" s="407"/>
      <c r="AJ82" s="407"/>
      <c r="AK82" s="985"/>
      <c r="AL82" s="986"/>
      <c r="AM82" s="986"/>
      <c r="AN82" s="986"/>
      <c r="AO82" s="986"/>
      <c r="AP82" s="986"/>
      <c r="AQ82" s="986"/>
      <c r="AR82" s="986"/>
      <c r="AS82" s="987"/>
    </row>
    <row r="83" spans="1:45" ht="15" customHeight="1" thickBot="1">
      <c r="A83" s="407"/>
      <c r="B83" s="407"/>
      <c r="C83" s="407"/>
      <c r="D83" s="407"/>
      <c r="E83" s="407"/>
      <c r="F83" s="407"/>
      <c r="G83" s="407"/>
      <c r="H83" s="407"/>
      <c r="I83" s="407"/>
      <c r="J83" s="407"/>
      <c r="K83" s="407"/>
      <c r="L83" s="407"/>
      <c r="M83" s="407"/>
      <c r="N83" s="407"/>
      <c r="O83" s="407"/>
      <c r="P83" s="407"/>
      <c r="Q83" s="407"/>
      <c r="R83" s="407"/>
      <c r="S83" s="407"/>
      <c r="T83" s="407"/>
      <c r="U83" s="407"/>
      <c r="V83" s="407"/>
      <c r="W83" s="407"/>
      <c r="X83" s="407"/>
      <c r="Y83" s="407"/>
      <c r="Z83" s="407"/>
      <c r="AA83" s="407"/>
      <c r="AB83" s="407"/>
      <c r="AC83" s="407"/>
      <c r="AD83" s="407"/>
      <c r="AE83" s="407"/>
      <c r="AF83" s="407"/>
      <c r="AG83" s="407"/>
      <c r="AH83" s="407"/>
      <c r="AI83" s="407"/>
      <c r="AJ83" s="407"/>
      <c r="AK83" s="985"/>
      <c r="AL83" s="986"/>
      <c r="AM83" s="986"/>
      <c r="AN83" s="986"/>
      <c r="AO83" s="986"/>
      <c r="AP83" s="986"/>
      <c r="AQ83" s="986"/>
      <c r="AR83" s="986"/>
      <c r="AS83" s="987"/>
    </row>
    <row r="84" spans="1:45" ht="15" customHeight="1" thickBot="1">
      <c r="A84" s="407"/>
      <c r="B84" s="407"/>
      <c r="C84" s="407"/>
      <c r="D84" s="407"/>
      <c r="E84" s="407"/>
      <c r="F84" s="407"/>
      <c r="G84" s="407"/>
      <c r="H84" s="407"/>
      <c r="I84" s="407"/>
      <c r="J84" s="407"/>
      <c r="K84" s="407"/>
      <c r="L84" s="407"/>
      <c r="M84" s="407"/>
      <c r="N84" s="407"/>
      <c r="O84" s="407"/>
      <c r="P84" s="407"/>
      <c r="Q84" s="407"/>
      <c r="R84" s="407"/>
      <c r="S84" s="407"/>
      <c r="T84" s="407"/>
      <c r="U84" s="407"/>
      <c r="V84" s="407"/>
      <c r="W84" s="407"/>
      <c r="X84" s="407"/>
      <c r="Y84" s="407"/>
      <c r="Z84" s="407"/>
      <c r="AA84" s="407"/>
      <c r="AB84" s="407"/>
      <c r="AC84" s="407"/>
      <c r="AD84" s="407"/>
      <c r="AE84" s="407"/>
      <c r="AF84" s="407"/>
      <c r="AG84" s="407"/>
      <c r="AH84" s="407"/>
      <c r="AI84" s="407"/>
      <c r="AJ84" s="407"/>
      <c r="AK84" s="985"/>
      <c r="AL84" s="986"/>
      <c r="AM84" s="986"/>
      <c r="AN84" s="986"/>
      <c r="AO84" s="986"/>
      <c r="AP84" s="986"/>
      <c r="AQ84" s="986"/>
      <c r="AR84" s="986"/>
      <c r="AS84" s="987"/>
    </row>
    <row r="85" spans="1:45" ht="15" customHeight="1" thickBot="1">
      <c r="A85" s="407"/>
      <c r="B85" s="407"/>
      <c r="C85" s="407"/>
      <c r="D85" s="407"/>
      <c r="E85" s="407"/>
      <c r="F85" s="407"/>
      <c r="G85" s="407"/>
      <c r="H85" s="407"/>
      <c r="I85" s="407"/>
      <c r="J85" s="407"/>
      <c r="K85" s="407"/>
      <c r="L85" s="407"/>
      <c r="M85" s="407"/>
      <c r="N85" s="407"/>
      <c r="O85" s="407"/>
      <c r="P85" s="407"/>
      <c r="Q85" s="407"/>
      <c r="R85" s="407"/>
      <c r="S85" s="407"/>
      <c r="T85" s="407"/>
      <c r="U85" s="407"/>
      <c r="V85" s="407"/>
      <c r="W85" s="407"/>
      <c r="X85" s="407"/>
      <c r="Y85" s="407"/>
      <c r="Z85" s="407"/>
      <c r="AA85" s="407"/>
      <c r="AB85" s="407"/>
      <c r="AC85" s="407"/>
      <c r="AD85" s="407"/>
      <c r="AE85" s="407"/>
      <c r="AF85" s="407"/>
      <c r="AG85" s="407"/>
      <c r="AH85" s="407"/>
      <c r="AI85" s="407"/>
      <c r="AJ85" s="407"/>
      <c r="AK85" s="985"/>
      <c r="AL85" s="986"/>
      <c r="AM85" s="986"/>
      <c r="AN85" s="986"/>
      <c r="AO85" s="986"/>
      <c r="AP85" s="986"/>
      <c r="AQ85" s="986"/>
      <c r="AR85" s="986"/>
      <c r="AS85" s="987"/>
    </row>
    <row r="86" spans="1:45" ht="15" customHeight="1" thickBot="1">
      <c r="A86" s="407"/>
      <c r="B86" s="407"/>
      <c r="C86" s="407"/>
      <c r="D86" s="407"/>
      <c r="E86" s="407"/>
      <c r="F86" s="407"/>
      <c r="G86" s="407"/>
      <c r="H86" s="407"/>
      <c r="I86" s="407"/>
      <c r="J86" s="407"/>
      <c r="K86" s="407"/>
      <c r="L86" s="407"/>
      <c r="M86" s="407"/>
      <c r="N86" s="407"/>
      <c r="O86" s="407"/>
      <c r="P86" s="407"/>
      <c r="Q86" s="407"/>
      <c r="R86" s="407"/>
      <c r="S86" s="407"/>
      <c r="T86" s="407"/>
      <c r="U86" s="407"/>
      <c r="V86" s="407"/>
      <c r="W86" s="407"/>
      <c r="X86" s="407"/>
      <c r="Y86" s="407"/>
      <c r="Z86" s="407"/>
      <c r="AA86" s="407"/>
      <c r="AB86" s="407"/>
      <c r="AC86" s="407"/>
      <c r="AD86" s="407"/>
      <c r="AE86" s="407"/>
      <c r="AF86" s="407"/>
      <c r="AG86" s="407"/>
      <c r="AH86" s="407"/>
      <c r="AI86" s="407"/>
      <c r="AJ86" s="407"/>
      <c r="AK86" s="985"/>
      <c r="AL86" s="986"/>
      <c r="AM86" s="986"/>
      <c r="AN86" s="986"/>
      <c r="AO86" s="986"/>
      <c r="AP86" s="986"/>
      <c r="AQ86" s="986"/>
      <c r="AR86" s="986"/>
      <c r="AS86" s="987"/>
    </row>
    <row r="87" spans="1:45" ht="15" customHeight="1" thickBot="1">
      <c r="A87" s="407"/>
      <c r="B87" s="407"/>
      <c r="C87" s="407"/>
      <c r="D87" s="407"/>
      <c r="E87" s="407"/>
      <c r="F87" s="407"/>
      <c r="G87" s="407"/>
      <c r="H87" s="407"/>
      <c r="I87" s="407"/>
      <c r="J87" s="407"/>
      <c r="K87" s="407"/>
      <c r="L87" s="407"/>
      <c r="M87" s="407"/>
      <c r="N87" s="407"/>
      <c r="O87" s="407"/>
      <c r="P87" s="407"/>
      <c r="Q87" s="407"/>
      <c r="R87" s="407"/>
      <c r="S87" s="407"/>
      <c r="T87" s="407"/>
      <c r="U87" s="407"/>
      <c r="V87" s="407"/>
      <c r="W87" s="407"/>
      <c r="X87" s="407"/>
      <c r="Y87" s="407"/>
      <c r="Z87" s="407"/>
      <c r="AA87" s="407"/>
      <c r="AB87" s="407"/>
      <c r="AC87" s="407"/>
      <c r="AD87" s="407"/>
      <c r="AE87" s="407"/>
      <c r="AF87" s="407"/>
      <c r="AG87" s="407"/>
      <c r="AH87" s="407"/>
      <c r="AI87" s="407"/>
      <c r="AJ87" s="407"/>
      <c r="AK87" s="985"/>
      <c r="AL87" s="986"/>
      <c r="AM87" s="986"/>
      <c r="AN87" s="986"/>
      <c r="AO87" s="986"/>
      <c r="AP87" s="986"/>
      <c r="AQ87" s="986"/>
      <c r="AR87" s="986"/>
      <c r="AS87" s="987"/>
    </row>
    <row r="88" spans="1:45" ht="15" customHeight="1" thickBot="1">
      <c r="A88" s="407"/>
      <c r="B88" s="407"/>
      <c r="C88" s="407"/>
      <c r="D88" s="407"/>
      <c r="E88" s="407"/>
      <c r="F88" s="407"/>
      <c r="G88" s="407"/>
      <c r="H88" s="407"/>
      <c r="I88" s="407"/>
      <c r="J88" s="407"/>
      <c r="K88" s="407"/>
      <c r="L88" s="407"/>
      <c r="M88" s="407"/>
      <c r="N88" s="407"/>
      <c r="O88" s="407"/>
      <c r="P88" s="407"/>
      <c r="Q88" s="407"/>
      <c r="R88" s="407"/>
      <c r="S88" s="407"/>
      <c r="T88" s="407"/>
      <c r="U88" s="407"/>
      <c r="V88" s="407"/>
      <c r="W88" s="407"/>
      <c r="X88" s="407"/>
      <c r="Y88" s="407"/>
      <c r="Z88" s="407"/>
      <c r="AA88" s="407"/>
      <c r="AB88" s="407"/>
      <c r="AC88" s="407"/>
      <c r="AD88" s="407"/>
      <c r="AE88" s="407"/>
      <c r="AF88" s="407"/>
      <c r="AG88" s="407"/>
      <c r="AH88" s="407"/>
      <c r="AI88" s="407"/>
      <c r="AJ88" s="407"/>
      <c r="AK88" s="985"/>
      <c r="AL88" s="986"/>
      <c r="AM88" s="986"/>
      <c r="AN88" s="986"/>
      <c r="AO88" s="986"/>
      <c r="AP88" s="986"/>
      <c r="AQ88" s="986"/>
      <c r="AR88" s="986"/>
      <c r="AS88" s="987"/>
    </row>
    <row r="89" spans="1:45" ht="15" customHeight="1" thickBot="1">
      <c r="A89" s="407"/>
      <c r="B89" s="407"/>
      <c r="C89" s="407"/>
      <c r="D89" s="407"/>
      <c r="E89" s="407"/>
      <c r="F89" s="407"/>
      <c r="G89" s="407"/>
      <c r="H89" s="407"/>
      <c r="I89" s="407"/>
      <c r="J89" s="407"/>
      <c r="K89" s="407"/>
      <c r="L89" s="407"/>
      <c r="M89" s="407"/>
      <c r="N89" s="407"/>
      <c r="O89" s="407"/>
      <c r="P89" s="407"/>
      <c r="Q89" s="407"/>
      <c r="R89" s="407"/>
      <c r="S89" s="407"/>
      <c r="T89" s="407"/>
      <c r="U89" s="407"/>
      <c r="V89" s="407"/>
      <c r="W89" s="407"/>
      <c r="X89" s="407"/>
      <c r="Y89" s="407"/>
      <c r="Z89" s="407"/>
      <c r="AA89" s="407"/>
      <c r="AB89" s="407"/>
      <c r="AC89" s="407"/>
      <c r="AD89" s="407"/>
      <c r="AE89" s="407"/>
      <c r="AF89" s="407"/>
      <c r="AG89" s="407"/>
      <c r="AH89" s="407"/>
      <c r="AI89" s="407"/>
      <c r="AJ89" s="407"/>
      <c r="AK89" s="985"/>
      <c r="AL89" s="986"/>
      <c r="AM89" s="986"/>
      <c r="AN89" s="986"/>
      <c r="AO89" s="986"/>
      <c r="AP89" s="986"/>
      <c r="AQ89" s="986"/>
      <c r="AR89" s="986"/>
      <c r="AS89" s="987"/>
    </row>
    <row r="90" spans="1:45" ht="15" customHeight="1" thickBot="1">
      <c r="A90" s="407"/>
      <c r="B90" s="407"/>
      <c r="C90" s="407"/>
      <c r="D90" s="407"/>
      <c r="E90" s="407"/>
      <c r="F90" s="407"/>
      <c r="G90" s="407"/>
      <c r="H90" s="407"/>
      <c r="I90" s="407"/>
      <c r="J90" s="407"/>
      <c r="K90" s="407"/>
      <c r="L90" s="407"/>
      <c r="M90" s="407"/>
      <c r="N90" s="407"/>
      <c r="O90" s="407"/>
      <c r="P90" s="407"/>
      <c r="Q90" s="407"/>
      <c r="R90" s="407"/>
      <c r="S90" s="407"/>
      <c r="T90" s="407"/>
      <c r="U90" s="407"/>
      <c r="V90" s="407"/>
      <c r="W90" s="407"/>
      <c r="X90" s="407"/>
      <c r="Y90" s="407"/>
      <c r="Z90" s="407"/>
      <c r="AA90" s="407"/>
      <c r="AB90" s="407"/>
      <c r="AC90" s="407"/>
      <c r="AD90" s="407"/>
      <c r="AE90" s="407"/>
      <c r="AF90" s="407"/>
      <c r="AG90" s="407"/>
      <c r="AH90" s="407"/>
      <c r="AI90" s="407"/>
      <c r="AJ90" s="407"/>
      <c r="AK90" s="1013" t="s">
        <v>928</v>
      </c>
      <c r="AL90" s="1014"/>
      <c r="AM90" s="1014"/>
      <c r="AN90" s="1014"/>
      <c r="AO90" s="1014"/>
      <c r="AP90" s="1014"/>
      <c r="AQ90" s="1014"/>
      <c r="AR90" s="1014"/>
      <c r="AS90" s="1015"/>
    </row>
    <row r="91" spans="1:45" ht="15" customHeight="1" thickBot="1">
      <c r="A91" s="407"/>
      <c r="B91" s="407"/>
      <c r="C91" s="407"/>
      <c r="D91" s="407"/>
      <c r="E91" s="407"/>
      <c r="F91" s="407"/>
      <c r="G91" s="407"/>
      <c r="H91" s="407"/>
      <c r="I91" s="407"/>
      <c r="J91" s="407"/>
      <c r="K91" s="407"/>
      <c r="L91" s="407"/>
      <c r="M91" s="407"/>
      <c r="N91" s="407"/>
      <c r="O91" s="407"/>
      <c r="P91" s="407"/>
      <c r="Q91" s="407"/>
      <c r="R91" s="407"/>
      <c r="S91" s="407"/>
      <c r="T91" s="407"/>
      <c r="U91" s="407"/>
      <c r="V91" s="407"/>
      <c r="W91" s="407"/>
      <c r="X91" s="407"/>
      <c r="Y91" s="407"/>
      <c r="Z91" s="407"/>
      <c r="AA91" s="407"/>
      <c r="AB91" s="407"/>
      <c r="AC91" s="407"/>
      <c r="AD91" s="407"/>
      <c r="AE91" s="407"/>
      <c r="AF91" s="407"/>
      <c r="AG91" s="407"/>
      <c r="AH91" s="407"/>
      <c r="AI91" s="407"/>
      <c r="AJ91" s="407"/>
      <c r="AK91" s="1013"/>
      <c r="AL91" s="1014"/>
      <c r="AM91" s="1014"/>
      <c r="AN91" s="1014"/>
      <c r="AO91" s="1014"/>
      <c r="AP91" s="1014"/>
      <c r="AQ91" s="1014"/>
      <c r="AR91" s="1014"/>
      <c r="AS91" s="1015"/>
    </row>
    <row r="92" spans="1:45" ht="15" customHeight="1" thickBot="1">
      <c r="A92" s="407"/>
      <c r="B92" s="407"/>
      <c r="C92" s="407"/>
      <c r="D92" s="407"/>
      <c r="E92" s="407"/>
      <c r="F92" s="407"/>
      <c r="G92" s="407"/>
      <c r="H92" s="407"/>
      <c r="I92" s="407"/>
      <c r="J92" s="407"/>
      <c r="K92" s="407"/>
      <c r="L92" s="407"/>
      <c r="M92" s="407"/>
      <c r="N92" s="407"/>
      <c r="O92" s="407"/>
      <c r="P92" s="407"/>
      <c r="Q92" s="407"/>
      <c r="R92" s="407"/>
      <c r="S92" s="407"/>
      <c r="T92" s="407"/>
      <c r="U92" s="407"/>
      <c r="V92" s="407"/>
      <c r="W92" s="407"/>
      <c r="X92" s="407"/>
      <c r="Y92" s="407"/>
      <c r="Z92" s="407"/>
      <c r="AA92" s="407"/>
      <c r="AB92" s="407"/>
      <c r="AC92" s="407"/>
      <c r="AD92" s="407"/>
      <c r="AE92" s="407"/>
      <c r="AF92" s="407"/>
      <c r="AG92" s="407"/>
      <c r="AH92" s="407"/>
      <c r="AI92" s="407"/>
      <c r="AJ92" s="407"/>
      <c r="AK92" s="985" t="s">
        <v>927</v>
      </c>
      <c r="AL92" s="986"/>
      <c r="AM92" s="986"/>
      <c r="AN92" s="986"/>
      <c r="AO92" s="986"/>
      <c r="AP92" s="986"/>
      <c r="AQ92" s="986"/>
      <c r="AR92" s="986"/>
      <c r="AS92" s="987"/>
    </row>
    <row r="93" spans="1:45" ht="15" customHeight="1" thickBot="1">
      <c r="A93" s="407"/>
      <c r="B93" s="407"/>
      <c r="C93" s="407"/>
      <c r="D93" s="407"/>
      <c r="E93" s="407"/>
      <c r="F93" s="407"/>
      <c r="G93" s="407"/>
      <c r="H93" s="407"/>
      <c r="I93" s="407"/>
      <c r="J93" s="407"/>
      <c r="K93" s="407"/>
      <c r="L93" s="407"/>
      <c r="M93" s="407"/>
      <c r="N93" s="407"/>
      <c r="O93" s="407"/>
      <c r="P93" s="407"/>
      <c r="Q93" s="407"/>
      <c r="R93" s="407"/>
      <c r="S93" s="407"/>
      <c r="T93" s="407"/>
      <c r="U93" s="407"/>
      <c r="V93" s="407"/>
      <c r="W93" s="407"/>
      <c r="X93" s="407"/>
      <c r="Y93" s="407"/>
      <c r="Z93" s="407"/>
      <c r="AA93" s="407"/>
      <c r="AB93" s="407"/>
      <c r="AC93" s="407"/>
      <c r="AD93" s="407"/>
      <c r="AE93" s="407"/>
      <c r="AF93" s="407"/>
      <c r="AG93" s="407"/>
      <c r="AH93" s="407"/>
      <c r="AI93" s="407"/>
      <c r="AJ93" s="407"/>
      <c r="AK93" s="985"/>
      <c r="AL93" s="986"/>
      <c r="AM93" s="986"/>
      <c r="AN93" s="986"/>
      <c r="AO93" s="986"/>
      <c r="AP93" s="986"/>
      <c r="AQ93" s="986"/>
      <c r="AR93" s="986"/>
      <c r="AS93" s="987"/>
    </row>
    <row r="94" spans="1:45" ht="15" customHeight="1" thickBot="1">
      <c r="A94" s="407"/>
      <c r="B94" s="407"/>
      <c r="C94" s="407"/>
      <c r="D94" s="407"/>
      <c r="E94" s="407"/>
      <c r="F94" s="407"/>
      <c r="G94" s="407"/>
      <c r="H94" s="407"/>
      <c r="I94" s="407"/>
      <c r="J94" s="407"/>
      <c r="K94" s="407"/>
      <c r="L94" s="407"/>
      <c r="M94" s="407"/>
      <c r="N94" s="407"/>
      <c r="O94" s="407"/>
      <c r="P94" s="407"/>
      <c r="Q94" s="407"/>
      <c r="R94" s="407"/>
      <c r="S94" s="407"/>
      <c r="T94" s="407"/>
      <c r="U94" s="407"/>
      <c r="V94" s="407"/>
      <c r="W94" s="407"/>
      <c r="X94" s="407"/>
      <c r="Y94" s="407"/>
      <c r="Z94" s="407"/>
      <c r="AA94" s="407"/>
      <c r="AB94" s="407"/>
      <c r="AC94" s="407"/>
      <c r="AD94" s="407"/>
      <c r="AE94" s="407"/>
      <c r="AF94" s="407"/>
      <c r="AG94" s="407"/>
      <c r="AH94" s="407"/>
      <c r="AI94" s="407"/>
      <c r="AJ94" s="407"/>
      <c r="AK94" s="985"/>
      <c r="AL94" s="986"/>
      <c r="AM94" s="986"/>
      <c r="AN94" s="986"/>
      <c r="AO94" s="986"/>
      <c r="AP94" s="986"/>
      <c r="AQ94" s="986"/>
      <c r="AR94" s="986"/>
      <c r="AS94" s="987"/>
    </row>
    <row r="95" spans="1:45" ht="15" customHeight="1" thickBot="1">
      <c r="A95" s="407"/>
      <c r="B95" s="407"/>
      <c r="C95" s="407"/>
      <c r="D95" s="407"/>
      <c r="E95" s="407"/>
      <c r="F95" s="407"/>
      <c r="G95" s="407"/>
      <c r="H95" s="407"/>
      <c r="I95" s="407"/>
      <c r="J95" s="407"/>
      <c r="K95" s="407"/>
      <c r="L95" s="407"/>
      <c r="M95" s="407"/>
      <c r="N95" s="407"/>
      <c r="O95" s="407"/>
      <c r="P95" s="407"/>
      <c r="Q95" s="407"/>
      <c r="R95" s="407"/>
      <c r="S95" s="407"/>
      <c r="T95" s="407"/>
      <c r="U95" s="407"/>
      <c r="V95" s="407"/>
      <c r="W95" s="407"/>
      <c r="X95" s="407"/>
      <c r="Y95" s="407"/>
      <c r="Z95" s="407"/>
      <c r="AA95" s="407"/>
      <c r="AB95" s="407"/>
      <c r="AC95" s="407"/>
      <c r="AD95" s="407"/>
      <c r="AE95" s="407"/>
      <c r="AF95" s="407"/>
      <c r="AG95" s="407"/>
      <c r="AH95" s="407"/>
      <c r="AI95" s="407"/>
      <c r="AJ95" s="407"/>
      <c r="AK95" s="985"/>
      <c r="AL95" s="986"/>
      <c r="AM95" s="986"/>
      <c r="AN95" s="986"/>
      <c r="AO95" s="986"/>
      <c r="AP95" s="986"/>
      <c r="AQ95" s="986"/>
      <c r="AR95" s="986"/>
      <c r="AS95" s="987"/>
    </row>
    <row r="96" spans="1:45" ht="15" customHeight="1" thickBot="1">
      <c r="A96" s="407"/>
      <c r="B96" s="407"/>
      <c r="C96" s="407"/>
      <c r="D96" s="407"/>
      <c r="E96" s="407"/>
      <c r="F96" s="407"/>
      <c r="G96" s="407"/>
      <c r="H96" s="407"/>
      <c r="I96" s="407"/>
      <c r="J96" s="407"/>
      <c r="K96" s="407"/>
      <c r="L96" s="407"/>
      <c r="M96" s="407"/>
      <c r="N96" s="407"/>
      <c r="O96" s="407"/>
      <c r="P96" s="407"/>
      <c r="Q96" s="407"/>
      <c r="R96" s="407"/>
      <c r="S96" s="407"/>
      <c r="T96" s="407"/>
      <c r="U96" s="407"/>
      <c r="V96" s="407"/>
      <c r="W96" s="407"/>
      <c r="X96" s="407"/>
      <c r="Y96" s="407"/>
      <c r="Z96" s="407"/>
      <c r="AA96" s="407"/>
      <c r="AB96" s="407"/>
      <c r="AC96" s="407"/>
      <c r="AD96" s="407"/>
      <c r="AE96" s="407"/>
      <c r="AF96" s="407"/>
      <c r="AG96" s="407"/>
      <c r="AH96" s="407"/>
      <c r="AI96" s="407"/>
      <c r="AJ96" s="407"/>
      <c r="AK96" s="985"/>
      <c r="AL96" s="986"/>
      <c r="AM96" s="986"/>
      <c r="AN96" s="986"/>
      <c r="AO96" s="986"/>
      <c r="AP96" s="986"/>
      <c r="AQ96" s="986"/>
      <c r="AR96" s="986"/>
      <c r="AS96" s="987"/>
    </row>
    <row r="97" spans="1:45" ht="15" customHeight="1" thickBot="1">
      <c r="A97" s="407"/>
      <c r="B97" s="407"/>
      <c r="C97" s="407"/>
      <c r="D97" s="407"/>
      <c r="E97" s="407"/>
      <c r="F97" s="407"/>
      <c r="G97" s="407"/>
      <c r="H97" s="407"/>
      <c r="I97" s="407"/>
      <c r="J97" s="407"/>
      <c r="K97" s="407"/>
      <c r="L97" s="407"/>
      <c r="M97" s="407"/>
      <c r="N97" s="407"/>
      <c r="O97" s="407"/>
      <c r="P97" s="407"/>
      <c r="Q97" s="407"/>
      <c r="R97" s="407"/>
      <c r="S97" s="407"/>
      <c r="T97" s="407"/>
      <c r="U97" s="407"/>
      <c r="V97" s="407"/>
      <c r="W97" s="407"/>
      <c r="X97" s="407"/>
      <c r="Y97" s="407"/>
      <c r="Z97" s="407"/>
      <c r="AA97" s="407"/>
      <c r="AB97" s="407"/>
      <c r="AC97" s="407"/>
      <c r="AD97" s="407"/>
      <c r="AE97" s="407"/>
      <c r="AF97" s="407"/>
      <c r="AG97" s="407"/>
      <c r="AH97" s="407"/>
      <c r="AI97" s="407"/>
      <c r="AJ97" s="407"/>
      <c r="AK97" s="985"/>
      <c r="AL97" s="986"/>
      <c r="AM97" s="986"/>
      <c r="AN97" s="986"/>
      <c r="AO97" s="986"/>
      <c r="AP97" s="986"/>
      <c r="AQ97" s="986"/>
      <c r="AR97" s="986"/>
      <c r="AS97" s="987"/>
    </row>
    <row r="98" spans="1:45" ht="15" customHeight="1" thickBot="1">
      <c r="A98" s="407"/>
      <c r="B98" s="407"/>
      <c r="C98" s="407"/>
      <c r="D98" s="407"/>
      <c r="E98" s="407"/>
      <c r="F98" s="407"/>
      <c r="G98" s="407"/>
      <c r="H98" s="407"/>
      <c r="I98" s="407"/>
      <c r="J98" s="407"/>
      <c r="K98" s="407"/>
      <c r="L98" s="407"/>
      <c r="M98" s="407"/>
      <c r="N98" s="407"/>
      <c r="O98" s="407"/>
      <c r="P98" s="407"/>
      <c r="Q98" s="407"/>
      <c r="R98" s="407"/>
      <c r="S98" s="407"/>
      <c r="T98" s="407"/>
      <c r="U98" s="407"/>
      <c r="V98" s="407"/>
      <c r="W98" s="407"/>
      <c r="X98" s="407"/>
      <c r="Y98" s="407"/>
      <c r="Z98" s="407"/>
      <c r="AA98" s="407"/>
      <c r="AB98" s="407"/>
      <c r="AC98" s="407"/>
      <c r="AD98" s="407"/>
      <c r="AE98" s="407"/>
      <c r="AF98" s="407"/>
      <c r="AG98" s="407"/>
      <c r="AH98" s="407"/>
      <c r="AI98" s="407"/>
      <c r="AJ98" s="407"/>
      <c r="AK98" s="985"/>
      <c r="AL98" s="986"/>
      <c r="AM98" s="986"/>
      <c r="AN98" s="986"/>
      <c r="AO98" s="986"/>
      <c r="AP98" s="986"/>
      <c r="AQ98" s="986"/>
      <c r="AR98" s="986"/>
      <c r="AS98" s="987"/>
    </row>
    <row r="99" spans="1:45" ht="15" customHeight="1" thickBot="1">
      <c r="A99" s="407"/>
      <c r="B99" s="407"/>
      <c r="C99" s="407"/>
      <c r="D99" s="407"/>
      <c r="E99" s="407"/>
      <c r="F99" s="407"/>
      <c r="G99" s="407"/>
      <c r="H99" s="407"/>
      <c r="I99" s="407"/>
      <c r="J99" s="407"/>
      <c r="K99" s="407"/>
      <c r="L99" s="407"/>
      <c r="M99" s="407"/>
      <c r="N99" s="407"/>
      <c r="O99" s="407"/>
      <c r="P99" s="407"/>
      <c r="Q99" s="407"/>
      <c r="R99" s="407"/>
      <c r="S99" s="407"/>
      <c r="T99" s="407"/>
      <c r="U99" s="407"/>
      <c r="V99" s="407"/>
      <c r="W99" s="407"/>
      <c r="X99" s="407"/>
      <c r="Y99" s="407"/>
      <c r="Z99" s="407"/>
      <c r="AA99" s="407"/>
      <c r="AB99" s="407"/>
      <c r="AC99" s="407"/>
      <c r="AD99" s="407"/>
      <c r="AE99" s="407"/>
      <c r="AF99" s="407"/>
      <c r="AG99" s="407"/>
      <c r="AH99" s="407"/>
      <c r="AI99" s="407"/>
      <c r="AJ99" s="407"/>
      <c r="AK99" s="985"/>
      <c r="AL99" s="986"/>
      <c r="AM99" s="986"/>
      <c r="AN99" s="986"/>
      <c r="AO99" s="986"/>
      <c r="AP99" s="986"/>
      <c r="AQ99" s="986"/>
      <c r="AR99" s="986"/>
      <c r="AS99" s="987"/>
    </row>
    <row r="100" spans="1:45" ht="15" customHeight="1" thickBot="1">
      <c r="A100" s="407"/>
      <c r="B100" s="407"/>
      <c r="C100" s="407"/>
      <c r="D100" s="407"/>
      <c r="E100" s="407"/>
      <c r="F100" s="407"/>
      <c r="G100" s="407"/>
      <c r="H100" s="407"/>
      <c r="I100" s="407"/>
      <c r="J100" s="407"/>
      <c r="K100" s="407"/>
      <c r="L100" s="407"/>
      <c r="M100" s="407"/>
      <c r="N100" s="407"/>
      <c r="O100" s="407"/>
      <c r="P100" s="407"/>
      <c r="Q100" s="407"/>
      <c r="R100" s="407"/>
      <c r="S100" s="407"/>
      <c r="T100" s="407"/>
      <c r="U100" s="407"/>
      <c r="V100" s="407"/>
      <c r="W100" s="407"/>
      <c r="X100" s="407"/>
      <c r="Y100" s="407"/>
      <c r="Z100" s="407"/>
      <c r="AA100" s="407"/>
      <c r="AB100" s="407"/>
      <c r="AC100" s="407"/>
      <c r="AD100" s="407"/>
      <c r="AE100" s="407"/>
      <c r="AF100" s="407"/>
      <c r="AG100" s="407"/>
      <c r="AH100" s="407"/>
      <c r="AI100" s="407"/>
      <c r="AJ100" s="407"/>
      <c r="AK100" s="985"/>
      <c r="AL100" s="986"/>
      <c r="AM100" s="986"/>
      <c r="AN100" s="986"/>
      <c r="AO100" s="986"/>
      <c r="AP100" s="986"/>
      <c r="AQ100" s="986"/>
      <c r="AR100" s="986"/>
      <c r="AS100" s="987"/>
    </row>
    <row r="101" spans="1:45" ht="15" customHeight="1" thickBot="1">
      <c r="A101" s="407"/>
      <c r="B101" s="407"/>
      <c r="C101" s="407"/>
      <c r="D101" s="407"/>
      <c r="E101" s="407"/>
      <c r="F101" s="407"/>
      <c r="G101" s="407"/>
      <c r="H101" s="407"/>
      <c r="I101" s="407"/>
      <c r="J101" s="407"/>
      <c r="K101" s="407"/>
      <c r="L101" s="407"/>
      <c r="M101" s="407"/>
      <c r="N101" s="407"/>
      <c r="O101" s="407"/>
      <c r="P101" s="407"/>
      <c r="Q101" s="407"/>
      <c r="R101" s="407"/>
      <c r="S101" s="407"/>
      <c r="T101" s="407"/>
      <c r="U101" s="407"/>
      <c r="V101" s="407"/>
      <c r="W101" s="407"/>
      <c r="X101" s="407"/>
      <c r="Y101" s="407"/>
      <c r="Z101" s="407"/>
      <c r="AA101" s="407"/>
      <c r="AB101" s="407"/>
      <c r="AC101" s="407"/>
      <c r="AD101" s="407"/>
      <c r="AE101" s="407"/>
      <c r="AF101" s="407"/>
      <c r="AG101" s="407"/>
      <c r="AH101" s="407"/>
      <c r="AI101" s="407"/>
      <c r="AJ101" s="407"/>
      <c r="AK101" s="985"/>
      <c r="AL101" s="986"/>
      <c r="AM101" s="986"/>
      <c r="AN101" s="986"/>
      <c r="AO101" s="986"/>
      <c r="AP101" s="986"/>
      <c r="AQ101" s="986"/>
      <c r="AR101" s="986"/>
      <c r="AS101" s="987"/>
    </row>
    <row r="102" spans="1:45" ht="15" customHeight="1" thickBot="1">
      <c r="A102" s="407"/>
      <c r="B102" s="407"/>
      <c r="C102" s="407"/>
      <c r="D102" s="407"/>
      <c r="E102" s="407"/>
      <c r="F102" s="407"/>
      <c r="G102" s="407"/>
      <c r="H102" s="407"/>
      <c r="I102" s="407"/>
      <c r="J102" s="407"/>
      <c r="K102" s="407"/>
      <c r="L102" s="407"/>
      <c r="M102" s="407"/>
      <c r="N102" s="407"/>
      <c r="O102" s="407"/>
      <c r="P102" s="407"/>
      <c r="Q102" s="407"/>
      <c r="R102" s="407"/>
      <c r="S102" s="407"/>
      <c r="T102" s="407"/>
      <c r="U102" s="407"/>
      <c r="V102" s="407"/>
      <c r="W102" s="407"/>
      <c r="X102" s="407"/>
      <c r="Y102" s="407"/>
      <c r="Z102" s="407"/>
      <c r="AA102" s="407"/>
      <c r="AB102" s="407"/>
      <c r="AC102" s="407"/>
      <c r="AD102" s="407"/>
      <c r="AE102" s="407"/>
      <c r="AF102" s="407"/>
      <c r="AG102" s="407"/>
      <c r="AH102" s="407"/>
      <c r="AI102" s="407"/>
      <c r="AJ102" s="407"/>
      <c r="AK102" s="985"/>
      <c r="AL102" s="986"/>
      <c r="AM102" s="986"/>
      <c r="AN102" s="986"/>
      <c r="AO102" s="986"/>
      <c r="AP102" s="986"/>
      <c r="AQ102" s="986"/>
      <c r="AR102" s="986"/>
      <c r="AS102" s="987"/>
    </row>
    <row r="103" spans="1:45" ht="15" customHeight="1" thickBot="1">
      <c r="A103" s="407"/>
      <c r="B103" s="407"/>
      <c r="C103" s="407"/>
      <c r="D103" s="407"/>
      <c r="E103" s="407"/>
      <c r="F103" s="407"/>
      <c r="G103" s="407"/>
      <c r="H103" s="407"/>
      <c r="I103" s="407"/>
      <c r="J103" s="407"/>
      <c r="K103" s="407"/>
      <c r="L103" s="407"/>
      <c r="M103" s="407"/>
      <c r="N103" s="407"/>
      <c r="O103" s="407"/>
      <c r="P103" s="407"/>
      <c r="Q103" s="407"/>
      <c r="R103" s="407"/>
      <c r="S103" s="407"/>
      <c r="T103" s="407"/>
      <c r="U103" s="407"/>
      <c r="V103" s="407"/>
      <c r="W103" s="407"/>
      <c r="X103" s="407"/>
      <c r="Y103" s="407"/>
      <c r="Z103" s="407"/>
      <c r="AA103" s="407"/>
      <c r="AB103" s="407"/>
      <c r="AC103" s="407"/>
      <c r="AD103" s="407"/>
      <c r="AE103" s="407"/>
      <c r="AF103" s="407"/>
      <c r="AG103" s="407"/>
      <c r="AH103" s="407"/>
      <c r="AI103" s="407"/>
      <c r="AJ103" s="407"/>
      <c r="AK103" s="985"/>
      <c r="AL103" s="986"/>
      <c r="AM103" s="986"/>
      <c r="AN103" s="986"/>
      <c r="AO103" s="986"/>
      <c r="AP103" s="986"/>
      <c r="AQ103" s="986"/>
      <c r="AR103" s="986"/>
      <c r="AS103" s="987"/>
    </row>
    <row r="104" spans="1:45" ht="15" customHeight="1" thickBot="1">
      <c r="A104" s="407"/>
      <c r="B104" s="407"/>
      <c r="C104" s="407"/>
      <c r="D104" s="407"/>
      <c r="E104" s="407"/>
      <c r="F104" s="407"/>
      <c r="G104" s="407"/>
      <c r="H104" s="407"/>
      <c r="I104" s="407"/>
      <c r="J104" s="407"/>
      <c r="K104" s="407"/>
      <c r="L104" s="407"/>
      <c r="M104" s="407"/>
      <c r="N104" s="407"/>
      <c r="O104" s="407"/>
      <c r="P104" s="407"/>
      <c r="Q104" s="407"/>
      <c r="R104" s="407"/>
      <c r="S104" s="407"/>
      <c r="T104" s="407"/>
      <c r="U104" s="407"/>
      <c r="V104" s="407"/>
      <c r="W104" s="407"/>
      <c r="X104" s="407"/>
      <c r="Y104" s="407"/>
      <c r="Z104" s="407"/>
      <c r="AA104" s="407"/>
      <c r="AB104" s="407"/>
      <c r="AC104" s="407"/>
      <c r="AD104" s="407"/>
      <c r="AE104" s="407"/>
      <c r="AF104" s="407"/>
      <c r="AG104" s="407"/>
      <c r="AH104" s="407"/>
      <c r="AI104" s="407"/>
      <c r="AJ104" s="407"/>
      <c r="AK104" s="985"/>
      <c r="AL104" s="986"/>
      <c r="AM104" s="986"/>
      <c r="AN104" s="986"/>
      <c r="AO104" s="986"/>
      <c r="AP104" s="986"/>
      <c r="AQ104" s="986"/>
      <c r="AR104" s="986"/>
      <c r="AS104" s="987"/>
    </row>
    <row r="105" spans="1:45" ht="15" customHeight="1" thickBot="1">
      <c r="A105" s="407"/>
      <c r="B105" s="407"/>
      <c r="C105" s="407"/>
      <c r="D105" s="407"/>
      <c r="E105" s="407"/>
      <c r="F105" s="407"/>
      <c r="G105" s="407"/>
      <c r="H105" s="407"/>
      <c r="I105" s="407"/>
      <c r="J105" s="407"/>
      <c r="K105" s="407"/>
      <c r="L105" s="407"/>
      <c r="M105" s="407"/>
      <c r="N105" s="407"/>
      <c r="O105" s="407"/>
      <c r="P105" s="407"/>
      <c r="Q105" s="407"/>
      <c r="R105" s="407"/>
      <c r="S105" s="407"/>
      <c r="T105" s="407"/>
      <c r="U105" s="407"/>
      <c r="V105" s="407"/>
      <c r="W105" s="407"/>
      <c r="X105" s="407"/>
      <c r="Y105" s="407"/>
      <c r="Z105" s="407"/>
      <c r="AA105" s="407"/>
      <c r="AB105" s="407"/>
      <c r="AC105" s="407"/>
      <c r="AD105" s="407"/>
      <c r="AE105" s="407"/>
      <c r="AF105" s="407"/>
      <c r="AG105" s="407"/>
      <c r="AH105" s="407"/>
      <c r="AI105" s="407"/>
      <c r="AJ105" s="407"/>
      <c r="AK105" s="985"/>
      <c r="AL105" s="986"/>
      <c r="AM105" s="986"/>
      <c r="AN105" s="986"/>
      <c r="AO105" s="986"/>
      <c r="AP105" s="986"/>
      <c r="AQ105" s="986"/>
      <c r="AR105" s="986"/>
      <c r="AS105" s="987"/>
    </row>
    <row r="106" spans="1:45" ht="15" customHeight="1" thickBot="1">
      <c r="A106" s="407"/>
      <c r="B106" s="407"/>
      <c r="C106" s="407"/>
      <c r="D106" s="407"/>
      <c r="E106" s="407"/>
      <c r="F106" s="407"/>
      <c r="G106" s="407"/>
      <c r="H106" s="407"/>
      <c r="I106" s="407"/>
      <c r="J106" s="407"/>
      <c r="K106" s="407"/>
      <c r="L106" s="407"/>
      <c r="M106" s="407"/>
      <c r="N106" s="407"/>
      <c r="O106" s="407"/>
      <c r="P106" s="407"/>
      <c r="Q106" s="407"/>
      <c r="R106" s="407"/>
      <c r="S106" s="407"/>
      <c r="T106" s="407"/>
      <c r="U106" s="407"/>
      <c r="V106" s="407"/>
      <c r="W106" s="407"/>
      <c r="X106" s="407"/>
      <c r="Y106" s="407"/>
      <c r="Z106" s="407"/>
      <c r="AA106" s="407"/>
      <c r="AB106" s="407"/>
      <c r="AC106" s="407"/>
      <c r="AD106" s="407"/>
      <c r="AE106" s="407"/>
      <c r="AF106" s="407"/>
      <c r="AG106" s="407"/>
      <c r="AH106" s="407"/>
      <c r="AI106" s="407"/>
      <c r="AJ106" s="407"/>
      <c r="AK106" s="985"/>
      <c r="AL106" s="986"/>
      <c r="AM106" s="986"/>
      <c r="AN106" s="986"/>
      <c r="AO106" s="986"/>
      <c r="AP106" s="986"/>
      <c r="AQ106" s="986"/>
      <c r="AR106" s="986"/>
      <c r="AS106" s="987"/>
    </row>
    <row r="107" spans="1:45" ht="15" customHeight="1" thickBot="1">
      <c r="A107" s="407"/>
      <c r="B107" s="407"/>
      <c r="C107" s="407"/>
      <c r="D107" s="407"/>
      <c r="E107" s="407"/>
      <c r="F107" s="407"/>
      <c r="G107" s="407"/>
      <c r="H107" s="407"/>
      <c r="I107" s="407"/>
      <c r="J107" s="407"/>
      <c r="K107" s="407"/>
      <c r="L107" s="407"/>
      <c r="M107" s="407"/>
      <c r="N107" s="407"/>
      <c r="O107" s="407"/>
      <c r="P107" s="407"/>
      <c r="Q107" s="407"/>
      <c r="R107" s="407"/>
      <c r="S107" s="407"/>
      <c r="T107" s="407"/>
      <c r="U107" s="407"/>
      <c r="V107" s="407"/>
      <c r="W107" s="407"/>
      <c r="X107" s="407"/>
      <c r="Y107" s="407"/>
      <c r="Z107" s="407"/>
      <c r="AA107" s="407"/>
      <c r="AB107" s="407"/>
      <c r="AC107" s="407"/>
      <c r="AD107" s="407"/>
      <c r="AE107" s="407"/>
      <c r="AF107" s="407"/>
      <c r="AG107" s="407"/>
      <c r="AH107" s="407"/>
      <c r="AI107" s="407"/>
      <c r="AJ107" s="407"/>
      <c r="AK107" s="985"/>
      <c r="AL107" s="986"/>
      <c r="AM107" s="986"/>
      <c r="AN107" s="986"/>
      <c r="AO107" s="986"/>
      <c r="AP107" s="986"/>
      <c r="AQ107" s="986"/>
      <c r="AR107" s="986"/>
      <c r="AS107" s="987"/>
    </row>
    <row r="108" spans="1:45" ht="15" customHeight="1" thickBot="1">
      <c r="A108" s="407"/>
      <c r="B108" s="407"/>
      <c r="C108" s="407"/>
      <c r="D108" s="407"/>
      <c r="E108" s="407"/>
      <c r="F108" s="407"/>
      <c r="G108" s="407"/>
      <c r="H108" s="407"/>
      <c r="I108" s="407"/>
      <c r="J108" s="407"/>
      <c r="K108" s="407"/>
      <c r="L108" s="407"/>
      <c r="M108" s="407"/>
      <c r="N108" s="407"/>
      <c r="O108" s="407"/>
      <c r="P108" s="407"/>
      <c r="Q108" s="407"/>
      <c r="R108" s="407"/>
      <c r="S108" s="407"/>
      <c r="T108" s="407"/>
      <c r="U108" s="407"/>
      <c r="V108" s="407"/>
      <c r="W108" s="407"/>
      <c r="X108" s="407"/>
      <c r="Y108" s="407"/>
      <c r="Z108" s="407"/>
      <c r="AA108" s="407"/>
      <c r="AB108" s="407"/>
      <c r="AC108" s="407"/>
      <c r="AD108" s="407"/>
      <c r="AE108" s="407"/>
      <c r="AF108" s="407"/>
      <c r="AG108" s="407"/>
      <c r="AH108" s="407"/>
      <c r="AI108" s="407"/>
      <c r="AJ108" s="407"/>
      <c r="AK108" s="985"/>
      <c r="AL108" s="986"/>
      <c r="AM108" s="986"/>
      <c r="AN108" s="986"/>
      <c r="AO108" s="986"/>
      <c r="AP108" s="986"/>
      <c r="AQ108" s="986"/>
      <c r="AR108" s="986"/>
      <c r="AS108" s="987"/>
    </row>
    <row r="109" spans="1:45" ht="15" customHeight="1" thickBot="1">
      <c r="A109" s="407"/>
      <c r="B109" s="407"/>
      <c r="C109" s="407"/>
      <c r="D109" s="407"/>
      <c r="E109" s="407"/>
      <c r="F109" s="407"/>
      <c r="G109" s="407"/>
      <c r="H109" s="407"/>
      <c r="I109" s="407"/>
      <c r="J109" s="407"/>
      <c r="K109" s="407"/>
      <c r="L109" s="407"/>
      <c r="M109" s="407"/>
      <c r="N109" s="407"/>
      <c r="O109" s="407"/>
      <c r="P109" s="407"/>
      <c r="Q109" s="407"/>
      <c r="R109" s="407"/>
      <c r="S109" s="407"/>
      <c r="T109" s="407"/>
      <c r="U109" s="407"/>
      <c r="V109" s="407"/>
      <c r="W109" s="407"/>
      <c r="X109" s="407"/>
      <c r="Y109" s="407"/>
      <c r="Z109" s="407"/>
      <c r="AA109" s="407"/>
      <c r="AB109" s="407"/>
      <c r="AC109" s="407"/>
      <c r="AD109" s="407"/>
      <c r="AE109" s="407"/>
      <c r="AF109" s="407"/>
      <c r="AG109" s="407"/>
      <c r="AH109" s="407"/>
      <c r="AI109" s="407"/>
      <c r="AJ109" s="407"/>
      <c r="AK109" s="985"/>
      <c r="AL109" s="986"/>
      <c r="AM109" s="986"/>
      <c r="AN109" s="986"/>
      <c r="AO109" s="986"/>
      <c r="AP109" s="986"/>
      <c r="AQ109" s="986"/>
      <c r="AR109" s="986"/>
      <c r="AS109" s="987"/>
    </row>
    <row r="110" spans="1:45" ht="15" customHeight="1" thickBot="1">
      <c r="A110" s="407"/>
      <c r="B110" s="407"/>
      <c r="C110" s="407"/>
      <c r="D110" s="407"/>
      <c r="E110" s="407"/>
      <c r="F110" s="407"/>
      <c r="G110" s="407"/>
      <c r="H110" s="407"/>
      <c r="I110" s="407"/>
      <c r="J110" s="407"/>
      <c r="K110" s="407"/>
      <c r="L110" s="407"/>
      <c r="M110" s="407"/>
      <c r="N110" s="407"/>
      <c r="O110" s="407"/>
      <c r="P110" s="407"/>
      <c r="Q110" s="407"/>
      <c r="R110" s="407"/>
      <c r="S110" s="407"/>
      <c r="T110" s="407"/>
      <c r="U110" s="407"/>
      <c r="V110" s="407"/>
      <c r="W110" s="407"/>
      <c r="X110" s="407"/>
      <c r="Y110" s="407"/>
      <c r="Z110" s="407"/>
      <c r="AA110" s="407"/>
      <c r="AB110" s="407"/>
      <c r="AC110" s="407"/>
      <c r="AD110" s="407"/>
      <c r="AE110" s="407"/>
      <c r="AF110" s="407"/>
      <c r="AG110" s="407"/>
      <c r="AH110" s="407"/>
      <c r="AI110" s="407"/>
      <c r="AJ110" s="407"/>
      <c r="AK110" s="985"/>
      <c r="AL110" s="986"/>
      <c r="AM110" s="986"/>
      <c r="AN110" s="986"/>
      <c r="AO110" s="986"/>
      <c r="AP110" s="986"/>
      <c r="AQ110" s="986"/>
      <c r="AR110" s="986"/>
      <c r="AS110" s="987"/>
    </row>
    <row r="111" spans="1:45" ht="15" customHeight="1" thickBot="1">
      <c r="A111" s="407"/>
      <c r="B111" s="407"/>
      <c r="C111" s="407"/>
      <c r="D111" s="407"/>
      <c r="E111" s="407"/>
      <c r="F111" s="407"/>
      <c r="G111" s="407"/>
      <c r="H111" s="407"/>
      <c r="I111" s="407"/>
      <c r="J111" s="407"/>
      <c r="K111" s="407"/>
      <c r="L111" s="407"/>
      <c r="M111" s="407"/>
      <c r="N111" s="407"/>
      <c r="O111" s="407"/>
      <c r="P111" s="407"/>
      <c r="Q111" s="407"/>
      <c r="R111" s="407"/>
      <c r="S111" s="407"/>
      <c r="T111" s="407"/>
      <c r="U111" s="407"/>
      <c r="V111" s="407"/>
      <c r="W111" s="407"/>
      <c r="X111" s="407"/>
      <c r="Y111" s="407"/>
      <c r="Z111" s="407"/>
      <c r="AA111" s="407"/>
      <c r="AB111" s="407"/>
      <c r="AC111" s="407"/>
      <c r="AD111" s="407"/>
      <c r="AE111" s="407"/>
      <c r="AF111" s="407"/>
      <c r="AG111" s="407"/>
      <c r="AH111" s="407"/>
      <c r="AI111" s="407"/>
      <c r="AJ111" s="407"/>
      <c r="AK111" s="985"/>
      <c r="AL111" s="986"/>
      <c r="AM111" s="986"/>
      <c r="AN111" s="986"/>
      <c r="AO111" s="986"/>
      <c r="AP111" s="986"/>
      <c r="AQ111" s="986"/>
      <c r="AR111" s="986"/>
      <c r="AS111" s="987"/>
    </row>
    <row r="112" spans="1:45" ht="15" customHeight="1" thickBot="1">
      <c r="A112" s="407"/>
      <c r="B112" s="407"/>
      <c r="C112" s="407"/>
      <c r="D112" s="407"/>
      <c r="E112" s="407"/>
      <c r="F112" s="407"/>
      <c r="G112" s="407"/>
      <c r="H112" s="407"/>
      <c r="I112" s="407"/>
      <c r="J112" s="407"/>
      <c r="K112" s="407"/>
      <c r="L112" s="407"/>
      <c r="M112" s="407"/>
      <c r="N112" s="407"/>
      <c r="O112" s="407"/>
      <c r="P112" s="407"/>
      <c r="Q112" s="407"/>
      <c r="R112" s="407"/>
      <c r="S112" s="407"/>
      <c r="T112" s="407"/>
      <c r="U112" s="407"/>
      <c r="V112" s="407"/>
      <c r="W112" s="407"/>
      <c r="X112" s="407"/>
      <c r="Y112" s="407"/>
      <c r="Z112" s="407"/>
      <c r="AA112" s="407"/>
      <c r="AB112" s="407"/>
      <c r="AC112" s="407"/>
      <c r="AD112" s="407"/>
      <c r="AE112" s="407"/>
      <c r="AF112" s="407"/>
      <c r="AG112" s="407"/>
      <c r="AH112" s="407"/>
      <c r="AI112" s="407"/>
      <c r="AJ112" s="407"/>
      <c r="AK112" s="985"/>
      <c r="AL112" s="986"/>
      <c r="AM112" s="986"/>
      <c r="AN112" s="986"/>
      <c r="AO112" s="986"/>
      <c r="AP112" s="986"/>
      <c r="AQ112" s="986"/>
      <c r="AR112" s="986"/>
      <c r="AS112" s="987"/>
    </row>
    <row r="113" spans="1:45" ht="15" customHeight="1" thickBot="1">
      <c r="A113" s="407"/>
      <c r="B113" s="407"/>
      <c r="C113" s="407"/>
      <c r="D113" s="407"/>
      <c r="E113" s="407"/>
      <c r="F113" s="407"/>
      <c r="G113" s="407"/>
      <c r="H113" s="407"/>
      <c r="I113" s="407"/>
      <c r="J113" s="407"/>
      <c r="K113" s="407"/>
      <c r="L113" s="407"/>
      <c r="M113" s="407"/>
      <c r="N113" s="407"/>
      <c r="O113" s="407"/>
      <c r="P113" s="407"/>
      <c r="Q113" s="407"/>
      <c r="R113" s="407"/>
      <c r="S113" s="407"/>
      <c r="T113" s="407"/>
      <c r="U113" s="407"/>
      <c r="V113" s="407"/>
      <c r="W113" s="407"/>
      <c r="X113" s="407"/>
      <c r="Y113" s="407"/>
      <c r="Z113" s="407"/>
      <c r="AA113" s="407"/>
      <c r="AB113" s="407"/>
      <c r="AC113" s="407"/>
      <c r="AD113" s="407"/>
      <c r="AE113" s="407"/>
      <c r="AF113" s="407"/>
      <c r="AG113" s="407"/>
      <c r="AH113" s="407"/>
      <c r="AI113" s="407"/>
      <c r="AJ113" s="407"/>
      <c r="AK113" s="985"/>
      <c r="AL113" s="986"/>
      <c r="AM113" s="986"/>
      <c r="AN113" s="986"/>
      <c r="AO113" s="986"/>
      <c r="AP113" s="986"/>
      <c r="AQ113" s="986"/>
      <c r="AR113" s="986"/>
      <c r="AS113" s="987"/>
    </row>
    <row r="114" spans="1:45" ht="15" customHeight="1" thickBot="1">
      <c r="A114" s="407"/>
      <c r="B114" s="407"/>
      <c r="C114" s="407"/>
      <c r="D114" s="407"/>
      <c r="E114" s="407"/>
      <c r="F114" s="407"/>
      <c r="G114" s="407"/>
      <c r="H114" s="407"/>
      <c r="I114" s="407"/>
      <c r="J114" s="407"/>
      <c r="K114" s="407"/>
      <c r="L114" s="407"/>
      <c r="M114" s="407"/>
      <c r="N114" s="407"/>
      <c r="O114" s="407"/>
      <c r="P114" s="407"/>
      <c r="Q114" s="407"/>
      <c r="R114" s="407"/>
      <c r="S114" s="407"/>
      <c r="T114" s="407"/>
      <c r="U114" s="407"/>
      <c r="V114" s="407"/>
      <c r="W114" s="407"/>
      <c r="X114" s="407"/>
      <c r="Y114" s="407"/>
      <c r="Z114" s="407"/>
      <c r="AA114" s="407"/>
      <c r="AB114" s="407"/>
      <c r="AC114" s="407"/>
      <c r="AD114" s="407"/>
      <c r="AE114" s="407"/>
      <c r="AF114" s="407"/>
      <c r="AG114" s="407"/>
      <c r="AH114" s="407"/>
      <c r="AI114" s="407"/>
      <c r="AJ114" s="407"/>
      <c r="AK114" s="985"/>
      <c r="AL114" s="986"/>
      <c r="AM114" s="986"/>
      <c r="AN114" s="986"/>
      <c r="AO114" s="986"/>
      <c r="AP114" s="986"/>
      <c r="AQ114" s="986"/>
      <c r="AR114" s="986"/>
      <c r="AS114" s="987"/>
    </row>
    <row r="115" spans="1:45" ht="15" customHeight="1" thickBot="1">
      <c r="A115" s="407"/>
      <c r="B115" s="407"/>
      <c r="C115" s="407"/>
      <c r="D115" s="407"/>
      <c r="E115" s="407"/>
      <c r="F115" s="407"/>
      <c r="G115" s="407"/>
      <c r="H115" s="407"/>
      <c r="I115" s="407"/>
      <c r="J115" s="407"/>
      <c r="K115" s="407"/>
      <c r="L115" s="407"/>
      <c r="M115" s="407"/>
      <c r="N115" s="407"/>
      <c r="O115" s="407"/>
      <c r="P115" s="407"/>
      <c r="Q115" s="407"/>
      <c r="R115" s="407"/>
      <c r="S115" s="407"/>
      <c r="T115" s="407"/>
      <c r="U115" s="407"/>
      <c r="V115" s="407"/>
      <c r="W115" s="407"/>
      <c r="X115" s="407"/>
      <c r="Y115" s="407"/>
      <c r="Z115" s="407"/>
      <c r="AA115" s="407"/>
      <c r="AB115" s="407"/>
      <c r="AC115" s="407"/>
      <c r="AD115" s="407"/>
      <c r="AE115" s="407"/>
      <c r="AF115" s="407"/>
      <c r="AG115" s="407"/>
      <c r="AH115" s="407"/>
      <c r="AI115" s="407"/>
      <c r="AJ115" s="407"/>
      <c r="AK115" s="985"/>
      <c r="AL115" s="986"/>
      <c r="AM115" s="986"/>
      <c r="AN115" s="986"/>
      <c r="AO115" s="986"/>
      <c r="AP115" s="986"/>
      <c r="AQ115" s="986"/>
      <c r="AR115" s="986"/>
      <c r="AS115" s="987"/>
    </row>
    <row r="116" spans="1:45" ht="15" customHeight="1" thickBot="1">
      <c r="A116" s="407"/>
      <c r="B116" s="407"/>
      <c r="C116" s="407"/>
      <c r="D116" s="407"/>
      <c r="E116" s="407"/>
      <c r="F116" s="407"/>
      <c r="G116" s="407"/>
      <c r="H116" s="407"/>
      <c r="I116" s="407"/>
      <c r="J116" s="407"/>
      <c r="K116" s="407"/>
      <c r="L116" s="407"/>
      <c r="M116" s="407"/>
      <c r="N116" s="407"/>
      <c r="O116" s="407"/>
      <c r="P116" s="407"/>
      <c r="Q116" s="407"/>
      <c r="R116" s="407"/>
      <c r="S116" s="407"/>
      <c r="T116" s="407"/>
      <c r="U116" s="407"/>
      <c r="V116" s="407"/>
      <c r="W116" s="407"/>
      <c r="X116" s="407"/>
      <c r="Y116" s="407"/>
      <c r="Z116" s="407"/>
      <c r="AA116" s="407"/>
      <c r="AB116" s="407"/>
      <c r="AC116" s="407"/>
      <c r="AD116" s="407"/>
      <c r="AE116" s="407"/>
      <c r="AF116" s="407"/>
      <c r="AG116" s="407"/>
      <c r="AH116" s="407"/>
      <c r="AI116" s="407"/>
      <c r="AJ116" s="407"/>
      <c r="AK116" s="985"/>
      <c r="AL116" s="986"/>
      <c r="AM116" s="986"/>
      <c r="AN116" s="986"/>
      <c r="AO116" s="986"/>
      <c r="AP116" s="986"/>
      <c r="AQ116" s="986"/>
      <c r="AR116" s="986"/>
      <c r="AS116" s="987"/>
    </row>
    <row r="117" spans="1:45" ht="15" customHeight="1" thickBot="1">
      <c r="A117" s="407"/>
      <c r="B117" s="407"/>
      <c r="C117" s="407"/>
      <c r="D117" s="407"/>
      <c r="E117" s="407"/>
      <c r="F117" s="407"/>
      <c r="G117" s="407"/>
      <c r="H117" s="407"/>
      <c r="I117" s="407"/>
      <c r="J117" s="407"/>
      <c r="K117" s="407"/>
      <c r="L117" s="407"/>
      <c r="M117" s="407"/>
      <c r="N117" s="407"/>
      <c r="O117" s="407"/>
      <c r="P117" s="407"/>
      <c r="Q117" s="407"/>
      <c r="R117" s="407"/>
      <c r="S117" s="407"/>
      <c r="T117" s="407"/>
      <c r="U117" s="407"/>
      <c r="V117" s="407"/>
      <c r="W117" s="407"/>
      <c r="X117" s="407"/>
      <c r="Y117" s="407"/>
      <c r="Z117" s="407"/>
      <c r="AA117" s="407"/>
      <c r="AB117" s="407"/>
      <c r="AC117" s="407"/>
      <c r="AD117" s="407"/>
      <c r="AE117" s="407"/>
      <c r="AF117" s="407"/>
      <c r="AG117" s="407"/>
      <c r="AH117" s="407"/>
      <c r="AI117" s="407"/>
      <c r="AJ117" s="407"/>
      <c r="AK117" s="985"/>
      <c r="AL117" s="986"/>
      <c r="AM117" s="986"/>
      <c r="AN117" s="986"/>
      <c r="AO117" s="986"/>
      <c r="AP117" s="986"/>
      <c r="AQ117" s="986"/>
      <c r="AR117" s="986"/>
      <c r="AS117" s="987"/>
    </row>
    <row r="118" spans="1:45" ht="15" customHeight="1" thickBot="1">
      <c r="A118" s="407"/>
      <c r="B118" s="407"/>
      <c r="C118" s="407"/>
      <c r="D118" s="407"/>
      <c r="E118" s="407"/>
      <c r="F118" s="407"/>
      <c r="G118" s="407"/>
      <c r="H118" s="407"/>
      <c r="I118" s="407"/>
      <c r="J118" s="407"/>
      <c r="K118" s="407"/>
      <c r="L118" s="407"/>
      <c r="M118" s="407"/>
      <c r="N118" s="407"/>
      <c r="O118" s="407"/>
      <c r="P118" s="407"/>
      <c r="Q118" s="407"/>
      <c r="R118" s="407"/>
      <c r="S118" s="407"/>
      <c r="T118" s="407"/>
      <c r="U118" s="407"/>
      <c r="V118" s="407"/>
      <c r="W118" s="407"/>
      <c r="X118" s="407"/>
      <c r="Y118" s="407"/>
      <c r="Z118" s="407"/>
      <c r="AA118" s="407"/>
      <c r="AB118" s="407"/>
      <c r="AC118" s="407"/>
      <c r="AD118" s="407"/>
      <c r="AE118" s="407"/>
      <c r="AF118" s="407"/>
      <c r="AG118" s="407"/>
      <c r="AH118" s="407"/>
      <c r="AI118" s="407"/>
      <c r="AJ118" s="407"/>
      <c r="AK118" s="985"/>
      <c r="AL118" s="986"/>
      <c r="AM118" s="986"/>
      <c r="AN118" s="986"/>
      <c r="AO118" s="986"/>
      <c r="AP118" s="986"/>
      <c r="AQ118" s="986"/>
      <c r="AR118" s="986"/>
      <c r="AS118" s="987"/>
    </row>
    <row r="119" spans="1:45" ht="15" customHeight="1" thickBot="1">
      <c r="A119" s="407"/>
      <c r="B119" s="407"/>
      <c r="C119" s="407"/>
      <c r="D119" s="407"/>
      <c r="E119" s="407"/>
      <c r="F119" s="407"/>
      <c r="G119" s="407"/>
      <c r="H119" s="407"/>
      <c r="I119" s="407"/>
      <c r="J119" s="407"/>
      <c r="K119" s="407"/>
      <c r="L119" s="407"/>
      <c r="M119" s="407"/>
      <c r="N119" s="407"/>
      <c r="O119" s="407"/>
      <c r="P119" s="407"/>
      <c r="Q119" s="407"/>
      <c r="R119" s="407"/>
      <c r="S119" s="407"/>
      <c r="T119" s="407"/>
      <c r="U119" s="407"/>
      <c r="V119" s="407"/>
      <c r="W119" s="407"/>
      <c r="X119" s="407"/>
      <c r="Y119" s="407"/>
      <c r="Z119" s="407"/>
      <c r="AA119" s="407"/>
      <c r="AB119" s="407"/>
      <c r="AC119" s="407"/>
      <c r="AD119" s="407"/>
      <c r="AE119" s="407"/>
      <c r="AF119" s="407"/>
      <c r="AG119" s="407"/>
      <c r="AH119" s="407"/>
      <c r="AI119" s="407"/>
      <c r="AJ119" s="407"/>
      <c r="AK119" s="985"/>
      <c r="AL119" s="986"/>
      <c r="AM119" s="986"/>
      <c r="AN119" s="986"/>
      <c r="AO119" s="986"/>
      <c r="AP119" s="986"/>
      <c r="AQ119" s="986"/>
      <c r="AR119" s="986"/>
      <c r="AS119" s="987"/>
    </row>
    <row r="120" spans="1:45" ht="15" customHeight="1" thickBot="1">
      <c r="A120" s="407"/>
      <c r="B120" s="407"/>
      <c r="C120" s="407"/>
      <c r="D120" s="407"/>
      <c r="E120" s="407"/>
      <c r="F120" s="407"/>
      <c r="G120" s="407"/>
      <c r="H120" s="407"/>
      <c r="I120" s="407"/>
      <c r="J120" s="407"/>
      <c r="K120" s="407"/>
      <c r="L120" s="407"/>
      <c r="M120" s="407"/>
      <c r="N120" s="407"/>
      <c r="O120" s="407"/>
      <c r="P120" s="407"/>
      <c r="Q120" s="407"/>
      <c r="R120" s="407"/>
      <c r="S120" s="407"/>
      <c r="T120" s="407"/>
      <c r="U120" s="407"/>
      <c r="V120" s="407"/>
      <c r="W120" s="407"/>
      <c r="X120" s="407"/>
      <c r="Y120" s="407"/>
      <c r="Z120" s="407"/>
      <c r="AA120" s="407"/>
      <c r="AB120" s="407"/>
      <c r="AC120" s="407"/>
      <c r="AD120" s="407"/>
      <c r="AE120" s="407"/>
      <c r="AF120" s="407"/>
      <c r="AG120" s="407"/>
      <c r="AH120" s="407"/>
      <c r="AI120" s="407"/>
      <c r="AJ120" s="407"/>
      <c r="AK120" s="985"/>
      <c r="AL120" s="986"/>
      <c r="AM120" s="986"/>
      <c r="AN120" s="986"/>
      <c r="AO120" s="986"/>
      <c r="AP120" s="986"/>
      <c r="AQ120" s="986"/>
      <c r="AR120" s="986"/>
      <c r="AS120" s="987"/>
    </row>
    <row r="121" spans="1:45" ht="15" customHeight="1" thickBot="1">
      <c r="A121" s="407"/>
      <c r="B121" s="407"/>
      <c r="C121" s="407"/>
      <c r="D121" s="407"/>
      <c r="E121" s="407"/>
      <c r="F121" s="407"/>
      <c r="G121" s="407"/>
      <c r="H121" s="407"/>
      <c r="I121" s="407"/>
      <c r="J121" s="407"/>
      <c r="K121" s="407"/>
      <c r="L121" s="407"/>
      <c r="M121" s="407"/>
      <c r="N121" s="407"/>
      <c r="O121" s="407"/>
      <c r="P121" s="407"/>
      <c r="Q121" s="407"/>
      <c r="R121" s="407"/>
      <c r="S121" s="407"/>
      <c r="T121" s="407"/>
      <c r="U121" s="407"/>
      <c r="V121" s="407"/>
      <c r="W121" s="407"/>
      <c r="X121" s="407"/>
      <c r="Y121" s="407"/>
      <c r="Z121" s="407"/>
      <c r="AA121" s="407"/>
      <c r="AB121" s="407"/>
      <c r="AC121" s="407"/>
      <c r="AD121" s="407"/>
      <c r="AE121" s="407"/>
      <c r="AF121" s="407"/>
      <c r="AG121" s="407"/>
      <c r="AH121" s="407"/>
      <c r="AI121" s="407"/>
      <c r="AJ121" s="407"/>
      <c r="AK121" s="985"/>
      <c r="AL121" s="986"/>
      <c r="AM121" s="986"/>
      <c r="AN121" s="986"/>
      <c r="AO121" s="986"/>
      <c r="AP121" s="986"/>
      <c r="AQ121" s="986"/>
      <c r="AR121" s="986"/>
      <c r="AS121" s="987"/>
    </row>
    <row r="122" spans="1:45" ht="15" customHeight="1" thickBot="1">
      <c r="A122" s="407"/>
      <c r="B122" s="407"/>
      <c r="C122" s="407"/>
      <c r="D122" s="407"/>
      <c r="E122" s="407"/>
      <c r="F122" s="407"/>
      <c r="G122" s="407"/>
      <c r="H122" s="407"/>
      <c r="I122" s="407"/>
      <c r="J122" s="407"/>
      <c r="K122" s="407"/>
      <c r="L122" s="407"/>
      <c r="M122" s="407"/>
      <c r="N122" s="407"/>
      <c r="O122" s="407"/>
      <c r="P122" s="407"/>
      <c r="Q122" s="407"/>
      <c r="R122" s="407"/>
      <c r="S122" s="407"/>
      <c r="T122" s="407"/>
      <c r="U122" s="407"/>
      <c r="V122" s="407"/>
      <c r="W122" s="407"/>
      <c r="X122" s="407"/>
      <c r="Y122" s="407"/>
      <c r="Z122" s="407"/>
      <c r="AA122" s="407"/>
      <c r="AB122" s="407"/>
      <c r="AC122" s="407"/>
      <c r="AD122" s="407"/>
      <c r="AE122" s="407"/>
      <c r="AF122" s="407"/>
      <c r="AG122" s="407"/>
      <c r="AH122" s="407"/>
      <c r="AI122" s="407"/>
      <c r="AJ122" s="407"/>
      <c r="AK122" s="985"/>
      <c r="AL122" s="986"/>
      <c r="AM122" s="986"/>
      <c r="AN122" s="986"/>
      <c r="AO122" s="986"/>
      <c r="AP122" s="986"/>
      <c r="AQ122" s="986"/>
      <c r="AR122" s="986"/>
      <c r="AS122" s="987"/>
    </row>
    <row r="123" spans="1:45" ht="9.75" customHeight="1" thickBot="1">
      <c r="A123" s="407"/>
      <c r="B123" s="407"/>
      <c r="C123" s="407"/>
      <c r="D123" s="407"/>
      <c r="E123" s="407"/>
      <c r="F123" s="407"/>
      <c r="G123" s="407"/>
      <c r="H123" s="407"/>
      <c r="I123" s="407"/>
      <c r="J123" s="407"/>
      <c r="K123" s="407"/>
      <c r="L123" s="407"/>
      <c r="M123" s="407"/>
      <c r="N123" s="407"/>
      <c r="O123" s="407"/>
      <c r="P123" s="407"/>
      <c r="Q123" s="407"/>
      <c r="R123" s="407"/>
      <c r="S123" s="407"/>
      <c r="T123" s="407"/>
      <c r="U123" s="407"/>
      <c r="V123" s="407"/>
      <c r="W123" s="407"/>
      <c r="X123" s="407"/>
      <c r="Y123" s="407"/>
      <c r="Z123" s="407"/>
      <c r="AA123" s="407"/>
      <c r="AB123" s="407"/>
      <c r="AC123" s="407"/>
      <c r="AD123" s="407"/>
      <c r="AE123" s="407"/>
      <c r="AF123" s="407"/>
      <c r="AG123" s="407"/>
      <c r="AH123" s="407"/>
      <c r="AI123" s="407"/>
      <c r="AJ123" s="407"/>
      <c r="AK123" s="985"/>
      <c r="AL123" s="986"/>
      <c r="AM123" s="986"/>
      <c r="AN123" s="986"/>
      <c r="AO123" s="986"/>
      <c r="AP123" s="986"/>
      <c r="AQ123" s="986"/>
      <c r="AR123" s="986"/>
      <c r="AS123" s="987"/>
    </row>
    <row r="124" spans="1:45" ht="15" hidden="1" customHeight="1">
      <c r="A124" s="407"/>
      <c r="B124" s="407"/>
      <c r="C124" s="407"/>
      <c r="D124" s="407"/>
      <c r="E124" s="407"/>
      <c r="F124" s="407"/>
      <c r="G124" s="407"/>
      <c r="H124" s="407"/>
      <c r="I124" s="407"/>
      <c r="J124" s="407"/>
      <c r="K124" s="407"/>
      <c r="L124" s="407"/>
      <c r="M124" s="407"/>
      <c r="N124" s="407"/>
      <c r="O124" s="407"/>
      <c r="P124" s="407"/>
      <c r="Q124" s="407"/>
      <c r="R124" s="407"/>
      <c r="S124" s="407"/>
      <c r="T124" s="407"/>
      <c r="U124" s="407"/>
      <c r="V124" s="407"/>
      <c r="W124" s="407"/>
      <c r="X124" s="407"/>
      <c r="Y124" s="407"/>
      <c r="Z124" s="407"/>
      <c r="AA124" s="407"/>
      <c r="AB124" s="407"/>
      <c r="AC124" s="407"/>
      <c r="AD124" s="407"/>
      <c r="AE124" s="407"/>
      <c r="AF124" s="407"/>
      <c r="AG124" s="407"/>
      <c r="AH124" s="407"/>
      <c r="AI124" s="407"/>
      <c r="AJ124" s="407"/>
      <c r="AK124" s="985"/>
      <c r="AL124" s="986"/>
      <c r="AM124" s="986"/>
      <c r="AN124" s="986"/>
      <c r="AO124" s="986"/>
      <c r="AP124" s="986"/>
      <c r="AQ124" s="986"/>
      <c r="AR124" s="986"/>
      <c r="AS124" s="987"/>
    </row>
    <row r="125" spans="1:45" ht="15" customHeight="1" thickBot="1">
      <c r="A125" s="407"/>
      <c r="B125" s="407"/>
      <c r="C125" s="407"/>
      <c r="D125" s="407"/>
      <c r="E125" s="407"/>
      <c r="F125" s="407"/>
      <c r="G125" s="407"/>
      <c r="H125" s="407"/>
      <c r="I125" s="407"/>
      <c r="J125" s="407"/>
      <c r="K125" s="407"/>
      <c r="L125" s="407"/>
      <c r="M125" s="407"/>
      <c r="N125" s="407"/>
      <c r="O125" s="407"/>
      <c r="P125" s="407"/>
      <c r="Q125" s="407"/>
      <c r="R125" s="407"/>
      <c r="S125" s="407"/>
      <c r="T125" s="407"/>
      <c r="U125" s="407"/>
      <c r="V125" s="407"/>
      <c r="W125" s="407"/>
      <c r="X125" s="407"/>
      <c r="Y125" s="407"/>
      <c r="Z125" s="407"/>
      <c r="AA125" s="407"/>
      <c r="AB125" s="407"/>
      <c r="AC125" s="407"/>
      <c r="AD125" s="407"/>
      <c r="AE125" s="407"/>
      <c r="AF125" s="407"/>
      <c r="AG125" s="407"/>
      <c r="AH125" s="407"/>
      <c r="AI125" s="407"/>
      <c r="AJ125" s="407"/>
      <c r="AK125" s="985"/>
      <c r="AL125" s="986"/>
      <c r="AM125" s="986"/>
      <c r="AN125" s="986"/>
      <c r="AO125" s="986"/>
      <c r="AP125" s="986"/>
      <c r="AQ125" s="986"/>
      <c r="AR125" s="986"/>
      <c r="AS125" s="987"/>
    </row>
    <row r="126" spans="1:45" ht="15" customHeight="1" thickBot="1">
      <c r="A126" s="407"/>
      <c r="B126" s="407"/>
      <c r="C126" s="407"/>
      <c r="D126" s="407"/>
      <c r="E126" s="407"/>
      <c r="F126" s="407"/>
      <c r="G126" s="407"/>
      <c r="H126" s="407"/>
      <c r="I126" s="407"/>
      <c r="J126" s="407"/>
      <c r="K126" s="407"/>
      <c r="L126" s="407"/>
      <c r="M126" s="407"/>
      <c r="N126" s="407"/>
      <c r="O126" s="407"/>
      <c r="P126" s="407"/>
      <c r="Q126" s="407"/>
      <c r="R126" s="407"/>
      <c r="S126" s="407"/>
      <c r="T126" s="407"/>
      <c r="U126" s="407"/>
      <c r="V126" s="407"/>
      <c r="W126" s="407"/>
      <c r="X126" s="407"/>
      <c r="Y126" s="407"/>
      <c r="Z126" s="407"/>
      <c r="AA126" s="407"/>
      <c r="AB126" s="407"/>
      <c r="AC126" s="407"/>
      <c r="AD126" s="407"/>
      <c r="AE126" s="407"/>
      <c r="AF126" s="407"/>
      <c r="AG126" s="407"/>
      <c r="AH126" s="407"/>
      <c r="AI126" s="407"/>
      <c r="AJ126" s="407"/>
      <c r="AK126" s="985"/>
      <c r="AL126" s="986"/>
      <c r="AM126" s="986"/>
      <c r="AN126" s="986"/>
      <c r="AO126" s="986"/>
      <c r="AP126" s="986"/>
      <c r="AQ126" s="986"/>
      <c r="AR126" s="986"/>
      <c r="AS126" s="987"/>
    </row>
    <row r="127" spans="1:45" ht="15" customHeight="1" thickBot="1">
      <c r="A127" s="407"/>
      <c r="B127" s="407"/>
      <c r="C127" s="407"/>
      <c r="D127" s="407"/>
      <c r="E127" s="407"/>
      <c r="F127" s="407"/>
      <c r="G127" s="407"/>
      <c r="H127" s="407"/>
      <c r="I127" s="407"/>
      <c r="J127" s="407"/>
      <c r="K127" s="407"/>
      <c r="L127" s="407"/>
      <c r="M127" s="407"/>
      <c r="N127" s="407"/>
      <c r="O127" s="407"/>
      <c r="P127" s="407"/>
      <c r="Q127" s="407"/>
      <c r="R127" s="407"/>
      <c r="S127" s="407"/>
      <c r="T127" s="407"/>
      <c r="U127" s="407"/>
      <c r="V127" s="407"/>
      <c r="W127" s="407"/>
      <c r="X127" s="407"/>
      <c r="Y127" s="407"/>
      <c r="Z127" s="407"/>
      <c r="AA127" s="407"/>
      <c r="AB127" s="407"/>
      <c r="AC127" s="407"/>
      <c r="AD127" s="407"/>
      <c r="AE127" s="407"/>
      <c r="AF127" s="407"/>
      <c r="AG127" s="407"/>
      <c r="AH127" s="407"/>
      <c r="AI127" s="407"/>
      <c r="AJ127" s="407"/>
      <c r="AK127" s="985"/>
      <c r="AL127" s="986"/>
      <c r="AM127" s="986"/>
      <c r="AN127" s="986"/>
      <c r="AO127" s="986"/>
      <c r="AP127" s="986"/>
      <c r="AQ127" s="986"/>
      <c r="AR127" s="986"/>
      <c r="AS127" s="987"/>
    </row>
    <row r="128" spans="1:45" ht="15" customHeight="1" thickBot="1">
      <c r="A128" s="407"/>
      <c r="B128" s="407"/>
      <c r="C128" s="407"/>
      <c r="D128" s="407"/>
      <c r="E128" s="407"/>
      <c r="F128" s="407"/>
      <c r="G128" s="407"/>
      <c r="H128" s="407"/>
      <c r="I128" s="407"/>
      <c r="J128" s="407"/>
      <c r="K128" s="407"/>
      <c r="L128" s="407"/>
      <c r="M128" s="407"/>
      <c r="N128" s="407"/>
      <c r="O128" s="407"/>
      <c r="P128" s="407"/>
      <c r="Q128" s="407"/>
      <c r="R128" s="407"/>
      <c r="S128" s="407"/>
      <c r="T128" s="407"/>
      <c r="U128" s="407"/>
      <c r="V128" s="407"/>
      <c r="W128" s="407"/>
      <c r="X128" s="407"/>
      <c r="Y128" s="407"/>
      <c r="Z128" s="407"/>
      <c r="AA128" s="407"/>
      <c r="AB128" s="407"/>
      <c r="AC128" s="407"/>
      <c r="AD128" s="407"/>
      <c r="AE128" s="407"/>
      <c r="AF128" s="407"/>
      <c r="AG128" s="407"/>
      <c r="AH128" s="407"/>
      <c r="AI128" s="407"/>
      <c r="AJ128" s="407"/>
      <c r="AK128" s="985"/>
      <c r="AL128" s="986"/>
      <c r="AM128" s="986"/>
      <c r="AN128" s="986"/>
      <c r="AO128" s="986"/>
      <c r="AP128" s="986"/>
      <c r="AQ128" s="986"/>
      <c r="AR128" s="986"/>
      <c r="AS128" s="987"/>
    </row>
    <row r="129" spans="1:45" ht="15" customHeight="1" thickBot="1">
      <c r="A129" s="407"/>
      <c r="B129" s="407"/>
      <c r="C129" s="407"/>
      <c r="D129" s="407"/>
      <c r="E129" s="407"/>
      <c r="F129" s="407"/>
      <c r="G129" s="407"/>
      <c r="H129" s="407"/>
      <c r="I129" s="407"/>
      <c r="J129" s="407"/>
      <c r="K129" s="407"/>
      <c r="L129" s="407"/>
      <c r="M129" s="407"/>
      <c r="N129" s="407"/>
      <c r="O129" s="407"/>
      <c r="P129" s="407"/>
      <c r="Q129" s="407"/>
      <c r="R129" s="407"/>
      <c r="S129" s="407"/>
      <c r="T129" s="407"/>
      <c r="U129" s="407"/>
      <c r="V129" s="407"/>
      <c r="W129" s="407"/>
      <c r="X129" s="407"/>
      <c r="Y129" s="407"/>
      <c r="Z129" s="407"/>
      <c r="AA129" s="407"/>
      <c r="AB129" s="407"/>
      <c r="AC129" s="407"/>
      <c r="AD129" s="407"/>
      <c r="AE129" s="407"/>
      <c r="AF129" s="407"/>
      <c r="AG129" s="407"/>
      <c r="AH129" s="407"/>
      <c r="AI129" s="407"/>
      <c r="AJ129" s="407"/>
      <c r="AK129" s="985"/>
      <c r="AL129" s="986"/>
      <c r="AM129" s="986"/>
      <c r="AN129" s="986"/>
      <c r="AO129" s="986"/>
      <c r="AP129" s="986"/>
      <c r="AQ129" s="986"/>
      <c r="AR129" s="986"/>
      <c r="AS129" s="987"/>
    </row>
    <row r="130" spans="1:45" ht="15" customHeight="1" thickBot="1">
      <c r="A130" s="407"/>
      <c r="B130" s="407"/>
      <c r="C130" s="407"/>
      <c r="D130" s="407"/>
      <c r="E130" s="407"/>
      <c r="F130" s="407"/>
      <c r="G130" s="407"/>
      <c r="H130" s="407"/>
      <c r="I130" s="407"/>
      <c r="J130" s="407"/>
      <c r="K130" s="407"/>
      <c r="L130" s="407"/>
      <c r="M130" s="407"/>
      <c r="N130" s="407"/>
      <c r="O130" s="407"/>
      <c r="P130" s="407"/>
      <c r="Q130" s="407"/>
      <c r="R130" s="407"/>
      <c r="S130" s="407"/>
      <c r="T130" s="407"/>
      <c r="U130" s="407"/>
      <c r="V130" s="407"/>
      <c r="W130" s="407"/>
      <c r="X130" s="407"/>
      <c r="Y130" s="407"/>
      <c r="Z130" s="407"/>
      <c r="AA130" s="407"/>
      <c r="AB130" s="407"/>
      <c r="AC130" s="407"/>
      <c r="AD130" s="407"/>
      <c r="AE130" s="407"/>
      <c r="AF130" s="407"/>
      <c r="AG130" s="407"/>
      <c r="AH130" s="407"/>
      <c r="AI130" s="407"/>
      <c r="AJ130" s="407"/>
      <c r="AK130" s="985"/>
      <c r="AL130" s="986"/>
      <c r="AM130" s="986"/>
      <c r="AN130" s="986"/>
      <c r="AO130" s="986"/>
      <c r="AP130" s="986"/>
      <c r="AQ130" s="986"/>
      <c r="AR130" s="986"/>
      <c r="AS130" s="987"/>
    </row>
    <row r="131" spans="1:45" ht="15" customHeight="1" thickBot="1">
      <c r="A131" s="407"/>
      <c r="B131" s="407"/>
      <c r="C131" s="407"/>
      <c r="D131" s="407"/>
      <c r="E131" s="407"/>
      <c r="F131" s="407"/>
      <c r="G131" s="407"/>
      <c r="H131" s="407"/>
      <c r="I131" s="407"/>
      <c r="J131" s="407"/>
      <c r="K131" s="407"/>
      <c r="L131" s="407"/>
      <c r="M131" s="407"/>
      <c r="N131" s="407"/>
      <c r="O131" s="407"/>
      <c r="P131" s="407"/>
      <c r="Q131" s="407"/>
      <c r="R131" s="407"/>
      <c r="S131" s="407"/>
      <c r="T131" s="407"/>
      <c r="U131" s="407"/>
      <c r="V131" s="407"/>
      <c r="W131" s="407"/>
      <c r="X131" s="407"/>
      <c r="Y131" s="407"/>
      <c r="Z131" s="407"/>
      <c r="AA131" s="407"/>
      <c r="AB131" s="407"/>
      <c r="AC131" s="407"/>
      <c r="AD131" s="407"/>
      <c r="AE131" s="407"/>
      <c r="AF131" s="407"/>
      <c r="AG131" s="407"/>
      <c r="AH131" s="407"/>
      <c r="AI131" s="407"/>
      <c r="AJ131" s="407"/>
      <c r="AK131" s="985"/>
      <c r="AL131" s="986"/>
      <c r="AM131" s="986"/>
      <c r="AN131" s="986"/>
      <c r="AO131" s="986"/>
      <c r="AP131" s="986"/>
      <c r="AQ131" s="986"/>
      <c r="AR131" s="986"/>
      <c r="AS131" s="987"/>
    </row>
    <row r="132" spans="1:45" ht="15" customHeight="1" thickBot="1">
      <c r="A132" s="407"/>
      <c r="B132" s="407"/>
      <c r="C132" s="407"/>
      <c r="D132" s="407"/>
      <c r="E132" s="407"/>
      <c r="F132" s="407"/>
      <c r="G132" s="407"/>
      <c r="H132" s="407"/>
      <c r="I132" s="407"/>
      <c r="J132" s="407"/>
      <c r="K132" s="407"/>
      <c r="L132" s="407"/>
      <c r="M132" s="407"/>
      <c r="N132" s="407"/>
      <c r="O132" s="407"/>
      <c r="P132" s="407"/>
      <c r="Q132" s="407"/>
      <c r="R132" s="407"/>
      <c r="S132" s="407"/>
      <c r="T132" s="407"/>
      <c r="U132" s="407"/>
      <c r="V132" s="407"/>
      <c r="W132" s="407"/>
      <c r="X132" s="407"/>
      <c r="Y132" s="407"/>
      <c r="Z132" s="407"/>
      <c r="AA132" s="407"/>
      <c r="AB132" s="407"/>
      <c r="AC132" s="407"/>
      <c r="AD132" s="407"/>
      <c r="AE132" s="407"/>
      <c r="AF132" s="407"/>
      <c r="AG132" s="407"/>
      <c r="AH132" s="407"/>
      <c r="AI132" s="407"/>
      <c r="AJ132" s="407"/>
      <c r="AK132" s="985"/>
      <c r="AL132" s="986"/>
      <c r="AM132" s="986"/>
      <c r="AN132" s="986"/>
      <c r="AO132" s="986"/>
      <c r="AP132" s="986"/>
      <c r="AQ132" s="986"/>
      <c r="AR132" s="986"/>
      <c r="AS132" s="987"/>
    </row>
    <row r="133" spans="1:45" ht="15" customHeight="1" thickBot="1">
      <c r="A133" s="407"/>
      <c r="B133" s="407"/>
      <c r="C133" s="407"/>
      <c r="D133" s="407"/>
      <c r="E133" s="407"/>
      <c r="F133" s="407"/>
      <c r="G133" s="407"/>
      <c r="H133" s="407"/>
      <c r="I133" s="407"/>
      <c r="J133" s="407"/>
      <c r="K133" s="407"/>
      <c r="L133" s="407"/>
      <c r="M133" s="407"/>
      <c r="N133" s="407"/>
      <c r="O133" s="407"/>
      <c r="P133" s="407"/>
      <c r="Q133" s="407"/>
      <c r="R133" s="407"/>
      <c r="S133" s="407"/>
      <c r="T133" s="407"/>
      <c r="U133" s="407"/>
      <c r="V133" s="407"/>
      <c r="W133" s="407"/>
      <c r="X133" s="407"/>
      <c r="Y133" s="407"/>
      <c r="Z133" s="407"/>
      <c r="AA133" s="407"/>
      <c r="AB133" s="407"/>
      <c r="AC133" s="407"/>
      <c r="AD133" s="407"/>
      <c r="AE133" s="407"/>
      <c r="AF133" s="407"/>
      <c r="AG133" s="407"/>
      <c r="AH133" s="407"/>
      <c r="AI133" s="407"/>
      <c r="AJ133" s="407"/>
      <c r="AK133" s="985"/>
      <c r="AL133" s="986"/>
      <c r="AM133" s="986"/>
      <c r="AN133" s="986"/>
      <c r="AO133" s="986"/>
      <c r="AP133" s="986"/>
      <c r="AQ133" s="986"/>
      <c r="AR133" s="986"/>
      <c r="AS133" s="987"/>
    </row>
    <row r="134" spans="1:45" ht="15" customHeight="1">
      <c r="AK134" s="403"/>
      <c r="AL134" s="403"/>
      <c r="AM134" s="403"/>
      <c r="AN134" s="403"/>
      <c r="AO134" s="403"/>
      <c r="AP134" s="403"/>
      <c r="AQ134" s="403"/>
      <c r="AR134" s="403"/>
      <c r="AS134" s="403"/>
    </row>
    <row r="135" spans="1:45" ht="15" customHeight="1">
      <c r="AK135" s="403"/>
      <c r="AL135" s="403"/>
      <c r="AM135" s="403"/>
      <c r="AN135" s="403"/>
      <c r="AO135" s="403"/>
      <c r="AP135" s="403"/>
      <c r="AQ135" s="403"/>
      <c r="AR135" s="403"/>
      <c r="AS135" s="403"/>
    </row>
    <row r="136" spans="1:45" ht="15" customHeight="1">
      <c r="AK136" s="403"/>
      <c r="AL136" s="403"/>
      <c r="AM136" s="403"/>
      <c r="AN136" s="403"/>
      <c r="AO136" s="403"/>
      <c r="AP136" s="403"/>
      <c r="AQ136" s="403"/>
      <c r="AR136" s="403"/>
      <c r="AS136" s="403"/>
    </row>
    <row r="137" spans="1:45" ht="15" customHeight="1">
      <c r="AK137" s="403"/>
      <c r="AL137" s="403"/>
      <c r="AM137" s="403"/>
      <c r="AN137" s="403"/>
      <c r="AO137" s="403"/>
      <c r="AP137" s="403"/>
      <c r="AQ137" s="403"/>
      <c r="AR137" s="403"/>
      <c r="AS137" s="403"/>
    </row>
    <row r="138" spans="1:45" ht="15" customHeight="1">
      <c r="AK138" s="403"/>
      <c r="AL138" s="403"/>
      <c r="AM138" s="403"/>
      <c r="AN138" s="403"/>
      <c r="AO138" s="403"/>
      <c r="AP138" s="403"/>
      <c r="AQ138" s="403"/>
      <c r="AR138" s="403"/>
      <c r="AS138" s="403"/>
    </row>
    <row r="139" spans="1:45" ht="15" customHeight="1">
      <c r="AK139" s="403"/>
      <c r="AL139" s="403"/>
      <c r="AM139" s="403"/>
      <c r="AN139" s="403"/>
      <c r="AO139" s="403"/>
      <c r="AP139" s="403"/>
      <c r="AQ139" s="403"/>
      <c r="AR139" s="403"/>
      <c r="AS139" s="403"/>
    </row>
    <row r="140" spans="1:45" ht="15" customHeight="1">
      <c r="AK140" s="403"/>
      <c r="AL140" s="403"/>
      <c r="AM140" s="403"/>
      <c r="AN140" s="403"/>
      <c r="AO140" s="403"/>
      <c r="AP140" s="403"/>
      <c r="AQ140" s="403"/>
      <c r="AR140" s="403"/>
      <c r="AS140" s="403"/>
    </row>
    <row r="141" spans="1:45" ht="15" customHeight="1">
      <c r="AK141" s="403"/>
      <c r="AL141" s="403"/>
      <c r="AM141" s="403"/>
      <c r="AN141" s="403"/>
      <c r="AO141" s="403"/>
      <c r="AP141" s="403"/>
      <c r="AQ141" s="403"/>
      <c r="AR141" s="403"/>
      <c r="AS141" s="403"/>
    </row>
    <row r="142" spans="1:45" ht="15" customHeight="1">
      <c r="AK142" s="403"/>
      <c r="AL142" s="403"/>
      <c r="AM142" s="403"/>
      <c r="AN142" s="403"/>
      <c r="AO142" s="403"/>
      <c r="AP142" s="403"/>
      <c r="AQ142" s="403"/>
      <c r="AR142" s="403"/>
      <c r="AS142" s="403"/>
    </row>
    <row r="143" spans="1:45" ht="15" customHeight="1">
      <c r="AK143" s="403"/>
      <c r="AL143" s="403"/>
      <c r="AM143" s="403"/>
      <c r="AN143" s="403"/>
      <c r="AO143" s="403"/>
      <c r="AP143" s="403"/>
      <c r="AQ143" s="403"/>
      <c r="AR143" s="403"/>
      <c r="AS143" s="403"/>
    </row>
    <row r="144" spans="1:45" ht="15" customHeight="1">
      <c r="AK144" s="403"/>
      <c r="AL144" s="403"/>
      <c r="AM144" s="403"/>
      <c r="AN144" s="403"/>
      <c r="AO144" s="403"/>
      <c r="AP144" s="403"/>
      <c r="AQ144" s="403"/>
      <c r="AR144" s="403"/>
      <c r="AS144" s="403"/>
    </row>
    <row r="145" spans="37:45" ht="15" customHeight="1">
      <c r="AK145" s="403"/>
      <c r="AL145" s="403"/>
      <c r="AM145" s="403"/>
      <c r="AN145" s="403"/>
      <c r="AO145" s="403"/>
      <c r="AP145" s="403"/>
      <c r="AQ145" s="403"/>
      <c r="AR145" s="403"/>
      <c r="AS145" s="403"/>
    </row>
    <row r="146" spans="37:45" ht="15" customHeight="1">
      <c r="AK146" s="403"/>
      <c r="AL146" s="403"/>
      <c r="AM146" s="403"/>
      <c r="AN146" s="403"/>
      <c r="AO146" s="403"/>
      <c r="AP146" s="403"/>
      <c r="AQ146" s="403"/>
      <c r="AR146" s="403"/>
      <c r="AS146" s="403"/>
    </row>
    <row r="147" spans="37:45" ht="15" customHeight="1">
      <c r="AK147" s="403"/>
      <c r="AL147" s="403"/>
      <c r="AM147" s="403"/>
      <c r="AN147" s="403"/>
      <c r="AO147" s="403"/>
      <c r="AP147" s="403"/>
      <c r="AQ147" s="403"/>
      <c r="AR147" s="403"/>
      <c r="AS147" s="403"/>
    </row>
    <row r="148" spans="37:45" ht="15" customHeight="1">
      <c r="AK148" s="403"/>
      <c r="AL148" s="403"/>
      <c r="AM148" s="403"/>
      <c r="AN148" s="403"/>
      <c r="AO148" s="403"/>
      <c r="AP148" s="403"/>
      <c r="AQ148" s="403"/>
      <c r="AR148" s="403"/>
      <c r="AS148" s="403"/>
    </row>
    <row r="149" spans="37:45" ht="15" customHeight="1">
      <c r="AK149" s="403"/>
      <c r="AL149" s="403"/>
      <c r="AM149" s="403"/>
      <c r="AN149" s="403"/>
      <c r="AO149" s="403"/>
      <c r="AP149" s="403"/>
      <c r="AQ149" s="403"/>
      <c r="AR149" s="403"/>
      <c r="AS149" s="403"/>
    </row>
    <row r="150" spans="37:45" ht="15" customHeight="1">
      <c r="AK150" s="403"/>
      <c r="AL150" s="403"/>
      <c r="AM150" s="403"/>
      <c r="AN150" s="403"/>
      <c r="AO150" s="403"/>
      <c r="AP150" s="403"/>
      <c r="AQ150" s="403"/>
      <c r="AR150" s="403"/>
      <c r="AS150" s="403"/>
    </row>
    <row r="151" spans="37:45" ht="15" customHeight="1">
      <c r="AK151" s="403"/>
      <c r="AL151" s="403"/>
      <c r="AM151" s="403"/>
      <c r="AN151" s="403"/>
      <c r="AO151" s="403"/>
      <c r="AP151" s="403"/>
      <c r="AQ151" s="403"/>
      <c r="AR151" s="403"/>
      <c r="AS151" s="403"/>
    </row>
    <row r="152" spans="37:45" ht="15" customHeight="1">
      <c r="AK152" s="403"/>
      <c r="AL152" s="403"/>
      <c r="AM152" s="403"/>
      <c r="AN152" s="403"/>
      <c r="AO152" s="403"/>
      <c r="AP152" s="403"/>
      <c r="AQ152" s="403"/>
      <c r="AR152" s="403"/>
      <c r="AS152" s="403"/>
    </row>
    <row r="153" spans="37:45" ht="15" customHeight="1">
      <c r="AK153" s="403"/>
      <c r="AL153" s="403"/>
      <c r="AM153" s="403"/>
      <c r="AN153" s="403"/>
      <c r="AO153" s="403"/>
      <c r="AP153" s="403"/>
      <c r="AQ153" s="403"/>
      <c r="AR153" s="403"/>
      <c r="AS153" s="403"/>
    </row>
    <row r="154" spans="37:45" ht="15" customHeight="1">
      <c r="AK154" s="403"/>
      <c r="AL154" s="403"/>
      <c r="AM154" s="403"/>
      <c r="AN154" s="403"/>
      <c r="AO154" s="403"/>
      <c r="AP154" s="403"/>
      <c r="AQ154" s="403"/>
      <c r="AR154" s="403"/>
      <c r="AS154" s="403"/>
    </row>
    <row r="155" spans="37:45" ht="15" customHeight="1">
      <c r="AK155" s="403"/>
      <c r="AL155" s="403"/>
      <c r="AM155" s="403"/>
      <c r="AN155" s="403"/>
      <c r="AO155" s="403"/>
      <c r="AP155" s="403"/>
      <c r="AQ155" s="403"/>
      <c r="AR155" s="403"/>
      <c r="AS155" s="403"/>
    </row>
    <row r="156" spans="37:45" ht="15" customHeight="1">
      <c r="AK156" s="403"/>
      <c r="AL156" s="403"/>
      <c r="AM156" s="403"/>
      <c r="AN156" s="403"/>
      <c r="AO156" s="403"/>
      <c r="AP156" s="403"/>
      <c r="AQ156" s="403"/>
      <c r="AR156" s="403"/>
      <c r="AS156" s="403"/>
    </row>
    <row r="157" spans="37:45" ht="15" customHeight="1">
      <c r="AK157" s="403"/>
      <c r="AL157" s="403"/>
      <c r="AM157" s="403"/>
      <c r="AN157" s="403"/>
      <c r="AO157" s="403"/>
      <c r="AP157" s="403"/>
      <c r="AQ157" s="403"/>
      <c r="AR157" s="403"/>
      <c r="AS157" s="403"/>
    </row>
    <row r="158" spans="37:45" ht="15" customHeight="1">
      <c r="AK158" s="403"/>
      <c r="AL158" s="403"/>
      <c r="AM158" s="403"/>
      <c r="AN158" s="403"/>
      <c r="AO158" s="403"/>
      <c r="AP158" s="403"/>
      <c r="AQ158" s="403"/>
      <c r="AR158" s="403"/>
      <c r="AS158" s="403"/>
    </row>
    <row r="159" spans="37:45" ht="15" customHeight="1">
      <c r="AK159" s="403"/>
      <c r="AL159" s="403"/>
      <c r="AM159" s="403"/>
      <c r="AN159" s="403"/>
      <c r="AO159" s="403"/>
      <c r="AP159" s="403"/>
      <c r="AQ159" s="403"/>
      <c r="AR159" s="403"/>
      <c r="AS159" s="403"/>
    </row>
    <row r="160" spans="37:45" ht="15" customHeight="1">
      <c r="AK160" s="403"/>
      <c r="AL160" s="403"/>
      <c r="AM160" s="403"/>
      <c r="AN160" s="403"/>
      <c r="AO160" s="403"/>
      <c r="AP160" s="403"/>
      <c r="AQ160" s="403"/>
      <c r="AR160" s="403"/>
      <c r="AS160" s="403"/>
    </row>
    <row r="161" spans="37:45" ht="15" customHeight="1">
      <c r="AK161" s="403"/>
      <c r="AL161" s="403"/>
      <c r="AM161" s="403"/>
      <c r="AN161" s="403"/>
      <c r="AO161" s="403"/>
      <c r="AP161" s="403"/>
      <c r="AQ161" s="403"/>
      <c r="AR161" s="403"/>
      <c r="AS161" s="403"/>
    </row>
    <row r="162" spans="37:45" ht="15" customHeight="1">
      <c r="AK162" s="403"/>
      <c r="AL162" s="403"/>
      <c r="AM162" s="403"/>
      <c r="AN162" s="403"/>
      <c r="AO162" s="403"/>
      <c r="AP162" s="403"/>
      <c r="AQ162" s="403"/>
      <c r="AR162" s="403"/>
      <c r="AS162" s="403"/>
    </row>
    <row r="163" spans="37:45" ht="15" customHeight="1">
      <c r="AK163" s="403"/>
      <c r="AL163" s="403"/>
      <c r="AM163" s="403"/>
      <c r="AN163" s="403"/>
      <c r="AO163" s="403"/>
      <c r="AP163" s="403"/>
      <c r="AQ163" s="403"/>
      <c r="AR163" s="403"/>
      <c r="AS163" s="403"/>
    </row>
    <row r="164" spans="37:45" ht="15" customHeight="1">
      <c r="AK164" s="403"/>
      <c r="AL164" s="403"/>
      <c r="AM164" s="403"/>
      <c r="AN164" s="403"/>
      <c r="AO164" s="403"/>
      <c r="AP164" s="403"/>
      <c r="AQ164" s="403"/>
      <c r="AR164" s="403"/>
      <c r="AS164" s="403"/>
    </row>
    <row r="165" spans="37:45" ht="15" customHeight="1">
      <c r="AK165" s="403"/>
      <c r="AL165" s="403"/>
      <c r="AM165" s="403"/>
      <c r="AN165" s="403"/>
      <c r="AO165" s="403"/>
      <c r="AP165" s="403"/>
      <c r="AQ165" s="403"/>
      <c r="AR165" s="403"/>
      <c r="AS165" s="403"/>
    </row>
    <row r="166" spans="37:45" ht="15" customHeight="1">
      <c r="AK166" s="403"/>
      <c r="AL166" s="403"/>
      <c r="AM166" s="403"/>
      <c r="AN166" s="403"/>
      <c r="AO166" s="403"/>
      <c r="AP166" s="403"/>
      <c r="AQ166" s="403"/>
      <c r="AR166" s="403"/>
      <c r="AS166" s="403"/>
    </row>
    <row r="167" spans="37:45" ht="15" customHeight="1">
      <c r="AK167" s="403"/>
      <c r="AL167" s="403"/>
      <c r="AM167" s="403"/>
      <c r="AN167" s="403"/>
      <c r="AO167" s="403"/>
      <c r="AP167" s="403"/>
      <c r="AQ167" s="403"/>
      <c r="AR167" s="403"/>
      <c r="AS167" s="403"/>
    </row>
    <row r="168" spans="37:45" ht="15" customHeight="1">
      <c r="AK168" s="403"/>
      <c r="AL168" s="403"/>
      <c r="AM168" s="403"/>
      <c r="AN168" s="403"/>
      <c r="AO168" s="403"/>
      <c r="AP168" s="403"/>
      <c r="AQ168" s="403"/>
      <c r="AR168" s="403"/>
      <c r="AS168" s="403"/>
    </row>
    <row r="169" spans="37:45" ht="15" customHeight="1">
      <c r="AK169" s="403"/>
      <c r="AL169" s="403"/>
      <c r="AM169" s="403"/>
      <c r="AN169" s="403"/>
      <c r="AO169" s="403"/>
      <c r="AP169" s="403"/>
      <c r="AQ169" s="403"/>
      <c r="AR169" s="403"/>
      <c r="AS169" s="403"/>
    </row>
    <row r="170" spans="37:45" ht="15" customHeight="1">
      <c r="AK170" s="403"/>
      <c r="AL170" s="403"/>
      <c r="AM170" s="403"/>
      <c r="AN170" s="403"/>
      <c r="AO170" s="403"/>
      <c r="AP170" s="403"/>
      <c r="AQ170" s="403"/>
      <c r="AR170" s="403"/>
      <c r="AS170" s="403"/>
    </row>
    <row r="171" spans="37:45" ht="15" customHeight="1">
      <c r="AK171" s="403"/>
      <c r="AL171" s="403"/>
      <c r="AM171" s="403"/>
      <c r="AN171" s="403"/>
      <c r="AO171" s="403"/>
      <c r="AP171" s="403"/>
      <c r="AQ171" s="403"/>
      <c r="AR171" s="403"/>
      <c r="AS171" s="403"/>
    </row>
    <row r="172" spans="37:45" ht="15" customHeight="1">
      <c r="AK172" s="403"/>
      <c r="AL172" s="403"/>
      <c r="AM172" s="403"/>
      <c r="AN172" s="403"/>
      <c r="AO172" s="403"/>
      <c r="AP172" s="403"/>
      <c r="AQ172" s="403"/>
      <c r="AR172" s="403"/>
      <c r="AS172" s="403"/>
    </row>
    <row r="173" spans="37:45" ht="15" customHeight="1">
      <c r="AK173" s="403"/>
      <c r="AL173" s="403"/>
      <c r="AM173" s="403"/>
      <c r="AN173" s="403"/>
      <c r="AO173" s="403"/>
      <c r="AP173" s="403"/>
      <c r="AQ173" s="403"/>
      <c r="AR173" s="403"/>
      <c r="AS173" s="403"/>
    </row>
    <row r="174" spans="37:45" ht="15" customHeight="1">
      <c r="AK174" s="403"/>
      <c r="AL174" s="403"/>
      <c r="AM174" s="403"/>
      <c r="AN174" s="403"/>
      <c r="AO174" s="403"/>
      <c r="AP174" s="403"/>
      <c r="AQ174" s="403"/>
      <c r="AR174" s="403"/>
      <c r="AS174" s="403"/>
    </row>
    <row r="175" spans="37:45" ht="15" customHeight="1">
      <c r="AK175" s="403"/>
      <c r="AL175" s="403"/>
      <c r="AM175" s="403"/>
      <c r="AN175" s="403"/>
      <c r="AO175" s="403"/>
      <c r="AP175" s="403"/>
      <c r="AQ175" s="403"/>
      <c r="AR175" s="403"/>
      <c r="AS175" s="403"/>
    </row>
    <row r="176" spans="37:45" ht="15" customHeight="1">
      <c r="AK176" s="403"/>
      <c r="AL176" s="403"/>
      <c r="AM176" s="403"/>
      <c r="AN176" s="403"/>
      <c r="AO176" s="403"/>
      <c r="AP176" s="403"/>
      <c r="AQ176" s="403"/>
      <c r="AR176" s="403"/>
      <c r="AS176" s="403"/>
    </row>
    <row r="177" spans="37:45" ht="15" customHeight="1">
      <c r="AK177" s="403"/>
      <c r="AL177" s="403"/>
      <c r="AM177" s="403"/>
      <c r="AN177" s="403"/>
      <c r="AO177" s="403"/>
      <c r="AP177" s="403"/>
      <c r="AQ177" s="403"/>
      <c r="AR177" s="403"/>
      <c r="AS177" s="403"/>
    </row>
    <row r="178" spans="37:45" ht="15" customHeight="1">
      <c r="AK178" s="403"/>
      <c r="AL178" s="403"/>
      <c r="AM178" s="403"/>
      <c r="AN178" s="403"/>
      <c r="AO178" s="403"/>
      <c r="AP178" s="403"/>
      <c r="AQ178" s="403"/>
      <c r="AR178" s="403"/>
      <c r="AS178" s="403"/>
    </row>
    <row r="179" spans="37:45" ht="15" customHeight="1">
      <c r="AK179" s="403"/>
      <c r="AL179" s="403"/>
      <c r="AM179" s="403"/>
      <c r="AN179" s="403"/>
      <c r="AO179" s="403"/>
      <c r="AP179" s="403"/>
      <c r="AQ179" s="403"/>
      <c r="AR179" s="403"/>
      <c r="AS179" s="403"/>
    </row>
  </sheetData>
  <mergeCells count="39">
    <mergeCell ref="AK92:AS133"/>
    <mergeCell ref="AB12:AJ21"/>
    <mergeCell ref="S12:AA21"/>
    <mergeCell ref="S22:AA31"/>
    <mergeCell ref="S32:AA43"/>
    <mergeCell ref="AK30:AS49"/>
    <mergeCell ref="AK28:AS29"/>
    <mergeCell ref="AK50:AS51"/>
    <mergeCell ref="AK52:AS63"/>
    <mergeCell ref="AK66:AS89"/>
    <mergeCell ref="AK64:AS65"/>
    <mergeCell ref="AK90:AS91"/>
    <mergeCell ref="AB3:AJ4"/>
    <mergeCell ref="AB5:AJ11"/>
    <mergeCell ref="AB1:AS2"/>
    <mergeCell ref="AK3:AS4"/>
    <mergeCell ref="AK5:AS6"/>
    <mergeCell ref="AK7:AS27"/>
    <mergeCell ref="J40:R46"/>
    <mergeCell ref="J47:R53"/>
    <mergeCell ref="J54:R60"/>
    <mergeCell ref="J61:R67"/>
    <mergeCell ref="A33:I39"/>
    <mergeCell ref="A26:I32"/>
    <mergeCell ref="J1:R2"/>
    <mergeCell ref="J3:R4"/>
    <mergeCell ref="J5:R11"/>
    <mergeCell ref="J12:R18"/>
    <mergeCell ref="J19:R25"/>
    <mergeCell ref="A1:I2"/>
    <mergeCell ref="A3:I4"/>
    <mergeCell ref="A5:I11"/>
    <mergeCell ref="A12:I18"/>
    <mergeCell ref="A19:I25"/>
    <mergeCell ref="S1:AA2"/>
    <mergeCell ref="S3:AA4"/>
    <mergeCell ref="S5:AA11"/>
    <mergeCell ref="J26:R32"/>
    <mergeCell ref="J33:R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69"/>
  <sheetViews>
    <sheetView showGridLines="0" showRowColHeaders="0" tabSelected="1" zoomScale="75" zoomScaleNormal="75" workbookViewId="0">
      <selection activeCell="H20" sqref="H20"/>
    </sheetView>
  </sheetViews>
  <sheetFormatPr defaultColWidth="15.140625" defaultRowHeight="137.25" customHeight="1"/>
  <cols>
    <col min="1" max="1" width="4.42578125" style="24" customWidth="1"/>
    <col min="2" max="2" width="3.85546875" customWidth="1"/>
    <col min="3" max="3" width="9" style="24" customWidth="1"/>
    <col min="4" max="4" width="22.5703125" style="24" customWidth="1"/>
    <col min="5" max="5" width="16.28515625" style="24" customWidth="1"/>
    <col min="6" max="6" width="19.85546875" style="24" customWidth="1"/>
    <col min="7" max="7" width="18.7109375" style="24" customWidth="1"/>
    <col min="8" max="8" width="13.140625" style="24" customWidth="1"/>
    <col min="9" max="9" width="16" style="24" customWidth="1"/>
    <col min="10" max="10" width="18.5703125" style="24" customWidth="1"/>
    <col min="11" max="11" width="16.42578125" style="24" customWidth="1"/>
    <col min="12" max="12" width="26" style="24" customWidth="1"/>
    <col min="13" max="13" width="20.140625" style="24" customWidth="1"/>
    <col min="14" max="14" width="15.140625" style="24" customWidth="1"/>
    <col min="15" max="15" width="15.42578125" style="24" customWidth="1"/>
    <col min="16" max="16" width="13.28515625" style="24" customWidth="1"/>
    <col min="17" max="17" width="15.140625" style="24" customWidth="1"/>
    <col min="18" max="18" width="13.5703125" style="24" customWidth="1"/>
    <col min="19" max="19" width="13.85546875" style="24" customWidth="1"/>
    <col min="20" max="20" width="16.7109375" style="24" customWidth="1"/>
    <col min="21" max="21" width="17.7109375" style="24" customWidth="1"/>
    <col min="22" max="22" width="13.7109375" style="24" customWidth="1"/>
    <col min="23" max="23" width="6.5703125" style="24" customWidth="1"/>
    <col min="24" max="24" width="5.28515625" style="24" customWidth="1"/>
    <col min="25" max="25" width="5.85546875" style="24" customWidth="1"/>
    <col min="27" max="28" width="15.140625" style="24"/>
    <col min="30" max="32" width="15.140625" style="24"/>
    <col min="33" max="33" width="16.7109375" style="24" customWidth="1"/>
    <col min="34" max="34" width="15.5703125" style="24" customWidth="1"/>
    <col min="35" max="16384" width="15.140625" style="24"/>
  </cols>
  <sheetData>
    <row r="1" spans="1:56" ht="24" customHeight="1" thickTop="1">
      <c r="A1" s="239"/>
      <c r="B1" s="237"/>
      <c r="C1" s="237"/>
      <c r="D1" s="237"/>
      <c r="E1" s="237"/>
      <c r="F1" s="237"/>
      <c r="G1" s="237"/>
      <c r="H1" s="237"/>
      <c r="I1" s="237"/>
      <c r="J1" s="237"/>
      <c r="K1" s="237"/>
      <c r="L1" s="237"/>
      <c r="M1" s="237"/>
      <c r="N1" s="237"/>
      <c r="O1" s="237"/>
      <c r="P1" s="237"/>
      <c r="Q1" s="237"/>
      <c r="R1" s="237"/>
      <c r="S1" s="237"/>
      <c r="T1" s="237"/>
      <c r="U1" s="237"/>
      <c r="V1" s="237"/>
      <c r="W1" s="237"/>
      <c r="X1" s="237"/>
      <c r="Y1" s="238"/>
      <c r="BC1" s="24">
        <f>R8+T8</f>
        <v>21000</v>
      </c>
      <c r="BD1" s="388">
        <v>1</v>
      </c>
    </row>
    <row r="2" spans="1:56" ht="44.25" customHeight="1" thickBot="1">
      <c r="A2" s="239"/>
      <c r="B2" s="299"/>
      <c r="C2" s="241"/>
      <c r="D2" s="241"/>
      <c r="E2" s="241"/>
      <c r="F2" s="241"/>
      <c r="G2" s="241"/>
      <c r="H2" s="241"/>
      <c r="I2" s="241"/>
      <c r="J2" s="241"/>
      <c r="K2" s="241"/>
      <c r="L2" s="241"/>
      <c r="M2" s="241"/>
      <c r="N2" s="241"/>
      <c r="O2" s="241"/>
      <c r="P2" s="241"/>
      <c r="Q2" s="241"/>
      <c r="R2" s="241"/>
      <c r="S2" s="241"/>
      <c r="T2" s="241"/>
      <c r="U2" s="241"/>
      <c r="V2" s="241"/>
      <c r="W2" s="241"/>
      <c r="X2" s="241"/>
      <c r="Y2" s="239"/>
      <c r="BD2" s="24">
        <f>IF(G8="Полувеликан",IF(Q8=1,3000-1000,IF(Q8=2,6000-3000,IF(Q8=3,10000-6000,IF(Q8=4,15000-10000,IF(Q8=5,21000-15000,IF(Q8=6,28000-21000,IF(Q8=7,36000-28000,IF(Q8=8,45000-36000,IF(Q8=9,55000-45000,IF(Q8=10,66000-55000,IF(Q8=11,78000-66000,IF(Q8=12,91000-78000,IF(Q8=13,105000-91000,IF(Q8=14,120000-105000,IF(Q8=15,136000-120000,IF(Q8=16,153000-136000,IF(Q8=17,171000-153000,IF(Q8=18,190000-171000,IF(Q8=19,190000,))))))))))))))))))),IF(G8="Драконид",IF(Q8=7,45000,IF(Q8=8,55000-45000,IF(Q8=9,66000-R8,IF(Q8=10,78000-66000,IF(Q8=11,91000-78000,IF(Q8=12,105000-91000,IF(Q8=13,120000-105000,IF(Q8=14,136000-120000,IF(Q8=15,153000-136000,IF(Q8=16,171000-153000,IF(Q8=17,190000-171000,IF(Q8=18,190000,)))))))))))),IF(Q8=1,1000,IF(Q8=2,3000-1000,IF(Q8=3,6000-3000,IF(Q8=4,10000-6000,IF(Q8=5,15000-10000,IF(Q8=6,21000-15000,IF(Q8=7,28000-21000,IF(Q8=8,36000-28000,IF(Q8=9,45000-36000,IF(Q8=10,55000-45000,IF(Q8=11,66000-55000,IF(Q8=12,78000-66000,IF(Q8=13,91000-78000,IF(Q8=14,105000-91000,IF(Q8=15,120000-105000,IF(Q8=16,136000-120000,IF(Q8=17,153000-136000,IF(Q8=18,171000-153000,IF(Q8=19,190000-171000,IF(Q8=20,190000,))))))))))))))))))))))</f>
        <v>6000</v>
      </c>
    </row>
    <row r="3" spans="1:56" ht="24" customHeight="1" thickTop="1" thickBot="1">
      <c r="A3" s="239"/>
      <c r="B3" s="240"/>
      <c r="C3" s="621" t="s">
        <v>157</v>
      </c>
      <c r="D3" s="622"/>
      <c r="E3" s="623"/>
      <c r="F3" s="240"/>
      <c r="G3" s="240"/>
      <c r="H3" s="240"/>
      <c r="I3" s="240"/>
      <c r="J3" s="240"/>
      <c r="K3" s="240"/>
      <c r="L3" s="240"/>
      <c r="M3" s="240"/>
      <c r="N3" s="240"/>
      <c r="O3" s="240"/>
      <c r="P3" s="240"/>
      <c r="Q3" s="640" t="s">
        <v>934</v>
      </c>
      <c r="R3" s="640"/>
      <c r="S3" s="640"/>
      <c r="T3" s="412">
        <f>IF(G8="Драконид",2,IF(G8="Полувеликан",1,0))</f>
        <v>0</v>
      </c>
      <c r="U3" s="240"/>
      <c r="V3" s="240"/>
      <c r="W3" s="240"/>
      <c r="X3" s="240"/>
      <c r="Y3" s="239"/>
      <c r="BD3" s="24">
        <f>BD2-T8</f>
        <v>0</v>
      </c>
    </row>
    <row r="4" spans="1:56" ht="30" customHeight="1" thickBot="1">
      <c r="A4" s="239"/>
      <c r="B4" s="240"/>
      <c r="C4" s="624"/>
      <c r="D4" s="625"/>
      <c r="E4" s="626"/>
      <c r="F4" s="241"/>
      <c r="G4" s="651"/>
      <c r="H4" s="652"/>
      <c r="I4" s="653"/>
      <c r="J4" s="240"/>
      <c r="K4" s="240"/>
      <c r="L4" s="240"/>
      <c r="M4" s="240"/>
      <c r="N4" s="240"/>
      <c r="O4" s="240"/>
      <c r="P4" s="291"/>
      <c r="Q4" s="291"/>
      <c r="R4" s="240"/>
      <c r="S4" s="240"/>
      <c r="T4" s="240"/>
      <c r="U4" s="240"/>
      <c r="V4" s="240"/>
      <c r="W4" s="240"/>
      <c r="X4" s="240"/>
      <c r="Y4" s="239"/>
    </row>
    <row r="5" spans="1:56" ht="25.5" customHeight="1" thickTop="1" thickBot="1">
      <c r="A5" s="239"/>
      <c r="B5" s="240"/>
      <c r="C5" s="624"/>
      <c r="D5" s="625"/>
      <c r="E5" s="626"/>
      <c r="F5" s="241"/>
      <c r="G5" s="633" t="s">
        <v>0</v>
      </c>
      <c r="H5" s="634"/>
      <c r="I5" s="635"/>
      <c r="J5" s="290"/>
      <c r="K5" s="241"/>
      <c r="L5" s="365"/>
      <c r="M5" s="290"/>
      <c r="N5" s="290"/>
      <c r="O5" s="290"/>
      <c r="P5" s="292"/>
      <c r="Q5" s="411"/>
      <c r="R5" s="240"/>
      <c r="S5" s="240"/>
      <c r="T5" s="240"/>
      <c r="U5" s="240"/>
      <c r="V5" s="240"/>
      <c r="W5" s="240"/>
      <c r="X5" s="240"/>
      <c r="Y5" s="239"/>
    </row>
    <row r="6" spans="1:56" ht="45.75" customHeight="1" thickTop="1" thickBot="1">
      <c r="A6" s="239"/>
      <c r="B6" s="240"/>
      <c r="C6" s="624"/>
      <c r="D6" s="625"/>
      <c r="E6" s="626"/>
      <c r="F6" s="241"/>
      <c r="G6" s="630"/>
      <c r="H6" s="631"/>
      <c r="I6" s="632"/>
      <c r="J6" s="290"/>
      <c r="K6" s="649" t="s">
        <v>1</v>
      </c>
      <c r="L6" s="650"/>
      <c r="M6" s="332" t="s">
        <v>2</v>
      </c>
      <c r="N6" s="332" t="s">
        <v>3</v>
      </c>
      <c r="O6" s="333" t="s">
        <v>107</v>
      </c>
      <c r="P6" s="241"/>
      <c r="Q6" s="637" t="s">
        <v>913</v>
      </c>
      <c r="R6" s="638"/>
      <c r="S6" s="638"/>
      <c r="T6" s="638"/>
      <c r="U6" s="639"/>
      <c r="V6" s="294">
        <f>IF(L7="Бард",6+K17,IF(L7="Воин",2+K17,IF(L7="Варвар",4+K17,IF(L7="Вор",8+K17,IF(L7="Друид",4+K17,IF(L7="Жрец",2+K17,IF(L7="Волшебник",2+K17,IF(L7="Монах",4+K17,IF(L7="Паладин",2+K17,IF(L7="Рейнджер",6+K17,IF(L7="Чародей",2+K17,0)))))))))))</f>
        <v>1</v>
      </c>
      <c r="W6" s="293">
        <f>IF(L7="Воин",(2+K17)*4,IF(L7="Варвар",(4+K17)*4,IF(L7="Вор",(8+K17)*4,IF(L7="Друид",(4+K17)*4,IF(L7="Жрец",(2+K17)*4,IF(L7="Волшебник",(2+K17)*4,IF(L7="Монах",(4+K17)*4,IF(L7="Паладин",(2+K17)*4,IF(L7="Рейнджер",(6+K17)*4,IF(L7="Чародей",(2+K17)*4,IF(L7="Бард",(6+K17)*4)))))))))))+IF(G8="Человек",Q8,0)</f>
        <v>4</v>
      </c>
      <c r="X6" s="240"/>
      <c r="Y6" s="239"/>
      <c r="AR6" s="28"/>
    </row>
    <row r="7" spans="1:56" ht="30.75" customHeight="1" thickTop="1" thickBot="1">
      <c r="A7" s="239"/>
      <c r="B7" s="240"/>
      <c r="C7" s="624"/>
      <c r="D7" s="625"/>
      <c r="E7" s="626"/>
      <c r="F7" s="241"/>
      <c r="G7" s="633" t="s">
        <v>4</v>
      </c>
      <c r="H7" s="634"/>
      <c r="I7" s="635"/>
      <c r="J7" s="400">
        <f>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10</v>
      </c>
      <c r="K7" s="341">
        <v>1</v>
      </c>
      <c r="L7" s="309" t="s">
        <v>5</v>
      </c>
      <c r="M7" s="310">
        <v>6</v>
      </c>
      <c r="N7" s="662">
        <f>IF(L11&lt;&gt;"Невыбрано",V10,IF(L10&lt;&gt;"Невыбрано",V9,IF(L9&lt;&gt;"Невыбрано",V8,IF(L8&lt;&gt;"Невыбрано",V7,IF(L7&lt;&gt;"Невыбрано",V6,)))))</f>
        <v>1</v>
      </c>
      <c r="O7" s="311">
        <f>IF(L7="Воин",VLOOKUP(M7,Воин!G5:L25,2,0),IF(L7="Варвар",VLOOKUP(M7,Варвар!G5:K25,2,0),IF(L7="Вор",VLOOKUP(M7,Вор!G5:K25,2,0),IF(L7="Бард",VLOOKUP(M7,Бард!G1:K22,2,0),IF(L7="Жрец",VLOOKUP(M7,Жрец!G6:H25,2,0),IF(L7="Друид",VLOOKUP(M7,Друид!G6:H25,2,0),IF(L7="Маг",VLOOKUP(M7,Маг!G6:H25,2,0),IF(L7="Монах",VLOOKUP(M7,Монах!G6:H25,2,0),IF(L7="Паладин",VLOOKUP(M7,Паладин!G6:H25,2,0),IF(L7="Рейнджер",VLOOKUP(M7,Рейнджер!G6:H25,2,0),IF(L7="Чародей",VLOOKUP(M7,Чародей!G6:H25,2,0),0)))))))))))</f>
        <v>6</v>
      </c>
      <c r="P7" s="399">
        <f>IF(G8="Драконид",(8/2*7)+K16,0)+(J7+K16)+(M7-1)*((J7/2)+K16)</f>
        <v>41</v>
      </c>
      <c r="Q7" s="603">
        <f>IF(T8="МАКС",100%,BD3/BD2)</f>
        <v>0</v>
      </c>
      <c r="R7" s="604"/>
      <c r="S7" s="604"/>
      <c r="T7" s="604"/>
      <c r="U7" s="605"/>
      <c r="V7" s="294">
        <f>IF(L8="Бард",6+K17,IF(L8="Воин",2+K17,IF(L8="Варвар",4+K17,IF(L8="Вор",8+K17,IF(L8="Друид",4+K17,IF(L8="Жрец",2+K17,IF(L8="Волшебник",2+K17,IF(L8="Монах",4+K17,IF(L8="Паладин",2+K17,IF(L8="Рейнджер",6+K17,IF(L8="Чародей",2+K17,0)))))))))))</f>
        <v>0</v>
      </c>
      <c r="W7" s="294">
        <f>IF(L7="Бард",(6+K17)*4+(6+K17)*(M7-1),IF(L7="Воин",(2+K17)*4+(2+K17)*(M7-1),IF(L7="Варвар",(4+K17)*4+(4+K17)*(M7-1),IF(L7="Вор",(8+K17)*4+(8+K17)*(M7-1),IF(L7="Друид",(4+K17)*4+(4+K17)*(M7-1),IF(L7="Жрец",(2+K17)*4+(2+K17)*(M7-1),IF(L7="Маг",(2+K17)*4+(2+K17)*(M7-1),IF(L7="Монах",(4+K17)*4+(4+K17)*(M7-1),IF(L7="Паладин",(2+K17)*4+(2+K17)*(M7-1),IF(L7="Рейнджер",(6+K17)*4+(6+K17)*(M7-1),IF(L7="Чародей",(2+K17)*4+(2+K17)*(M7-1))))))))))))</f>
        <v>9</v>
      </c>
      <c r="X7" s="240"/>
      <c r="Y7" s="239"/>
      <c r="AR7" s="28"/>
    </row>
    <row r="8" spans="1:56" ht="27.75" customHeight="1" thickTop="1" thickBot="1">
      <c r="A8" s="239"/>
      <c r="B8" s="240"/>
      <c r="C8" s="624"/>
      <c r="D8" s="625"/>
      <c r="E8" s="626"/>
      <c r="F8" s="241"/>
      <c r="G8" s="630" t="s">
        <v>9</v>
      </c>
      <c r="H8" s="631"/>
      <c r="I8" s="632"/>
      <c r="J8" s="400">
        <f>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0))))))))))))</f>
        <v>0</v>
      </c>
      <c r="K8" s="342">
        <v>2</v>
      </c>
      <c r="L8" s="309" t="s">
        <v>10</v>
      </c>
      <c r="M8" s="312">
        <v>0</v>
      </c>
      <c r="N8" s="663"/>
      <c r="O8" s="313">
        <f>IF(L8="Воин",VLOOKUP(M8,Воин!G5:L25,2,0),IF(L8="Варвар",VLOOKUP(M8,Варвар!G5:K25,2,0),IF(L8="Вор",VLOOKUP(M8,Вор!G5:K25,2,0),IF(L8="Бард",VLOOKUP(M8,Бард!G1:K22,2,0),IF(L8="Жрец",VLOOKUP(M8,Жрец!G6:H25,2,0),IF(L8="Друид",VLOOKUP(M8,Друид!G6:H25,2,0),IF(L8="Маг",VLOOKUP(M8,Маг!G6:H25,2,0),IF(L8="Монах",VLOOKUP(M8,Монах!G6:H25,2,0),IF(L8="Паладин",VLOOKUP(M8,Паладин!G6:H25,2,0),IF(L8="Рейнджер",VLOOKUP(M8,Рейнджер!G6:H25,2,0),IF(L8="Чародей",VLOOKUP(M8,Чародей!G6:H25,2,0),0)))))))))))</f>
        <v>0</v>
      </c>
      <c r="P8" s="399">
        <f>(J8+K16)+(M8-1)*((J8/2)+K16)</f>
        <v>0</v>
      </c>
      <c r="Q8" s="389">
        <f>IF(G8="Полувеликан",IF(R8&lt;3000,1,IF(R8&lt;6000,2,IF(R8&lt;10000,3,IF(R8&lt;15000,4,IF(R8&lt;21000,5,IF(R8&lt;28000,6,IF(R8&lt;36000,7,IF(R8&lt;45000,8,IF(R8&lt;55000,9,IF(R8&lt;66000,10,IF(R8&lt;78000,11,IF(R8&lt;91000,12,IF(R8&lt;105000,13,IF(R8&lt;120000,14,IF(R8&lt;136000,15,IF(R8&lt;153000,16,IF(R8&lt;171000,17,IF(R8&lt;190000,18,19)))))))))))))))))),IF(G8="Драконид",IF(R8&lt;45000,7,IF(R8&lt;55000,8,IF(R8&lt;66000,9,IF(R8&lt;78000,10,IF(R8&lt;91000,11,IF(R8&lt;105000,12,IF(R8&lt;120000,13,IF(R8&lt;136000,14,IF(R8&lt;153000,15,IF(R8&lt;171000,16,IF(R8&lt;190000,17,18))))))))))),IF(R8&lt;1000,1,IF(R8&lt;3000,2,IF(R8&lt;6000,3,IF(R8&lt;10000,4,IF(R8&lt;15000,5,IF(R8&lt;21000,6,IF(R8&lt;28000,7,IF(R8&lt;36000,8,IF(R8&lt;45000,9,IF(R8&lt;55000,10,IF(R8&lt;66000,11,IF(R8&lt;78000,12,IF(R8&lt;91000,13,IF(R8&lt;105000,14,IF(R8&lt;120000,15,IF(R8&lt;136000,16,IF(R8&lt;153000,17,IF(R8&lt;171000,18,IF(R8&lt;190000,19,20)))))))))))))))))))))</f>
        <v>6</v>
      </c>
      <c r="R8" s="608">
        <v>15000</v>
      </c>
      <c r="S8" s="609"/>
      <c r="T8" s="606">
        <f>IF(G8="Полувеликан",IF(Q8=1,3000-R8,IF(Q8=2,6000-R8,IF(Q8=3,10000-R8,IF(Q8=4,15000-R8,IF(Q8=5,21000-R8,IF(Q8=6,28000-R8,IF(Q8=7,36000-R8,IF(Q8=8,45000-R8,IF(Q8=9,55000-R8,IF(Q8=10,66000-R8,IF(Q8=11,78000-R8,IF(Q8=12,91000-R8,IF(Q8=13,105000-R8,IF(Q8=14,120000-R8,IF(Q8=15,136000-R8,IF(Q8=16,153000-R8,IF(Q8=17,171000-R8,IF(Q8=18,190000-R8,IF(Q8=19,"МАКС",))))))))))))))))))),IF(G8="Драконид",IF(Q8=7,45000-R8,IF(Q8=8,55000-R8,IF(Q8=9,66000-R8,IF(Q8=10,78000-R8,IF(Q8=11,91000-R8,IF(Q8=12,105000-R8,IF(Q8=13,120000-R8,IF(Q8=14,136000-R8,IF(Q8=15,153000-R8,IF(Q8=16,171000-R8,IF(Q8=17,190000-R8,IF(Q8=18,"МАКС",)))))))))))),IF(Q8=1,1000-R8,IF(Q8=2,3000-R8,IF(Q8=3,6000-R8,IF(Q8=4,10000-R8,IF(Q8=5,15000-R8,IF(Q8=6,21000-R8,IF(Q8=7,28000-R8,IF(Q8=8,36000-R8,IF(Q8=9,45000-R8,IF(Q8=10,55000-R8,IF(Q8=11,66000-R8,IF(Q8=12,78000-R8,IF(Q8=13,91000-R8,IF(Q8=14,105000-R8,IF(Q8=15,120000-R8,IF(Q8=16,136000-R8,IF(Q8=17,153000-R8,IF(Q8=18,171000-R8,IF(Q8=19,190000-R8,IF(Q8=20,"МАКС",))))))))))))))))))))))</f>
        <v>6000</v>
      </c>
      <c r="U8" s="607"/>
      <c r="V8" s="294">
        <f>IF(L9="Бард",6+K17,IF(L9="Воин",2+K17,IF(L9="Варвар",4+K17,IF(L9="Вор",8+K17,IF(L9="Друид",4+K17,IF(L9="Жрец",2+K17,IF(L9="Волшебник",2+K17,IF(L9="Монах",4+K17,IF(L9="Паладин",2+K17,IF(L9="Рейнджер",6+K17,IF(L9="Чародей",2+K17,0)))))))))))</f>
        <v>0</v>
      </c>
      <c r="W8" s="294">
        <f>IF(L8="Бард",(6+K17)+(6+K17)*(M8-1),IF(L8="Воин",(2+K17)+(2+K17)*(M8-1),IF(L8="Варвар",(4+K17)+(4+K17)*(M8-1),IF(L8="Вор",(8+K17)+(8+K17)*(M8-1),IF(L8="Друид",(4+K17)+(4+K17)*(M8-1),IF(L8="Жрец",(2+K17)+(2+K17)*(M8-1),IF(L8="Маг",(2+K17)+(2+K17)*(M8-1),IF(L8="Монах",(4+K17)+(4+K17)*(M8-1),IF(L8="Паладин",(2+K17)+(2+K17)*(M8-1),IF(L8="Рейнджер",(6+K17)+(6+K17)*(M8-1),IF(L8="Чародей",(2+K17)+(2+K17)*(M8-1),0)))))))))))</f>
        <v>0</v>
      </c>
      <c r="X8" s="240"/>
      <c r="Y8" s="239"/>
      <c r="AR8" s="28"/>
    </row>
    <row r="9" spans="1:56" ht="32.25" customHeight="1" thickTop="1" thickBot="1">
      <c r="A9" s="239"/>
      <c r="B9" s="240"/>
      <c r="C9" s="624"/>
      <c r="D9" s="625"/>
      <c r="E9" s="626"/>
      <c r="F9" s="241"/>
      <c r="G9" s="633" t="s">
        <v>11</v>
      </c>
      <c r="H9" s="634"/>
      <c r="I9" s="635"/>
      <c r="J9" s="400">
        <f>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0))))))))))))</f>
        <v>0</v>
      </c>
      <c r="K9" s="342">
        <v>3</v>
      </c>
      <c r="L9" s="309" t="s">
        <v>10</v>
      </c>
      <c r="M9" s="312">
        <v>0</v>
      </c>
      <c r="N9" s="663"/>
      <c r="O9" s="313">
        <f>IF(L9="Воин",VLOOKUP(M9,Воин!G5:L25,2,0),IF(L9="Варвар",VLOOKUP(M9,Варвар!G5:K25,2,0),IF(L9="Вор",VLOOKUP(M9,Вор!G5:K25,2,0),IF(L9="Бард",VLOOKUP(M9,Бард!G1:K22,2,0),IF(L9="Жрец",VLOOKUP(M9,Жрец!G6:H25,2,0),IF(L9="Друид",VLOOKUP(M9,Друид!G6:H25,2,0),IF(L9="Маг",VLOOKUP(M9,Маг!G6:H25,2,0),IF(L9="Монах",VLOOKUP(M9,Монах!G6:H25,2,0),IF(L9="Паладин",VLOOKUP(M9,Паладин!G6:H25,2,0),IF(L9="Рейнджер",VLOOKUP(M9,Рейнджер!G6:H25,2,0),IF(L9="Чародей",VLOOKUP(M9,Чародей!G6:H25,2,0),0)))))))))))</f>
        <v>0</v>
      </c>
      <c r="P9" s="399">
        <f>(J9+K16)+(M9-1)*((J9/2)+K16)</f>
        <v>0</v>
      </c>
      <c r="Q9" s="331" t="s">
        <v>2</v>
      </c>
      <c r="R9" s="619" t="s">
        <v>7</v>
      </c>
      <c r="S9" s="619"/>
      <c r="T9" s="619" t="s">
        <v>914</v>
      </c>
      <c r="U9" s="620"/>
      <c r="V9" s="294">
        <f>IF(L10="Бард",6+K17,IF(L10="Воин",2+K17,IF(L10="Варвар",4+K17,IF(L10="Вор",8+K17,IF(L10="Друид",4+K17,IF(L10="Жрец",2+K17,IF(L10="Волшебник",2+K17,IF(L10="Монах",4+K17,IF(L10="Паладин",2+K17,IF(L10="Рейнджер",6+K17,IF(L10="Чародей",2+K17,0)))))))))))</f>
        <v>0</v>
      </c>
      <c r="W9" s="294">
        <f>IF(L9="Бард",(6+K17)+(6+K17)*(M9-1),IF(L9="Воин",(2+K17)+(2+K17)*(M9-1),IF(L9="Варвар",(4+K17)+(4+K17)*(M9-1),IF(L9="Вор",(8+K17)+(8+K17)*(M9-1),IF(L9="Друид",(4+K17)+(4+K17)*(M9-1),IF(L9="Жрец",(2+K17)+(2+K17)*(M9-1),IF(L9="Маг",(2+K17)+(2+K17)*(M9-1),IF(L9="Монах",(4+K17)+(4+K17)*(M9-1),IF(L9="Паладин",(2+K17)+(2+K17)*(M9-1),IF(L9="Рейнджер",(6+K17)+(6+K17)*(M9-1),IF(L9="Чародей",(2+K17)+(2+K17)*(M9-1),0)))))))))))</f>
        <v>0</v>
      </c>
      <c r="X9" s="240"/>
      <c r="Y9" s="239"/>
      <c r="AR9" s="28"/>
    </row>
    <row r="10" spans="1:56" ht="31.5" customHeight="1" thickTop="1" thickBot="1">
      <c r="A10" s="239"/>
      <c r="B10" s="240"/>
      <c r="C10" s="624"/>
      <c r="D10" s="625"/>
      <c r="E10" s="626"/>
      <c r="F10" s="241"/>
      <c r="G10" s="339" t="str">
        <f>IF(OR(G8="Гном",G8="Хафлинг",G8="Кобольд",),"Маленький",IF(G8="Драконид","Большой","Средний"))</f>
        <v>Средний</v>
      </c>
      <c r="H10" s="401" t="s">
        <v>933</v>
      </c>
      <c r="I10" s="340">
        <v>33</v>
      </c>
      <c r="J10" s="400">
        <f>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0))))))))))))</f>
        <v>0</v>
      </c>
      <c r="K10" s="342">
        <v>4</v>
      </c>
      <c r="L10" s="309" t="s">
        <v>10</v>
      </c>
      <c r="M10" s="312">
        <v>0</v>
      </c>
      <c r="N10" s="663"/>
      <c r="O10" s="313">
        <f>IF(L10="Воин",VLOOKUP(M10,Воин!G5:L25,2,0),IF(L10="Варвар",VLOOKUP(M10,Варвар!G5:K25,2,0),IF(L10="Вор",VLOOKUP(M10,Вор!G5:K25,2,0),IF(L10="Бард",VLOOKUP(M10,Бард!G1:K22,2,0),IF(L10="Жрец",VLOOKUP(M10,Жрец!G6:H25,2,0),IF(L10="Друид",VLOOKUP(M10,Друид!G6:H25,2,0),IF(L10="Маг",VLOOKUP(M10,Маг!G6:H25,2,0),IF(L10="Монах",VLOOKUP(M10,Монах!G6:H25,2,0),IF(L10="Паладин",VLOOKUP(M10,Паладин!G6:H25,2,0),IF(L10="Рейнджер",VLOOKUP(M10,Рейнджер!G6:H25,2,0),IF(L10="Чародей",VLOOKUP(M10,Чародей!G6:H25,2,0),0)))))))))))</f>
        <v>0</v>
      </c>
      <c r="P10" s="399">
        <f>(J10+K16)+(M10-1)*((J10/2)+K16)</f>
        <v>0</v>
      </c>
      <c r="Q10" s="614" t="s">
        <v>651</v>
      </c>
      <c r="R10" s="615"/>
      <c r="S10" s="616"/>
      <c r="T10" s="617"/>
      <c r="U10" s="618"/>
      <c r="V10" s="294">
        <f>IF(L11="Бард",6+K17,IF(L11="Воин",2+K17,IF(L11="Варвар",4+K17,IF(L11="Вор",8+K17,IF(L11="Друид",4+K17,IF(L11="Жрец",2+K17,IF(L11="Волшебник",2+K17,IF(L11="Монах",4+K17,IF(L11="Паладин",2+K17,IF(L11="Рейнджер",6+K17,IF(L11="Чародей",2+K17,0)))))))))))</f>
        <v>0</v>
      </c>
      <c r="W10" s="294">
        <f>IF(L10="Бард",(6+K17)+(6+K17)*(M10-1),IF(L10="Воин",(2+K17)+(2+K17)*(M10-1),IF(L10="Варвар",(4+K17)+(4+K17)*(M10-1),IF(L10="Вор",(8+K17)+(8+K17)*(M10-1),IF(L10="Друид",(4+K17)+(4+K17)*(M10-1),IF(L10="Жрец",(2+K17)+(2+K17)*(M10-1),IF(L10="Маг",(2+K17)+(2+K17)*(M10-1),IF(L10="Монах",(4+K17)+(4+K17)*(M10-1),IF(L10="Паладин",(2+K17)+(2+K17)*(M10-1),IF(L10="Рейнджер",(6+K17)+(6+K17)*(M10-1),IF(L10="Чародей",(2+K17)+(2+K17)*(M10-1),0)))))))))))</f>
        <v>0</v>
      </c>
      <c r="X10" s="240"/>
      <c r="Y10" s="239"/>
      <c r="AR10" s="28"/>
    </row>
    <row r="11" spans="1:56" ht="27.75" customHeight="1" thickTop="1" thickBot="1">
      <c r="A11" s="239"/>
      <c r="B11" s="240"/>
      <c r="C11" s="627"/>
      <c r="D11" s="628"/>
      <c r="E11" s="629"/>
      <c r="F11" s="241"/>
      <c r="G11" s="402" t="s">
        <v>14</v>
      </c>
      <c r="H11" s="401" t="str">
        <f>IF(G8="Драконорожденный","Аспект","")</f>
        <v/>
      </c>
      <c r="I11" s="406" t="s">
        <v>15</v>
      </c>
      <c r="J11" s="400">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0))))))))))))</f>
        <v>0</v>
      </c>
      <c r="K11" s="343">
        <v>5</v>
      </c>
      <c r="L11" s="309" t="s">
        <v>10</v>
      </c>
      <c r="M11" s="386">
        <v>0</v>
      </c>
      <c r="N11" s="664"/>
      <c r="O11" s="314">
        <f>IF(L11="Воин",VLOOKUP(M11,Воин!G5:L25,2,0),IF(L11="Варвар",VLOOKUP(M11,Варвар!G5:K25,2,0),IF(L11="Вор",VLOOKUP(M11,Вор!G5:K25,2,0),IF(L11="Бард",VLOOKUP(M11,Бард!G1:K22,2,0),IF(L11="Жрец",VLOOKUP(M11,Жрец!G6:H25,2,0),IF(L11="Друид",VLOOKUP(M11,Друид!G6:H25,2,0),IF(L11="Маг",VLOOKUP(M11,Маг!G6:H25,2,0),IF(L11="Монах",VLOOKUP(M11,Монах!G6:H25,2,0),IF(L11="Паладин",VLOOKUP(M11,Паладин!G6:H25,2,0),IF(L11="Рейнджер",VLOOKUP(M11,Рейнджер!G6:H25,2,0),IF(L11="Чародей",VLOOKUP(M11,Чародей!G6:H25,2,0),0)))))))))))</f>
        <v>0</v>
      </c>
      <c r="P11" s="399">
        <f>(J11+K16)+(M11-1)*((J11/2)+K16)</f>
        <v>0</v>
      </c>
      <c r="Q11" s="610" t="s">
        <v>12</v>
      </c>
      <c r="R11" s="611"/>
      <c r="S11" s="612" t="s">
        <v>13</v>
      </c>
      <c r="T11" s="612"/>
      <c r="U11" s="613"/>
      <c r="V11" s="240"/>
      <c r="W11" s="294">
        <f>IF(L11="Бард",(6+K17)+(6+K17)*(M11-1),IF(L11="Воин",(2+K17)+(2+K17)*(M11-1),IF(L11="Варвар",(4+K17)+(4+K17)*(M11-1),IF(L11="Вор",(8+K17)+(8+K17)*(M11-1),IF(L11="Друид",(4+K17)+(4+K17)*(M11-1),IF(L11="Жрец",(2+K17)+(2+K17)*(M11-1),IF(L11="Маг",(2+K17)+(2+K17)*(M11-1),IF(L11="Монах",(4+K17)+(4+K17)*(M11-1),IF(L11="Паладин",(2+K17)+(2+K17)*(M11-1),IF(L11="Рейнджер",(6+K17)+(6+K17)*(M11-1),IF(L11="Чародей",(2+K17)+(2+K17)*(M11-1),0)))))))))))</f>
        <v>0</v>
      </c>
      <c r="X11" s="240"/>
      <c r="Y11" s="239"/>
    </row>
    <row r="12" spans="1:56" ht="27.75" customHeight="1" thickTop="1" thickBot="1">
      <c r="A12" s="239"/>
      <c r="B12" s="240"/>
      <c r="C12" s="240"/>
      <c r="D12" s="636"/>
      <c r="E12" s="636"/>
      <c r="F12" s="636"/>
      <c r="G12" s="636"/>
      <c r="H12" s="636"/>
      <c r="I12" s="240"/>
      <c r="J12" s="240"/>
      <c r="K12" s="290"/>
      <c r="L12" s="240"/>
      <c r="M12" s="240"/>
      <c r="N12" s="240"/>
      <c r="O12" s="240"/>
      <c r="P12" s="291"/>
      <c r="Q12" s="291"/>
      <c r="R12" s="240"/>
      <c r="S12" s="240"/>
      <c r="T12" s="240"/>
      <c r="U12" s="240"/>
      <c r="V12" s="240"/>
      <c r="W12" s="240"/>
      <c r="X12" s="240"/>
      <c r="Y12" s="239"/>
    </row>
    <row r="13" spans="1:56" ht="38.25" customHeight="1" thickTop="1" thickBot="1">
      <c r="A13" s="239"/>
      <c r="B13" s="240"/>
      <c r="C13" s="298"/>
      <c r="D13" s="329"/>
      <c r="E13" s="330" t="s">
        <v>16</v>
      </c>
      <c r="F13" s="330" t="s">
        <v>158</v>
      </c>
      <c r="G13" s="330" t="s">
        <v>159</v>
      </c>
      <c r="H13" s="330" t="s">
        <v>160</v>
      </c>
      <c r="I13" s="330" t="s">
        <v>161</v>
      </c>
      <c r="J13" s="330" t="s">
        <v>21</v>
      </c>
      <c r="K13" s="241"/>
      <c r="L13" s="240"/>
      <c r="M13" s="290"/>
      <c r="N13" s="290"/>
      <c r="O13" s="601" t="s">
        <v>912</v>
      </c>
      <c r="P13" s="602"/>
      <c r="Q13" s="240"/>
      <c r="R13" s="665" t="s">
        <v>22</v>
      </c>
      <c r="S13" s="666"/>
      <c r="T13" s="240"/>
      <c r="U13" s="409" t="s">
        <v>24</v>
      </c>
      <c r="V13" s="404">
        <f>IF(G8="Драконид","Полет",0)</f>
        <v>0</v>
      </c>
      <c r="W13" s="240"/>
      <c r="X13" s="241"/>
      <c r="Y13" s="239"/>
    </row>
    <row r="14" spans="1:56" ht="38.25" customHeight="1" thickTop="1" thickBot="1">
      <c r="A14" s="239"/>
      <c r="B14" s="240"/>
      <c r="C14" s="298"/>
      <c r="D14" s="315" t="s">
        <v>25</v>
      </c>
      <c r="E14" s="316">
        <v>16</v>
      </c>
      <c r="F14" s="317">
        <f t="shared" ref="F14:F19" si="0">E14+J14+H14+I14</f>
        <v>16</v>
      </c>
      <c r="G14" s="317" t="str">
        <f>IF(F14=9,-1,IF(F14&lt;10,-1*FLOOR(ABS((F14-10))/2,1),"+"&amp;1*FLOOR(ABS((F14-10)/2),1)))</f>
        <v>+3</v>
      </c>
      <c r="H14" s="318"/>
      <c r="I14" s="318"/>
      <c r="J14" s="319" t="str">
        <f>IF(G8="Гном",-2,IF(G8="Полуорк","+"&amp;2,IF(G8="Хафлинг",-2,IF(G8="Кобольд",-4,IF(G8="Полувеликан","+"&amp;2,IF(G8="Драконид","+"&amp;8,"+"&amp;0))))))</f>
        <v>+0</v>
      </c>
      <c r="K14" s="445" t="str">
        <f>IF(E14=9,-1,IF(E14&lt;10,-1*FLOOR(ABS((E14-10))/2,1),"+"&amp;1*FLOOR(ABS((E14-10)/2),1)))</f>
        <v>+3</v>
      </c>
      <c r="L14" s="242" t="s">
        <v>26</v>
      </c>
      <c r="M14" s="243">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10</v>
      </c>
      <c r="N14" s="290"/>
      <c r="O14" s="667">
        <f>SUM(P7:P11)</f>
        <v>41</v>
      </c>
      <c r="P14" s="668"/>
      <c r="Q14" s="240"/>
      <c r="R14" s="660">
        <v>31</v>
      </c>
      <c r="S14" s="661"/>
      <c r="T14" s="240"/>
      <c r="U14" s="410">
        <v>30</v>
      </c>
      <c r="V14" s="408">
        <f>IF(G8="Драконид",40,0)</f>
        <v>0</v>
      </c>
      <c r="W14" s="240"/>
      <c r="X14" s="241"/>
      <c r="Y14" s="239"/>
    </row>
    <row r="15" spans="1:56" ht="33.75" customHeight="1" thickTop="1" thickBot="1">
      <c r="A15" s="239"/>
      <c r="B15" s="240"/>
      <c r="C15" s="298"/>
      <c r="D15" s="320" t="s">
        <v>27</v>
      </c>
      <c r="E15" s="321">
        <v>13</v>
      </c>
      <c r="F15" s="322">
        <f t="shared" si="0"/>
        <v>13</v>
      </c>
      <c r="G15" s="317" t="str">
        <f t="shared" ref="G15:G17" si="1">IF(F15=9,-1,IF(F15&lt;10,-1*FLOOR(ABS((F15-10))/2,1),"+"&amp;1*FLOOR(ABS((F15-10)/2),1)))</f>
        <v>+1</v>
      </c>
      <c r="H15" s="267"/>
      <c r="I15" s="267"/>
      <c r="J15" s="323" t="str">
        <f>IF(G8="Хафлинг","+"&amp;2,IF(G8="Эльф","+"&amp;2,IF(G8="Тобакси","+"&amp;4,IF(G8="Кобольд","+"&amp;2,IF(G8="Полувеликан",-2,IF(G8="Драконорожденный",-2,IF(G8="Драконид","+"&amp;2,"+"&amp;0)))))))</f>
        <v>+0</v>
      </c>
      <c r="K15" s="445" t="str">
        <f>IF(E15=9,-1,IF(E15&lt;10,-1*FLOOR(ABS((E15-10))/2,1),"+"&amp;1*FLOOR(ABS((E15-10)/2),1)))</f>
        <v>+1</v>
      </c>
      <c r="L15" s="240"/>
      <c r="M15" s="240"/>
      <c r="N15" s="240"/>
      <c r="O15" s="240"/>
      <c r="P15" s="240"/>
      <c r="Q15" s="240"/>
      <c r="R15" s="240"/>
      <c r="S15" s="240"/>
      <c r="T15" s="240"/>
      <c r="U15" s="240"/>
      <c r="V15" s="240"/>
      <c r="W15" s="240"/>
      <c r="X15" s="241"/>
      <c r="Y15" s="239"/>
    </row>
    <row r="16" spans="1:56" ht="42.75" customHeight="1" thickTop="1" thickBot="1">
      <c r="A16" s="239"/>
      <c r="B16" s="240"/>
      <c r="C16" s="298"/>
      <c r="D16" s="320" t="s">
        <v>28</v>
      </c>
      <c r="E16" s="321">
        <v>12</v>
      </c>
      <c r="F16" s="322">
        <f t="shared" si="0"/>
        <v>14</v>
      </c>
      <c r="G16" s="317" t="str">
        <f t="shared" si="1"/>
        <v>+2</v>
      </c>
      <c r="H16" s="267"/>
      <c r="I16" s="267">
        <v>2</v>
      </c>
      <c r="J16" s="323" t="str">
        <f>IF(G8="Гном","+"&amp;2,IF(G8="Дварф","+"&amp;2,IF(G8="Эльф",-2,IF(G8="Кобольд",-2,IF(G8="Полувеликан","+"&amp;2,IF(G8="Драконорожденный","+"&amp;2,IF(G8="Драконид","+"&amp;2,"+"&amp;0)))))))</f>
        <v>+0</v>
      </c>
      <c r="K16" s="445" t="str">
        <f>IF(E16=9,-1,IF(E16&lt;10,-1*FLOOR(ABS((E16-10))/2,1),"+"&amp;1*FLOOR(ABS((E16-10)/2),1)))</f>
        <v>+1</v>
      </c>
      <c r="L16" s="244" t="s">
        <v>29</v>
      </c>
      <c r="M16" s="245">
        <f>O16+P16+Q16+R16+S16+T16+U16+V16+IF(OR(L11="Монах",L10="Монах",L9="Монах",L8="Монах",L7="Монах"),G18+IF('Лист персонажа 1'!L11="Монах",VLOOKUP('Лист персонажа 1'!M11,Монах!G6:T25,13,0),IF('Лист персонажа 1'!L10="Монах",VLOOKUP('Лист персонажа 1'!M10,Монах!G6:T25,13,0),IF('Лист персонажа 1'!L9="Монах",VLOOKUP('Лист персонажа 1'!M9,Монах!G6:T25,13,0),IF('Лист персонажа 1'!L8="Монах",VLOOKUP('Лист персонажа 1'!M8,Монах!G6:T25,13,0),IF('Лист персонажа 1'!L7="Монах",VLOOKUP('Лист персонажа 1'!M7,Монах!G6:T25,13,0),0))))),0)</f>
        <v>24</v>
      </c>
      <c r="N16" s="246" t="s">
        <v>30</v>
      </c>
      <c r="O16" s="246">
        <v>10</v>
      </c>
      <c r="P16" s="249">
        <v>8</v>
      </c>
      <c r="Q16" s="249">
        <v>2</v>
      </c>
      <c r="R16" s="249" t="str">
        <f>G15</f>
        <v>+1</v>
      </c>
      <c r="S16" s="249" t="str">
        <f>"+"&amp;IF(G8="Драконид",-1,0)+IF(G10 = "Маленький", 1, IF(G10 = "Средний", 0, IF(G10 = "Большой", 2, "ERROR")))</f>
        <v>+0</v>
      </c>
      <c r="T16" s="249" t="str">
        <f>"+"&amp;IF(G8="Тобакси",1,IF(G8="Кобольд",1,IF(G8="Драконид",7,0)))</f>
        <v>+0</v>
      </c>
      <c r="U16" s="249"/>
      <c r="V16" s="250">
        <v>3</v>
      </c>
      <c r="W16" s="240"/>
      <c r="X16" s="241"/>
      <c r="Y16" s="239"/>
    </row>
    <row r="17" spans="1:32" ht="38.25" customHeight="1" thickTop="1" thickBot="1">
      <c r="A17" s="239"/>
      <c r="B17" s="240"/>
      <c r="C17" s="298"/>
      <c r="D17" s="320" t="s">
        <v>31</v>
      </c>
      <c r="E17" s="321">
        <v>9</v>
      </c>
      <c r="F17" s="322">
        <f t="shared" si="0"/>
        <v>9</v>
      </c>
      <c r="G17" s="317">
        <f t="shared" si="1"/>
        <v>-1</v>
      </c>
      <c r="H17" s="267"/>
      <c r="I17" s="267"/>
      <c r="J17" s="323" t="str">
        <f>IF(G8="Полуорк",-2,"+"&amp;0)</f>
        <v>+0</v>
      </c>
      <c r="K17" s="445">
        <f>IF(E17=9,-1,IF(E17&lt;10,-1*FLOOR(ABS((E17-10))/2,1),"+"&amp;1*FLOOR(ABS((E17-10)/2),1)))</f>
        <v>-1</v>
      </c>
      <c r="L17" s="240"/>
      <c r="M17" s="240"/>
      <c r="N17" s="240"/>
      <c r="O17" s="240"/>
      <c r="P17" s="306" t="s">
        <v>32</v>
      </c>
      <c r="Q17" s="307" t="s">
        <v>33</v>
      </c>
      <c r="R17" s="307" t="s">
        <v>162</v>
      </c>
      <c r="S17" s="307" t="s">
        <v>163</v>
      </c>
      <c r="T17" s="307" t="s">
        <v>36</v>
      </c>
      <c r="U17" s="307" t="s">
        <v>164</v>
      </c>
      <c r="V17" s="308" t="s">
        <v>165</v>
      </c>
      <c r="W17" s="240"/>
      <c r="X17" s="241"/>
      <c r="Y17" s="239"/>
    </row>
    <row r="18" spans="1:32" ht="38.25" customHeight="1" thickTop="1" thickBot="1">
      <c r="A18" s="239"/>
      <c r="B18" s="240"/>
      <c r="C18" s="298"/>
      <c r="D18" s="320" t="s">
        <v>39</v>
      </c>
      <c r="E18" s="321">
        <v>8</v>
      </c>
      <c r="F18" s="322">
        <f t="shared" si="0"/>
        <v>8</v>
      </c>
      <c r="G18" s="317">
        <f>IF(F18=9,-1,IF(F18&lt;10,-1*FLOOR(ABS((F18-10))/2,1),"+"&amp;1*FLOOR(ABS((F18-10)/2),1)))</f>
        <v>-1</v>
      </c>
      <c r="H18" s="267"/>
      <c r="I18" s="267"/>
      <c r="J18" s="323" t="str">
        <f>IF(G8="Драконид","+"&amp;4,"+"&amp;0)</f>
        <v>+0</v>
      </c>
      <c r="K18" s="445">
        <f>IF(F18=9,-1,IF(F18&lt;10,-1*FLOOR(ABS((F18-10))/2,1),"+"&amp;1*FLOOR(ABS((F18-10)/2),1)))</f>
        <v>-1</v>
      </c>
      <c r="L18" s="240"/>
      <c r="M18" s="240"/>
      <c r="N18" s="240"/>
      <c r="O18" s="240"/>
      <c r="P18" s="240"/>
      <c r="Q18" s="240"/>
      <c r="R18" s="240"/>
      <c r="S18" s="240"/>
      <c r="T18" s="240"/>
      <c r="U18" s="240"/>
      <c r="V18" s="240"/>
      <c r="W18" s="240"/>
      <c r="X18" s="241"/>
      <c r="Y18" s="239"/>
    </row>
    <row r="19" spans="1:32" ht="38.25" customHeight="1" thickTop="1" thickBot="1">
      <c r="A19" s="239"/>
      <c r="B19" s="240"/>
      <c r="C19" s="298"/>
      <c r="D19" s="324" t="s">
        <v>40</v>
      </c>
      <c r="E19" s="325">
        <v>12</v>
      </c>
      <c r="F19" s="326">
        <f t="shared" si="0"/>
        <v>12</v>
      </c>
      <c r="G19" s="326" t="str">
        <f>IF(F19=9,-1,IF(F19&lt;10,-1*FLOOR(ABS((F19-10))/2,1),"+"&amp;1*FLOOR(ABS((F19-10)/2),1)))</f>
        <v>+1</v>
      </c>
      <c r="H19" s="327"/>
      <c r="I19" s="327"/>
      <c r="J19" s="328" t="str">
        <f>IF(G8="Дварф",-2,IF(G8="Полуорк",-2,IF(G8="Тобакси","+"&amp;2,IF(G8="Драконид","+"&amp;2,"+"&amp;0))))</f>
        <v>+0</v>
      </c>
      <c r="K19" s="445" t="str">
        <f>IF(E19=9,-1,IF(E19&lt;10,-1*FLOOR(ABS((E19-10))/2,1),"+"&amp;1*FLOOR(ABS((E19-10)/2),1)))</f>
        <v>+1</v>
      </c>
      <c r="L19" s="247" t="s">
        <v>41</v>
      </c>
      <c r="M19" s="248">
        <f>O19+P19</f>
        <v>1</v>
      </c>
      <c r="N19" s="248" t="s">
        <v>42</v>
      </c>
      <c r="O19" s="251" t="str">
        <f>G15</f>
        <v>+1</v>
      </c>
      <c r="P19" s="252"/>
      <c r="Q19" s="240"/>
      <c r="R19" s="240"/>
      <c r="S19" s="240"/>
      <c r="T19" s="240"/>
      <c r="U19" s="240"/>
      <c r="V19" s="240"/>
      <c r="W19" s="240"/>
      <c r="X19" s="241"/>
      <c r="Y19" s="239"/>
    </row>
    <row r="20" spans="1:32" ht="38.25" customHeight="1" thickTop="1" thickBot="1">
      <c r="A20" s="239"/>
      <c r="B20" s="240"/>
      <c r="C20" s="240"/>
      <c r="D20" s="240"/>
      <c r="E20" s="240"/>
      <c r="F20" s="240"/>
      <c r="G20" s="240"/>
      <c r="H20" s="240"/>
      <c r="I20" s="240"/>
      <c r="J20" s="241"/>
      <c r="K20" s="241"/>
      <c r="L20" s="240"/>
      <c r="M20" s="240"/>
      <c r="N20" s="240"/>
      <c r="O20" s="304" t="s">
        <v>162</v>
      </c>
      <c r="P20" s="305" t="s">
        <v>165</v>
      </c>
      <c r="Q20" s="240"/>
      <c r="R20" s="240"/>
      <c r="S20" s="240"/>
      <c r="T20" s="240"/>
      <c r="U20" s="240"/>
      <c r="V20" s="240"/>
      <c r="W20" s="240"/>
      <c r="X20" s="240"/>
      <c r="Y20" s="239"/>
    </row>
    <row r="21" spans="1:32" ht="18.75" customHeight="1" thickBot="1">
      <c r="A21" s="239"/>
      <c r="B21" s="240"/>
      <c r="C21" s="240"/>
      <c r="D21" s="240"/>
      <c r="E21" s="241"/>
      <c r="F21" s="241"/>
      <c r="G21" s="241"/>
      <c r="H21" s="241"/>
      <c r="I21" s="241"/>
      <c r="J21" s="241"/>
      <c r="K21" s="241"/>
      <c r="L21" s="241"/>
      <c r="M21" s="241"/>
      <c r="N21" s="241"/>
      <c r="O21" s="240"/>
      <c r="P21" s="241"/>
      <c r="Q21" s="241"/>
      <c r="R21" s="241"/>
      <c r="S21" s="241"/>
      <c r="T21" s="241"/>
      <c r="U21" s="241"/>
      <c r="V21" s="241"/>
      <c r="W21" s="240"/>
      <c r="X21" s="240"/>
      <c r="Y21" s="239"/>
    </row>
    <row r="22" spans="1:32" ht="36.75" customHeight="1" thickBot="1">
      <c r="A22" s="239"/>
      <c r="B22" s="240"/>
      <c r="C22" s="297"/>
      <c r="D22" s="641" t="s">
        <v>43</v>
      </c>
      <c r="E22" s="641"/>
      <c r="F22" s="641"/>
      <c r="G22" s="641"/>
      <c r="H22" s="641"/>
      <c r="I22" s="641"/>
      <c r="J22" s="642"/>
      <c r="K22" s="241"/>
      <c r="L22" s="658" t="s">
        <v>44</v>
      </c>
      <c r="M22" s="659"/>
      <c r="N22" s="364"/>
      <c r="O22" s="364"/>
      <c r="P22" s="301" t="s">
        <v>45</v>
      </c>
      <c r="Q22" s="302">
        <f>S22-Q24-Q25-Q26-Q27-Q28-Q29-Q30-Q31-Q32-Q33-Q34-Q35-Q36-Q37-Q38-Q39-Q40-Q41-Q42-Q43-Q44-Q45-Q46-Q47-Q48-Q49-Q50-Q51-Q52-Q53-Q54-Q55-Q56-Q57-Q58-Q59-Q60-Q61-Q62-Q63-Q64-Q65-Q66-Q67</f>
        <v>0</v>
      </c>
      <c r="R22" s="302" t="s">
        <v>46</v>
      </c>
      <c r="S22" s="303">
        <f>W7+W8+W9+W10+W11+IF(G8="Человек",(Q8-1)+4,IF(G8="Драконид",10*+(2+K17),0))</f>
        <v>9</v>
      </c>
      <c r="T22" s="241"/>
      <c r="U22" s="241"/>
      <c r="V22" s="295"/>
      <c r="W22" s="240"/>
      <c r="X22" s="240"/>
      <c r="Y22" s="239"/>
    </row>
    <row r="23" spans="1:32" ht="42" customHeight="1" thickTop="1">
      <c r="A23" s="239"/>
      <c r="B23" s="240"/>
      <c r="C23" s="297"/>
      <c r="D23" s="643" t="s">
        <v>1181</v>
      </c>
      <c r="E23" s="643"/>
      <c r="F23" s="643"/>
      <c r="G23" s="643"/>
      <c r="H23" s="643"/>
      <c r="I23" s="643"/>
      <c r="J23" s="644"/>
      <c r="K23" s="241"/>
      <c r="L23" s="654" t="s">
        <v>47</v>
      </c>
      <c r="M23" s="655"/>
      <c r="N23" s="300" t="s">
        <v>48</v>
      </c>
      <c r="O23" s="300" t="s">
        <v>49</v>
      </c>
      <c r="P23" s="300" t="s">
        <v>1</v>
      </c>
      <c r="Q23" s="300" t="s">
        <v>50</v>
      </c>
      <c r="R23" s="300" t="s">
        <v>51</v>
      </c>
      <c r="S23" s="300" t="s">
        <v>52</v>
      </c>
      <c r="T23" s="241"/>
      <c r="U23" s="241"/>
      <c r="V23" s="241"/>
      <c r="W23" s="241"/>
      <c r="X23" s="241"/>
      <c r="Y23" s="239"/>
    </row>
    <row r="24" spans="1:32" ht="32.25" customHeight="1">
      <c r="A24" s="239"/>
      <c r="B24" s="240"/>
      <c r="C24" s="297"/>
      <c r="D24" s="645"/>
      <c r="E24" s="645"/>
      <c r="F24" s="645"/>
      <c r="G24" s="645"/>
      <c r="H24" s="645"/>
      <c r="I24" s="645"/>
      <c r="J24" s="646"/>
      <c r="K24" s="241"/>
      <c r="L24" s="656" t="s">
        <v>53</v>
      </c>
      <c r="M24" s="657"/>
      <c r="N24" s="429">
        <f>IF(P24=CHAR(252),Q24+R24+S24+G15,FLOOR(Q24/2,1)+R24+S24+G15)</f>
        <v>1</v>
      </c>
      <c r="O24" s="430" t="s">
        <v>166</v>
      </c>
      <c r="P24" s="431" t="str">
        <f>IF(OR(L11="Вор",L10="Вор",L9="Вор",L8="Вор",L7="Вор",L11="Монах",L10="Монах",L9="Монах",L8="Монах",L7="Монах"),  CHAR(252),CHAR(251))</f>
        <v>ы</v>
      </c>
      <c r="Q24" s="435">
        <v>0</v>
      </c>
      <c r="R24" s="432"/>
      <c r="S24" s="433"/>
      <c r="T24" s="425"/>
      <c r="U24" s="426"/>
      <c r="V24" s="427"/>
      <c r="W24" s="241"/>
      <c r="X24" s="241"/>
      <c r="Y24" s="239"/>
    </row>
    <row r="25" spans="1:32" ht="32.25" customHeight="1">
      <c r="A25" s="239"/>
      <c r="B25" s="240"/>
      <c r="C25" s="297"/>
      <c r="D25" s="645"/>
      <c r="E25" s="645"/>
      <c r="F25" s="645"/>
      <c r="G25" s="645"/>
      <c r="H25" s="645"/>
      <c r="I25" s="645"/>
      <c r="J25" s="646"/>
      <c r="K25" s="241"/>
      <c r="L25" s="656" t="s">
        <v>167</v>
      </c>
      <c r="M25" s="657"/>
      <c r="N25" s="429">
        <f>IF(P25=CHAR(252),Q25+R25+S25+G15,FLOOR(Q25/2,1)+R25+S25+G15)</f>
        <v>1</v>
      </c>
      <c r="O25" s="430" t="s">
        <v>166</v>
      </c>
      <c r="P25" s="431" t="str">
        <f>IF(OR(L11="Вор",L10="Вор",L9="Вор",L8="Вор",L7="Вор",L11="Монах",L10="Монах",L9="Монах",L8="Монах",L7="Монах",L11="Рейнджер",L10="Рейнджер",L9="Рейнджер",L8="Рейнджер",L7="Рейнджер"), CHAR(252),CHAR(251))</f>
        <v>ы</v>
      </c>
      <c r="Q25" s="436">
        <v>0</v>
      </c>
      <c r="R25" s="432">
        <f>IF(G8="Хафлинг", 2,IF(G8="Тобакси",2,0))</f>
        <v>0</v>
      </c>
      <c r="S25" s="430"/>
      <c r="T25" s="426"/>
      <c r="U25" s="426"/>
      <c r="V25" s="427"/>
      <c r="W25" s="241"/>
      <c r="X25" s="241"/>
      <c r="Y25" s="239"/>
    </row>
    <row r="26" spans="1:32" ht="32.25" customHeight="1">
      <c r="A26" s="239"/>
      <c r="B26" s="240"/>
      <c r="C26" s="297"/>
      <c r="D26" s="645"/>
      <c r="E26" s="645"/>
      <c r="F26" s="645"/>
      <c r="G26" s="645"/>
      <c r="H26" s="645"/>
      <c r="I26" s="645"/>
      <c r="J26" s="646"/>
      <c r="K26" s="241"/>
      <c r="L26" s="656" t="s">
        <v>55</v>
      </c>
      <c r="M26" s="657"/>
      <c r="N26" s="429">
        <f>IF(P26=CHAR(252),Q26+R26+S26+G15,FLOOR(Q26/2,1)+R26+S26+G15)</f>
        <v>1</v>
      </c>
      <c r="O26" s="430" t="s">
        <v>166</v>
      </c>
      <c r="P26" s="431" t="str">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CHAR(252),CHAR(251))</f>
        <v>ь</v>
      </c>
      <c r="Q26" s="436">
        <v>0</v>
      </c>
      <c r="R26" s="432"/>
      <c r="S26" s="430"/>
      <c r="T26" s="426"/>
      <c r="U26" s="241"/>
      <c r="V26" s="241"/>
      <c r="W26" s="241"/>
      <c r="X26" s="241"/>
      <c r="Y26" s="239"/>
    </row>
    <row r="27" spans="1:32" ht="32.25" customHeight="1">
      <c r="A27" s="239"/>
      <c r="B27" s="240"/>
      <c r="C27" s="297"/>
      <c r="D27" s="645"/>
      <c r="E27" s="645"/>
      <c r="F27" s="645"/>
      <c r="G27" s="645"/>
      <c r="H27" s="645"/>
      <c r="I27" s="645"/>
      <c r="J27" s="646"/>
      <c r="K27" s="241"/>
      <c r="L27" s="656" t="s">
        <v>56</v>
      </c>
      <c r="M27" s="657"/>
      <c r="N27" s="429">
        <f>IF(P27=CHAR(252),Q27+R27+S27+G18,FLOOR(Q27/2,1)+R27+S27+G18)</f>
        <v>0</v>
      </c>
      <c r="O27" s="430" t="s">
        <v>168</v>
      </c>
      <c r="P27" s="431" t="str">
        <f>IF(OR(L11="Варвар",L10="Варвар",L9="Варвар",L8="Варвар",L7="Варвар",L11="Друид",L10="Друид",L9="Друид",L8="Друид",L7="Друид",L11="Рейнджер",L10="Рейнджер",L9="Рейнджер",L8="Рейнджер",L7="Рейнджер"),CHAR(252),CHAR(251))</f>
        <v>ы</v>
      </c>
      <c r="Q27" s="436">
        <v>2</v>
      </c>
      <c r="R27" s="432"/>
      <c r="S27" s="430"/>
      <c r="T27" s="241"/>
      <c r="U27" s="428"/>
      <c r="V27" s="241"/>
      <c r="W27" s="241"/>
      <c r="X27" s="241"/>
      <c r="Y27" s="239"/>
      <c r="AF27" s="55"/>
    </row>
    <row r="28" spans="1:32" ht="32.25" customHeight="1">
      <c r="A28" s="239"/>
      <c r="B28" s="240"/>
      <c r="C28" s="297"/>
      <c r="D28" s="645"/>
      <c r="E28" s="645"/>
      <c r="F28" s="645"/>
      <c r="G28" s="645"/>
      <c r="H28" s="645"/>
      <c r="I28" s="645"/>
      <c r="J28" s="646"/>
      <c r="K28" s="241"/>
      <c r="L28" s="656" t="s">
        <v>57</v>
      </c>
      <c r="M28" s="657"/>
      <c r="N28" s="429">
        <f>IF(P28=CHAR(252),Q28+R28+S28+G19,FLOOR(Q28/2,1)+R28+S28+G19)</f>
        <v>3</v>
      </c>
      <c r="O28" s="430" t="s">
        <v>169</v>
      </c>
      <c r="P28" s="431" t="str">
        <f>IF(OR(L11="Бард",L10="Бард",L9="Бард",L8="Бард",L7="Бард",L11="Вор",L10="Вор",L9="Вор",L8="Вор",L7="Вор",L11="Друид",L10="Друид",L9="Друид",L8="Друид",L7="Друид",L11="Жрец",L10="Жрец",L9="Жрец",L8="Жрец",L7="Жрец",L11="Монах",L10="Монах",L9="Монах",L8="Монах",L7="Монах",L11="Паладин",L10="Паладин",L9="Паладин",L8="Паладин",L7="Паладин"), CHAR(252),CHAR(251))</f>
        <v>ы</v>
      </c>
      <c r="Q28" s="436">
        <v>0</v>
      </c>
      <c r="R28" s="432">
        <f>IF(G8="Полуэльф", 2,0)</f>
        <v>2</v>
      </c>
      <c r="S28" s="430"/>
      <c r="T28" s="241"/>
      <c r="U28" s="241"/>
      <c r="V28" s="241"/>
      <c r="W28" s="241"/>
      <c r="X28" s="241"/>
      <c r="Y28" s="239"/>
      <c r="AB28" s="55"/>
      <c r="AF28" s="55"/>
    </row>
    <row r="29" spans="1:32" ht="32.25" customHeight="1">
      <c r="A29" s="239"/>
      <c r="B29" s="240"/>
      <c r="C29" s="297"/>
      <c r="D29" s="645"/>
      <c r="E29" s="645"/>
      <c r="F29" s="645"/>
      <c r="G29" s="645"/>
      <c r="H29" s="645"/>
      <c r="I29" s="645"/>
      <c r="J29" s="646"/>
      <c r="K29" s="241"/>
      <c r="L29" s="656" t="s">
        <v>58</v>
      </c>
      <c r="M29" s="657"/>
      <c r="N29" s="429">
        <f>IF(P29=CHAR(252),Q29+R29+S29+G19,FLOOR(Q29/2,1)+R29+S29+G19)</f>
        <v>2</v>
      </c>
      <c r="O29" s="430" t="s">
        <v>169</v>
      </c>
      <c r="P29" s="431" t="str">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CHAR(252),CHAR(251))</f>
        <v>ь</v>
      </c>
      <c r="Q29" s="436">
        <v>1</v>
      </c>
      <c r="R29" s="432"/>
      <c r="S29" s="430"/>
      <c r="T29" s="241"/>
      <c r="U29" s="241"/>
      <c r="V29" s="241"/>
      <c r="W29" s="241"/>
      <c r="X29" s="241"/>
      <c r="Y29" s="239"/>
      <c r="AB29" s="55"/>
      <c r="AF29" s="55"/>
    </row>
    <row r="30" spans="1:32" ht="32.25" customHeight="1">
      <c r="A30" s="239"/>
      <c r="B30" s="240"/>
      <c r="C30" s="297"/>
      <c r="D30" s="645"/>
      <c r="E30" s="645"/>
      <c r="F30" s="645"/>
      <c r="G30" s="645"/>
      <c r="H30" s="645"/>
      <c r="I30" s="645"/>
      <c r="J30" s="646"/>
      <c r="K30" s="241"/>
      <c r="L30" s="656" t="s">
        <v>59</v>
      </c>
      <c r="M30" s="657"/>
      <c r="N30" s="429">
        <f>IF(P30=CHAR(252),Q30+R30+S30+G19,FLOOR(Q30/2,1)+R30+S30+G19)</f>
        <v>2</v>
      </c>
      <c r="O30" s="430" t="s">
        <v>169</v>
      </c>
      <c r="P30" s="431" t="str">
        <f>IF(OR(L11="Воин",L10="Воин",L9="Воин",L8="Воин",L7="Воин",L11="Варвар",L10="Варвар",L9="Варвар",L8="Варвар",L7="Варвар",L11="Вор",L10="Вор",L9="Вор",L8="Вор",L7="Вор"), CHAR(252),CHAR(251))</f>
        <v>ь</v>
      </c>
      <c r="Q30" s="436">
        <v>1</v>
      </c>
      <c r="R30" s="432"/>
      <c r="S30" s="430"/>
      <c r="T30" s="241"/>
      <c r="U30" s="241"/>
      <c r="V30" s="241"/>
      <c r="W30" s="241"/>
      <c r="X30" s="241"/>
      <c r="Y30" s="239"/>
      <c r="AB30" s="55"/>
      <c r="AF30" s="55"/>
    </row>
    <row r="31" spans="1:32" ht="32.25" customHeight="1">
      <c r="A31" s="239"/>
      <c r="B31" s="240"/>
      <c r="C31" s="297"/>
      <c r="D31" s="645"/>
      <c r="E31" s="645"/>
      <c r="F31" s="645"/>
      <c r="G31" s="645"/>
      <c r="H31" s="645"/>
      <c r="I31" s="645"/>
      <c r="J31" s="646"/>
      <c r="K31" s="241"/>
      <c r="L31" s="656" t="s">
        <v>60</v>
      </c>
      <c r="M31" s="657"/>
      <c r="N31" s="429">
        <f>IF(P31=CHAR(252),Q31+R31+S31+G15,FLOOR(Q31/2,1)+R31+S31+G15)</f>
        <v>1</v>
      </c>
      <c r="O31" s="430" t="s">
        <v>166</v>
      </c>
      <c r="P31" s="431" t="str">
        <f>IF(OR(L11="Вор",L10="Вор",L9="Вор",L8="Вор",L7="Вор",L11="Монах",L10="Монах",L9="Монах",L8="Монах",L7="Монах"), CHAR(252),CHAR(251))</f>
        <v>ы</v>
      </c>
      <c r="Q31" s="436">
        <v>0</v>
      </c>
      <c r="R31" s="432"/>
      <c r="S31" s="430"/>
      <c r="T31" s="241"/>
      <c r="U31" s="241"/>
      <c r="V31" s="241"/>
      <c r="W31" s="241"/>
      <c r="X31" s="241"/>
      <c r="Y31" s="239"/>
      <c r="AB31" s="55"/>
      <c r="AF31" s="55"/>
    </row>
    <row r="32" spans="1:32" ht="32.25" customHeight="1">
      <c r="A32" s="239"/>
      <c r="B32" s="240"/>
      <c r="C32" s="297"/>
      <c r="D32" s="645"/>
      <c r="E32" s="645"/>
      <c r="F32" s="645"/>
      <c r="G32" s="645"/>
      <c r="H32" s="645"/>
      <c r="I32" s="645"/>
      <c r="J32" s="646"/>
      <c r="K32" s="241"/>
      <c r="L32" s="656" t="s">
        <v>61</v>
      </c>
      <c r="M32" s="657"/>
      <c r="N32" s="429">
        <f>IF(P32=CHAR(252),Q32+R32+S32+G15,FLOOR(Q32/2,1)+R32+S32+G15)</f>
        <v>1</v>
      </c>
      <c r="O32" s="430" t="s">
        <v>166</v>
      </c>
      <c r="P32" s="431" t="str">
        <f>IF(OR(L11="Вор",L10="Вор",L9="Вор",L8="Вор",L7="Вор",L11="Рейнджер",L10="Рейнджер",L9="Рейнджер",L8="Рейнджер",L7="Рейнджер"), CHAR(252),CHAR(251))</f>
        <v>ы</v>
      </c>
      <c r="Q32" s="436">
        <v>0</v>
      </c>
      <c r="R32" s="432"/>
      <c r="S32" s="430"/>
      <c r="T32" s="241"/>
      <c r="U32" s="241"/>
      <c r="V32" s="241"/>
      <c r="W32" s="241"/>
      <c r="X32" s="241"/>
      <c r="Y32" s="239"/>
      <c r="AB32" s="55"/>
      <c r="AF32" s="55"/>
    </row>
    <row r="33" spans="1:32" ht="32.25" customHeight="1">
      <c r="A33" s="239"/>
      <c r="B33" s="240"/>
      <c r="C33" s="297"/>
      <c r="D33" s="645"/>
      <c r="E33" s="645"/>
      <c r="F33" s="645"/>
      <c r="G33" s="645"/>
      <c r="H33" s="645"/>
      <c r="I33" s="645"/>
      <c r="J33" s="646"/>
      <c r="K33" s="241"/>
      <c r="L33" s="656" t="s">
        <v>170</v>
      </c>
      <c r="M33" s="657"/>
      <c r="N33" s="429">
        <f>IF(P33=CHAR(252),Q33+R33+S33+G19,FLOOR(Q33/2,1)+R33+S33+G19)</f>
        <v>1</v>
      </c>
      <c r="O33" s="430" t="s">
        <v>169</v>
      </c>
      <c r="P33" s="431" t="str">
        <f>IF(OR(L11="Вор",L10="Вор",L9="Вор",L8="Вор",L7="Вор"), CHAR(252),CHAR(251))</f>
        <v>ы</v>
      </c>
      <c r="Q33" s="436">
        <v>0</v>
      </c>
      <c r="R33" s="432"/>
      <c r="S33" s="430"/>
      <c r="T33" s="241"/>
      <c r="U33" s="241"/>
      <c r="V33" s="241"/>
      <c r="W33" s="241"/>
      <c r="X33" s="241"/>
      <c r="Y33" s="239"/>
      <c r="AB33" s="55"/>
      <c r="AF33" s="55"/>
    </row>
    <row r="34" spans="1:32" ht="32.25" customHeight="1">
      <c r="A34" s="239"/>
      <c r="B34" s="240"/>
      <c r="C34" s="297"/>
      <c r="D34" s="645"/>
      <c r="E34" s="645"/>
      <c r="F34" s="645"/>
      <c r="G34" s="645"/>
      <c r="H34" s="645"/>
      <c r="I34" s="645"/>
      <c r="J34" s="646"/>
      <c r="K34" s="241"/>
      <c r="L34" s="656" t="s">
        <v>63</v>
      </c>
      <c r="M34" s="657"/>
      <c r="N34" s="429">
        <f>IF(P34=CHAR(252),Q34+R34+S34+G17,FLOOR(Q34/2,1)+R34+S34+G17)</f>
        <v>-1</v>
      </c>
      <c r="O34" s="430" t="s">
        <v>171</v>
      </c>
      <c r="P34" s="431" t="str">
        <f>IF(OR(L11="Друид",L10="Друид",L9="Друид",L8="Друид",L7="Друид",L11="Жрец",L10="Жрец",L9="Жрец",L8="Жрец",L7="Жрец",L11="Маг",L10="Маг",L9="Маг",L8="Маг",L7="Маг",L11="Чародей",L10="Чародей",L9="Чародей",L8="Чародей",L7="Чародей"), CHAR(252),CHAR(251))</f>
        <v>ы</v>
      </c>
      <c r="Q34" s="436">
        <v>0</v>
      </c>
      <c r="R34" s="432"/>
      <c r="S34" s="430"/>
      <c r="T34" s="241"/>
      <c r="U34" s="241"/>
      <c r="V34" s="241"/>
      <c r="W34" s="241"/>
      <c r="X34" s="241"/>
      <c r="Y34" s="239"/>
      <c r="AB34" s="55"/>
    </row>
    <row r="35" spans="1:32" ht="32.25" customHeight="1">
      <c r="A35" s="239"/>
      <c r="B35" s="240"/>
      <c r="C35" s="297"/>
      <c r="D35" s="645"/>
      <c r="E35" s="645"/>
      <c r="F35" s="645"/>
      <c r="G35" s="645"/>
      <c r="H35" s="645"/>
      <c r="I35" s="645"/>
      <c r="J35" s="646"/>
      <c r="K35" s="241"/>
      <c r="L35" s="656" t="s">
        <v>64</v>
      </c>
      <c r="M35" s="657"/>
      <c r="N35" s="429">
        <f>IF(P34=CHAR(252),Q34+R34+S34+G16,FLOOR(Q34/2,1)+R34+S34+G16)</f>
        <v>2</v>
      </c>
      <c r="O35" s="430" t="s">
        <v>172</v>
      </c>
      <c r="P35" s="431" t="str">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ы</v>
      </c>
      <c r="Q35" s="436">
        <v>0</v>
      </c>
      <c r="R35" s="432"/>
      <c r="S35" s="430"/>
      <c r="T35" s="241"/>
      <c r="U35" s="241"/>
      <c r="V35" s="241"/>
      <c r="W35" s="241"/>
      <c r="X35" s="241"/>
      <c r="Y35" s="239"/>
      <c r="AB35" s="55"/>
    </row>
    <row r="36" spans="1:32" ht="32.25" customHeight="1">
      <c r="A36" s="239"/>
      <c r="B36" s="240"/>
      <c r="C36" s="297"/>
      <c r="D36" s="645"/>
      <c r="E36" s="645"/>
      <c r="F36" s="645"/>
      <c r="G36" s="645"/>
      <c r="H36" s="645"/>
      <c r="I36" s="645"/>
      <c r="J36" s="646"/>
      <c r="K36" s="241"/>
      <c r="L36" s="656" t="s">
        <v>66</v>
      </c>
      <c r="M36" s="657"/>
      <c r="N36" s="429">
        <f>IF(P36=CHAR(252),Q36+R36+S36+G15,FLOOR(Q36/2,1)+R36+S36+G15)</f>
        <v>1</v>
      </c>
      <c r="O36" s="430" t="s">
        <v>166</v>
      </c>
      <c r="P36" s="431" t="str">
        <f>IF(OR(L11="Вор",L10="Вор",L9="Вор",L8="Вор",L7="Вор",L11="Монах",L10="Монах",L9="Монах",L8="Монах",L7="Монах"), CHAR(252),CHAR(251))</f>
        <v>ы</v>
      </c>
      <c r="Q36" s="436">
        <v>0</v>
      </c>
      <c r="R36" s="432"/>
      <c r="S36" s="430"/>
      <c r="T36" s="241"/>
      <c r="U36" s="241"/>
      <c r="V36" s="241"/>
      <c r="W36" s="241"/>
      <c r="X36" s="241"/>
      <c r="Y36" s="239"/>
      <c r="AB36" s="55"/>
    </row>
    <row r="37" spans="1:32" ht="32.25" customHeight="1">
      <c r="A37" s="239"/>
      <c r="B37" s="240"/>
      <c r="C37" s="297"/>
      <c r="D37" s="645"/>
      <c r="E37" s="645"/>
      <c r="F37" s="645"/>
      <c r="G37" s="645"/>
      <c r="H37" s="645"/>
      <c r="I37" s="645"/>
      <c r="J37" s="646"/>
      <c r="K37" s="241"/>
      <c r="L37" s="656" t="s">
        <v>67</v>
      </c>
      <c r="M37" s="657"/>
      <c r="N37" s="429">
        <f>IF(P37=CHAR(252),Q37+R37+S37+G14,FLOOR(Q37/2,1)+R37+S37+G14)</f>
        <v>3</v>
      </c>
      <c r="O37" s="430" t="s">
        <v>25</v>
      </c>
      <c r="P37" s="431" t="str">
        <f>IF(OR(L11="Воин",L10="Воин",L9="Воин",L8="Воин",L7="Воин",L11="Варвар",L10="Варвар",L9="Варвар",L8="Варвар",L7="Варвар",L11="Вор",L10="Вор",L9="Вор",L8="Вор",L7="Вор",L11="Монах",L10="Монах",L9="Монах",L8="Монах",L7="Монах",L11="Рейнджер",L10="Рейнджер",L9="Рейнджер",L8="Рейнджер",L7="Рейнджер"), CHAR(252),CHAR(251))</f>
        <v>ь</v>
      </c>
      <c r="Q37" s="436">
        <v>0</v>
      </c>
      <c r="R37" s="432">
        <f>IF(G8="Хафлинг", 2,0)</f>
        <v>0</v>
      </c>
      <c r="S37" s="430"/>
      <c r="T37" s="241"/>
      <c r="U37" s="241"/>
      <c r="V37" s="241"/>
      <c r="W37" s="241"/>
      <c r="X37" s="241"/>
      <c r="Y37" s="239"/>
      <c r="AB37" s="55"/>
    </row>
    <row r="38" spans="1:32" ht="32.25" customHeight="1">
      <c r="A38" s="239"/>
      <c r="B38" s="240"/>
      <c r="C38" s="297"/>
      <c r="D38" s="645"/>
      <c r="E38" s="645"/>
      <c r="F38" s="645"/>
      <c r="G38" s="645"/>
      <c r="H38" s="645"/>
      <c r="I38" s="645"/>
      <c r="J38" s="646"/>
      <c r="K38" s="241"/>
      <c r="L38" s="656" t="s">
        <v>68</v>
      </c>
      <c r="M38" s="657"/>
      <c r="N38" s="429">
        <f>IF(P38=CHAR(252),Q38+R38+S38+G18,FLOOR(Q38/2,1)+R38+S38+G18)</f>
        <v>-1</v>
      </c>
      <c r="O38" s="430" t="s">
        <v>168</v>
      </c>
      <c r="P38" s="431" t="str">
        <f>IF(OR(L11="Друид",L10="Друид",L9="Друид",L8="Друид",L7="Друид",L11="Жрец",L10="Жрец",L9="Жрец",L8="Жрец",L7="Жрец",L11="Паладин",L10="Паладин",L9="Паладин",L8="Паладин",L7="Паладин",L11="Рейнджер",L10="Рейнджер",L9="Рейнджер",L8="Рейнджер",L7="Рейнджер"), CHAR(252),CHAR(251))</f>
        <v>ы</v>
      </c>
      <c r="Q38" s="436">
        <v>0</v>
      </c>
      <c r="R38" s="432"/>
      <c r="S38" s="430"/>
      <c r="T38" s="241"/>
      <c r="U38" s="241"/>
      <c r="V38" s="241"/>
      <c r="W38" s="241"/>
      <c r="X38" s="241"/>
      <c r="Y38" s="239"/>
      <c r="AB38" s="55"/>
    </row>
    <row r="39" spans="1:32" ht="32.25" customHeight="1">
      <c r="A39" s="239"/>
      <c r="B39" s="240"/>
      <c r="C39" s="297"/>
      <c r="D39" s="645"/>
      <c r="E39" s="645"/>
      <c r="F39" s="645"/>
      <c r="G39" s="645"/>
      <c r="H39" s="645"/>
      <c r="I39" s="645"/>
      <c r="J39" s="646"/>
      <c r="K39" s="241"/>
      <c r="L39" s="656" t="s">
        <v>69</v>
      </c>
      <c r="M39" s="657"/>
      <c r="N39" s="429">
        <f>IF(P39=CHAR(252),Q39+R39+S39+G15,FLOOR(Q39/2,1)+R39+S39+G15)</f>
        <v>1</v>
      </c>
      <c r="O39" s="430" t="s">
        <v>166</v>
      </c>
      <c r="P39" s="431" t="str">
        <f>IF(OR(L11="Вор",L10="Вор",L9="Вор",L8="Вор",L7="Вор"), CHAR(252),CHAR(251))</f>
        <v>ы</v>
      </c>
      <c r="Q39" s="436">
        <v>0</v>
      </c>
      <c r="R39" s="432"/>
      <c r="S39" s="430"/>
      <c r="T39" s="241"/>
      <c r="U39" s="241"/>
      <c r="V39" s="241"/>
      <c r="W39" s="241"/>
      <c r="X39" s="241"/>
      <c r="Y39" s="239"/>
      <c r="AB39" s="55"/>
    </row>
    <row r="40" spans="1:32" ht="32.25" customHeight="1">
      <c r="A40" s="239"/>
      <c r="B40" s="240"/>
      <c r="C40" s="297"/>
      <c r="D40" s="645"/>
      <c r="E40" s="645"/>
      <c r="F40" s="645"/>
      <c r="G40" s="645"/>
      <c r="H40" s="645"/>
      <c r="I40" s="645"/>
      <c r="J40" s="646"/>
      <c r="K40" s="241"/>
      <c r="L40" s="656" t="s">
        <v>70</v>
      </c>
      <c r="M40" s="657"/>
      <c r="N40" s="429">
        <f>IF(P40=CHAR(252),Q40+R40+S40+G19,FLOOR(Q40/2,1)+R40+S40+G19)</f>
        <v>1</v>
      </c>
      <c r="O40" s="430" t="s">
        <v>169</v>
      </c>
      <c r="P40" s="431" t="str">
        <f>IF(OR(L11="Вор",L10="Вор",L9="Вор",L8="Вор",L7="Вор"), CHAR(252),CHAR(251))</f>
        <v>ы</v>
      </c>
      <c r="Q40" s="436">
        <v>0</v>
      </c>
      <c r="R40" s="432"/>
      <c r="S40" s="430"/>
      <c r="T40" s="241"/>
      <c r="U40" s="241"/>
      <c r="V40" s="241"/>
      <c r="W40" s="241"/>
      <c r="X40" s="241"/>
      <c r="Y40" s="239"/>
      <c r="AB40" s="55"/>
    </row>
    <row r="41" spans="1:32" ht="32.25" customHeight="1">
      <c r="A41" s="239"/>
      <c r="B41" s="240"/>
      <c r="C41" s="297"/>
      <c r="D41" s="645"/>
      <c r="E41" s="645"/>
      <c r="F41" s="645"/>
      <c r="G41" s="645"/>
      <c r="H41" s="645"/>
      <c r="I41" s="645"/>
      <c r="J41" s="646"/>
      <c r="K41" s="241"/>
      <c r="L41" s="656" t="s">
        <v>71</v>
      </c>
      <c r="M41" s="657"/>
      <c r="N41" s="429">
        <f>IF(P41=CHAR(252),Q41+R41+S41+G17,FLOOR(Q41/2,1)+R41+S41+G17)</f>
        <v>-1</v>
      </c>
      <c r="O41" s="430" t="s">
        <v>171</v>
      </c>
      <c r="P41" s="431" t="str">
        <f>IF(OR(L11="Вор",L10="Вор",L9="Вор",L8="Вор",L7="Вор"), CHAR(252),CHAR(251))</f>
        <v>ы</v>
      </c>
      <c r="Q41" s="436">
        <v>0</v>
      </c>
      <c r="R41" s="432"/>
      <c r="S41" s="430"/>
      <c r="T41" s="241"/>
      <c r="U41" s="241"/>
      <c r="V41" s="241"/>
      <c r="W41" s="241"/>
      <c r="X41" s="241"/>
      <c r="Y41" s="239"/>
      <c r="AB41" s="55"/>
    </row>
    <row r="42" spans="1:32" ht="32.25" customHeight="1">
      <c r="A42" s="239"/>
      <c r="B42" s="240"/>
      <c r="C42" s="297"/>
      <c r="D42" s="645"/>
      <c r="E42" s="645"/>
      <c r="F42" s="645"/>
      <c r="G42" s="645"/>
      <c r="H42" s="645"/>
      <c r="I42" s="645"/>
      <c r="J42" s="646"/>
      <c r="K42" s="241"/>
      <c r="L42" s="656" t="s">
        <v>72</v>
      </c>
      <c r="M42" s="657"/>
      <c r="N42" s="429">
        <f>IF(P42=CHAR(252),Q42+R42+S42+G19,FLOOR(Q42/2,1)+R42+S42+G19)</f>
        <v>1</v>
      </c>
      <c r="O42" s="430" t="s">
        <v>169</v>
      </c>
      <c r="P42" s="431" t="str">
        <f>IF(OR(L11="Вор",L10="Вор",L9="Вор",L8="Вор",L7="Вор",L11="Чародей",L10="Чародей",L9="Чародей",L8="Чародей",L7="Чародей"), CHAR(252),CHAR(251))</f>
        <v>ы</v>
      </c>
      <c r="Q42" s="436">
        <v>0</v>
      </c>
      <c r="R42" s="432"/>
      <c r="S42" s="430"/>
      <c r="T42" s="241"/>
      <c r="U42" s="241"/>
      <c r="V42" s="241"/>
      <c r="W42" s="241"/>
      <c r="X42" s="241"/>
      <c r="Y42" s="239"/>
      <c r="AB42" s="55"/>
    </row>
    <row r="43" spans="1:32" ht="32.25" customHeight="1">
      <c r="A43" s="239"/>
      <c r="B43" s="240"/>
      <c r="C43" s="297"/>
      <c r="D43" s="645"/>
      <c r="E43" s="645"/>
      <c r="F43" s="645"/>
      <c r="G43" s="645"/>
      <c r="H43" s="645"/>
      <c r="I43" s="645"/>
      <c r="J43" s="646"/>
      <c r="K43" s="241"/>
      <c r="L43" s="656" t="s">
        <v>73</v>
      </c>
      <c r="M43" s="657"/>
      <c r="N43" s="429">
        <f>IF(P43=CHAR(252),Q43+R43+S43+G18,FLOOR(Q43/2,1)+R43+S43+G18)</f>
        <v>0</v>
      </c>
      <c r="O43" s="430" t="s">
        <v>168</v>
      </c>
      <c r="P43" s="431" t="str">
        <f>IF(G8="Драконид",CHAR(252),IF(OR(L11="Вор",L10="Вор",L9="Вор",L8="Вор",L7="Вор",L11="Друид",L10="Друид",L9="Друид",L8="Друид",L7="Друид",L11="Монах",L10="Монах",L9="Монах",L8="Монах",L7="Монах",L11="Рейнджер",L10="Рейнджер",L9="Рейнджер",L8="Рейнджер",L7="Рейнджер"),CHAR(252),CHAR(251)))</f>
        <v>ы</v>
      </c>
      <c r="Q43" s="436">
        <v>0</v>
      </c>
      <c r="R43" s="432">
        <f>IF(G8="Полуэльф", 1,IF(G8="Эльф", 2,IF(G8="Драконорожденный",2,0)))</f>
        <v>1</v>
      </c>
      <c r="S43" s="434"/>
      <c r="T43" s="241"/>
      <c r="U43" s="241"/>
      <c r="V43" s="241"/>
      <c r="W43" s="241"/>
      <c r="X43" s="241"/>
      <c r="Y43" s="239"/>
      <c r="AB43" s="55"/>
    </row>
    <row r="44" spans="1:32" ht="32.25" customHeight="1">
      <c r="A44" s="239"/>
      <c r="B44" s="240"/>
      <c r="C44" s="297"/>
      <c r="D44" s="645"/>
      <c r="E44" s="645"/>
      <c r="F44" s="645"/>
      <c r="G44" s="645"/>
      <c r="H44" s="645"/>
      <c r="I44" s="645"/>
      <c r="J44" s="646"/>
      <c r="K44" s="241"/>
      <c r="L44" s="656" t="s">
        <v>74</v>
      </c>
      <c r="M44" s="657"/>
      <c r="N44" s="429">
        <f>IF(P44=CHAR(252),Q44+R44+S44+G15,FLOOR(Q44/2,1)+R44+S44+G15)</f>
        <v>1</v>
      </c>
      <c r="O44" s="430" t="s">
        <v>166</v>
      </c>
      <c r="P44" s="431" t="str">
        <f>IF(OR(L11="Вор",L10="Вор",L9="Вор",L8="Вор",L7="Вор"), CHAR(252),CHAR(251))</f>
        <v>ы</v>
      </c>
      <c r="Q44" s="436">
        <v>0</v>
      </c>
      <c r="R44" s="432"/>
      <c r="S44" s="430"/>
      <c r="T44" s="241"/>
      <c r="U44" s="241"/>
      <c r="V44" s="241"/>
      <c r="W44" s="241"/>
      <c r="X44" s="241"/>
      <c r="Y44" s="239"/>
      <c r="AB44" s="55"/>
    </row>
    <row r="45" spans="1:32" ht="32.25" customHeight="1">
      <c r="A45" s="239"/>
      <c r="B45" s="240"/>
      <c r="C45" s="297"/>
      <c r="D45" s="645"/>
      <c r="E45" s="645"/>
      <c r="F45" s="645"/>
      <c r="G45" s="645"/>
      <c r="H45" s="645"/>
      <c r="I45" s="645"/>
      <c r="J45" s="646"/>
      <c r="K45" s="241"/>
      <c r="L45" s="656" t="s">
        <v>75</v>
      </c>
      <c r="M45" s="657"/>
      <c r="N45" s="429">
        <f>IF(P45=CHAR(252),Q45+R45+S45+G17,FLOOR(Q45/2,1)+R45+S45+G17)</f>
        <v>-1</v>
      </c>
      <c r="O45" s="430" t="s">
        <v>171</v>
      </c>
      <c r="P45" s="431" t="str">
        <f>IF(OR(L11="Вор",L10="Вор",L9="Вор",L8="Вор",L7="Вор"), CHAR(252),CHAR(251))</f>
        <v>ы</v>
      </c>
      <c r="Q45" s="436">
        <v>0</v>
      </c>
      <c r="R45" s="432">
        <f>IF(G8="Дварф", 2,0)</f>
        <v>0</v>
      </c>
      <c r="S45" s="430"/>
      <c r="T45" s="241"/>
      <c r="U45" s="241"/>
      <c r="V45" s="241"/>
      <c r="W45" s="241"/>
      <c r="X45" s="241"/>
      <c r="Y45" s="239"/>
    </row>
    <row r="46" spans="1:32" ht="32.25" customHeight="1">
      <c r="A46" s="239"/>
      <c r="B46" s="240"/>
      <c r="C46" s="297"/>
      <c r="D46" s="645"/>
      <c r="E46" s="645"/>
      <c r="F46" s="645"/>
      <c r="G46" s="645"/>
      <c r="H46" s="645"/>
      <c r="I46" s="645"/>
      <c r="J46" s="646"/>
      <c r="K46" s="241"/>
      <c r="L46" s="656" t="s">
        <v>76</v>
      </c>
      <c r="M46" s="657"/>
      <c r="N46" s="429">
        <f>IF(P46=CHAR(252),Q46+R46+S46+G14,FLOOR(Q46/2,1)+R46+S46+G14)</f>
        <v>3</v>
      </c>
      <c r="O46" s="430" t="s">
        <v>25</v>
      </c>
      <c r="P46" s="431" t="str">
        <f>IF(OR(L11="Воин",L10="Воин",L9="Воин",L8="Воин",L7="Воин",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 CHAR(252),CHAR(251))</f>
        <v>ь</v>
      </c>
      <c r="Q46" s="436">
        <v>0</v>
      </c>
      <c r="R46" s="432"/>
      <c r="S46" s="430"/>
      <c r="T46" s="241"/>
      <c r="U46" s="241"/>
      <c r="V46" s="241"/>
      <c r="W46" s="241"/>
      <c r="X46" s="241"/>
      <c r="Y46" s="239"/>
    </row>
    <row r="47" spans="1:32" ht="32.25" customHeight="1">
      <c r="A47" s="239"/>
      <c r="B47" s="240"/>
      <c r="C47" s="297"/>
      <c r="D47" s="645"/>
      <c r="E47" s="645"/>
      <c r="F47" s="645"/>
      <c r="G47" s="645"/>
      <c r="H47" s="645"/>
      <c r="I47" s="645"/>
      <c r="J47" s="646"/>
      <c r="K47" s="241"/>
      <c r="L47" s="656" t="s">
        <v>77</v>
      </c>
      <c r="M47" s="657"/>
      <c r="N47" s="429">
        <f>IF(P47=CHAR(252),Q47+R47+S47+G17,FLOOR(Q47/2,1)+R47+S47+G17)</f>
        <v>-1</v>
      </c>
      <c r="O47" s="430" t="s">
        <v>171</v>
      </c>
      <c r="P47" s="431" t="str">
        <f>IF(OR(L11="Вор",L10="Вор",L9="Вор",L8="Вор",L7="Вор"), CHAR(252),CHAR(251))</f>
        <v>ы</v>
      </c>
      <c r="Q47" s="436">
        <v>0</v>
      </c>
      <c r="R47" s="432"/>
      <c r="S47" s="430"/>
      <c r="T47" s="241"/>
      <c r="U47" s="241"/>
      <c r="V47" s="241"/>
      <c r="W47" s="241"/>
      <c r="X47" s="241"/>
      <c r="Y47" s="239"/>
    </row>
    <row r="48" spans="1:32" ht="32.25" customHeight="1">
      <c r="A48" s="239"/>
      <c r="B48" s="240"/>
      <c r="C48" s="297"/>
      <c r="D48" s="645"/>
      <c r="E48" s="645"/>
      <c r="F48" s="645"/>
      <c r="G48" s="645"/>
      <c r="H48" s="645"/>
      <c r="I48" s="645"/>
      <c r="J48" s="646"/>
      <c r="K48" s="241"/>
      <c r="L48" s="656" t="s">
        <v>78</v>
      </c>
      <c r="M48" s="657"/>
      <c r="N48" s="429">
        <f>IF(P48=CHAR(252),Q48+R48+S48+G17,FLOOR(Q48/2,1)+R48+S48+G17)</f>
        <v>0</v>
      </c>
      <c r="O48" s="430" t="s">
        <v>171</v>
      </c>
      <c r="P48" s="431" t="str">
        <f>IF(OR(L11="Вор",L10="Вор",L9="Вор",L8="Вор",L7="Вор",L11="Монах",L10="Монах",L9="Монах",L8="Монах",L7="Монах",L11="Рейнджер",L10="Рейнджер",L9="Рейнджер",L8="Рейнджер",L7="Рейнджер"),CHAR(252),CHAR(251))</f>
        <v>ы</v>
      </c>
      <c r="Q48" s="436">
        <v>1</v>
      </c>
      <c r="R48" s="432">
        <f>IF(G8="Полуэльф", 1,IF(G8="Эльф", 2,IF(G8="Драконорожденный",2,0)))</f>
        <v>1</v>
      </c>
      <c r="S48" s="430"/>
      <c r="T48" s="241"/>
      <c r="U48" s="241"/>
      <c r="V48" s="241"/>
      <c r="W48" s="241"/>
      <c r="X48" s="241"/>
      <c r="Y48" s="239"/>
    </row>
    <row r="49" spans="1:25" ht="32.25" customHeight="1">
      <c r="A49" s="239"/>
      <c r="B49" s="240"/>
      <c r="C49" s="297"/>
      <c r="D49" s="645"/>
      <c r="E49" s="645"/>
      <c r="F49" s="645"/>
      <c r="G49" s="645"/>
      <c r="H49" s="645"/>
      <c r="I49" s="645"/>
      <c r="J49" s="646"/>
      <c r="K49" s="241"/>
      <c r="L49" s="656" t="s">
        <v>79</v>
      </c>
      <c r="M49" s="657"/>
      <c r="N49" s="429">
        <f>IF(P49=CHAR(252),Q49+R49+S49+G18,FLOOR(Q49/2,1)+R49+S49+G18)</f>
        <v>0</v>
      </c>
      <c r="O49" s="430" t="s">
        <v>168</v>
      </c>
      <c r="P49" s="431" t="str">
        <f>IF(OR(L11="Вор",L10="Вор",L9="Вор",L8="Вор",L7="Вор",L11="Паладин",L10="Паладин",L9="Паладин",L8="Паладин",L7="Паладин"),CHAR(252),CHAR(251))</f>
        <v>ы</v>
      </c>
      <c r="Q49" s="436">
        <v>2</v>
      </c>
      <c r="R49" s="432"/>
      <c r="S49" s="430"/>
      <c r="T49" s="241"/>
      <c r="U49" s="241"/>
      <c r="V49" s="241"/>
      <c r="W49" s="241"/>
      <c r="X49" s="241"/>
      <c r="Y49" s="239"/>
    </row>
    <row r="50" spans="1:25" ht="32.25" customHeight="1">
      <c r="A50" s="239"/>
      <c r="B50" s="240"/>
      <c r="C50" s="297"/>
      <c r="D50" s="645"/>
      <c r="E50" s="645"/>
      <c r="F50" s="645"/>
      <c r="G50" s="645"/>
      <c r="H50" s="645"/>
      <c r="I50" s="645"/>
      <c r="J50" s="646"/>
      <c r="K50" s="241"/>
      <c r="L50" s="656" t="s">
        <v>80</v>
      </c>
      <c r="M50" s="657"/>
      <c r="N50" s="429">
        <f>IF(P50=CHAR(252),Q50+R50+S50+G14,FLOOR(Q50/2,1)+R50+S50+G14)</f>
        <v>3</v>
      </c>
      <c r="O50" s="430" t="s">
        <v>25</v>
      </c>
      <c r="P50" s="431" t="str">
        <f>IF(OR(L11="Варвар",L10="Варвар",L9="Варвар",L8="Варвар",L7="Варвар",L11="Вор",L10="Вор",L9="Вор",L8="Вор",L7="Вор",L11="Рейнджер",L10="Рейнджер",L9="Рейнджер",L8="Рейнджер",L7="Рейнджер"),CHAR(252),CHAR(251))</f>
        <v>ы</v>
      </c>
      <c r="Q50" s="436">
        <v>0</v>
      </c>
      <c r="R50" s="432">
        <f>IF(G8="Хафлинг", 2,0)</f>
        <v>0</v>
      </c>
      <c r="S50" s="430"/>
      <c r="T50" s="241"/>
      <c r="U50" s="241"/>
      <c r="V50" s="241"/>
      <c r="W50" s="241"/>
      <c r="X50" s="241"/>
      <c r="Y50" s="239"/>
    </row>
    <row r="51" spans="1:25" ht="32.25" customHeight="1">
      <c r="A51" s="239"/>
      <c r="B51" s="240"/>
      <c r="C51" s="297"/>
      <c r="D51" s="645"/>
      <c r="E51" s="645"/>
      <c r="F51" s="645"/>
      <c r="G51" s="645"/>
      <c r="H51" s="645"/>
      <c r="I51" s="645"/>
      <c r="J51" s="646"/>
      <c r="K51" s="241"/>
      <c r="L51" s="656" t="s">
        <v>81</v>
      </c>
      <c r="M51" s="657"/>
      <c r="N51" s="429">
        <f>IF(P51=CHAR(252),Q51+R51+S51+G17,FLOOR(Q51/2,1)+R51+S51+G17)</f>
        <v>-1</v>
      </c>
      <c r="O51" s="430" t="s">
        <v>171</v>
      </c>
      <c r="P51" s="431" t="str">
        <f>IF(OR(L11="Вор",L10="Вор",L9="Вор",L8="Вор",L7="Вор",L11="Маг",L10="Маг",L9="Маг",L8="Маг",L7="Маг"), CHAR(252),CHAR(251))</f>
        <v>ы</v>
      </c>
      <c r="Q51" s="436">
        <v>0</v>
      </c>
      <c r="R51" s="432"/>
      <c r="S51" s="430"/>
      <c r="T51" s="241"/>
      <c r="U51" s="241"/>
      <c r="V51" s="241"/>
      <c r="W51" s="241"/>
      <c r="X51" s="241"/>
      <c r="Y51" s="239"/>
    </row>
    <row r="52" spans="1:25" ht="32.25" customHeight="1">
      <c r="A52" s="239"/>
      <c r="B52" s="240"/>
      <c r="C52" s="297"/>
      <c r="D52" s="645"/>
      <c r="E52" s="645"/>
      <c r="F52" s="645"/>
      <c r="G52" s="645"/>
      <c r="H52" s="645"/>
      <c r="I52" s="645"/>
      <c r="J52" s="646"/>
      <c r="K52" s="241"/>
      <c r="L52" s="656" t="s">
        <v>82</v>
      </c>
      <c r="M52" s="657"/>
      <c r="N52" s="429">
        <f>IF(P52=CHAR(252),Q52+R52+S52+G19,FLOOR(Q52/2,1)+R52+S52+G19)</f>
        <v>3</v>
      </c>
      <c r="O52" s="430" t="s">
        <v>169</v>
      </c>
      <c r="P52" s="431" t="str">
        <f>IF(OR(L11="Вор",L10="Вор",L9="Вор",L8="Вор",L7="Вор"), CHAR(252),CHAR(251))</f>
        <v>ы</v>
      </c>
      <c r="Q52" s="436">
        <v>0</v>
      </c>
      <c r="R52" s="432">
        <f>IF(G8="Полуэльф", 2,0)</f>
        <v>2</v>
      </c>
      <c r="S52" s="430"/>
      <c r="T52" s="241"/>
      <c r="U52" s="241"/>
      <c r="V52" s="241"/>
      <c r="W52" s="241"/>
      <c r="X52" s="241"/>
      <c r="Y52" s="239"/>
    </row>
    <row r="53" spans="1:25" ht="32.25" customHeight="1">
      <c r="A53" s="239"/>
      <c r="B53" s="240"/>
      <c r="C53" s="297"/>
      <c r="D53" s="645"/>
      <c r="E53" s="645"/>
      <c r="F53" s="645"/>
      <c r="G53" s="645"/>
      <c r="H53" s="645"/>
      <c r="I53" s="645"/>
      <c r="J53" s="646"/>
      <c r="K53" s="241"/>
      <c r="L53" s="656" t="s">
        <v>83</v>
      </c>
      <c r="M53" s="657"/>
      <c r="N53" s="429">
        <f>IF(P53=CHAR(252),Q53+R53+S53+G18,FLOOR(Q53/2,1)+R53+S53+G18)</f>
        <v>1</v>
      </c>
      <c r="O53" s="430" t="s">
        <v>168</v>
      </c>
      <c r="P53" s="431" t="str">
        <f>IF(G8="Драконид",CHAR(252),IF(OR(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CHAR(252),CHAR(251)))</f>
        <v>ы</v>
      </c>
      <c r="Q53" s="436">
        <v>2</v>
      </c>
      <c r="R53" s="432">
        <f>IF(G8="Полуэльф", 1,IF(G8="Гном", 2,IF(G8="Хафлинг", 2,IF(G8="Эльф", 2,IF(G8="Тобакси",2,IF(G8="Драконорожденный",2,0))))))</f>
        <v>1</v>
      </c>
      <c r="S53" s="430"/>
      <c r="T53" s="241"/>
      <c r="U53" s="241"/>
      <c r="V53" s="241"/>
      <c r="W53" s="241"/>
      <c r="X53" s="241"/>
      <c r="Y53" s="239"/>
    </row>
    <row r="54" spans="1:25" ht="32.25" customHeight="1">
      <c r="A54" s="239"/>
      <c r="B54" s="240"/>
      <c r="C54" s="297"/>
      <c r="D54" s="645"/>
      <c r="E54" s="645"/>
      <c r="F54" s="645"/>
      <c r="G54" s="645"/>
      <c r="H54" s="645"/>
      <c r="I54" s="645"/>
      <c r="J54" s="646"/>
      <c r="K54" s="241"/>
      <c r="L54" s="656" t="s">
        <v>84</v>
      </c>
      <c r="M54" s="657"/>
      <c r="N54" s="429">
        <f>IF(P54=CHAR(252),Q54+R54+S54+G15,FLOOR(Q54/2,1)+R54+S54+G15)</f>
        <v>1</v>
      </c>
      <c r="O54" s="430" t="s">
        <v>166</v>
      </c>
      <c r="P54" s="431" t="str">
        <f>IF(OR(L11="Вор",L10="Вор",L9="Вор",L8="Вор",L7="Вор",L11="Монах",L10="Монах",L9="Монах",L8="Монах",L7="Монах",L11="Рейнджер",L10="Рейнджер",L9="Рейнджер",L8="Рейнджер",L7="Рейнджер"), CHAR(252),CHAR(251))</f>
        <v>ы</v>
      </c>
      <c r="Q54" s="436">
        <v>0</v>
      </c>
      <c r="R54" s="432">
        <f>IF(G8="Гном",4,IF(G8="Хафлинг",4,IF(G8="Кобольд",4,IF(G8="Драконид",-4,0))))</f>
        <v>0</v>
      </c>
      <c r="S54" s="430"/>
      <c r="T54" s="241"/>
      <c r="U54" s="241"/>
      <c r="V54" s="241"/>
      <c r="W54" s="241"/>
      <c r="X54" s="241"/>
      <c r="Y54" s="239"/>
    </row>
    <row r="55" spans="1:25" ht="32.25" customHeight="1">
      <c r="A55" s="239"/>
      <c r="B55" s="240"/>
      <c r="C55" s="297"/>
      <c r="D55" s="645"/>
      <c r="E55" s="645"/>
      <c r="F55" s="645"/>
      <c r="G55" s="645"/>
      <c r="H55" s="645"/>
      <c r="I55" s="645"/>
      <c r="J55" s="646"/>
      <c r="K55" s="241"/>
      <c r="L55" s="656" t="s">
        <v>85</v>
      </c>
      <c r="M55" s="657"/>
      <c r="N55" s="429">
        <f>IF(P55=CHAR(252),Q55+R55+S55+G17,FLOOR(Q55/2,1)+R55+S55+G17)</f>
        <v>-1</v>
      </c>
      <c r="O55" s="430" t="s">
        <v>171</v>
      </c>
      <c r="P55" s="431" t="str">
        <f>IF(OR(L11="Воин",L10="Воин",L9="Воин",L8="Воин",L7="Воин",L11="Варвар",L10="Варвар",L9="Варвар",L8="Варвар",L7="Варвар",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ь</v>
      </c>
      <c r="Q55" s="436">
        <v>0</v>
      </c>
      <c r="R55" s="432">
        <f>IF(G8="Кобольд",2,0)</f>
        <v>0</v>
      </c>
      <c r="S55" s="430"/>
      <c r="T55" s="241"/>
      <c r="U55" s="241"/>
      <c r="V55" s="241"/>
      <c r="W55" s="241"/>
      <c r="X55" s="241"/>
      <c r="Y55" s="239"/>
    </row>
    <row r="56" spans="1:25" ht="32.25" customHeight="1">
      <c r="A56" s="239"/>
      <c r="B56" s="240"/>
      <c r="C56" s="297"/>
      <c r="D56" s="645"/>
      <c r="E56" s="645"/>
      <c r="F56" s="645"/>
      <c r="G56" s="645"/>
      <c r="H56" s="645"/>
      <c r="I56" s="645"/>
      <c r="J56" s="646"/>
      <c r="K56" s="241"/>
      <c r="L56" s="656" t="s">
        <v>85</v>
      </c>
      <c r="M56" s="657"/>
      <c r="N56" s="429">
        <f>IF(P56=CHAR(252),Q56+R56+S56+G17,FLOOR(Q56/2,1)+R56+S56+G17)</f>
        <v>-1</v>
      </c>
      <c r="O56" s="430" t="s">
        <v>171</v>
      </c>
      <c r="P56" s="431" t="str">
        <f>IF(OR(L11="Жрец",L10="Жрец",L9="Жрец",L8="Жрец",L7="Жрец"), CHAR(252),CHAR(251))</f>
        <v>ы</v>
      </c>
      <c r="Q56" s="436">
        <v>0</v>
      </c>
      <c r="R56" s="432"/>
      <c r="S56" s="430"/>
      <c r="T56" s="241"/>
      <c r="U56" s="241"/>
      <c r="V56" s="241"/>
      <c r="W56" s="241"/>
      <c r="X56" s="241"/>
      <c r="Y56" s="239"/>
    </row>
    <row r="57" spans="1:25" ht="32.25" customHeight="1">
      <c r="A57" s="239"/>
      <c r="B57" s="240"/>
      <c r="C57" s="297"/>
      <c r="D57" s="645"/>
      <c r="E57" s="645"/>
      <c r="F57" s="645"/>
      <c r="G57" s="645"/>
      <c r="H57" s="645"/>
      <c r="I57" s="645"/>
      <c r="J57" s="646"/>
      <c r="K57" s="241"/>
      <c r="L57" s="656" t="s">
        <v>85</v>
      </c>
      <c r="M57" s="657"/>
      <c r="N57" s="429">
        <f>IF(P57=CHAR(252),Q57+R57+S57+G17,FLOOR(Q57/2,1)+R57+S57+G17)</f>
        <v>-1</v>
      </c>
      <c r="O57" s="430" t="s">
        <v>171</v>
      </c>
      <c r="P57" s="431"/>
      <c r="Q57" s="436">
        <v>0</v>
      </c>
      <c r="R57" s="432"/>
      <c r="S57" s="430"/>
      <c r="T57" s="241"/>
      <c r="U57" s="241"/>
      <c r="V57" s="241"/>
      <c r="W57" s="241"/>
      <c r="X57" s="241"/>
      <c r="Y57" s="239"/>
    </row>
    <row r="58" spans="1:25" ht="32.25" customHeight="1">
      <c r="A58" s="239"/>
      <c r="B58" s="240"/>
      <c r="C58" s="297"/>
      <c r="D58" s="645"/>
      <c r="E58" s="645"/>
      <c r="F58" s="645"/>
      <c r="G58" s="645"/>
      <c r="H58" s="645"/>
      <c r="I58" s="645"/>
      <c r="J58" s="646"/>
      <c r="K58" s="241"/>
      <c r="L58" s="656" t="s">
        <v>86</v>
      </c>
      <c r="M58" s="657"/>
      <c r="N58" s="429">
        <f>IF(P58=CHAR(252),Q58+R58+S58+G19,FLOOR(Q58/2,1)+R58+S58+G19)</f>
        <v>1</v>
      </c>
      <c r="O58" s="430" t="s">
        <v>169</v>
      </c>
      <c r="P58" s="431" t="str">
        <f>IF(OR(L11="Бард",L11="Вор",L10="Бард",L10="Вор",L9="Бард",L9="Вор",L8="Бард",L8="Вор",L7="Бард",L7="Вор",L11="Монах",L10="Монах",L9="Монах",L8="Монах",L7="Монах"),CHAR(252),CHAR(251))</f>
        <v>ы</v>
      </c>
      <c r="Q58" s="436">
        <v>0</v>
      </c>
      <c r="R58" s="432"/>
      <c r="S58" s="430"/>
      <c r="T58" s="241"/>
      <c r="U58" s="241"/>
      <c r="V58" s="241"/>
      <c r="W58" s="241"/>
      <c r="X58" s="241"/>
      <c r="Y58" s="239"/>
    </row>
    <row r="59" spans="1:25" ht="32.25" customHeight="1">
      <c r="A59" s="239"/>
      <c r="B59" s="240"/>
      <c r="C59" s="297"/>
      <c r="D59" s="645"/>
      <c r="E59" s="645"/>
      <c r="F59" s="645"/>
      <c r="G59" s="645"/>
      <c r="H59" s="645"/>
      <c r="I59" s="645"/>
      <c r="J59" s="646"/>
      <c r="K59" s="241"/>
      <c r="L59" s="656" t="s">
        <v>86</v>
      </c>
      <c r="M59" s="657"/>
      <c r="N59" s="429">
        <f>IF(P59=CHAR(252),Q59+R59+S59+G19,FLOOR(Q59/2,1)+R59+S59+G19)</f>
        <v>1</v>
      </c>
      <c r="O59" s="430" t="s">
        <v>169</v>
      </c>
      <c r="P59" s="431"/>
      <c r="Q59" s="436">
        <v>0</v>
      </c>
      <c r="R59" s="432"/>
      <c r="S59" s="430"/>
      <c r="T59" s="241"/>
      <c r="U59" s="241"/>
      <c r="V59" s="241"/>
      <c r="W59" s="241"/>
      <c r="X59" s="241"/>
      <c r="Y59" s="239"/>
    </row>
    <row r="60" spans="1:25" ht="32.25" customHeight="1">
      <c r="A60" s="239"/>
      <c r="B60" s="240"/>
      <c r="C60" s="297"/>
      <c r="D60" s="645"/>
      <c r="E60" s="645"/>
      <c r="F60" s="645"/>
      <c r="G60" s="645"/>
      <c r="H60" s="645"/>
      <c r="I60" s="645"/>
      <c r="J60" s="646"/>
      <c r="K60" s="241"/>
      <c r="L60" s="656" t="s">
        <v>86</v>
      </c>
      <c r="M60" s="657"/>
      <c r="N60" s="429">
        <f>IF(P60=CHAR(252),Q60+R60+S60+G19,FLOOR(Q60/2,1)+R60+S60+G19)</f>
        <v>1</v>
      </c>
      <c r="O60" s="430" t="s">
        <v>169</v>
      </c>
      <c r="P60" s="431"/>
      <c r="Q60" s="436">
        <v>0</v>
      </c>
      <c r="R60" s="432"/>
      <c r="S60" s="430"/>
      <c r="T60" s="241"/>
      <c r="U60" s="241"/>
      <c r="V60" s="241"/>
      <c r="W60" s="241"/>
      <c r="X60" s="241"/>
      <c r="Y60" s="239"/>
    </row>
    <row r="61" spans="1:25" ht="32.25" customHeight="1">
      <c r="A61" s="239"/>
      <c r="B61" s="240"/>
      <c r="C61" s="297"/>
      <c r="D61" s="645"/>
      <c r="E61" s="645"/>
      <c r="F61" s="645"/>
      <c r="G61" s="645"/>
      <c r="H61" s="645"/>
      <c r="I61" s="645"/>
      <c r="J61" s="646"/>
      <c r="K61" s="241"/>
      <c r="L61" s="656" t="s">
        <v>88</v>
      </c>
      <c r="M61" s="657"/>
      <c r="N61" s="429">
        <f>IF(P61=CHAR(252),Q61+R61+S61+G18,FLOOR(Q61/2,1)+R61+S61+G18)</f>
        <v>-1</v>
      </c>
      <c r="O61" s="430" t="s">
        <v>168</v>
      </c>
      <c r="P61" s="431" t="str">
        <f>IF(OR(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ы</v>
      </c>
      <c r="Q61" s="436">
        <v>0</v>
      </c>
      <c r="R61" s="432">
        <f>IF(G8="Кобольд",2,0)</f>
        <v>0</v>
      </c>
      <c r="S61" s="430"/>
      <c r="T61" s="241"/>
      <c r="U61" s="241"/>
      <c r="V61" s="241"/>
      <c r="W61" s="241"/>
      <c r="X61" s="241"/>
      <c r="Y61" s="239"/>
    </row>
    <row r="62" spans="1:25" ht="32.25" customHeight="1">
      <c r="A62" s="239"/>
      <c r="B62" s="240"/>
      <c r="C62" s="297"/>
      <c r="D62" s="645"/>
      <c r="E62" s="645"/>
      <c r="F62" s="645"/>
      <c r="G62" s="645"/>
      <c r="H62" s="645"/>
      <c r="I62" s="645"/>
      <c r="J62" s="646"/>
      <c r="K62" s="241"/>
      <c r="L62" s="656" t="s">
        <v>88</v>
      </c>
      <c r="M62" s="657"/>
      <c r="N62" s="429">
        <f>IF(P62=CHAR(252),Q62+R62+S62+G18,FLOOR(Q62/2,1)+R62+S62+G18)</f>
        <v>-1</v>
      </c>
      <c r="O62" s="430" t="s">
        <v>168</v>
      </c>
      <c r="P62" s="431"/>
      <c r="Q62" s="436">
        <v>0</v>
      </c>
      <c r="R62" s="432"/>
      <c r="S62" s="430"/>
      <c r="T62" s="241"/>
      <c r="U62" s="241"/>
      <c r="V62" s="241"/>
      <c r="W62" s="241"/>
      <c r="X62" s="241"/>
      <c r="Y62" s="239"/>
    </row>
    <row r="63" spans="1:25" ht="32.25" customHeight="1">
      <c r="A63" s="239"/>
      <c r="B63" s="240"/>
      <c r="C63" s="297"/>
      <c r="D63" s="645"/>
      <c r="E63" s="645"/>
      <c r="F63" s="645"/>
      <c r="G63" s="645"/>
      <c r="H63" s="645"/>
      <c r="I63" s="645"/>
      <c r="J63" s="646"/>
      <c r="K63" s="241"/>
      <c r="L63" s="656" t="s">
        <v>89</v>
      </c>
      <c r="M63" s="657"/>
      <c r="N63" s="429">
        <f>IF(P63=CHAR(252),Q63+R63+S63+G17,FLOOR(Q63/2,1)+R63+S63+G17)</f>
        <v>-1</v>
      </c>
      <c r="O63" s="430" t="s">
        <v>171</v>
      </c>
      <c r="P63" s="431" t="str">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ы</v>
      </c>
      <c r="Q63" s="436">
        <v>0</v>
      </c>
      <c r="R63" s="432"/>
      <c r="S63" s="430"/>
      <c r="T63" s="241"/>
      <c r="U63" s="241"/>
      <c r="V63" s="241"/>
      <c r="W63" s="241"/>
      <c r="X63" s="241"/>
      <c r="Y63" s="239"/>
    </row>
    <row r="64" spans="1:25" ht="32.25" customHeight="1">
      <c r="A64" s="239"/>
      <c r="B64" s="240"/>
      <c r="C64" s="297"/>
      <c r="D64" s="645"/>
      <c r="E64" s="645"/>
      <c r="F64" s="645"/>
      <c r="G64" s="645"/>
      <c r="H64" s="645"/>
      <c r="I64" s="645"/>
      <c r="J64" s="646"/>
      <c r="K64" s="241"/>
      <c r="L64" s="656" t="s">
        <v>89</v>
      </c>
      <c r="M64" s="657"/>
      <c r="N64" s="429">
        <f>IF(P64=CHAR(252),Q64+R64+S64+G17,FLOOR(Q64/2,1)+R64+S64+G17)</f>
        <v>-1</v>
      </c>
      <c r="O64" s="430" t="s">
        <v>171</v>
      </c>
      <c r="P64" s="431" t="str">
        <f>IF(OR(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 CHAR(252),CHAR(251))</f>
        <v>ы</v>
      </c>
      <c r="Q64" s="436">
        <v>0</v>
      </c>
      <c r="R64" s="432"/>
      <c r="S64" s="430"/>
      <c r="T64" s="241"/>
      <c r="U64" s="241"/>
      <c r="V64" s="241"/>
      <c r="W64" s="241"/>
      <c r="X64" s="241"/>
      <c r="Y64" s="239"/>
    </row>
    <row r="65" spans="1:25" ht="32.25" customHeight="1">
      <c r="A65" s="239"/>
      <c r="B65" s="240"/>
      <c r="C65" s="297"/>
      <c r="D65" s="645"/>
      <c r="E65" s="645"/>
      <c r="F65" s="645"/>
      <c r="G65" s="645"/>
      <c r="H65" s="645"/>
      <c r="I65" s="645"/>
      <c r="J65" s="646"/>
      <c r="K65" s="241"/>
      <c r="L65" s="656" t="s">
        <v>89</v>
      </c>
      <c r="M65" s="657"/>
      <c r="N65" s="429">
        <f>IF(P65=CHAR(252),Q65+R65+S65+G17,FLOOR(Q65/2,1)+R65+S65+G17)</f>
        <v>-1</v>
      </c>
      <c r="O65" s="430" t="s">
        <v>171</v>
      </c>
      <c r="P65" s="431" t="str">
        <f>IF(OR(L11="Жрец",L10="Жрец",L9="Жрец",L8="Жрец",L7="Жрец",L11="Маг",L10="Маг",L9="Маг",L8="Маг",L7="Маг",L11="Рейнджер",L10="Рейнджер",L9="Рейнджер",L8="Рейнджер",L7="Рейнджер"),CHAR(252),CHAR(251))</f>
        <v>ы</v>
      </c>
      <c r="Q65" s="436">
        <v>0</v>
      </c>
      <c r="R65" s="432"/>
      <c r="S65" s="430"/>
      <c r="T65" s="241"/>
      <c r="U65" s="241"/>
      <c r="V65" s="241"/>
      <c r="W65" s="241"/>
      <c r="X65" s="241"/>
      <c r="Y65" s="239"/>
    </row>
    <row r="66" spans="1:25" ht="32.25" customHeight="1">
      <c r="A66" s="239"/>
      <c r="B66" s="240"/>
      <c r="C66" s="297"/>
      <c r="D66" s="645"/>
      <c r="E66" s="645"/>
      <c r="F66" s="645"/>
      <c r="G66" s="645"/>
      <c r="H66" s="645"/>
      <c r="I66" s="645"/>
      <c r="J66" s="646"/>
      <c r="K66" s="241"/>
      <c r="L66" s="656" t="s">
        <v>89</v>
      </c>
      <c r="M66" s="657"/>
      <c r="N66" s="429">
        <f>IF(P66=CHAR(252),Q66+R66+S66+G17,FLOOR(Q66/2,1)+R66+S66+G17)</f>
        <v>-1</v>
      </c>
      <c r="O66" s="430" t="s">
        <v>171</v>
      </c>
      <c r="P66" s="431" t="str">
        <f>IF(OR(L11="Маг",L10="Маг",L9="Маг",L8="Маг",L7="Маг"), CHAR(252),CHAR(251))</f>
        <v>ы</v>
      </c>
      <c r="Q66" s="436">
        <v>0</v>
      </c>
      <c r="R66" s="432"/>
      <c r="S66" s="430"/>
      <c r="T66" s="241"/>
      <c r="U66" s="241"/>
      <c r="V66" s="241"/>
      <c r="W66" s="241"/>
      <c r="X66" s="241"/>
      <c r="Y66" s="239"/>
    </row>
    <row r="67" spans="1:25" ht="32.25" customHeight="1" thickBot="1">
      <c r="A67" s="239"/>
      <c r="B67" s="240"/>
      <c r="C67" s="297"/>
      <c r="D67" s="647"/>
      <c r="E67" s="647"/>
      <c r="F67" s="647"/>
      <c r="G67" s="647"/>
      <c r="H67" s="647"/>
      <c r="I67" s="647"/>
      <c r="J67" s="648"/>
      <c r="K67" s="240"/>
      <c r="L67" s="656" t="s">
        <v>89</v>
      </c>
      <c r="M67" s="657"/>
      <c r="N67" s="429">
        <f>IF(P67=CHAR(252),Q67+R67+S67+G17,FLOOR(Q67/2,1)+R67+S67+G17)</f>
        <v>-1</v>
      </c>
      <c r="O67" s="430" t="s">
        <v>171</v>
      </c>
      <c r="P67" s="431" t="str">
        <f>IF(OR(L11="Маг",L10="Маг",L9="Маг",L8="Маг",L7="Маг"), CHAR(252),CHAR(251))</f>
        <v>ы</v>
      </c>
      <c r="Q67" s="436">
        <v>0</v>
      </c>
      <c r="R67" s="432"/>
      <c r="S67" s="430"/>
      <c r="T67" s="241"/>
      <c r="U67" s="241"/>
      <c r="V67" s="240"/>
      <c r="W67" s="240"/>
      <c r="X67" s="241"/>
      <c r="Y67" s="239"/>
    </row>
    <row r="68" spans="1:25" ht="27.75" customHeight="1">
      <c r="A68" s="239"/>
      <c r="B68" s="240"/>
      <c r="C68" s="240"/>
      <c r="D68" s="240"/>
      <c r="E68" s="240"/>
      <c r="F68" s="240"/>
      <c r="G68" s="240"/>
      <c r="H68" s="240"/>
      <c r="I68" s="240"/>
      <c r="J68" s="240"/>
      <c r="K68" s="240"/>
      <c r="L68" s="240"/>
      <c r="M68" s="240"/>
      <c r="N68" s="240"/>
      <c r="O68" s="240"/>
      <c r="P68" s="240"/>
      <c r="Q68" s="240"/>
      <c r="R68" s="240"/>
      <c r="S68" s="240"/>
      <c r="T68" s="240"/>
      <c r="U68" s="240"/>
      <c r="V68" s="240"/>
      <c r="W68" s="240"/>
      <c r="X68" s="240"/>
      <c r="Y68" s="239"/>
    </row>
    <row r="69" spans="1:25" ht="27.75" customHeight="1">
      <c r="A69" s="239"/>
      <c r="B69" s="240"/>
      <c r="C69" s="240"/>
      <c r="D69" s="241"/>
      <c r="E69" s="241"/>
      <c r="F69" s="241"/>
      <c r="G69" s="241"/>
      <c r="H69" s="241"/>
      <c r="I69" s="241"/>
      <c r="J69" s="241"/>
      <c r="K69" s="241"/>
      <c r="L69" s="241"/>
      <c r="M69" s="241"/>
      <c r="N69" s="241"/>
      <c r="O69" s="241"/>
      <c r="P69" s="241"/>
      <c r="Q69" s="241"/>
      <c r="R69" s="241"/>
      <c r="S69" s="241"/>
      <c r="T69" s="241"/>
      <c r="U69" s="241"/>
      <c r="V69" s="241"/>
      <c r="W69" s="241"/>
      <c r="X69" s="241"/>
      <c r="Y69" s="239"/>
    </row>
    <row r="70" spans="1:25" ht="27.75" customHeight="1">
      <c r="A70" s="239"/>
      <c r="B70" s="296"/>
      <c r="C70" s="296"/>
      <c r="D70" s="296"/>
      <c r="E70" s="239"/>
      <c r="F70" s="239"/>
      <c r="G70" s="239"/>
      <c r="H70" s="239"/>
      <c r="I70" s="239"/>
      <c r="J70" s="239"/>
      <c r="K70" s="239"/>
      <c r="L70" s="239"/>
      <c r="M70" s="239"/>
      <c r="N70" s="239"/>
      <c r="O70" s="239"/>
      <c r="P70" s="239"/>
      <c r="Q70" s="239"/>
      <c r="R70" s="239"/>
      <c r="S70" s="239"/>
      <c r="T70" s="239"/>
      <c r="U70" s="239"/>
      <c r="V70" s="239"/>
      <c r="W70" s="239"/>
      <c r="X70" s="239"/>
      <c r="Y70" s="239"/>
    </row>
    <row r="71" spans="1:25" ht="47.25" customHeight="1"/>
    <row r="72" spans="1:25" ht="27.75" customHeight="1"/>
    <row r="73" spans="1:25" ht="34.5" customHeight="1"/>
    <row r="74" spans="1:25" ht="27.75" customHeight="1"/>
    <row r="75" spans="1:25" ht="27.75" customHeight="1"/>
    <row r="76" spans="1:25" ht="27.75" customHeight="1"/>
    <row r="77" spans="1:25" ht="27.75" customHeight="1"/>
    <row r="78" spans="1:25" ht="27.75" customHeight="1"/>
    <row r="79" spans="1:25" ht="27.75" customHeight="1"/>
    <row r="80" spans="1:25" ht="27.75" customHeight="1"/>
    <row r="81" ht="27.75" customHeight="1"/>
    <row r="82" ht="27.75" customHeight="1"/>
    <row r="84" ht="27.75" customHeight="1"/>
    <row r="85" ht="27.75" customHeight="1"/>
    <row r="86" ht="27.75" customHeight="1"/>
    <row r="87" ht="27.75" customHeight="1"/>
    <row r="88" ht="27.75" customHeight="1"/>
    <row r="89" ht="27.75" customHeight="1"/>
    <row r="90" ht="27.75" customHeight="1"/>
    <row r="91" ht="27.75" customHeight="1"/>
    <row r="92" ht="27.75" customHeight="1"/>
    <row r="93" ht="27.75" customHeight="1"/>
    <row r="94" ht="27.75" customHeight="1"/>
    <row r="95" ht="27.75" customHeight="1"/>
    <row r="96" ht="27.75" customHeight="1"/>
    <row r="97" ht="27.75" customHeight="1"/>
    <row r="98" ht="27.75" customHeight="1"/>
    <row r="99" ht="27.75" customHeight="1"/>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spans="1:28" ht="27.75" customHeight="1"/>
    <row r="114" spans="1:28" ht="30" customHeight="1"/>
    <row r="115" spans="1:28" ht="27.75" customHeight="1"/>
    <row r="116" spans="1:28" ht="27.75" customHeight="1"/>
    <row r="117" spans="1:28" ht="27.75" customHeight="1"/>
    <row r="118" spans="1:28" ht="27.75" customHeight="1"/>
    <row r="119" spans="1:28" ht="27.75" customHeight="1"/>
    <row r="120" spans="1:28" ht="27.75" customHeight="1"/>
    <row r="121" spans="1:28" ht="27.75" customHeight="1"/>
    <row r="122" spans="1:28" ht="27.75" customHeight="1"/>
    <row r="123" spans="1:28" ht="27.75" customHeight="1"/>
    <row r="124" spans="1:28" ht="27.75" customHeight="1"/>
    <row r="125" spans="1:28" ht="27.75" customHeight="1"/>
    <row r="126" spans="1:28" ht="27.75" customHeight="1"/>
    <row r="127" spans="1:28" ht="27.75" customHeight="1"/>
    <row r="128" spans="1:28" ht="27.75" customHeight="1">
      <c r="A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54"/>
      <c r="AA128" s="28"/>
      <c r="AB128" s="35"/>
    </row>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73">
    <mergeCell ref="R14:S14"/>
    <mergeCell ref="N7:N11"/>
    <mergeCell ref="R13:S13"/>
    <mergeCell ref="O14:P14"/>
    <mergeCell ref="L66:M66"/>
    <mergeCell ref="L52:M52"/>
    <mergeCell ref="L53:M53"/>
    <mergeCell ref="L46:M46"/>
    <mergeCell ref="L47:M47"/>
    <mergeCell ref="L48:M48"/>
    <mergeCell ref="L49:M49"/>
    <mergeCell ref="L51:M51"/>
    <mergeCell ref="L41:M41"/>
    <mergeCell ref="L42:M42"/>
    <mergeCell ref="L43:M43"/>
    <mergeCell ref="L44:M44"/>
    <mergeCell ref="L67:M67"/>
    <mergeCell ref="L54:M54"/>
    <mergeCell ref="L55:M55"/>
    <mergeCell ref="L61:M61"/>
    <mergeCell ref="L56:M56"/>
    <mergeCell ref="L57:M57"/>
    <mergeCell ref="L58:M58"/>
    <mergeCell ref="L59:M59"/>
    <mergeCell ref="L60:M60"/>
    <mergeCell ref="L63:M63"/>
    <mergeCell ref="L64:M64"/>
    <mergeCell ref="L65:M65"/>
    <mergeCell ref="L22:M22"/>
    <mergeCell ref="L38:M38"/>
    <mergeCell ref="L27:M27"/>
    <mergeCell ref="L28:M28"/>
    <mergeCell ref="L29:M29"/>
    <mergeCell ref="L30:M30"/>
    <mergeCell ref="L31:M31"/>
    <mergeCell ref="L32:M32"/>
    <mergeCell ref="L33:M33"/>
    <mergeCell ref="L34:M34"/>
    <mergeCell ref="L35:M35"/>
    <mergeCell ref="L36:M36"/>
    <mergeCell ref="L37:M37"/>
    <mergeCell ref="D22:J22"/>
    <mergeCell ref="D23:J67"/>
    <mergeCell ref="G9:I9"/>
    <mergeCell ref="K6:L6"/>
    <mergeCell ref="G4:I4"/>
    <mergeCell ref="G5:I5"/>
    <mergeCell ref="G6:I6"/>
    <mergeCell ref="L23:M23"/>
    <mergeCell ref="L24:M24"/>
    <mergeCell ref="L25:M25"/>
    <mergeCell ref="L26:M26"/>
    <mergeCell ref="L62:M62"/>
    <mergeCell ref="L50:M50"/>
    <mergeCell ref="L39:M39"/>
    <mergeCell ref="L40:M40"/>
    <mergeCell ref="L45:M45"/>
    <mergeCell ref="C3:E11"/>
    <mergeCell ref="G8:I8"/>
    <mergeCell ref="G7:I7"/>
    <mergeCell ref="D12:H12"/>
    <mergeCell ref="Q6:U6"/>
    <mergeCell ref="Q3:S3"/>
    <mergeCell ref="O13:P13"/>
    <mergeCell ref="Q7:U7"/>
    <mergeCell ref="T8:U8"/>
    <mergeCell ref="R8:S8"/>
    <mergeCell ref="Q11:R11"/>
    <mergeCell ref="S11:U11"/>
    <mergeCell ref="Q10:R10"/>
    <mergeCell ref="S10:U10"/>
    <mergeCell ref="R9:S9"/>
    <mergeCell ref="T9:U9"/>
  </mergeCells>
  <conditionalFormatting sqref="BC1">
    <cfRule type="dataBar" priority="25">
      <dataBar>
        <cfvo type="min"/>
        <cfvo type="max"/>
        <color theme="6" tint="-0.249977111117893"/>
      </dataBar>
      <extLst>
        <ext xmlns:x14="http://schemas.microsoft.com/office/spreadsheetml/2009/9/main" uri="{B025F937-C7B1-47D3-B67F-A62EFF666E3E}">
          <x14:id>{DDF6915E-45C3-4FFA-8A29-8915B583A303}</x14:id>
        </ext>
      </extLst>
    </cfRule>
  </conditionalFormatting>
  <conditionalFormatting sqref="Q7">
    <cfRule type="dataBar" priority="24">
      <dataBar>
        <cfvo type="min"/>
        <cfvo type="max"/>
        <color theme="6" tint="-0.249977111117893"/>
      </dataBar>
      <extLst>
        <ext xmlns:x14="http://schemas.microsoft.com/office/spreadsheetml/2009/9/main" uri="{B025F937-C7B1-47D3-B67F-A62EFF666E3E}">
          <x14:id>{0192A490-D0B6-4511-A843-C7BC22AB9114}</x14:id>
        </ext>
      </extLst>
    </cfRule>
  </conditionalFormatting>
  <conditionalFormatting sqref="BC1 Q7">
    <cfRule type="dataBar" priority="23">
      <dataBar>
        <cfvo type="min"/>
        <cfvo type="max"/>
        <color theme="6" tint="-0.249977111117893"/>
      </dataBar>
      <extLst>
        <ext xmlns:x14="http://schemas.microsoft.com/office/spreadsheetml/2009/9/main" uri="{B025F937-C7B1-47D3-B67F-A62EFF666E3E}">
          <x14:id>{0DD8704B-CED1-4E1C-89F6-0AC4DBCEC7E9}</x14:id>
        </ext>
      </extLst>
    </cfRule>
  </conditionalFormatting>
  <conditionalFormatting sqref="BD1 Q7">
    <cfRule type="dataBar" priority="22">
      <dataBar>
        <cfvo type="min"/>
        <cfvo type="max"/>
        <color theme="6" tint="-0.249977111117893"/>
      </dataBar>
      <extLst>
        <ext xmlns:x14="http://schemas.microsoft.com/office/spreadsheetml/2009/9/main" uri="{B025F937-C7B1-47D3-B67F-A62EFF666E3E}">
          <x14:id>{3DE01697-428A-46C9-852D-2758DCDC8554}</x14:id>
        </ext>
      </extLst>
    </cfRule>
  </conditionalFormatting>
  <conditionalFormatting sqref="H10">
    <cfRule type="cellIs" dxfId="31" priority="9" operator="equal">
      <formula>"Незадано"</formula>
    </cfRule>
  </conditionalFormatting>
  <conditionalFormatting sqref="V13">
    <cfRule type="cellIs" dxfId="30" priority="2" operator="equal">
      <formula>"Полет"</formula>
    </cfRule>
    <cfRule type="cellIs" dxfId="29" priority="4" operator="equal">
      <formula>0</formula>
    </cfRule>
  </conditionalFormatting>
  <conditionalFormatting sqref="V14">
    <cfRule type="cellIs" dxfId="28" priority="1" operator="equal">
      <formula>40</formula>
    </cfRule>
    <cfRule type="cellIs" dxfId="27" priority="3" operator="equal">
      <formula>0</formula>
    </cfRule>
  </conditionalFormatting>
  <dataValidations count="5">
    <dataValidation type="whole" allowBlank="1" showInputMessage="1" showErrorMessage="1" sqref="Q24">
      <formula1>0</formula1>
      <formula2>S22</formula2>
    </dataValidation>
    <dataValidation type="whole" allowBlank="1" showInputMessage="1" showErrorMessage="1" sqref="Q22">
      <formula1>0</formula1>
      <formula2>S22</formula2>
    </dataValidation>
    <dataValidation type="list" allowBlank="1" showInputMessage="1" showErrorMessage="1" sqref="G8:I8">
      <formula1>"Полуэльф,Человек,Гном,Дварф,Полуорк,Хафлинг,Эльф,Тобакси,Кобольд,Полувеликан,Драконорожденный,Драконид"</formula1>
    </dataValidation>
    <dataValidation type="list" showInputMessage="1" showErrorMessage="1" sqref="L7:L11">
      <formula1>"Невыбрано,Воин,Варвар,Паладин,Вор,Жрец,Друид,Маг,Бард,Монах,Рейнджер,Чародей"</formula1>
    </dataValidation>
    <dataValidation type="list" allowBlank="1" showInputMessage="1" showErrorMessage="1" sqref="H10">
      <formula1>"Сердце,Разум,Крылья,Незадано,"</formula1>
    </dataValidation>
  </dataValidations>
  <pageMargins left="0.7" right="0.7" top="0.75" bottom="0.75" header="0.3" footer="0.3"/>
  <pageSetup paperSize="9" orientation="portrait" r:id="rId2"/>
  <drawing r:id="rId3"/>
  <legacyDrawing r:id="rId4"/>
  <extLst>
    <ext xmlns:x14="http://schemas.microsoft.com/office/spreadsheetml/2009/9/main" uri="{78C0D931-6437-407d-A8EE-F0AAD7539E65}">
      <x14:conditionalFormattings>
        <x14:conditionalFormatting xmlns:xm="http://schemas.microsoft.com/office/excel/2006/main">
          <x14:cfRule type="dataBar" id="{DDF6915E-45C3-4FFA-8A29-8915B583A303}">
            <x14:dataBar minLength="0" maxLength="100" border="1">
              <x14:cfvo type="autoMin"/>
              <x14:cfvo type="autoMax"/>
              <x14:borderColor rgb="FF000000"/>
              <x14:negativeFillColor rgb="FFFF0000"/>
              <x14:axisColor rgb="FF000000"/>
            </x14:dataBar>
          </x14:cfRule>
          <xm:sqref>BC1</xm:sqref>
        </x14:conditionalFormatting>
        <x14:conditionalFormatting xmlns:xm="http://schemas.microsoft.com/office/excel/2006/main">
          <x14:cfRule type="dataBar" id="{0192A490-D0B6-4511-A843-C7BC22AB9114}">
            <x14:dataBar minLength="0" maxLength="100" border="1">
              <x14:cfvo type="autoMin"/>
              <x14:cfvo type="autoMax"/>
              <x14:borderColor rgb="FF000000"/>
              <x14:negativeFillColor rgb="FFFF0000"/>
              <x14:axisColor rgb="FF000000"/>
            </x14:dataBar>
          </x14:cfRule>
          <xm:sqref>Q7</xm:sqref>
        </x14:conditionalFormatting>
        <x14:conditionalFormatting xmlns:xm="http://schemas.microsoft.com/office/excel/2006/main">
          <x14:cfRule type="dataBar" id="{0DD8704B-CED1-4E1C-89F6-0AC4DBCEC7E9}">
            <x14:dataBar minLength="0" maxLength="100" border="1">
              <x14:cfvo type="autoMin"/>
              <x14:cfvo type="autoMax"/>
              <x14:borderColor rgb="FF000000"/>
              <x14:negativeFillColor rgb="FFFF0000"/>
              <x14:axisColor rgb="FF000000"/>
            </x14:dataBar>
          </x14:cfRule>
          <xm:sqref>BC1 Q7</xm:sqref>
        </x14:conditionalFormatting>
        <x14:conditionalFormatting xmlns:xm="http://schemas.microsoft.com/office/excel/2006/main">
          <x14:cfRule type="dataBar" id="{3DE01697-428A-46C9-852D-2758DCDC8554}">
            <x14:dataBar minLength="0" maxLength="100" border="1">
              <x14:cfvo type="autoMin"/>
              <x14:cfvo type="autoMax"/>
              <x14:borderColor rgb="FF000000"/>
              <x14:negativeFillColor rgb="FFFF0000"/>
              <x14:axisColor rgb="FF000000"/>
            </x14:dataBar>
          </x14:cfRule>
          <xm:sqref>BD1 Q7</xm:sqref>
        </x14:conditionalFormatting>
        <x14:conditionalFormatting xmlns:xm="http://schemas.microsoft.com/office/excel/2006/main">
          <x14:cfRule type="cellIs" priority="13" operator="equal" id="{E7263257-2EFD-4C87-8B63-23E6E0F2DC18}">
            <xm:f>Расы!$AK$3</xm:f>
            <x14: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x14:dxf>
          </x14:cfRule>
          <xm:sqref>H11</xm:sqref>
        </x14:conditionalFormatting>
        <x14:conditionalFormatting xmlns:xm="http://schemas.microsoft.com/office/excel/2006/main">
          <x14:cfRule type="cellIs" priority="7" operator="equal" id="{D15EAB6C-E64E-478B-A9C4-E8FE758445D5}">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8" operator="equal" id="{ACFBB141-23C6-4F0A-879C-514734B46D2E}">
            <xm:f>Расы!$AK$28</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10" operator="equal" id="{F65C39BA-8D94-4717-A0A5-F5836E38DE99}">
            <xm:f>Расы!$AK$5</xm:f>
            <x14: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m:sqref>H10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Жрец!$CB$2:$CB$10</xm:f>
          </x14:formula1>
          <xm:sqref>Q10:R10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67"/>
  <sheetViews>
    <sheetView showGridLines="0" zoomScale="75" zoomScaleNormal="75" workbookViewId="0">
      <selection activeCell="G19" sqref="G19:M19"/>
    </sheetView>
  </sheetViews>
  <sheetFormatPr defaultColWidth="15.140625" defaultRowHeight="137.25" customHeight="1"/>
  <cols>
    <col min="1" max="1" width="4.42578125" style="24" customWidth="1"/>
    <col min="2" max="2" width="4.7109375" style="24" customWidth="1"/>
    <col min="3" max="3" width="20.42578125" style="24" customWidth="1"/>
    <col min="4" max="4" width="13" style="24" customWidth="1"/>
    <col min="5" max="5" width="15" style="24" customWidth="1"/>
    <col min="6" max="6" width="13.85546875" style="24" customWidth="1"/>
    <col min="7" max="7" width="12.5703125" style="24" customWidth="1"/>
    <col min="8" max="8" width="12" style="24" customWidth="1"/>
    <col min="9" max="9" width="18.5703125" style="24" customWidth="1"/>
    <col min="10" max="10" width="17.85546875" style="24" customWidth="1"/>
    <col min="11" max="11" width="18" style="24" customWidth="1"/>
    <col min="12" max="12" width="16.140625" style="24" customWidth="1"/>
    <col min="13" max="13" width="17.7109375" style="24" customWidth="1"/>
    <col min="14" max="14" width="15.85546875" style="24" customWidth="1"/>
    <col min="15" max="15" width="19" style="24" customWidth="1"/>
    <col min="16" max="16" width="19.5703125" style="24" customWidth="1"/>
    <col min="17" max="17" width="18.28515625" style="24" customWidth="1"/>
    <col min="18" max="18" width="20.28515625" style="24" customWidth="1"/>
    <col min="19" max="19" width="18.7109375" style="24" customWidth="1"/>
    <col min="20" max="20" width="16.140625" style="24" customWidth="1"/>
    <col min="21" max="21" width="18.7109375" style="24" customWidth="1"/>
    <col min="22" max="22" width="15.85546875" style="24" customWidth="1"/>
    <col min="23" max="23" width="8.140625" style="24" customWidth="1"/>
    <col min="24" max="24" width="5.28515625" style="24" customWidth="1"/>
    <col min="25" max="25" width="17.140625" style="24" customWidth="1"/>
    <col min="26" max="26" width="19.140625" style="24" customWidth="1"/>
    <col min="27" max="27" width="17.140625" style="24" customWidth="1"/>
    <col min="28" max="28" width="18.7109375" style="24" customWidth="1"/>
    <col min="29" max="29" width="16.28515625" style="24" customWidth="1"/>
    <col min="30" max="30" width="15.140625" style="24"/>
    <col min="31" max="31" width="6.85546875" style="24" customWidth="1"/>
    <col min="32" max="16384" width="15.140625" style="24"/>
  </cols>
  <sheetData>
    <row r="1" spans="1:42" ht="24" customHeight="1" thickTop="1">
      <c r="A1" s="54"/>
      <c r="B1" s="56"/>
      <c r="C1" s="56"/>
      <c r="D1" s="56"/>
      <c r="E1" s="56"/>
      <c r="F1" s="56"/>
      <c r="G1" s="56"/>
      <c r="H1" s="56"/>
      <c r="I1" s="56"/>
      <c r="J1" s="56"/>
      <c r="K1" s="56"/>
      <c r="L1" s="56"/>
      <c r="M1" s="56"/>
      <c r="N1" s="56"/>
      <c r="O1" s="56"/>
      <c r="P1" s="56"/>
      <c r="Q1" s="56"/>
      <c r="R1" s="56"/>
      <c r="S1" s="56"/>
      <c r="T1" s="56"/>
      <c r="U1" s="56"/>
      <c r="V1" s="56"/>
      <c r="W1" s="56"/>
      <c r="X1" s="54"/>
      <c r="Y1" s="240"/>
      <c r="Z1" s="241"/>
      <c r="AA1" s="241"/>
      <c r="AB1" s="241"/>
      <c r="AC1" s="241"/>
      <c r="AD1" s="241"/>
    </row>
    <row r="2" spans="1:42" ht="27.75" customHeight="1" thickBot="1">
      <c r="A2" s="54"/>
      <c r="B2" s="286"/>
      <c r="C2" s="240"/>
      <c r="D2" s="240"/>
      <c r="E2" s="240"/>
      <c r="F2" s="240"/>
      <c r="G2" s="241"/>
      <c r="H2" s="241"/>
      <c r="I2" s="241"/>
      <c r="J2" s="240"/>
      <c r="K2" s="240"/>
      <c r="L2" s="240"/>
      <c r="M2" s="240"/>
      <c r="N2" s="240"/>
      <c r="O2" s="240"/>
      <c r="P2" s="240"/>
      <c r="Q2" s="240"/>
      <c r="R2" s="240"/>
      <c r="S2" s="240"/>
      <c r="T2" s="240"/>
      <c r="U2" s="240"/>
      <c r="V2" s="240"/>
      <c r="W2" s="240"/>
      <c r="X2" s="54"/>
      <c r="Y2" s="164"/>
      <c r="Z2" s="164"/>
      <c r="AA2" s="164"/>
      <c r="AB2" s="164"/>
      <c r="AC2" s="164"/>
    </row>
    <row r="3" spans="1:42" ht="39.75" customHeight="1" thickTop="1" thickBot="1">
      <c r="A3" s="54"/>
      <c r="B3" s="286"/>
      <c r="C3" s="241"/>
      <c r="D3" s="241"/>
      <c r="E3" s="241"/>
      <c r="F3" s="240"/>
      <c r="G3" s="240"/>
      <c r="H3" s="240"/>
      <c r="I3" s="240"/>
      <c r="J3" s="240"/>
      <c r="K3" s="240"/>
      <c r="L3" s="240"/>
      <c r="M3" s="240"/>
      <c r="N3" s="287"/>
      <c r="O3" s="287"/>
      <c r="P3" s="350" t="s">
        <v>173</v>
      </c>
      <c r="Q3" s="350" t="s">
        <v>174</v>
      </c>
      <c r="R3" s="350" t="s">
        <v>175</v>
      </c>
      <c r="S3" s="350" t="s">
        <v>176</v>
      </c>
      <c r="T3" s="350" t="s">
        <v>177</v>
      </c>
      <c r="U3" s="241"/>
      <c r="V3" s="240"/>
      <c r="W3" s="240"/>
      <c r="X3" s="54"/>
      <c r="Y3" s="164"/>
      <c r="Z3" s="164"/>
      <c r="AA3" s="164"/>
      <c r="AB3" s="164"/>
      <c r="AC3" s="164"/>
    </row>
    <row r="4" spans="1:42" ht="41.25" customHeight="1" thickTop="1" thickBot="1">
      <c r="A4" s="54"/>
      <c r="B4" s="286"/>
      <c r="C4" s="700" t="s">
        <v>90</v>
      </c>
      <c r="D4" s="700"/>
      <c r="E4" s="701"/>
      <c r="F4" s="727"/>
      <c r="G4" s="727"/>
      <c r="H4" s="727"/>
      <c r="I4" s="288"/>
      <c r="J4" s="288"/>
      <c r="K4" s="288"/>
      <c r="L4" s="288"/>
      <c r="M4" s="241"/>
      <c r="N4" s="699" t="s">
        <v>98</v>
      </c>
      <c r="O4" s="699"/>
      <c r="P4" s="278" t="str">
        <f>"+"&amp;P5</f>
        <v>+6</v>
      </c>
      <c r="Q4" s="278" t="str">
        <f>"+"&amp;Q5</f>
        <v>+1</v>
      </c>
      <c r="R4" s="278" t="str">
        <f>"+"&amp;R5</f>
        <v>+0</v>
      </c>
      <c r="S4" s="278" t="str">
        <f>"+"&amp;S5</f>
        <v>+0</v>
      </c>
      <c r="T4" s="278" t="str">
        <f>"+"&amp;T5</f>
        <v>+0</v>
      </c>
      <c r="U4" s="241"/>
      <c r="V4" s="240"/>
      <c r="W4" s="240"/>
      <c r="X4" s="54"/>
      <c r="Y4" s="164"/>
      <c r="Z4" s="164"/>
      <c r="AA4" s="164"/>
      <c r="AB4" s="164"/>
      <c r="AC4" s="164"/>
      <c r="AP4" s="28"/>
    </row>
    <row r="5" spans="1:42" ht="41.25" customHeight="1" thickBot="1">
      <c r="A5" s="54"/>
      <c r="B5" s="286"/>
      <c r="C5" s="704"/>
      <c r="D5" s="705"/>
      <c r="E5" s="272" t="s">
        <v>91</v>
      </c>
      <c r="F5" s="273" t="s">
        <v>178</v>
      </c>
      <c r="G5" s="273" t="s">
        <v>179</v>
      </c>
      <c r="H5" s="273" t="s">
        <v>180</v>
      </c>
      <c r="I5" s="273" t="s">
        <v>95</v>
      </c>
      <c r="J5" s="273" t="s">
        <v>181</v>
      </c>
      <c r="K5" s="706" t="s">
        <v>97</v>
      </c>
      <c r="L5" s="707"/>
      <c r="M5" s="241"/>
      <c r="N5" s="241"/>
      <c r="O5" s="241"/>
      <c r="P5" s="390">
        <f>IF('Лист персонажа 1'!G8="Драконид",-1,0)+'Лист персонажа 1'!O7+'Лист персонажа 1'!O8+'Лист персонажа 1'!O9+'Лист персонажа 1'!O10+'Лист персонажа 1'!O11+IF('Лист персонажа 1'!G10="Маленький",1,0)</f>
        <v>6</v>
      </c>
      <c r="Q5" s="390">
        <f>IF(P5&gt;5,P5-5,0)</f>
        <v>1</v>
      </c>
      <c r="R5" s="390">
        <f>IF(P5&gt;5,IF(Q5-5&gt;0,Q5-5,0),0)</f>
        <v>0</v>
      </c>
      <c r="S5" s="390">
        <f>IF(P5&gt;5,IF(R5-5&gt;0,R5-5,0),0)</f>
        <v>0</v>
      </c>
      <c r="T5" s="390">
        <f>IF(P5&gt;5,IF(S5-5&gt;0,S5-5,0),0)</f>
        <v>0</v>
      </c>
      <c r="U5" s="241"/>
      <c r="V5" s="240"/>
      <c r="W5" s="240"/>
      <c r="X5" s="54"/>
      <c r="Y5" s="164"/>
      <c r="Z5" s="164"/>
      <c r="AA5" s="164"/>
      <c r="AB5" s="164"/>
      <c r="AC5" s="164"/>
      <c r="AP5" s="28"/>
    </row>
    <row r="6" spans="1:42" ht="41.25" customHeight="1" thickTop="1" thickBot="1">
      <c r="A6" s="54"/>
      <c r="B6" s="286"/>
      <c r="C6" s="708" t="s">
        <v>100</v>
      </c>
      <c r="D6" s="709"/>
      <c r="E6" s="260" t="str">
        <f>IF(F6+G6+H6+I6+J6&gt;0,"+"&amp;F6+G6+H6+I6+J6,F6+G6+H6+I6+J6)</f>
        <v>+11</v>
      </c>
      <c r="F6" s="261" t="str">
        <f>"+"&amp;'Лист персонажа 2'!D50+'Лист персонажа 2'!D51+'Лист персонажа 2'!D52+'Лист персонажа 2'!D53+'Лист персонажа 2'!D54 +IF('Лист персонажа 1'!G8="Драконид",2,0)</f>
        <v>+5</v>
      </c>
      <c r="G6" s="261" t="str">
        <f>'Лист персонажа 1'!G16</f>
        <v>+2</v>
      </c>
      <c r="H6" s="261"/>
      <c r="I6" s="261">
        <v>4</v>
      </c>
      <c r="J6" s="262"/>
      <c r="K6" s="710"/>
      <c r="L6" s="711"/>
      <c r="M6" s="241"/>
      <c r="N6" s="241"/>
      <c r="O6" s="241"/>
      <c r="P6" s="349" t="s">
        <v>99</v>
      </c>
      <c r="Q6" s="279"/>
      <c r="R6" s="289"/>
      <c r="S6" s="289"/>
      <c r="T6" s="289"/>
      <c r="U6" s="241"/>
      <c r="V6" s="240"/>
      <c r="W6" s="240"/>
      <c r="X6" s="54"/>
      <c r="Y6" s="164"/>
      <c r="Z6" s="164"/>
      <c r="AA6" s="164"/>
      <c r="AB6" s="164"/>
      <c r="AC6" s="164"/>
      <c r="AP6" s="28"/>
    </row>
    <row r="7" spans="1:42" ht="27.75" customHeight="1" thickTop="1" thickBot="1">
      <c r="A7" s="54"/>
      <c r="B7" s="286"/>
      <c r="C7" s="274"/>
      <c r="D7" s="275"/>
      <c r="E7" s="263"/>
      <c r="F7" s="264"/>
      <c r="G7" s="264"/>
      <c r="H7" s="264"/>
      <c r="I7" s="264"/>
      <c r="J7" s="265"/>
      <c r="K7" s="712"/>
      <c r="L7" s="713"/>
      <c r="M7" s="241"/>
      <c r="N7" s="289"/>
      <c r="O7" s="413">
        <f>IF('Лист персонажа 1'!G8="Полувеликан",O8+S7,0)</f>
        <v>0</v>
      </c>
      <c r="P7" s="289"/>
      <c r="Q7" s="289"/>
      <c r="R7" s="289"/>
      <c r="S7" s="413">
        <f>IF('Лист персонажа 1'!G8="Полувеликан",4,0)</f>
        <v>0</v>
      </c>
      <c r="T7" s="289"/>
      <c r="U7" s="241"/>
      <c r="V7" s="241"/>
      <c r="W7" s="241"/>
      <c r="X7" s="54"/>
      <c r="Y7" s="164"/>
      <c r="Z7" s="164"/>
      <c r="AA7" s="164"/>
      <c r="AB7" s="164"/>
      <c r="AC7" s="164"/>
      <c r="AP7" s="28"/>
    </row>
    <row r="8" spans="1:42" ht="31.5" customHeight="1" thickTop="1" thickBot="1">
      <c r="A8" s="54"/>
      <c r="B8" s="286"/>
      <c r="C8" s="708" t="s">
        <v>102</v>
      </c>
      <c r="D8" s="709"/>
      <c r="E8" s="266" t="str">
        <f>IF(F8+G8+H8+I8+J8&gt;0,"+"&amp;F8+G8+H8+I8+J8,F8+G8+H8+I8+J8)</f>
        <v>+7</v>
      </c>
      <c r="F8" s="267" t="str">
        <f>"+"&amp;'Лист персонажа 2'!E50+'Лист персонажа 2'!E51+'Лист персонажа 2'!E52+'Лист персонажа 2'!E53+'Лист персонажа 2'!E54+IF('Лист персонажа 1'!G8="Драконид",5,0)</f>
        <v>+2</v>
      </c>
      <c r="G8" s="267" t="str">
        <f>'Лист персонажа 1'!G15</f>
        <v>+1</v>
      </c>
      <c r="H8" s="267"/>
      <c r="I8" s="267">
        <v>4</v>
      </c>
      <c r="J8" s="268"/>
      <c r="K8" s="712"/>
      <c r="L8" s="713"/>
      <c r="M8" s="241"/>
      <c r="N8" s="334" t="s">
        <v>101</v>
      </c>
      <c r="O8" s="279" t="str">
        <f>IF(Q8+R8+S8+AA70+T8&gt;0,"+"&amp;Q8+R8+S8+AA70+T8,Q8+R8+S8+AA70+T8)</f>
        <v>+9</v>
      </c>
      <c r="P8" s="280" t="s">
        <v>30</v>
      </c>
      <c r="Q8" s="279" t="str">
        <f>P4</f>
        <v>+6</v>
      </c>
      <c r="R8" s="279" t="str">
        <f>'Лист персонажа 1'!G14</f>
        <v>+3</v>
      </c>
      <c r="S8" s="414" t="str">
        <f>"+"&amp;IF('Лист персонажа 1'!G10="Маленький",-4,IF('Лист персонажа 1'!G10="Средний",0,IF('Лист персонажа 1'!G10="Большой",4,0)))</f>
        <v>+0</v>
      </c>
      <c r="T8" s="279"/>
      <c r="U8" s="241"/>
      <c r="V8" s="241"/>
      <c r="W8" s="241"/>
      <c r="X8" s="54"/>
      <c r="Y8" s="164"/>
      <c r="Z8" s="164"/>
      <c r="AA8" s="164"/>
      <c r="AB8" s="164"/>
      <c r="AC8" s="164"/>
      <c r="AP8" s="28"/>
    </row>
    <row r="9" spans="1:42" ht="41.25" customHeight="1" thickTop="1" thickBot="1">
      <c r="A9" s="54"/>
      <c r="B9" s="286"/>
      <c r="C9" s="274"/>
      <c r="D9" s="275"/>
      <c r="E9" s="263"/>
      <c r="F9" s="264"/>
      <c r="G9" s="264"/>
      <c r="H9" s="264"/>
      <c r="I9" s="264"/>
      <c r="J9" s="265"/>
      <c r="K9" s="712"/>
      <c r="L9" s="713"/>
      <c r="M9" s="241"/>
      <c r="N9" s="289"/>
      <c r="O9" s="289"/>
      <c r="P9" s="289"/>
      <c r="Q9" s="335" t="s">
        <v>182</v>
      </c>
      <c r="R9" s="336" t="s">
        <v>183</v>
      </c>
      <c r="S9" s="336" t="s">
        <v>163</v>
      </c>
      <c r="T9" s="337" t="s">
        <v>165</v>
      </c>
      <c r="U9" s="241"/>
      <c r="V9" s="241"/>
      <c r="W9" s="241"/>
      <c r="X9" s="54"/>
      <c r="Y9" s="164"/>
      <c r="Z9" s="164"/>
      <c r="AA9" s="164"/>
      <c r="AB9" s="164"/>
      <c r="AC9" s="164"/>
    </row>
    <row r="10" spans="1:42" ht="27.75" customHeight="1" thickTop="1" thickBot="1">
      <c r="A10" s="54"/>
      <c r="B10" s="286"/>
      <c r="C10" s="716" t="s">
        <v>105</v>
      </c>
      <c r="D10" s="717"/>
      <c r="E10" s="266" t="str">
        <f>IF(F10+G10+H10+I10+J10&gt;0,"+"&amp;F10+G10+H10+I10+J10,F10+G10+H10+I10+J10)</f>
        <v>+7</v>
      </c>
      <c r="F10" s="267" t="str">
        <f>"+"&amp;'Лист персонажа 2'!F50+'Лист персонажа 2'!F51+'Лист персонажа 2'!F52+'Лист персонажа 2'!F53+'Лист персонажа 2'!F54+IF('Лист персонажа 1'!G8="Драконид",5,0)</f>
        <v>+2</v>
      </c>
      <c r="G10" s="267">
        <f>IF('Лист персонажа 1'!G8="Драконид",5,0)+'Лист персонажа 1'!G18</f>
        <v>-1</v>
      </c>
      <c r="H10" s="267"/>
      <c r="I10" s="267">
        <v>6</v>
      </c>
      <c r="J10" s="268"/>
      <c r="K10" s="712"/>
      <c r="L10" s="713"/>
      <c r="M10" s="241"/>
      <c r="N10" s="289"/>
      <c r="O10" s="289"/>
      <c r="P10" s="289"/>
      <c r="Q10" s="289"/>
      <c r="R10" s="289"/>
      <c r="S10" s="289"/>
      <c r="T10" s="289"/>
      <c r="U10" s="241"/>
      <c r="V10" s="241"/>
      <c r="W10" s="241"/>
      <c r="X10" s="54"/>
      <c r="Y10" s="164"/>
      <c r="Z10" s="164"/>
      <c r="AA10" s="164"/>
      <c r="AB10" s="164"/>
      <c r="AC10" s="164"/>
    </row>
    <row r="11" spans="1:42" ht="38.25" customHeight="1" thickTop="1" thickBot="1">
      <c r="A11" s="54"/>
      <c r="B11" s="286"/>
      <c r="C11" s="276"/>
      <c r="D11" s="277"/>
      <c r="E11" s="269"/>
      <c r="F11" s="270"/>
      <c r="G11" s="270"/>
      <c r="H11" s="270"/>
      <c r="I11" s="270"/>
      <c r="J11" s="271"/>
      <c r="K11" s="714"/>
      <c r="L11" s="715"/>
      <c r="M11" s="241"/>
      <c r="N11" s="401" t="str">
        <f>IF(N12="Аспект",'Лист персонажа 1'!H10,"")</f>
        <v/>
      </c>
      <c r="O11" s="405" t="b">
        <f>IF(N11="Сердце","Дыхание",IF(N11="Разум","Темнозрение",IF(N11="Крылья",IF('Лист персонажа 1'!Q8&gt;=12,"Полет",IF('Лист персонажа 1'!Q8&gt;=6,"Полет","Нет")))))</f>
        <v>0</v>
      </c>
      <c r="P11" s="405">
        <f>IF(N11="Сердце",'Лист персонажа 1'!Q8*5,IF(N11="Разум",IF('Лист персонажа 1'!Q8&gt;=12,120,IF('Лист персонажа 1'!Q8&gt;=9,90,IF('Лист персонажа 1'!Q8&gt;=6,60,30))),IF(N11="Крылья",30,0)))</f>
        <v>0</v>
      </c>
      <c r="Q11" s="405">
        <f>IF(N11="Сердце","1d8+"&amp;FLOOR('Лист персонажа 1'!Q8/3,1)&amp;"/d8",IF(N11="Разум",IF('Лист персонажа 1'!Q8&gt;=15,"Слепое зрение","Нет"),IF(N11="Крылья","Планирование",0)))</f>
        <v>0</v>
      </c>
      <c r="R11" s="405">
        <f>IF(N11="Сердце",10+FLOOR('Лист персонажа 1'!M14/2,1)+'Лист персонажа 1'!G16,IF(N11="Крылья",30,))</f>
        <v>0</v>
      </c>
      <c r="S11" s="776">
        <f>IF(N11="Сердце","Урон/2",)</f>
        <v>0</v>
      </c>
      <c r="T11" s="289"/>
      <c r="U11" s="241"/>
      <c r="V11" s="241"/>
      <c r="W11" s="241"/>
      <c r="X11" s="54"/>
      <c r="Y11" s="164"/>
      <c r="Z11" s="164"/>
      <c r="AA11" s="164"/>
      <c r="AB11" s="164"/>
      <c r="AC11" s="164"/>
    </row>
    <row r="12" spans="1:42" ht="38.25" customHeight="1" thickBot="1">
      <c r="A12" s="54"/>
      <c r="B12" s="286"/>
      <c r="C12" s="241"/>
      <c r="D12" s="241"/>
      <c r="E12" s="241"/>
      <c r="F12" s="241"/>
      <c r="G12" s="241"/>
      <c r="H12" s="241"/>
      <c r="I12" s="241"/>
      <c r="J12" s="241"/>
      <c r="K12" s="241"/>
      <c r="L12" s="241"/>
      <c r="M12" s="241"/>
      <c r="N12" s="401">
        <f>IF('Лист персонажа 1'!G8="Драконорожденный","Аспект",)</f>
        <v>0</v>
      </c>
      <c r="O12" s="401" t="str">
        <f>IF(N11="Сердце","Оружие","Способность")</f>
        <v>Способность</v>
      </c>
      <c r="P12" s="401" t="str">
        <f>IF(N11&lt;&gt;0,"Расстояние",0)</f>
        <v>Расстояние</v>
      </c>
      <c r="Q12" s="401">
        <f>IF(N11="Сердце","Урон",IF(N11="Разум","Доп. Способ.",IF(N11="Крылья","Доп. Способ.",0)))</f>
        <v>0</v>
      </c>
      <c r="R12" s="401">
        <f>IF(N11="Сердце","СПБ",IF(N11="Крылья","Расстояние",))</f>
        <v>0</v>
      </c>
      <c r="S12" s="776"/>
      <c r="T12" s="241"/>
      <c r="U12" s="241"/>
      <c r="V12" s="241"/>
      <c r="W12" s="241"/>
      <c r="X12" s="54"/>
      <c r="Y12" s="164"/>
      <c r="Z12" s="164"/>
      <c r="AA12" s="164"/>
      <c r="AB12" s="164"/>
      <c r="AC12" s="164"/>
    </row>
    <row r="13" spans="1:42" ht="38.25" customHeight="1" thickBot="1">
      <c r="A13" s="54"/>
      <c r="B13" s="286"/>
      <c r="C13" s="733" t="s">
        <v>1166</v>
      </c>
      <c r="D13" s="419" t="s">
        <v>173</v>
      </c>
      <c r="E13" s="419" t="s">
        <v>174</v>
      </c>
      <c r="F13" s="419" t="s">
        <v>175</v>
      </c>
      <c r="G13" s="729" t="s">
        <v>176</v>
      </c>
      <c r="H13" s="730"/>
      <c r="I13" s="419" t="s">
        <v>177</v>
      </c>
      <c r="J13" s="241"/>
      <c r="K13" s="423" t="s">
        <v>1167</v>
      </c>
      <c r="L13" s="423" t="s">
        <v>14</v>
      </c>
      <c r="M13" s="241"/>
      <c r="N13" s="241"/>
      <c r="O13" s="240"/>
      <c r="P13" s="241"/>
      <c r="Q13" s="241"/>
      <c r="R13" s="241"/>
      <c r="S13" s="241"/>
      <c r="T13" s="241"/>
      <c r="U13" s="241"/>
      <c r="V13" s="241"/>
      <c r="W13" s="241"/>
      <c r="X13" s="54"/>
      <c r="Y13" s="164"/>
    </row>
    <row r="14" spans="1:42" ht="42.75" customHeight="1" thickBot="1">
      <c r="A14" s="54"/>
      <c r="B14" s="286"/>
      <c r="C14" s="734"/>
      <c r="D14" s="420" t="str">
        <f>IF('Лист персонажа 1'!L11="Монах",VLOOKUP('Лист персонажа 1'!M11,Монах!G6:Q25,7,0),IF('Лист персонажа 1'!L10="Монах",VLOOKUP('Лист персонажа 1'!M10,Монах!G6:Q25,7,0),IF('Лист персонажа 1'!L9="Монах",VLOOKUP('Лист персонажа 1'!M9,Монах!G6:Q25,7,0),IF('Лист персонажа 1'!L8="Монах",VLOOKUP('Лист персонажа 1'!M8,Монах!G6:Q25,7,0),IF('Лист персонажа 1'!L7="Монах",VLOOKUP('Лист персонажа 1'!M7,Монах!G6:Q25,7,0),"Нет")))))</f>
        <v>Нет</v>
      </c>
      <c r="E14" s="420" t="str">
        <f>IF('Лист персонажа 1'!L11="Монах",VLOOKUP('Лист персонажа 1'!M11,Монах!G6:Q25,8,0),IF('Лист персонажа 1'!L10="Монах",VLOOKUP('Лист персонажа 1'!M10,Монах!G6:Q25,8,0),IF('Лист персонажа 1'!L9="Монах",VLOOKUP('Лист персонажа 1'!M9,Монах!G6:Q25,8,0),IF('Лист персонажа 1'!L8="Монах",VLOOKUP('Лист персонажа 1'!M8,Монах!G6:Q25,8,0),IF('Лист персонажа 1'!L7="Монах",VLOOKUP('Лист персонажа 1'!M7,Монах!G6:Q25,8,0),"Нет")))))</f>
        <v>Нет</v>
      </c>
      <c r="F14" s="420" t="str">
        <f>IF('Лист персонажа 1'!L11="Монах",VLOOKUP('Лист персонажа 1'!M11,Монах!G6:Q25,9,0),IF('Лист персонажа 1'!L10="Монах",VLOOKUP('Лист персонажа 1'!M10,Монах!G6:Q25,9,0),IF('Лист персонажа 1'!L9="Монах",VLOOKUP('Лист персонажа 1'!M9,Монах!G6:Q25,9,0),IF('Лист персонажа 1'!L8="Монах",VLOOKUP('Лист персонажа 1'!M8,Монах!G6:Q25,9,0),IF('Лист персонажа 1'!L7="Монах",VLOOKUP('Лист персонажа 1'!M7,Монах!G6:Q25,9,0),"Нет")))))</f>
        <v>Нет</v>
      </c>
      <c r="G14" s="731" t="str">
        <f>IF('Лист персонажа 1'!L11="Монах",VLOOKUP('Лист персонажа 1'!M11,Монах!G6:Q25,10,0),IF('Лист персонажа 1'!L10="Монах",VLOOKUP('Лист персонажа 1'!M10,Монах!G6:Q25,10,0),IF('Лист персонажа 1'!L9="Монах",VLOOKUP('Лист персонажа 1'!M9,Монах!G6:Q25,10,0),IF('Лист персонажа 1'!L8="Монах",VLOOKUP('Лист персонажа 1'!M8,Монах!G6:Q25,10,0),IF('Лист персонажа 1'!L7="Монах",VLOOKUP('Лист персонажа 1'!M7,Монах!G6:Q25,10,0),"Нет")))))</f>
        <v>Нет</v>
      </c>
      <c r="H14" s="732"/>
      <c r="I14" s="420" t="str">
        <f>IF('Лист персонажа 1'!L11="Монах",VLOOKUP('Лист персонажа 1'!M11,Монах!G6:Q25,11,0),IF('Лист персонажа 1'!L10="Монах",VLOOKUP('Лист персонажа 1'!M10,Монах!G6:Q25,11,0),IF('Лист персонажа 1'!L9="Монах",VLOOKUP('Лист персонажа 1'!M9,Монах!G6:Q25,11,0),IF('Лист персонажа 1'!L8="Монах",VLOOKUP('Лист персонажа 1'!M8,Монах!G6:Q25,11,0),IF('Лист персонажа 1'!L7="Монах",VLOOKUP('Лист персонажа 1'!M7,Монах!G6:Q25,11,0),"Нет")))))</f>
        <v>Нет</v>
      </c>
      <c r="J14" s="241"/>
      <c r="K14" s="424">
        <f>IF('Лист персонажа 1'!L11="Монах",IF(L14="Большой",VLOOKUP('Лист персонажа 1'!M11,Монах!M28:O47,3,0),IF(L14="Маленький",VLOOKUP('Лист персонажа 1'!M11,Монах!M28:O47,2,0),IF(L14="Средний",VLOOKUP('Лист персонажа 1'!M11,Монах!G6:R25,12,0)))),IF('Лист персонажа 1'!L10="Монах",IF(L14="Большой",VLOOKUP('Лист персонажа 1'!M10,Монах!M28:O47,3,0),IF(L14="Маленький",VLOOKUP('Лист персонажа 1'!M10,Монах!M28:O47,2,0),IF(L14="Средний",VLOOKUP('Лист персонажа 1'!M10,Монах!G6:R25,12,0)))),IF('Лист персонажа 1'!L9="Монах",IF(L14="Большой",VLOOKUP('Лист персонажа 1'!M9,Монах!M28:O47,3,0),IF(L14="Маленький",VLOOKUP('Лист персонажа 1'!M9,Монах!M28:O47,2,0),IF(L14="Средний",VLOOKUP('Лист персонажа 1'!M9,Монах!G6:R25,12,0)))),IF('Лист персонажа 1'!L8="Монах",IF(L14="Большой",VLOOKUP('Лист персонажа 1'!M8,Монах!M28:O47,3,0),IF(L14="Маленький",VLOOKUP('Лист персонажа 1'!M8,Монах!M28:O47,2,0),IF(L14="Средний",VLOOKUP('Лист персонажа 1'!M8,Монах!G6:R25,12,0)))),IF('Лист персонажа 1'!L7="Монах",IF(L14="Большой",VLOOKUP('Лист персонажа 1'!M7,Монах!M28:O47,3,0),IF(L14="Маленький",VLOOKUP('Лист персонажа 1'!M7,Монах!M28:O47,2,0),IF(L14="Средний",VLOOKUP('Лист персонажа 1'!M7,Монах!G6:R25,12,0)))),0)))))</f>
        <v>0</v>
      </c>
      <c r="L14" s="424" t="s">
        <v>1168</v>
      </c>
      <c r="M14" s="241"/>
      <c r="N14" s="241"/>
      <c r="O14" s="281" t="s">
        <v>127</v>
      </c>
      <c r="P14" s="282"/>
      <c r="Q14" s="282"/>
      <c r="R14" s="282"/>
      <c r="S14" s="282"/>
      <c r="T14" s="282"/>
      <c r="U14" s="241"/>
      <c r="V14" s="241"/>
      <c r="W14" s="241"/>
      <c r="X14" s="54"/>
      <c r="Y14" s="164"/>
    </row>
    <row r="15" spans="1:42" ht="50.25" customHeight="1" thickBot="1">
      <c r="A15" s="54"/>
      <c r="B15" s="286"/>
      <c r="C15" s="241"/>
      <c r="D15" s="241"/>
      <c r="E15" s="241"/>
      <c r="F15" s="241"/>
      <c r="G15" s="241"/>
      <c r="H15" s="241"/>
      <c r="I15" s="241"/>
      <c r="J15" s="241"/>
      <c r="K15" s="241"/>
      <c r="L15" s="241"/>
      <c r="M15" s="241"/>
      <c r="N15" s="241"/>
      <c r="O15" s="773"/>
      <c r="P15" s="774"/>
      <c r="Q15" s="774"/>
      <c r="R15" s="774"/>
      <c r="S15" s="774"/>
      <c r="T15" s="775"/>
      <c r="U15" s="241"/>
      <c r="V15" s="241"/>
      <c r="W15" s="241"/>
      <c r="X15" s="54"/>
      <c r="Y15" s="164"/>
    </row>
    <row r="16" spans="1:42" ht="38.25" customHeight="1" thickBot="1">
      <c r="A16" s="54"/>
      <c r="B16" s="286"/>
      <c r="C16" s="718" t="s">
        <v>106</v>
      </c>
      <c r="D16" s="702"/>
      <c r="E16" s="702"/>
      <c r="F16" s="702" t="s">
        <v>107</v>
      </c>
      <c r="G16" s="702"/>
      <c r="H16" s="702"/>
      <c r="I16" s="702" t="s">
        <v>108</v>
      </c>
      <c r="J16" s="702"/>
      <c r="K16" s="702"/>
      <c r="L16" s="702" t="s">
        <v>109</v>
      </c>
      <c r="M16" s="703"/>
      <c r="N16" s="241"/>
      <c r="O16" s="769" t="s">
        <v>128</v>
      </c>
      <c r="P16" s="770"/>
      <c r="Q16" s="771" t="s">
        <v>129</v>
      </c>
      <c r="R16" s="772"/>
      <c r="S16" s="772"/>
      <c r="T16" s="770"/>
      <c r="U16" s="241"/>
      <c r="V16" s="241"/>
      <c r="W16" s="241"/>
      <c r="X16" s="54"/>
      <c r="Y16" s="164"/>
    </row>
    <row r="17" spans="1:29" ht="45" customHeight="1" thickBot="1">
      <c r="A17" s="54"/>
      <c r="B17" s="286"/>
      <c r="C17" s="721" t="s">
        <v>1146</v>
      </c>
      <c r="D17" s="722"/>
      <c r="E17" s="722"/>
      <c r="F17" s="719" t="s">
        <v>1182</v>
      </c>
      <c r="G17" s="719"/>
      <c r="H17" s="719"/>
      <c r="I17" s="719" t="s">
        <v>1173</v>
      </c>
      <c r="J17" s="719"/>
      <c r="K17" s="719"/>
      <c r="L17" s="719" t="s">
        <v>184</v>
      </c>
      <c r="M17" s="720"/>
      <c r="N17" s="241"/>
      <c r="O17" s="773"/>
      <c r="P17" s="774"/>
      <c r="Q17" s="774"/>
      <c r="R17" s="774"/>
      <c r="S17" s="774"/>
      <c r="T17" s="775"/>
      <c r="U17" s="241"/>
      <c r="V17" s="241"/>
      <c r="W17" s="241"/>
      <c r="X17" s="54"/>
      <c r="Y17" s="164"/>
    </row>
    <row r="18" spans="1:29" ht="30.75" customHeight="1" thickBot="1">
      <c r="A18" s="54"/>
      <c r="B18" s="286"/>
      <c r="C18" s="391" t="s">
        <v>110</v>
      </c>
      <c r="D18" s="392"/>
      <c r="E18" s="392" t="s">
        <v>111</v>
      </c>
      <c r="F18" s="392"/>
      <c r="G18" s="686" t="s">
        <v>112</v>
      </c>
      <c r="H18" s="694"/>
      <c r="I18" s="694"/>
      <c r="J18" s="694"/>
      <c r="K18" s="694"/>
      <c r="L18" s="694"/>
      <c r="M18" s="687"/>
      <c r="N18" s="241"/>
      <c r="O18" s="769" t="s">
        <v>128</v>
      </c>
      <c r="P18" s="770"/>
      <c r="Q18" s="771" t="s">
        <v>129</v>
      </c>
      <c r="R18" s="772"/>
      <c r="S18" s="772"/>
      <c r="T18" s="770"/>
      <c r="U18" s="241"/>
      <c r="V18" s="241"/>
      <c r="W18" s="241"/>
      <c r="X18" s="54"/>
      <c r="Y18" s="164"/>
    </row>
    <row r="19" spans="1:29" ht="41.25" customHeight="1" thickTop="1" thickBot="1">
      <c r="A19" s="54"/>
      <c r="B19" s="286"/>
      <c r="C19" s="743"/>
      <c r="D19" s="744"/>
      <c r="E19" s="739"/>
      <c r="F19" s="742"/>
      <c r="G19" s="739"/>
      <c r="H19" s="740"/>
      <c r="I19" s="740"/>
      <c r="J19" s="740"/>
      <c r="K19" s="740"/>
      <c r="L19" s="740"/>
      <c r="M19" s="741"/>
      <c r="N19" s="241"/>
      <c r="O19" s="683" t="s">
        <v>788</v>
      </c>
      <c r="P19" s="684"/>
      <c r="Q19" s="684"/>
      <c r="R19" s="684"/>
      <c r="S19" s="684"/>
      <c r="T19" s="685"/>
      <c r="U19" s="241"/>
      <c r="V19" s="241"/>
      <c r="W19" s="241"/>
      <c r="X19" s="54"/>
      <c r="Y19" s="164"/>
    </row>
    <row r="20" spans="1:29" ht="36.75" customHeight="1" thickTop="1" thickBot="1">
      <c r="A20" s="54"/>
      <c r="B20" s="286"/>
      <c r="C20" s="338" t="s">
        <v>119</v>
      </c>
      <c r="D20" s="737"/>
      <c r="E20" s="738"/>
      <c r="F20" s="738"/>
      <c r="G20" s="738"/>
      <c r="H20" s="738"/>
      <c r="I20" s="738"/>
      <c r="J20" s="738"/>
      <c r="K20" s="738"/>
      <c r="L20" s="738"/>
      <c r="M20" s="738"/>
      <c r="N20" s="241"/>
      <c r="O20" s="682"/>
      <c r="P20" s="680"/>
      <c r="Q20" s="680"/>
      <c r="R20" s="680"/>
      <c r="S20" s="680"/>
      <c r="T20" s="681"/>
      <c r="U20" s="241"/>
      <c r="V20" s="241"/>
      <c r="W20" s="241"/>
      <c r="X20" s="54"/>
      <c r="Y20" s="164"/>
    </row>
    <row r="21" spans="1:29" ht="27.75" customHeight="1" thickTop="1" thickBot="1">
      <c r="A21" s="54"/>
      <c r="B21" s="286"/>
      <c r="C21" s="241"/>
      <c r="D21" s="241"/>
      <c r="E21" s="241"/>
      <c r="F21" s="241"/>
      <c r="G21" s="241"/>
      <c r="H21" s="241"/>
      <c r="I21" s="241"/>
      <c r="J21" s="241"/>
      <c r="K21" s="241"/>
      <c r="L21" s="241"/>
      <c r="M21" s="241"/>
      <c r="N21" s="241"/>
      <c r="O21" s="766" t="s">
        <v>134</v>
      </c>
      <c r="P21" s="767"/>
      <c r="Q21" s="768" t="s">
        <v>135</v>
      </c>
      <c r="R21" s="767"/>
      <c r="S21" s="768" t="s">
        <v>136</v>
      </c>
      <c r="T21" s="767"/>
      <c r="U21" s="241"/>
      <c r="V21" s="241"/>
      <c r="W21" s="241"/>
      <c r="X21" s="54"/>
      <c r="Y21" s="164"/>
      <c r="Z21" s="164"/>
    </row>
    <row r="22" spans="1:29" ht="38.25" customHeight="1" thickBot="1">
      <c r="A22" s="54"/>
      <c r="B22" s="286"/>
      <c r="C22" s="688" t="s">
        <v>106</v>
      </c>
      <c r="D22" s="689"/>
      <c r="E22" s="690"/>
      <c r="F22" s="691" t="s">
        <v>107</v>
      </c>
      <c r="G22" s="689"/>
      <c r="H22" s="690"/>
      <c r="I22" s="691" t="s">
        <v>108</v>
      </c>
      <c r="J22" s="689"/>
      <c r="K22" s="690"/>
      <c r="L22" s="686" t="s">
        <v>109</v>
      </c>
      <c r="M22" s="687"/>
      <c r="N22" s="241"/>
      <c r="O22" s="682"/>
      <c r="P22" s="680"/>
      <c r="Q22" s="680"/>
      <c r="R22" s="680"/>
      <c r="S22" s="680"/>
      <c r="T22" s="681"/>
      <c r="U22" s="241"/>
      <c r="V22" s="241"/>
      <c r="W22" s="241"/>
      <c r="X22" s="54"/>
      <c r="Y22" s="164"/>
      <c r="Z22" s="164"/>
    </row>
    <row r="23" spans="1:29" ht="38.25" customHeight="1" thickTop="1" thickBot="1">
      <c r="A23" s="54"/>
      <c r="B23" s="286"/>
      <c r="C23" s="749" t="s">
        <v>1147</v>
      </c>
      <c r="D23" s="752"/>
      <c r="E23" s="751"/>
      <c r="F23" s="723" t="s">
        <v>1180</v>
      </c>
      <c r="G23" s="728"/>
      <c r="H23" s="724"/>
      <c r="I23" s="723" t="s">
        <v>1169</v>
      </c>
      <c r="J23" s="728"/>
      <c r="K23" s="724"/>
      <c r="L23" s="725" t="s">
        <v>184</v>
      </c>
      <c r="M23" s="726"/>
      <c r="N23" s="241"/>
      <c r="O23" s="393" t="s">
        <v>139</v>
      </c>
      <c r="P23" s="394"/>
      <c r="Q23" s="394"/>
      <c r="R23" s="394"/>
      <c r="S23" s="394"/>
      <c r="T23" s="395"/>
      <c r="U23" s="241"/>
      <c r="V23" s="241"/>
      <c r="W23" s="241"/>
      <c r="X23" s="54"/>
      <c r="Y23" s="164"/>
      <c r="Z23" s="164"/>
    </row>
    <row r="24" spans="1:29" ht="39" customHeight="1" thickTop="1" thickBot="1">
      <c r="A24" s="54"/>
      <c r="B24" s="286"/>
      <c r="C24" s="692" t="s">
        <v>110</v>
      </c>
      <c r="D24" s="693"/>
      <c r="E24" s="686" t="s">
        <v>111</v>
      </c>
      <c r="F24" s="693"/>
      <c r="G24" s="686" t="s">
        <v>112</v>
      </c>
      <c r="H24" s="694"/>
      <c r="I24" s="694"/>
      <c r="J24" s="694"/>
      <c r="K24" s="694"/>
      <c r="L24" s="694"/>
      <c r="M24" s="687"/>
      <c r="N24" s="241"/>
      <c r="O24" s="682"/>
      <c r="P24" s="680"/>
      <c r="Q24" s="680"/>
      <c r="R24" s="680"/>
      <c r="S24" s="680"/>
      <c r="T24" s="681"/>
      <c r="U24" s="241"/>
      <c r="V24" s="241"/>
      <c r="W24" s="241"/>
      <c r="X24" s="54"/>
      <c r="Y24" s="164"/>
      <c r="Z24" s="164"/>
      <c r="AA24" s="164"/>
      <c r="AB24" s="164"/>
      <c r="AC24" s="164"/>
    </row>
    <row r="25" spans="1:29" ht="36" customHeight="1" thickTop="1" thickBot="1">
      <c r="A25" s="54" t="e">
        <f>IF(#REF!="Гном",#REF!=Расы!A12)</f>
        <v>#REF!</v>
      </c>
      <c r="B25" s="286"/>
      <c r="C25" s="745"/>
      <c r="D25" s="746"/>
      <c r="E25" s="745"/>
      <c r="F25" s="746"/>
      <c r="G25" s="745"/>
      <c r="H25" s="747"/>
      <c r="I25" s="747"/>
      <c r="J25" s="747"/>
      <c r="K25" s="747"/>
      <c r="L25" s="747"/>
      <c r="M25" s="748"/>
      <c r="N25" s="241"/>
      <c r="O25" s="765" t="s">
        <v>122</v>
      </c>
      <c r="P25" s="764"/>
      <c r="Q25" s="763" t="s">
        <v>142</v>
      </c>
      <c r="R25" s="764"/>
      <c r="S25" s="761" t="s">
        <v>143</v>
      </c>
      <c r="T25" s="762"/>
      <c r="U25" s="241"/>
      <c r="V25" s="241"/>
      <c r="W25" s="241"/>
      <c r="X25" s="54"/>
      <c r="Y25" s="164"/>
      <c r="Z25" s="164"/>
      <c r="AA25" s="164"/>
      <c r="AB25" s="164"/>
      <c r="AC25" s="164"/>
    </row>
    <row r="26" spans="1:29" ht="40.5" customHeight="1" thickTop="1" thickBot="1">
      <c r="A26" s="54"/>
      <c r="B26" s="286"/>
      <c r="C26" s="338" t="s">
        <v>119</v>
      </c>
      <c r="D26" s="735"/>
      <c r="E26" s="736"/>
      <c r="F26" s="736"/>
      <c r="G26" s="736"/>
      <c r="H26" s="736"/>
      <c r="I26" s="736"/>
      <c r="J26" s="736"/>
      <c r="K26" s="736"/>
      <c r="L26" s="736"/>
      <c r="M26" s="736"/>
      <c r="N26" s="241"/>
      <c r="O26" s="758"/>
      <c r="P26" s="759"/>
      <c r="Q26" s="759"/>
      <c r="R26" s="759"/>
      <c r="S26" s="759"/>
      <c r="T26" s="760"/>
      <c r="U26" s="241"/>
      <c r="V26" s="241"/>
      <c r="W26" s="241"/>
      <c r="X26" s="54"/>
      <c r="Y26" s="164"/>
      <c r="Z26" s="164"/>
      <c r="AA26" s="164"/>
      <c r="AB26" s="164"/>
      <c r="AC26" s="164"/>
    </row>
    <row r="27" spans="1:29" ht="39" customHeight="1" thickTop="1" thickBot="1">
      <c r="A27" s="54"/>
      <c r="B27" s="286"/>
      <c r="C27" s="241"/>
      <c r="D27" s="241"/>
      <c r="E27" s="241"/>
      <c r="F27" s="241"/>
      <c r="G27" s="241"/>
      <c r="H27" s="241"/>
      <c r="I27" s="241"/>
      <c r="J27" s="241"/>
      <c r="K27" s="241"/>
      <c r="L27" s="241"/>
      <c r="M27" s="241"/>
      <c r="N27" s="241"/>
      <c r="O27" s="755" t="s">
        <v>146</v>
      </c>
      <c r="P27" s="756"/>
      <c r="Q27" s="756" t="s">
        <v>147</v>
      </c>
      <c r="R27" s="756"/>
      <c r="S27" s="756" t="s">
        <v>148</v>
      </c>
      <c r="T27" s="757"/>
      <c r="U27" s="241"/>
      <c r="V27" s="241"/>
      <c r="W27" s="241"/>
      <c r="X27" s="54"/>
      <c r="Y27" s="164"/>
      <c r="Z27" s="164"/>
      <c r="AA27" s="164"/>
      <c r="AB27" s="164"/>
      <c r="AC27" s="164"/>
    </row>
    <row r="28" spans="1:29" ht="40.5" customHeight="1" thickBot="1">
      <c r="A28" s="54"/>
      <c r="B28" s="286"/>
      <c r="C28" s="688" t="s">
        <v>106</v>
      </c>
      <c r="D28" s="689"/>
      <c r="E28" s="690"/>
      <c r="F28" s="691" t="s">
        <v>107</v>
      </c>
      <c r="G28" s="689"/>
      <c r="H28" s="690"/>
      <c r="I28" s="691" t="s">
        <v>108</v>
      </c>
      <c r="J28" s="689"/>
      <c r="K28" s="690"/>
      <c r="L28" s="686" t="s">
        <v>109</v>
      </c>
      <c r="M28" s="687"/>
      <c r="N28" s="241"/>
      <c r="O28" s="753" t="s">
        <v>151</v>
      </c>
      <c r="P28" s="754"/>
      <c r="Q28" s="396"/>
      <c r="R28" s="397"/>
      <c r="S28" s="397"/>
      <c r="T28" s="398"/>
      <c r="U28" s="241"/>
      <c r="V28" s="241"/>
      <c r="W28" s="241"/>
      <c r="X28" s="54"/>
      <c r="Y28" s="164"/>
      <c r="Z28" s="164"/>
      <c r="AA28" s="164"/>
      <c r="AB28" s="164"/>
      <c r="AC28" s="164"/>
    </row>
    <row r="29" spans="1:29" ht="42" customHeight="1" thickTop="1" thickBot="1">
      <c r="A29" s="54"/>
      <c r="B29" s="286"/>
      <c r="C29" s="749" t="s">
        <v>185</v>
      </c>
      <c r="D29" s="750"/>
      <c r="E29" s="751"/>
      <c r="F29" s="723">
        <v>6</v>
      </c>
      <c r="G29" s="631"/>
      <c r="H29" s="724"/>
      <c r="I29" s="723" t="s">
        <v>186</v>
      </c>
      <c r="J29" s="631"/>
      <c r="K29" s="724"/>
      <c r="L29" s="725" t="s">
        <v>187</v>
      </c>
      <c r="M29" s="726"/>
      <c r="N29" s="241"/>
      <c r="O29" s="241"/>
      <c r="P29" s="241"/>
      <c r="Q29" s="241"/>
      <c r="R29" s="241"/>
      <c r="S29" s="241"/>
      <c r="T29" s="241"/>
      <c r="U29" s="241"/>
      <c r="V29" s="241"/>
      <c r="W29" s="241"/>
      <c r="X29" s="54"/>
      <c r="Y29" s="164"/>
      <c r="Z29" s="164"/>
      <c r="AA29" s="164"/>
      <c r="AB29" s="164"/>
      <c r="AC29" s="164"/>
    </row>
    <row r="30" spans="1:29" ht="36.75" customHeight="1" thickTop="1" thickBot="1">
      <c r="A30" s="54"/>
      <c r="B30" s="286"/>
      <c r="C30" s="692" t="s">
        <v>110</v>
      </c>
      <c r="D30" s="693"/>
      <c r="E30" s="686" t="s">
        <v>111</v>
      </c>
      <c r="F30" s="693"/>
      <c r="G30" s="686" t="s">
        <v>112</v>
      </c>
      <c r="H30" s="694"/>
      <c r="I30" s="694"/>
      <c r="J30" s="694"/>
      <c r="K30" s="694"/>
      <c r="L30" s="694"/>
      <c r="M30" s="687"/>
      <c r="N30" s="241"/>
      <c r="O30" s="241"/>
      <c r="P30" s="241"/>
      <c r="Q30" s="241"/>
      <c r="R30" s="241"/>
      <c r="S30" s="241"/>
      <c r="T30" s="241"/>
      <c r="U30" s="241"/>
      <c r="V30" s="241"/>
      <c r="W30" s="241"/>
      <c r="X30" s="54"/>
      <c r="Y30" s="164"/>
      <c r="Z30" s="164"/>
      <c r="AA30" s="164"/>
      <c r="AB30" s="164"/>
      <c r="AC30" s="164"/>
    </row>
    <row r="31" spans="1:29" ht="41.25" customHeight="1" thickTop="1" thickBot="1">
      <c r="A31" s="54"/>
      <c r="B31" s="286"/>
      <c r="C31" s="745"/>
      <c r="D31" s="746"/>
      <c r="E31" s="745"/>
      <c r="F31" s="746"/>
      <c r="G31" s="745"/>
      <c r="H31" s="747"/>
      <c r="I31" s="747"/>
      <c r="J31" s="747"/>
      <c r="K31" s="747"/>
      <c r="L31" s="747"/>
      <c r="M31" s="746"/>
      <c r="N31" s="241"/>
      <c r="O31" s="241"/>
      <c r="P31" s="241"/>
      <c r="Q31" s="241"/>
      <c r="R31" s="241"/>
      <c r="S31" s="241"/>
      <c r="T31" s="241"/>
      <c r="U31" s="241"/>
      <c r="V31" s="241"/>
      <c r="W31" s="241"/>
      <c r="X31" s="54"/>
      <c r="Y31" s="164"/>
      <c r="Z31" s="164"/>
      <c r="AA31" s="164"/>
      <c r="AB31" s="164"/>
      <c r="AC31" s="164"/>
    </row>
    <row r="32" spans="1:29" ht="48" customHeight="1" thickTop="1" thickBot="1">
      <c r="A32" s="54"/>
      <c r="B32" s="286"/>
      <c r="C32" s="338" t="s">
        <v>119</v>
      </c>
      <c r="D32" s="735"/>
      <c r="E32" s="736"/>
      <c r="F32" s="736"/>
      <c r="G32" s="736"/>
      <c r="H32" s="736"/>
      <c r="I32" s="736"/>
      <c r="J32" s="736"/>
      <c r="K32" s="736"/>
      <c r="L32" s="736"/>
      <c r="M32" s="736"/>
      <c r="N32" s="241"/>
      <c r="O32" s="241"/>
      <c r="P32" s="241"/>
      <c r="Q32" s="241"/>
      <c r="R32" s="241"/>
      <c r="S32" s="241"/>
      <c r="T32" s="241"/>
      <c r="U32" s="241"/>
      <c r="V32" s="241"/>
      <c r="W32" s="241"/>
      <c r="X32" s="54"/>
      <c r="Y32" s="164"/>
      <c r="Z32" s="164"/>
      <c r="AA32" s="164"/>
      <c r="AB32" s="164"/>
      <c r="AC32" s="164"/>
    </row>
    <row r="33" spans="1:29" ht="27.75" customHeight="1" thickTop="1" thickBot="1">
      <c r="A33" s="54"/>
      <c r="B33" s="286"/>
      <c r="C33" s="241"/>
      <c r="D33" s="241"/>
      <c r="E33" s="241"/>
      <c r="F33" s="241"/>
      <c r="G33" s="241"/>
      <c r="H33" s="241"/>
      <c r="I33" s="241"/>
      <c r="J33" s="241"/>
      <c r="K33" s="241"/>
      <c r="L33" s="241"/>
      <c r="M33" s="241"/>
      <c r="N33" s="241"/>
      <c r="O33" s="241"/>
      <c r="P33" s="241"/>
      <c r="Q33" s="241"/>
      <c r="R33" s="241"/>
      <c r="S33" s="241"/>
      <c r="T33" s="241"/>
      <c r="U33" s="241"/>
      <c r="V33" s="241"/>
      <c r="W33" s="241"/>
      <c r="X33" s="54"/>
      <c r="Y33" s="164"/>
      <c r="Z33" s="164"/>
      <c r="AA33" s="164"/>
      <c r="AB33" s="164"/>
      <c r="AC33" s="164"/>
    </row>
    <row r="34" spans="1:29" ht="27.75" customHeight="1" thickTop="1" thickBot="1">
      <c r="A34" s="54"/>
      <c r="B34" s="286"/>
      <c r="C34" s="697" t="s">
        <v>188</v>
      </c>
      <c r="D34" s="695" t="s">
        <v>120</v>
      </c>
      <c r="E34" s="695"/>
      <c r="F34" s="695"/>
      <c r="G34" s="695"/>
      <c r="H34" s="695"/>
      <c r="I34" s="669" t="s">
        <v>189</v>
      </c>
      <c r="J34" s="669"/>
      <c r="K34" s="669" t="s">
        <v>190</v>
      </c>
      <c r="L34" s="669"/>
      <c r="M34" s="669" t="s">
        <v>191</v>
      </c>
      <c r="N34" s="669"/>
      <c r="O34" s="669" t="s">
        <v>192</v>
      </c>
      <c r="P34" s="669"/>
      <c r="Q34" s="669" t="s">
        <v>193</v>
      </c>
      <c r="R34" s="669"/>
      <c r="S34" s="669" t="s">
        <v>194</v>
      </c>
      <c r="T34" s="669"/>
      <c r="U34" s="669" t="s">
        <v>195</v>
      </c>
      <c r="V34" s="670"/>
      <c r="W34" s="241"/>
      <c r="X34" s="54"/>
      <c r="Y34" s="164"/>
      <c r="Z34" s="164"/>
      <c r="AA34" s="164"/>
      <c r="AB34" s="164"/>
      <c r="AC34" s="164"/>
    </row>
    <row r="35" spans="1:29" ht="49.5" customHeight="1" thickTop="1" thickBot="1">
      <c r="A35" s="54"/>
      <c r="B35" s="286"/>
      <c r="C35" s="698"/>
      <c r="D35" s="696"/>
      <c r="E35" s="696"/>
      <c r="F35" s="696"/>
      <c r="G35" s="696"/>
      <c r="H35" s="696"/>
      <c r="I35" s="258" t="s">
        <v>196</v>
      </c>
      <c r="J35" s="258" t="s">
        <v>197</v>
      </c>
      <c r="K35" s="258" t="s">
        <v>196</v>
      </c>
      <c r="L35" s="258" t="s">
        <v>197</v>
      </c>
      <c r="M35" s="258" t="s">
        <v>196</v>
      </c>
      <c r="N35" s="258" t="s">
        <v>197</v>
      </c>
      <c r="O35" s="258" t="s">
        <v>196</v>
      </c>
      <c r="P35" s="258" t="s">
        <v>197</v>
      </c>
      <c r="Q35" s="258" t="s">
        <v>196</v>
      </c>
      <c r="R35" s="258" t="s">
        <v>197</v>
      </c>
      <c r="S35" s="258" t="s">
        <v>196</v>
      </c>
      <c r="T35" s="258" t="s">
        <v>197</v>
      </c>
      <c r="U35" s="258" t="s">
        <v>196</v>
      </c>
      <c r="V35" s="259" t="s">
        <v>197</v>
      </c>
      <c r="W35" s="241"/>
      <c r="X35" s="54"/>
      <c r="Y35" s="164"/>
      <c r="Z35" s="164"/>
      <c r="AA35" s="164"/>
      <c r="AB35" s="164"/>
      <c r="AC35" s="164"/>
    </row>
    <row r="36" spans="1:29" ht="71.25" customHeight="1" thickTop="1" thickBot="1">
      <c r="A36" s="54"/>
      <c r="B36" s="286"/>
      <c r="C36" s="384">
        <v>0</v>
      </c>
      <c r="D36" s="677"/>
      <c r="E36" s="677"/>
      <c r="F36" s="677"/>
      <c r="G36" s="677"/>
      <c r="H36" s="677"/>
      <c r="I36" s="380">
        <f>IF('Лист персонажа 1'!L11="Жрец",VLOOKUP('Лист персонажа 1'!M11,Жрец!G6:V25,7,0),IF('Лист персонажа 1'!L10="Жрец",VLOOKUP('Лист персонажа 1'!M10,Жрец!G6:V25,7,0),IF('Лист персонажа 1'!L9="Жрец",VLOOKUP('Лист персонажа 1'!M9,Жрец!G6:V25,7,0),IF('Лист персонажа 1'!L8="Жрец",VLOOKUP('Лист персонажа 1'!M8,Жрец!G6:V25,7,0),IF('Лист персонажа 1'!L7="Жрец",VLOOKUP('Лист персонажа 1'!M7,Жрец!G6:V25,7,0),0)))))</f>
        <v>0</v>
      </c>
      <c r="J36" s="267">
        <f>10+'Лист персонажа 1'!G18+C36</f>
        <v>9</v>
      </c>
      <c r="K36" s="380">
        <f>IF('Лист персонажа 1'!L11="Бард",VLOOKUP('Лист персонажа 1'!M11,Бард!G3:S22,7,0),IF('Лист персонажа 1'!L10="Бард",VLOOKUP('Лист персонажа 1'!M10,Бард!G3:S22,7,0),IF('Лист персонажа 1'!L9="Бард",VLOOKUP('Лист персонажа 1'!M9,Бард!G3:S22,7,0),IF('Лист персонажа 1'!L8="Бард",VLOOKUP('Лист персонажа 1'!M8,Бард!G3:S22,7,0),IF('Лист персонажа 1'!L7="Бард",VLOOKUP('Лист персонажа 1'!M7,Бард!G3:S22,7,0),0)))))</f>
        <v>0</v>
      </c>
      <c r="L36" s="267">
        <f>10+'Лист персонажа 1'!G19+C36</f>
        <v>11</v>
      </c>
      <c r="M36" s="380">
        <f>IF('Лист персонажа 1'!L11="Друид",VLOOKUP('Лист персонажа 1'!M11,Друид!G6:V25,7,0),IF('Лист персонажа 1'!L10="Друид",VLOOKUP('Лист персонажа 1'!M10,Друид!G6:V25,7,0),IF('Лист персонажа 1'!L9="Друид",VLOOKUP('Лист персонажа 1'!M9,Друид!G6:V25,7,0),IF('Лист персонажа 1'!L8="Друид",VLOOKUP('Лист персонажа 1'!M8,Друид!G6:V25,7,0),IF('Лист персонажа 1'!L7="Друид",VLOOKUP('Лист персонажа 1'!M7,Друид!G6:V25,7,0),0)))))</f>
        <v>0</v>
      </c>
      <c r="N36" s="267">
        <f>10+'Лист персонажа 1'!G18+C36</f>
        <v>9</v>
      </c>
      <c r="O36" s="380">
        <f>IF('Лист персонажа 1'!L11="Маг",VLOOKUP('Лист персонажа 1'!M11,Маг!G6:V25,7,0),IF('Лист персонажа 1'!L10="Маг",VLOOKUP('Лист персонажа 1'!M10,Маг!G6:V25,7,0),IF('Лист персонажа 1'!L9="Маг",VLOOKUP('Лист персонажа 1'!M9,Маг!G6:V25,7,0),IF('Лист персонажа 1'!L8="Маг",VLOOKUP('Лист персонажа 1'!M8,Маг!G6:V25,7,0),IF('Лист персонажа 1'!L7="Маг",VLOOKUP('Лист персонажа 1'!M7,Маг!G6:V25,7,0),0)))))</f>
        <v>0</v>
      </c>
      <c r="P36" s="267">
        <f>10+'Лист персонажа 1'!G17+C36</f>
        <v>9</v>
      </c>
      <c r="Q36" s="380" t="s">
        <v>198</v>
      </c>
      <c r="R36" s="267" t="s">
        <v>198</v>
      </c>
      <c r="S36" s="380" t="s">
        <v>198</v>
      </c>
      <c r="T36" s="267" t="s">
        <v>198</v>
      </c>
      <c r="U36" s="380">
        <f>IF('Лист персонажа 1'!L11="Чародей",VLOOKUP('Лист персонажа 1'!M11,Чародей!G6:V25,7,0),IF('Лист персонажа 1'!L10="Чародей",VLOOKUP('Лист персонажа 1'!M10,Чародей!G6:V25,7,0),IF('Лист персонажа 1'!L9="Чародей",VLOOKUP('Лист персонажа 1'!M9,Чародей!G6:V25,7,0),IF('Лист персонажа 1'!L8="Чародей",VLOOKUP('Лист персонажа 1'!M8,Чародей!G6:V25,7,0),IF('Лист персонажа 1'!L7="Чародей",VLOOKUP('Лист персонажа 1'!M7,Чародей!G6:V25,7,0),0)))))</f>
        <v>0</v>
      </c>
      <c r="V36" s="323">
        <f>10+'Лист персонажа 1'!G19+C36</f>
        <v>11</v>
      </c>
      <c r="W36" s="241"/>
      <c r="X36" s="54"/>
      <c r="Y36" s="164"/>
      <c r="Z36" s="164"/>
      <c r="AA36" s="164"/>
      <c r="AB36" s="164"/>
      <c r="AC36" s="164"/>
    </row>
    <row r="37" spans="1:29" ht="60" customHeight="1" thickTop="1" thickBot="1">
      <c r="A37" s="54"/>
      <c r="B37" s="286"/>
      <c r="C37" s="384">
        <v>1</v>
      </c>
      <c r="D37" s="679"/>
      <c r="E37" s="679"/>
      <c r="F37" s="679"/>
      <c r="G37" s="679"/>
      <c r="H37" s="679"/>
      <c r="I37" s="380">
        <f>IF('Лист персонажа 1'!L11="Жрец",VLOOKUP('Лист персонажа 1'!M11,Жрец!G6:V25,8,0),IF('Лист персонажа 1'!L10="Жрец",VLOOKUP('Лист персонажа 1'!M10,Жрец!G6:V25,8,0),IF('Лист персонажа 1'!L9="Жрец",VLOOKUP('Лист персонажа 1'!M9,Жрец!G6:V25,8,0),IF('Лист персонажа 1'!L8="Жрец",VLOOKUP('Лист персонажа 1'!M8,Жрец!G6:V25,8,0),IF('Лист персонажа 1'!L7="Жрец",VLOOKUP('Лист персонажа 1'!M7,Жрец!G6:V25,8,0),0)))))</f>
        <v>0</v>
      </c>
      <c r="J37" s="267">
        <f>10+'Лист персонажа 1'!G18+C37</f>
        <v>10</v>
      </c>
      <c r="K37" s="380">
        <f>IF('Лист персонажа 1'!L11="Бард",VLOOKUP('Лист персонажа 1'!M11,Бард!G3:S22,8,0),IF('Лист персонажа 1'!L10="Бард",VLOOKUP('Лист персонажа 1'!M10,Бард!G3:S22,8,0),IF('Лист персонажа 1'!L9="Бард",VLOOKUP('Лист персонажа 1'!M9,Бард!G3:S22,8,0),IF('Лист персонажа 1'!L8="Бард",VLOOKUP('Лист персонажа 1'!M8,Бард!G3:S22,8,0),IF('Лист персонажа 1'!L7="Бард",VLOOKUP('Лист персонажа 1'!M7,Бард!G3:S22,8,0),0)))))</f>
        <v>0</v>
      </c>
      <c r="L37" s="267">
        <f>10+'Лист персонажа 1'!G19+C37</f>
        <v>12</v>
      </c>
      <c r="M37" s="380">
        <f>IF('Лист персонажа 1'!L11="Друид",VLOOKUP('Лист персонажа 1'!M11,Друид!G6:V25,8,0),IF('Лист персонажа 1'!L10="Друид",VLOOKUP('Лист персонажа 1'!M10,Друид!G6:V25,8,0),IF('Лист персонажа 1'!L9="Друид",VLOOKUP('Лист персонажа 1'!M9,Друид!G6:V25,8,0),IF('Лист персонажа 1'!L8="Друид",VLOOKUP('Лист персонажа 1'!M8,Друид!G6:V25,8,0),IF('Лист персонажа 1'!L7="Друид",VLOOKUP('Лист персонажа 1'!M7,Друид!G6:V25,8,0),0)))))</f>
        <v>0</v>
      </c>
      <c r="N37" s="267">
        <f>10+'Лист персонажа 1'!G18+C37</f>
        <v>10</v>
      </c>
      <c r="O37" s="380">
        <f>IF('Лист персонажа 1'!L11="Маг",VLOOKUP('Лист персонажа 1'!M11,Маг!G6:V25,8,0),IF('Лист персонажа 1'!L10="Маг",VLOOKUP('Лист персонажа 1'!M10,Маг!G6:V25,8,0),IF('Лист персонажа 1'!L9="Маг",VLOOKUP('Лист персонажа 1'!M9,Маг!G6:V25,8,0),IF('Лист персонажа 1'!L8="Маг",VLOOKUP('Лист персонажа 1'!M8,Маг!G6:V25,8,0),IF('Лист персонажа 1'!L7="Маг",VLOOKUP('Лист персонажа 1'!M7,Маг!G6:V25,8,0),0)))))</f>
        <v>0</v>
      </c>
      <c r="P37" s="267">
        <f>10+'Лист персонажа 1'!G17+C37</f>
        <v>10</v>
      </c>
      <c r="Q37" s="380">
        <f>IF('Лист персонажа 1'!L11="Паладин",VLOOKUP('Лист персонажа 1'!M11,Паладин!G6:P25,7,0),IF('Лист персонажа 1'!L10="Паладин",VLOOKUP('Лист персонажа 1'!M10,Паладин!G6:P25,7,0),IF('Лист персонажа 1'!L9="Паладин",VLOOKUP('Лист персонажа 1'!M9,Паладин!G6:P25,7,0),IF('Лист персонажа 1'!L8="Паладин",VLOOKUP('Лист персонажа 1'!M8,Паладин!G6:P25,7,0),IF('Лист персонажа 1'!L7="Паладин",VLOOKUP('Лист персонажа 1'!M7,Паладин!G6:P25,7,0),0)))))</f>
        <v>0</v>
      </c>
      <c r="R37" s="267">
        <f>10+'Лист персонажа 1'!G18+C37</f>
        <v>10</v>
      </c>
      <c r="S37" s="380">
        <f>IF('Лист персонажа 1'!L11="Рейнджер",VLOOKUP('Лист персонажа 1'!M11,Рейнджер!G6:P25,7,0),IF('Лист персонажа 1'!L10="Рейнджер",VLOOKUP('Лист персонажа 1'!M10,Рейнджер!G6:P25,7,0),IF('Лист персонажа 1'!L9="Рейнджер",VLOOKUP('Лист персонажа 1'!M9,Рейнджер!G6:P25,7,0),IF('Лист персонажа 1'!L8="Рейнджер",VLOOKUP('Лист персонажа 1'!M8,Рейнджер!G6:P25,7,0),IF('Лист персонажа 1'!L7="Рейнджер",VLOOKUP('Лист персонажа 1'!M7,Рейнджер!G6:P25,7,0),0)))))</f>
        <v>0</v>
      </c>
      <c r="T37" s="267">
        <f>10+'Лист персонажа 1'!G18+C37</f>
        <v>10</v>
      </c>
      <c r="U37" s="380">
        <f>IF('Лист персонажа 1'!L11="Чародей",VLOOKUP('Лист персонажа 1'!M11,Чародей!G6:V25,8,0),IF('Лист персонажа 1'!L10="Чародей",VLOOKUP('Лист персонажа 1'!M10,Чародей!G6:V25,8,0),IF('Лист персонажа 1'!L9="Чародей",VLOOKUP('Лист персонажа 1'!M9,Чародей!G6:V25,8,0),IF('Лист персонажа 1'!L8="Чародей",VLOOKUP('Лист персонажа 1'!M8,Чародей!G6:V25,8,0),IF('Лист персонажа 1'!L7="Чародей",VLOOKUP('Лист персонажа 1'!M7,Чародей!G6:V25,8,0),0)))))</f>
        <v>0</v>
      </c>
      <c r="V37" s="323">
        <f>10+'Лист персонажа 1'!G19+C37</f>
        <v>12</v>
      </c>
      <c r="W37" s="241"/>
      <c r="X37" s="54"/>
      <c r="Y37" s="164"/>
      <c r="Z37" s="164"/>
      <c r="AA37" s="164"/>
      <c r="AB37" s="164"/>
      <c r="AC37" s="164"/>
    </row>
    <row r="38" spans="1:29" ht="60" customHeight="1" thickTop="1" thickBot="1">
      <c r="A38" s="54"/>
      <c r="B38" s="286"/>
      <c r="C38" s="384">
        <v>2</v>
      </c>
      <c r="D38" s="677"/>
      <c r="E38" s="677"/>
      <c r="F38" s="677"/>
      <c r="G38" s="677"/>
      <c r="H38" s="677"/>
      <c r="I38" s="380">
        <f>IF('Лист персонажа 1'!L11="Жрец",VLOOKUP('Лист персонажа 1'!M11,Жрец!G6:V25,9,0),IF('Лист персонажа 1'!L10="Жрец",VLOOKUP('Лист персонажа 1'!M10,Жрец!G6:V25,9,0),IF('Лист персонажа 1'!L9="Жрец",VLOOKUP('Лист персонажа 1'!M9,Жрец!G6:V25,9,0),IF('Лист персонажа 1'!L8="Жрец",VLOOKUP('Лист персонажа 1'!M8,Жрец!G6:V25,9,0),IF('Лист персонажа 1'!L7="Жрец",VLOOKUP('Лист персонажа 1'!M7,Жрец!G6:V25,9,0),0)))))</f>
        <v>0</v>
      </c>
      <c r="J38" s="267">
        <f>10+'Лист персонажа 1'!G18+C38</f>
        <v>11</v>
      </c>
      <c r="K38" s="380">
        <f>IF('Лист персонажа 1'!L11="Бард",VLOOKUP('Лист персонажа 1'!M11,Бард!G3:S22,9,0),IF('Лист персонажа 1'!L10="Бард",VLOOKUP('Лист персонажа 1'!M10,Бард!G3:S22,9,0),IF('Лист персонажа 1'!L9="Бард",VLOOKUP('Лист персонажа 1'!M9,Бард!G3:S22,9,0),IF('Лист персонажа 1'!L8="Бард",VLOOKUP('Лист персонажа 1'!M8,Бард!G3:S22,9,0),IF('Лист персонажа 1'!L7="Бард",VLOOKUP('Лист персонажа 1'!M7,Бард!G3:S22,9,0),0)))))</f>
        <v>0</v>
      </c>
      <c r="L38" s="267">
        <f>10+'Лист персонажа 1'!G19+C38</f>
        <v>13</v>
      </c>
      <c r="M38" s="380">
        <f>IF('Лист персонажа 1'!L11="Друид",VLOOKUP('Лист персонажа 1'!M11,Друид!G6:V25,9,0),IF('Лист персонажа 1'!L10="Друид",VLOOKUP('Лист персонажа 1'!M10,Друид!G6:V25,9,0),IF('Лист персонажа 1'!L9="Друид",VLOOKUP('Лист персонажа 1'!M9,Друид!G6:V25,9,0),IF('Лист персонажа 1'!L8="Друид",VLOOKUP('Лист персонажа 1'!M8,Друид!G6:V25,9,0),IF('Лист персонажа 1'!L7="Друид",VLOOKUP('Лист персонажа 1'!M7,Друид!G6:V25,9,0),0)))))</f>
        <v>0</v>
      </c>
      <c r="N38" s="267">
        <f>10+'Лист персонажа 1'!G18+C38</f>
        <v>11</v>
      </c>
      <c r="O38" s="380">
        <f>IF('Лист персонажа 1'!L11="Маг",VLOOKUP('Лист персонажа 1'!M11,Маг!G6:V25,9,0),IF('Лист персонажа 1'!L10="Маг",VLOOKUP('Лист персонажа 1'!M10,Маг!G6:V25,9,0),IF('Лист персонажа 1'!L9="Маг",VLOOKUP('Лист персонажа 1'!M9,Маг!G6:V25,9,0),IF('Лист персонажа 1'!L8="Маг",VLOOKUP('Лист персонажа 1'!M8,Маг!G6:V25,9,0),IF('Лист персонажа 1'!L7="Маг",VLOOKUP('Лист персонажа 1'!M7,Маг!G6:V25,9,0),0)))))</f>
        <v>0</v>
      </c>
      <c r="P38" s="267">
        <f>10+'Лист персонажа 1'!G17+C38</f>
        <v>11</v>
      </c>
      <c r="Q38" s="380">
        <f>IF('Лист персонажа 1'!L11="Паладин",VLOOKUP('Лист персонажа 1'!M11,Паладин!G6:P25,8,0),IF('Лист персонажа 1'!L10="Паладин",VLOOKUP('Лист персонажа 1'!M10,Паладин!G6:P25,8,0),IF('Лист персонажа 1'!L9="Паладин",VLOOKUP('Лист персонажа 1'!M9,Паладин!G6:P25,8,0),IF('Лист персонажа 1'!L8="Паладин",VLOOKUP('Лист персонажа 1'!M8,Паладин!G6:P25,8,0),IF('Лист персонажа 1'!L7="Паладин",VLOOKUP('Лист персонажа 1'!M7,Паладин!G6:P25,8,0),0)))))</f>
        <v>0</v>
      </c>
      <c r="R38" s="267">
        <f>10+'Лист персонажа 1'!G18+C38</f>
        <v>11</v>
      </c>
      <c r="S38" s="380">
        <f>IF('Лист персонажа 1'!L11="Рейнджер",VLOOKUP('Лист персонажа 1'!M11,Рейнджер!G6:P25,8,0),IF('Лист персонажа 1'!L10="Рейнджер",VLOOKUP('Лист персонажа 1'!M10,Рейнджер!G6:P25,8,0),IF('Лист персонажа 1'!L9="Рейнджер",VLOOKUP('Лист персонажа 1'!M9,Рейнджер!G6:P25,8,0),IF('Лист персонажа 1'!L8="Рейнджер",VLOOKUP('Лист персонажа 1'!M8,Рейнджер!G6:P25,8,0),IF('Лист персонажа 1'!L7="Рейнджер",VLOOKUP('Лист персонажа 1'!M7,Рейнджер!G6:P25,8,0),0)))))</f>
        <v>0</v>
      </c>
      <c r="T38" s="267">
        <f>10+'Лист персонажа 1'!G18+C38</f>
        <v>11</v>
      </c>
      <c r="U38" s="380">
        <f>IF('Лист персонажа 1'!L11="Чародей",VLOOKUP('Лист персонажа 1'!M11,Чародей!G6:V25,9,0),IF('Лист персонажа 1'!L10="Чародей",VLOOKUP('Лист персонажа 1'!M10,Чародей!G6:V25,9,0),IF('Лист персонажа 1'!L9="Чародей",VLOOKUP('Лист персонажа 1'!M9,Чародей!G6:V25,9,0),IF('Лист персонажа 1'!L8="Чародей",VLOOKUP('Лист персонажа 1'!M8,Чародей!G6:V25,9,0),IF('Лист персонажа 1'!L7="Чародей",VLOOKUP('Лист персонажа 1'!M7,Чародей!G6:V25,9,0),0)))))</f>
        <v>0</v>
      </c>
      <c r="V38" s="323">
        <f>10+'Лист персонажа 1'!G19+C38</f>
        <v>13</v>
      </c>
      <c r="W38" s="241"/>
      <c r="X38" s="54"/>
      <c r="Y38" s="164"/>
      <c r="Z38" s="164"/>
      <c r="AA38" s="164"/>
      <c r="AB38" s="164"/>
      <c r="AC38" s="164"/>
    </row>
    <row r="39" spans="1:29" ht="67.5" customHeight="1" thickTop="1" thickBot="1">
      <c r="A39" s="54"/>
      <c r="B39" s="286"/>
      <c r="C39" s="384">
        <v>3</v>
      </c>
      <c r="D39" s="679"/>
      <c r="E39" s="679"/>
      <c r="F39" s="679"/>
      <c r="G39" s="679"/>
      <c r="H39" s="679"/>
      <c r="I39" s="380">
        <f>IF('Лист персонажа 1'!L11="Жрец",VLOOKUP('Лист персонажа 1'!M11,Жрец!G6:V25,10,0),IF('Лист персонажа 1'!L10="Жрец",VLOOKUP('Лист персонажа 1'!M10,Жрец!G6:V25,10,0),IF('Лист персонажа 1'!L9="Жрец",VLOOKUP('Лист персонажа 1'!M9,Жрец!G6:V25,10,0),IF('Лист персонажа 1'!L8="Жрец",VLOOKUP('Лист персонажа 1'!M8,Жрец!G6:V25,10,0),IF('Лист персонажа 1'!L7="Жрец",VLOOKUP('Лист персонажа 1'!M7,Жрец!G6:V25,10,0),0)))))</f>
        <v>0</v>
      </c>
      <c r="J39" s="267">
        <f>10+'Лист персонажа 1'!G18+C39</f>
        <v>12</v>
      </c>
      <c r="K39" s="380">
        <f>IF('Лист персонажа 1'!L11="Бард",VLOOKUP('Лист персонажа 1'!M11,Бард!G3:S22,10,0),IF('Лист персонажа 1'!L10="Бард",VLOOKUP('Лист персонажа 1'!M10,Бард!G3:S22,10,0),IF('Лист персонажа 1'!L9="Бард",VLOOKUP('Лист персонажа 1'!M9,Бард!G3:S22,10,0),IF('Лист персонажа 1'!L8="Бард",VLOOKUP('Лист персонажа 1'!M8,Бард!G3:S22,10,0),IF('Лист персонажа 1'!L7="Бард",VLOOKUP('Лист персонажа 1'!M7,Бард!G3:S22,10,0),0)))))</f>
        <v>0</v>
      </c>
      <c r="L39" s="267">
        <f>10+'Лист персонажа 1'!G19+C39</f>
        <v>14</v>
      </c>
      <c r="M39" s="380">
        <f>IF('Лист персонажа 1'!L11="Друид",VLOOKUP('Лист персонажа 1'!M11,Друид!G6:V25,10,0),IF('Лист персонажа 1'!L10="Друид",VLOOKUP('Лист персонажа 1'!M10,Друид!G6:V25,10,0),IF('Лист персонажа 1'!L9="Друид",VLOOKUP('Лист персонажа 1'!M9,Друид!G6:V25,10,0),IF('Лист персонажа 1'!L8="Друид",VLOOKUP('Лист персонажа 1'!M8,Друид!G6:V25,10,0),IF('Лист персонажа 1'!L7="Друид",VLOOKUP('Лист персонажа 1'!M7,Друид!G6:V25,10,0),0)))))</f>
        <v>0</v>
      </c>
      <c r="N39" s="267">
        <f>10+'Лист персонажа 1'!G18+C39</f>
        <v>12</v>
      </c>
      <c r="O39" s="380">
        <f>IF('Лист персонажа 1'!L11="Маг",VLOOKUP('Лист персонажа 1'!M11,Маг!G6:V25,10,0),IF('Лист персонажа 1'!L10="Маг",VLOOKUP('Лист персонажа 1'!M10,Маг!G6:V25,10,0),IF('Лист персонажа 1'!L9="Маг",VLOOKUP('Лист персонажа 1'!M9,Маг!G6:V25,10,0),IF('Лист персонажа 1'!L8="Маг",VLOOKUP('Лист персонажа 1'!M8,Маг!G6:V25,10,0),IF('Лист персонажа 1'!L7="Маг",VLOOKUP('Лист персонажа 1'!M7,Маг!G6:V25,10,0),0)))))</f>
        <v>0</v>
      </c>
      <c r="P39" s="267">
        <f>10+'Лист персонажа 1'!G17+C39</f>
        <v>12</v>
      </c>
      <c r="Q39" s="380">
        <f>IF('Лист персонажа 1'!L11="Паладин",VLOOKUP('Лист персонажа 1'!M11,Паладин!G6:P25,9,0),IF('Лист персонажа 1'!L10="Паладин",VLOOKUP('Лист персонажа 1'!M10,Паладин!G6:P25,9,0),IF('Лист персонажа 1'!L9="Паладин",VLOOKUP('Лист персонажа 1'!M9,Паладин!G6:P25,9,0),IF('Лист персонажа 1'!L8="Паладин",VLOOKUP('Лист персонажа 1'!M8,Паладин!G6:P25,9,0),IF('Лист персонажа 1'!L7="Паладин",VLOOKUP('Лист персонажа 1'!M7,Паладин!G6:P25,9,0),0)))))</f>
        <v>0</v>
      </c>
      <c r="R39" s="267">
        <f>10+'Лист персонажа 1'!G18+C39</f>
        <v>12</v>
      </c>
      <c r="S39" s="380">
        <f>IF('Лист персонажа 1'!L11="Рейнджер",VLOOKUP('Лист персонажа 1'!M11,Рейнджер!G6:P25,9,0),IF('Лист персонажа 1'!L10="Рейнджер",VLOOKUP('Лист персонажа 1'!M10,Рейнджер!G6:P25,9,0),IF('Лист персонажа 1'!L9="Рейнджер",VLOOKUP('Лист персонажа 1'!M9,Рейнджер!G6:P25,9,0),IF('Лист персонажа 1'!L8="Рейнджер",VLOOKUP('Лист персонажа 1'!M8,Рейнджер!G6:P25,9,0),IF('Лист персонажа 1'!L7="Рейнджер",VLOOKUP('Лист персонажа 1'!M7,Рейнджер!G6:P25,9,0),0)))))</f>
        <v>0</v>
      </c>
      <c r="T39" s="267">
        <f>10+'Лист персонажа 1'!G18+C39</f>
        <v>12</v>
      </c>
      <c r="U39" s="380">
        <f>IF('Лист персонажа 1'!L11="Чародей",VLOOKUP('Лист персонажа 1'!M11,Чародей!G6:V25,10,0),IF('Лист персонажа 1'!L10="Чародей",VLOOKUP('Лист персонажа 1'!M10,Чародей!G6:V25,10,0),IF('Лист персонажа 1'!L9="Чародей",VLOOKUP('Лист персонажа 1'!M9,Чародей!G6:V25,10,0),IF('Лист персонажа 1'!L8="Чародей",VLOOKUP('Лист персонажа 1'!M8,Чародей!G6:V25,10,0),IF('Лист персонажа 1'!L7="Чародей",VLOOKUP('Лист персонажа 1'!M7,Чародей!G6:V25,10,0),0)))))</f>
        <v>0</v>
      </c>
      <c r="V39" s="323">
        <f>10+'Лист персонажа 1'!G19+C39</f>
        <v>14</v>
      </c>
      <c r="W39" s="241"/>
      <c r="X39" s="54"/>
      <c r="Y39" s="164"/>
      <c r="Z39" s="164"/>
      <c r="AA39" s="164"/>
      <c r="AB39" s="164"/>
      <c r="AC39" s="164"/>
    </row>
    <row r="40" spans="1:29" ht="54" customHeight="1" thickTop="1" thickBot="1">
      <c r="A40" s="54"/>
      <c r="B40" s="286"/>
      <c r="C40" s="384">
        <v>4</v>
      </c>
      <c r="D40" s="677"/>
      <c r="E40" s="677"/>
      <c r="F40" s="677"/>
      <c r="G40" s="677"/>
      <c r="H40" s="677"/>
      <c r="I40" s="380">
        <f>IF('Лист персонажа 1'!L11="Жрец",VLOOKUP('Лист персонажа 1'!M11,Жрец!G6:V25,11,0),IF('Лист персонажа 1'!L10="Жрец",VLOOKUP('Лист персонажа 1'!M10,Жрец!G6:V25,11,0),IF('Лист персонажа 1'!L9="Жрец",VLOOKUP('Лист персонажа 1'!M9,Жрец!G6:V25,11,0),IF('Лист персонажа 1'!L8="Жрец",VLOOKUP('Лист персонажа 1'!M8,Жрец!G6:V25,11,0),IF('Лист персонажа 1'!L7="Жрец",VLOOKUP('Лист персонажа 1'!M7,Жрец!G6:V25,11,0),0)))))</f>
        <v>0</v>
      </c>
      <c r="J40" s="267">
        <f>10+'Лист персонажа 1'!G18+C40</f>
        <v>13</v>
      </c>
      <c r="K40" s="380">
        <f>IF('Лист персонажа 1'!L11="Бард",VLOOKUP('Лист персонажа 1'!M11,Бард!G3:S22,11,0),IF('Лист персонажа 1'!L10="Бард",VLOOKUP('Лист персонажа 1'!M10,Бард!G3:S22,11,0),IF('Лист персонажа 1'!L9="Бард",VLOOKUP('Лист персонажа 1'!M9,Бард!G3:S22,11,0),IF('Лист персонажа 1'!L8="Бард",VLOOKUP('Лист персонажа 1'!M8,Бард!G3:S22,11,0),IF('Лист персонажа 1'!L7="Бард",VLOOKUP('Лист персонажа 1'!M7,Бард!G3:S22,11,0),0)))))</f>
        <v>0</v>
      </c>
      <c r="L40" s="267">
        <f>10+'Лист персонажа 1'!G19+C40</f>
        <v>15</v>
      </c>
      <c r="M40" s="380">
        <f>IF('Лист персонажа 1'!L11="Друид",VLOOKUP('Лист персонажа 1'!M11,Друид!G6:V25,11,0),IF('Лист персонажа 1'!L10="Друид",VLOOKUP('Лист персонажа 1'!M10,Друид!G6:V25,11,0),IF('Лист персонажа 1'!L9="Друид",VLOOKUP('Лист персонажа 1'!M9,Друид!G6:V25,11,0),IF('Лист персонажа 1'!L8="Друид",VLOOKUP('Лист персонажа 1'!M8,Друид!G6:V25,11,0),IF('Лист персонажа 1'!L7="Друид",VLOOKUP('Лист персонажа 1'!M7,Друид!G6:V25,11,0),0)))))</f>
        <v>0</v>
      </c>
      <c r="N40" s="267">
        <f>10+'Лист персонажа 1'!G18+C40</f>
        <v>13</v>
      </c>
      <c r="O40" s="380">
        <f>IF('Лист персонажа 1'!L11="Маг",VLOOKUP('Лист персонажа 1'!M11,Маг!G6:V25,11,0),IF('Лист персонажа 1'!L10="Маг",VLOOKUP('Лист персонажа 1'!M10,Маг!G6:V25,11,0),IF('Лист персонажа 1'!L9="Маг",VLOOKUP('Лист персонажа 1'!M9,Маг!G6:V25,11,0),IF('Лист персонажа 1'!L8="Маг",VLOOKUP('Лист персонажа 1'!M8,Маг!G6:V25,11,0),IF('Лист персонажа 1'!L7="Маг",VLOOKUP('Лист персонажа 1'!M7,Маг!G6:V25,11,0),0)))))</f>
        <v>0</v>
      </c>
      <c r="P40" s="267">
        <f>10+'Лист персонажа 1'!G17+C40</f>
        <v>13</v>
      </c>
      <c r="Q40" s="380">
        <f>IF('Лист персонажа 1'!L11="Паладин",VLOOKUP('Лист персонажа 1'!M11,Паладин!G6:P25,10,0),IF('Лист персонажа 1'!L10="Паладин",VLOOKUP('Лист персонажа 1'!M10,Паладин!G6:P25,10,0),IF('Лист персонажа 1'!L9="Паладин",VLOOKUP('Лист персонажа 1'!M9,Паладин!G6:P25,10,0),IF('Лист персонажа 1'!L8="Паладин",VLOOKUP('Лист персонажа 1'!M8,Паладин!G6:P25,10,0),IF('Лист персонажа 1'!L7="Паладин",VLOOKUP('Лист персонажа 1'!M7,Паладин!G6:P25,10,0),0)))))</f>
        <v>0</v>
      </c>
      <c r="R40" s="267">
        <f>10+'Лист персонажа 1'!G18+C40</f>
        <v>13</v>
      </c>
      <c r="S40" s="380">
        <f>IF('Лист персонажа 1'!L11="Рейнджер",VLOOKUP('Лист персонажа 1'!M11,Рейнджер!G6:P25,10,0),IF('Лист персонажа 1'!L10="Рейнджер",VLOOKUP('Лист персонажа 1'!M10,Рейнджер!G6:P25,10,0),IF('Лист персонажа 1'!L9="Рейнджер",VLOOKUP('Лист персонажа 1'!M9,Рейнджер!G6:P25,10,0),IF('Лист персонажа 1'!L8="Рейнджер",VLOOKUP('Лист персонажа 1'!M8,Рейнджер!G6:P25,10,0),IF('Лист персонажа 1'!L7="Рейнджер",VLOOKUP('Лист персонажа 1'!M7,Рейнджер!G6:P25,10,0),0)))))</f>
        <v>0</v>
      </c>
      <c r="T40" s="267">
        <f>10+'Лист персонажа 1'!G18+C40</f>
        <v>13</v>
      </c>
      <c r="U40" s="380">
        <f>IF('Лист персонажа 1'!L11="Чародей",VLOOKUP('Лист персонажа 1'!M11,Чародей!G6:V25,11,0),IF('Лист персонажа 1'!L10="Чародей",VLOOKUP('Лист персонажа 1'!M10,Чародей!G6:V25,11,0),IF('Лист персонажа 1'!L9="Чародей",VLOOKUP('Лист персонажа 1'!M9,Чародей!G6:V25,11,0),IF('Лист персонажа 1'!L8="Чародей",VLOOKUP('Лист персонажа 1'!M8,Чародей!G6:V25,11,0),IF('Лист персонажа 1'!L7="Чародей",VLOOKUP('Лист персонажа 1'!M7,Чародей!G6:V25,11,0),0)))))</f>
        <v>0</v>
      </c>
      <c r="V40" s="323">
        <f>10+'Лист персонажа 1'!G19+C40</f>
        <v>15</v>
      </c>
      <c r="W40" s="241"/>
      <c r="X40" s="54"/>
      <c r="Y40" s="164"/>
      <c r="Z40" s="164"/>
      <c r="AA40" s="164"/>
      <c r="AB40" s="164"/>
      <c r="AC40" s="164"/>
    </row>
    <row r="41" spans="1:29" ht="69" customHeight="1" thickTop="1" thickBot="1">
      <c r="A41" s="54"/>
      <c r="B41" s="286"/>
      <c r="C41" s="384">
        <v>5</v>
      </c>
      <c r="D41" s="679"/>
      <c r="E41" s="679"/>
      <c r="F41" s="679"/>
      <c r="G41" s="679"/>
      <c r="H41" s="679"/>
      <c r="I41" s="380">
        <f>IF('Лист персонажа 1'!L11="Жрец",VLOOKUP('Лист персонажа 1'!M11,Жрец!G6:V25,12,0),IF('Лист персонажа 1'!L10="Жрец",VLOOKUP('Лист персонажа 1'!M10,Жрец!G6:V25,12,0),IF('Лист персонажа 1'!L9="Жрец",VLOOKUP('Лист персонажа 1'!M9,Жрец!G6:V25,12,0),IF('Лист персонажа 1'!L8="Жрец",VLOOKUP('Лист персонажа 1'!M8,Жрец!G6:V25,12,0),IF('Лист персонажа 1'!L7="Жрец",VLOOKUP('Лист персонажа 1'!M7,Жрец!G6:V25,12,0),0)))))</f>
        <v>0</v>
      </c>
      <c r="J41" s="267">
        <f>10+'Лист персонажа 1'!G18+C41</f>
        <v>14</v>
      </c>
      <c r="K41" s="380">
        <f>IF('Лист персонажа 1'!L11="Бард",VLOOKUP('Лист персонажа 1'!M11,Бард!G3:S22,12,0),IF('Лист персонажа 1'!L10="Бард",VLOOKUP('Лист персонажа 1'!M10,Бард!G3:S22,12,0),IF('Лист персонажа 1'!L9="Бард",VLOOKUP('Лист персонажа 1'!M9,Бард!G3:S22,12,0),IF('Лист персонажа 1'!L8="Бард",VLOOKUP('Лист персонажа 1'!M8,Бард!G3:S22,12,0),IF('Лист персонажа 1'!L7="Бард",VLOOKUP('Лист персонажа 1'!M7,Бард!G3:S22,12,0),0)))))</f>
        <v>0</v>
      </c>
      <c r="L41" s="267">
        <f>10+'Лист персонажа 1'!G19+C41</f>
        <v>16</v>
      </c>
      <c r="M41" s="380">
        <f>IF('Лист персонажа 1'!L11="Друид",VLOOKUP('Лист персонажа 1'!M11,Друид!G6:V25,12,0),IF('Лист персонажа 1'!L10="Друид",VLOOKUP('Лист персонажа 1'!M10,Друид!G6:V25,12,0),IF('Лист персонажа 1'!L9="Друид",VLOOKUP('Лист персонажа 1'!M9,Друид!G6:V25,12,0),IF('Лист персонажа 1'!L8="Друид",VLOOKUP('Лист персонажа 1'!M8,Друид!G6:V25,12,0),IF('Лист персонажа 1'!L7="Друид",VLOOKUP('Лист персонажа 1'!M7,Друид!G6:V25,12,0),0)))))</f>
        <v>0</v>
      </c>
      <c r="N41" s="267">
        <f>10+'Лист персонажа 1'!G18+C41</f>
        <v>14</v>
      </c>
      <c r="O41" s="380">
        <f>IF('Лист персонажа 1'!L11="Маг",VLOOKUP('Лист персонажа 1'!M11,Маг!G6:V25,12,0),IF('Лист персонажа 1'!L10="Маг",VLOOKUP('Лист персонажа 1'!M10,Маг!G6:V25,12,0),IF('Лист персонажа 1'!L9="Маг",VLOOKUP('Лист персонажа 1'!M9,Маг!G6:V25,12,0),IF('Лист персонажа 1'!L8="Маг",VLOOKUP('Лист персонажа 1'!M8,Маг!G6:V25,12,0),IF('Лист персонажа 1'!L7="Маг",VLOOKUP('Лист персонажа 1'!M7,Маг!G6:V25,12,0),0)))))</f>
        <v>0</v>
      </c>
      <c r="P41" s="267">
        <f>10+'Лист персонажа 1'!G17+C41</f>
        <v>14</v>
      </c>
      <c r="Q41" s="380" t="s">
        <v>198</v>
      </c>
      <c r="R41" s="267" t="s">
        <v>198</v>
      </c>
      <c r="S41" s="380" t="s">
        <v>198</v>
      </c>
      <c r="T41" s="267" t="s">
        <v>198</v>
      </c>
      <c r="U41" s="380">
        <f>IF('Лист персонажа 1'!L11="Чародей",VLOOKUP('Лист персонажа 1'!M11,Чародей!G6:V25,12,0),IF('Лист персонажа 1'!L10="Чародей",VLOOKUP('Лист персонажа 1'!M10,Чародей!G6:V25,12,0),IF('Лист персонажа 1'!L9="Чародей",VLOOKUP('Лист персонажа 1'!M9,Чародей!G6:V25,12,0),IF('Лист персонажа 1'!L8="Чародей",VLOOKUP('Лист персонажа 1'!M8,Чародей!G6:V25,12,0),IF('Лист персонажа 1'!L7="Чародей",VLOOKUP('Лист персонажа 1'!M7,Чародей!G6:V25,12,0),0)))))</f>
        <v>0</v>
      </c>
      <c r="V41" s="323">
        <f>10+'Лист персонажа 1'!G19+C41</f>
        <v>16</v>
      </c>
      <c r="W41" s="241"/>
      <c r="X41" s="54"/>
      <c r="Y41" s="164"/>
      <c r="Z41" s="164"/>
      <c r="AA41" s="164"/>
      <c r="AB41" s="164"/>
      <c r="AC41" s="164"/>
    </row>
    <row r="42" spans="1:29" ht="86.25" customHeight="1" thickTop="1" thickBot="1">
      <c r="A42" s="54"/>
      <c r="B42" s="286"/>
      <c r="C42" s="384">
        <v>6</v>
      </c>
      <c r="D42" s="677"/>
      <c r="E42" s="677"/>
      <c r="F42" s="677"/>
      <c r="G42" s="677"/>
      <c r="H42" s="677"/>
      <c r="I42" s="380">
        <f>IF('Лист персонажа 1'!L11="Жрец",VLOOKUP('Лист персонажа 1'!M11,Жрец!G6:V25,13,0),IF('Лист персонажа 1'!L10="Жрец",VLOOKUP('Лист персонажа 1'!M10,Жрец!G6:V25,13,0),IF('Лист персонажа 1'!L9="Жрец",VLOOKUP('Лист персонажа 1'!M9,Жрец!G6:V25,13,0),IF('Лист персонажа 1'!L8="Жрец",VLOOKUP('Лист персонажа 1'!M8,Жрец!G6:V25,13,0),IF('Лист персонажа 1'!L7="Жрец",VLOOKUP('Лист персонажа 1'!M7,Жрец!G6:V25,13,0),0)))))</f>
        <v>0</v>
      </c>
      <c r="J42" s="267">
        <f>10+'Лист персонажа 1'!G18+C42</f>
        <v>15</v>
      </c>
      <c r="K42" s="380">
        <f>IF('Лист персонажа 1'!L11="Бард",VLOOKUP('Лист персонажа 1'!M11,Бард!G3:S22,13,0),IF('Лист персонажа 1'!L10="Бард",VLOOKUP('Лист персонажа 1'!M10,Бард!G3:S22,13,0),IF('Лист персонажа 1'!L9="Бард",VLOOKUP('Лист персонажа 1'!M9,Бард!G3:S22,13,0),IF('Лист персонажа 1'!L8="Бард",VLOOKUP('Лист персонажа 1'!M8,Бард!G3:S22,13,0),IF('Лист персонажа 1'!L7="Бард",VLOOKUP('Лист персонажа 1'!M7,Бард!G3:S22,13,0),0)))))</f>
        <v>0</v>
      </c>
      <c r="L42" s="267">
        <f>10+'Лист персонажа 1'!G19+C42</f>
        <v>17</v>
      </c>
      <c r="M42" s="380">
        <f>IF('Лист персонажа 1'!L11="Друид",VLOOKUP('Лист персонажа 1'!M11,Друид!G6:V25,13,0),IF('Лист персонажа 1'!L10="Друид",VLOOKUP('Лист персонажа 1'!M10,Друид!G6:V25,13,0),IF('Лист персонажа 1'!L9="Друид",VLOOKUP('Лист персонажа 1'!M9,Друид!G6:V25,13,0),IF('Лист персонажа 1'!L8="Друид",VLOOKUP('Лист персонажа 1'!M8,Друид!G6:V25,13,0),IF('Лист персонажа 1'!L7="Друид",VLOOKUP('Лист персонажа 1'!M7,Друид!G6:V25,13,0),0)))))</f>
        <v>0</v>
      </c>
      <c r="N42" s="267">
        <f>10+'Лист персонажа 1'!G18+C42</f>
        <v>15</v>
      </c>
      <c r="O42" s="380">
        <f>IF('Лист персонажа 1'!L11="Маг",VLOOKUP('Лист персонажа 1'!M11,Маг!G6:V25,13,0),IF('Лист персонажа 1'!L10="Маг",VLOOKUP('Лист персонажа 1'!M10,Маг!G6:V25,13,0),IF('Лист персонажа 1'!L9="Маг",VLOOKUP('Лист персонажа 1'!M9,Маг!G6:V25,13,0),IF('Лист персонажа 1'!L8="Маг",VLOOKUP('Лист персонажа 1'!M8,Маг!G6:V25,13,0),IF('Лист персонажа 1'!L7="Маг",VLOOKUP('Лист персонажа 1'!M7,Маг!G6:V25,13,0),0)))))</f>
        <v>0</v>
      </c>
      <c r="P42" s="267">
        <f>10+'Лист персонажа 1'!G17+C42</f>
        <v>15</v>
      </c>
      <c r="Q42" s="380" t="s">
        <v>198</v>
      </c>
      <c r="R42" s="267" t="s">
        <v>198</v>
      </c>
      <c r="S42" s="380" t="s">
        <v>198</v>
      </c>
      <c r="T42" s="267" t="s">
        <v>198</v>
      </c>
      <c r="U42" s="380">
        <f>IF('Лист персонажа 1'!L11="Чародей",VLOOKUP('Лист персонажа 1'!M11,Чародей!G6:V25,13,0),IF('Лист персонажа 1'!L10="Чародей",VLOOKUP('Лист персонажа 1'!M10,Чародей!G6:V25,13,0),IF('Лист персонажа 1'!L9="Чародей",VLOOKUP('Лист персонажа 1'!M9,Чародей!G6:V25,13,0),IF('Лист персонажа 1'!L8="Чародей",VLOOKUP('Лист персонажа 1'!M8,Чародей!G6:V25,13,0),IF('Лист персонажа 1'!L7="Чародей",VLOOKUP('Лист персонажа 1'!M7,Чародей!G6:V25,13,0),0)))))</f>
        <v>0</v>
      </c>
      <c r="V42" s="323">
        <f>10+'Лист персонажа 1'!G19+C42</f>
        <v>17</v>
      </c>
      <c r="W42" s="241"/>
      <c r="X42" s="54"/>
      <c r="Y42" s="164"/>
      <c r="Z42" s="164"/>
      <c r="AA42" s="164"/>
      <c r="AB42" s="164"/>
      <c r="AC42" s="164"/>
    </row>
    <row r="43" spans="1:29" ht="72.75" customHeight="1" thickTop="1" thickBot="1">
      <c r="A43" s="54"/>
      <c r="B43" s="286"/>
      <c r="C43" s="384">
        <v>7</v>
      </c>
      <c r="D43" s="679"/>
      <c r="E43" s="679"/>
      <c r="F43" s="679"/>
      <c r="G43" s="679"/>
      <c r="H43" s="679"/>
      <c r="I43" s="380">
        <f>IF('Лист персонажа 1'!L11="Жрец",VLOOKUP('Лист персонажа 1'!M11,Жрец!G6:V25,14,0),IF('Лист персонажа 1'!L10="Жрец",VLOOKUP('Лист персонажа 1'!M10,Жрец!G6:V25,14,0),IF('Лист персонажа 1'!L9="Жрец",VLOOKUP('Лист персонажа 1'!M9,Жрец!G6:V25,14,0),IF('Лист персонажа 1'!L8="Жрец",VLOOKUP('Лист персонажа 1'!M8,Жрец!G6:V25,14,0),IF('Лист персонажа 1'!L7="Жрец",VLOOKUP('Лист персонажа 1'!M7,Жрец!G6:V25,14,0),0)))))</f>
        <v>0</v>
      </c>
      <c r="J43" s="267">
        <f>10+'Лист персонажа 1'!G18+C43</f>
        <v>16</v>
      </c>
      <c r="K43" s="380" t="s">
        <v>198</v>
      </c>
      <c r="L43" s="267">
        <v>0</v>
      </c>
      <c r="M43" s="380">
        <f>IF('Лист персонажа 1'!L11="Друид",VLOOKUP('Лист персонажа 1'!M11,Друид!G6:V25,14,0),IF('Лист персонажа 1'!L10="Друид",VLOOKUP('Лист персонажа 1'!M10,Друид!G6:V25,14,0),IF('Лист персонажа 1'!L9="Друид",VLOOKUP('Лист персонажа 1'!M9,Друид!G6:V25,14,0),IF('Лист персонажа 1'!L8="Друид",VLOOKUP('Лист персонажа 1'!M8,Друид!G6:V25,14,0),IF('Лист персонажа 1'!L7="Друид",VLOOKUP('Лист персонажа 1'!M7,Друид!G6:V25,14,0),0)))))</f>
        <v>0</v>
      </c>
      <c r="N43" s="267">
        <f>10+'Лист персонажа 1'!G18+C43</f>
        <v>16</v>
      </c>
      <c r="O43" s="380">
        <f>IF('Лист персонажа 1'!L11="Маг",VLOOKUP('Лист персонажа 1'!M11,Маг!G6:V25,14,0),IF('Лист персонажа 1'!L10="Маг",VLOOKUP('Лист персонажа 1'!M10,Маг!G6:V25,14,0),IF('Лист персонажа 1'!L9="Маг",VLOOKUP('Лист персонажа 1'!M9,Маг!G6:V25,14,0),IF('Лист персонажа 1'!L8="Маг",VLOOKUP('Лист персонажа 1'!M8,Маг!G6:V25,14,0),IF('Лист персонажа 1'!L7="Маг",VLOOKUP('Лист персонажа 1'!M7,Маг!G6:V25,14,0),0)))))</f>
        <v>0</v>
      </c>
      <c r="P43" s="267">
        <f>10+'Лист персонажа 1'!G17+C43</f>
        <v>16</v>
      </c>
      <c r="Q43" s="380" t="s">
        <v>198</v>
      </c>
      <c r="R43" s="267" t="s">
        <v>198</v>
      </c>
      <c r="S43" s="380" t="s">
        <v>198</v>
      </c>
      <c r="T43" s="267" t="s">
        <v>198</v>
      </c>
      <c r="U43" s="380">
        <f>IF('Лист персонажа 1'!L11="Чародей",VLOOKUP('Лист персонажа 1'!M11,Чародей!G6:V25,14,0),IF('Лист персонажа 1'!L10="Чародей",VLOOKUP('Лист персонажа 1'!M10,Чародей!G6:V25,14,0),IF('Лист персонажа 1'!L9="Чародей",VLOOKUP('Лист персонажа 1'!M9,Чародей!G6:V25,14,0),IF('Лист персонажа 1'!L8="Чародей",VLOOKUP('Лист персонажа 1'!M8,Чародей!G6:V25,14,0),IF('Лист персонажа 1'!L7="Чародей",VLOOKUP('Лист персонажа 1'!M7,Чародей!G6:V25,14,0),0)))))</f>
        <v>0</v>
      </c>
      <c r="V43" s="323">
        <f>10+'Лист персонажа 1'!G19+C43</f>
        <v>18</v>
      </c>
      <c r="W43" s="241"/>
      <c r="X43" s="54"/>
      <c r="Y43" s="164"/>
      <c r="Z43" s="164"/>
      <c r="AA43" s="164"/>
      <c r="AB43" s="164"/>
      <c r="AC43" s="164"/>
    </row>
    <row r="44" spans="1:29" ht="69" customHeight="1" thickTop="1" thickBot="1">
      <c r="A44" s="54"/>
      <c r="B44" s="286"/>
      <c r="C44" s="384">
        <v>8</v>
      </c>
      <c r="D44" s="677"/>
      <c r="E44" s="677"/>
      <c r="F44" s="677"/>
      <c r="G44" s="677"/>
      <c r="H44" s="677"/>
      <c r="I44" s="380">
        <f>IF('Лист персонажа 1'!L11="Жрец",VLOOKUP('Лист персонажа 1'!M11,Жрец!G6:V25,15,0),IF('Лист персонажа 1'!L10="Жрец",VLOOKUP('Лист персонажа 1'!M10,Жрец!G6:V25,15,0),IF('Лист персонажа 1'!L9="Жрец",VLOOKUP('Лист персонажа 1'!M9,Жрец!G6:V25,15,0),IF('Лист персонажа 1'!L8="Жрец",VLOOKUP('Лист персонажа 1'!M8,Жрец!G6:V25,15,0),IF('Лист персонажа 1'!L7="Жрец",VLOOKUP('Лист персонажа 1'!M7,Жрец!G6:V25,15,0),0)))))</f>
        <v>0</v>
      </c>
      <c r="J44" s="267">
        <f>10+'Лист персонажа 1'!G18+C44</f>
        <v>17</v>
      </c>
      <c r="K44" s="380" t="s">
        <v>198</v>
      </c>
      <c r="L44" s="267">
        <v>0</v>
      </c>
      <c r="M44" s="380">
        <f>IF('Лист персонажа 1'!L11="Друид",VLOOKUP('Лист персонажа 1'!M11,Друид!G6:V25,15,0),IF('Лист персонажа 1'!L10="Друид",VLOOKUP('Лист персонажа 1'!M10,Друид!G6:V25,15,0),IF('Лист персонажа 1'!L9="Друид",VLOOKUP('Лист персонажа 1'!M9,Друид!G6:V25,15,0),IF('Лист персонажа 1'!L8="Друид",VLOOKUP('Лист персонажа 1'!M8,Друид!G6:V25,15,0),IF('Лист персонажа 1'!L7="Друид",VLOOKUP('Лист персонажа 1'!M7,Друид!G6:V25,15,0),0)))))</f>
        <v>0</v>
      </c>
      <c r="N44" s="267">
        <f>10+'Лист персонажа 1'!G18+C43</f>
        <v>16</v>
      </c>
      <c r="O44" s="380">
        <f>IF('Лист персонажа 1'!L11="Маг",VLOOKUP('Лист персонажа 1'!M11,Маг!G6:V25,15,0),IF('Лист персонажа 1'!L10="Маг",VLOOKUP('Лист персонажа 1'!M10,Маг!G6:V25,15,0),IF('Лист персонажа 1'!L9="Маг",VLOOKUP('Лист персонажа 1'!M9,Маг!G6:V25,15,0),IF('Лист персонажа 1'!L8="Маг",VLOOKUP('Лист персонажа 1'!M8,Маг!G6:V25,15,0),IF('Лист персонажа 1'!L7="Маг",VLOOKUP('Лист персонажа 1'!M7,Маг!G6:V25,15,0),0)))))</f>
        <v>0</v>
      </c>
      <c r="P44" s="267">
        <f>10+'Лист персонажа 1'!G17+C43</f>
        <v>16</v>
      </c>
      <c r="Q44" s="380" t="s">
        <v>198</v>
      </c>
      <c r="R44" s="267" t="s">
        <v>198</v>
      </c>
      <c r="S44" s="380" t="s">
        <v>198</v>
      </c>
      <c r="T44" s="267" t="s">
        <v>198</v>
      </c>
      <c r="U44" s="380">
        <f>IF('Лист персонажа 1'!L11="Чародей",VLOOKUP('Лист персонажа 1'!M11,Чародей!G6:V25,15,0),IF('Лист персонажа 1'!L10="Чародей",VLOOKUP('Лист персонажа 1'!M10,Чародей!G6:V25,15,0),IF('Лист персонажа 1'!L9="Чародей",VLOOKUP('Лист персонажа 1'!M9,Чародей!G6:V25,15,0),IF('Лист персонажа 1'!L8="Чародей",VLOOKUP('Лист персонажа 1'!M8,Чародей!G6:V25,15,0),IF('Лист персонажа 1'!L7="Чародей",VLOOKUP('Лист персонажа 1'!M7,Чародей!G6:V25,15,0),0)))))</f>
        <v>0</v>
      </c>
      <c r="V44" s="323">
        <f>10+'Лист персонажа 1'!G19+C43</f>
        <v>18</v>
      </c>
      <c r="W44" s="241"/>
      <c r="X44" s="54"/>
      <c r="Y44" s="164"/>
      <c r="Z44" s="164"/>
      <c r="AA44" s="164"/>
      <c r="AB44" s="164"/>
      <c r="AC44" s="164"/>
    </row>
    <row r="45" spans="1:29" ht="90" customHeight="1" thickTop="1" thickBot="1">
      <c r="A45" s="54"/>
      <c r="B45" s="286"/>
      <c r="C45" s="385">
        <v>9</v>
      </c>
      <c r="D45" s="678"/>
      <c r="E45" s="678"/>
      <c r="F45" s="678"/>
      <c r="G45" s="678"/>
      <c r="H45" s="678"/>
      <c r="I45" s="381">
        <f>IF('Лист персонажа 1'!L11="Жрец",VLOOKUP('Лист персонажа 1'!M11,Жрец!G6:V25,16,0),IF('Лист персонажа 1'!L10="Жрец",VLOOKUP('Лист персонажа 1'!M10,Жрец!G6:V25,16,0),IF('Лист персонажа 1'!L9="Жрец",VLOOKUP('Лист персонажа 1'!M9,Жрец!G6:V25,16,0),IF('Лист персонажа 1'!L8="Жрец",VLOOKUP('Лист персонажа 1'!M8,Жрец!G6:V25,16,0),IF('Лист персонажа 1'!L7="Жрец",VLOOKUP('Лист персонажа 1'!M7,Жрец!G6:V25,16,0),0)))))</f>
        <v>0</v>
      </c>
      <c r="J45" s="382">
        <f>10+'Лист персонажа 1'!G18+C45</f>
        <v>18</v>
      </c>
      <c r="K45" s="381" t="s">
        <v>198</v>
      </c>
      <c r="L45" s="382">
        <v>0</v>
      </c>
      <c r="M45" s="381">
        <f>IF('Лист персонажа 1'!L11="Друид",VLOOKUP('Лист персонажа 1'!M11,Друид!G6:V25,16,0),IF('Лист персонажа 1'!L10="Друид",VLOOKUP('Лист персонажа 1'!M10,Друид!G6:V25,16,0),IF('Лист персонажа 1'!L9="Друид",VLOOKUP('Лист персонажа 1'!M9,Друид!G6:V25,16,0),IF('Лист персонажа 1'!L8="Друид",VLOOKUP('Лист персонажа 1'!M8,Друид!G6:V25,16,0),IF('Лист персонажа 1'!L7="Друид",VLOOKUP('Лист персонажа 1'!M7,Друид!G6:V25,16,0),0)))))</f>
        <v>0</v>
      </c>
      <c r="N45" s="382">
        <f>10+'Лист персонажа 1'!G18+C45</f>
        <v>18</v>
      </c>
      <c r="O45" s="381">
        <f>IF('Лист персонажа 1'!L11="Маг",VLOOKUP('Лист персонажа 1'!M11,Маг!G6:V25,16,0),IF('Лист персонажа 1'!L10="Маг",VLOOKUP('Лист персонажа 1'!M10,Маг!G6:V25,16,0),IF('Лист персонажа 1'!L9="Маг",VLOOKUP('Лист персонажа 1'!M9,Маг!G6:V25,16,0),IF('Лист персонажа 1'!L8="Маг",VLOOKUP('Лист персонажа 1'!M8,Маг!G6:V25,16,0),IF('Лист персонажа 1'!L7="Маг",VLOOKUP('Лист персонажа 1'!M7,Маг!G6:V25,16,0),0)))))</f>
        <v>0</v>
      </c>
      <c r="P45" s="382">
        <f>10+'Лист персонажа 1'!G17+C45</f>
        <v>18</v>
      </c>
      <c r="Q45" s="381" t="s">
        <v>198</v>
      </c>
      <c r="R45" s="382" t="s">
        <v>198</v>
      </c>
      <c r="S45" s="381" t="s">
        <v>198</v>
      </c>
      <c r="T45" s="382" t="s">
        <v>198</v>
      </c>
      <c r="U45" s="381">
        <f>IF('Лист персонажа 1'!L11="Чародей",VLOOKUP('Лист персонажа 1'!M11,Чародей!G6:V25,16,0),IF('Лист персонажа 1'!L10="Чародей",VLOOKUP('Лист персонажа 1'!M10,Чародей!G6:V25,16,0),IF('Лист персонажа 1'!L9="Чародей",VLOOKUP('Лист персонажа 1'!M9,Чародей!G6:V25,16,0),IF('Лист персонажа 1'!L8="Чародей",VLOOKUP('Лист персонажа 1'!M8,Чародей!G6:V25,16,0),IF('Лист персонажа 1'!L7="Чародей",VLOOKUP('Лист персонажа 1'!M7,Чародей!G6:V25,16,0),0)))))</f>
        <v>0</v>
      </c>
      <c r="V45" s="383">
        <f>10+'Лист персонажа 1'!G19+C45</f>
        <v>20</v>
      </c>
      <c r="W45" s="241"/>
      <c r="X45" s="54"/>
      <c r="Y45" s="164"/>
      <c r="Z45" s="164"/>
      <c r="AA45" s="164"/>
      <c r="AB45" s="164"/>
      <c r="AC45" s="164"/>
    </row>
    <row r="46" spans="1:29" ht="35.25" customHeight="1" thickTop="1">
      <c r="A46" s="54"/>
      <c r="B46" s="286"/>
      <c r="C46" s="241"/>
      <c r="D46" s="241"/>
      <c r="E46" s="241"/>
      <c r="F46" s="241"/>
      <c r="G46" s="241"/>
      <c r="H46" s="241"/>
      <c r="I46" s="241"/>
      <c r="J46" s="241"/>
      <c r="K46" s="241"/>
      <c r="L46" s="241"/>
      <c r="M46" s="241"/>
      <c r="N46" s="241"/>
      <c r="O46" s="241"/>
      <c r="P46" s="241"/>
      <c r="Q46" s="241"/>
      <c r="R46" s="241"/>
      <c r="S46" s="241"/>
      <c r="T46" s="241"/>
      <c r="U46" s="240"/>
      <c r="V46" s="241"/>
      <c r="W46" s="241"/>
      <c r="X46" s="54"/>
      <c r="Y46" s="164"/>
      <c r="Z46" s="164"/>
      <c r="AA46" s="164"/>
      <c r="AB46" s="164"/>
      <c r="AC46" s="164"/>
    </row>
    <row r="47" spans="1:29" ht="27" customHeight="1" thickBot="1">
      <c r="A47" s="54"/>
      <c r="B47" s="286"/>
      <c r="C47" s="241"/>
      <c r="D47" s="241"/>
      <c r="E47" s="241"/>
      <c r="F47" s="241"/>
      <c r="G47" s="241"/>
      <c r="H47" s="241"/>
      <c r="I47" s="241"/>
      <c r="J47" s="241"/>
      <c r="K47" s="241"/>
      <c r="L47" s="241"/>
      <c r="M47" s="241"/>
      <c r="N47" s="241"/>
      <c r="O47" s="241"/>
      <c r="P47" s="241"/>
      <c r="Q47" s="241"/>
      <c r="R47" s="241"/>
      <c r="S47" s="241"/>
      <c r="T47" s="241"/>
      <c r="U47" s="240"/>
      <c r="V47" s="241"/>
      <c r="W47" s="241"/>
      <c r="X47" s="54"/>
      <c r="Y47" s="164"/>
      <c r="Z47" s="164"/>
      <c r="AA47" s="164"/>
      <c r="AB47" s="164"/>
      <c r="AC47" s="164"/>
    </row>
    <row r="48" spans="1:29" ht="27.75" customHeight="1" thickTop="1" thickBot="1">
      <c r="A48" s="54"/>
      <c r="B48" s="286"/>
      <c r="C48" s="673" t="s">
        <v>1</v>
      </c>
      <c r="D48" s="671" t="s">
        <v>199</v>
      </c>
      <c r="E48" s="671" t="s">
        <v>200</v>
      </c>
      <c r="F48" s="675" t="s">
        <v>201</v>
      </c>
      <c r="G48" s="241"/>
      <c r="H48" s="241"/>
      <c r="I48" s="241"/>
      <c r="J48" s="241"/>
      <c r="K48" s="241"/>
      <c r="L48" s="241"/>
      <c r="M48" s="241"/>
      <c r="N48" s="241"/>
      <c r="O48" s="241"/>
      <c r="P48" s="241"/>
      <c r="Q48" s="241"/>
      <c r="R48" s="241"/>
      <c r="S48" s="241"/>
      <c r="T48" s="241"/>
      <c r="U48" s="240"/>
      <c r="V48" s="241"/>
      <c r="W48" s="241"/>
      <c r="X48" s="54"/>
      <c r="Y48" s="164"/>
      <c r="Z48" s="164"/>
      <c r="AA48" s="164"/>
      <c r="AB48" s="164"/>
      <c r="AC48" s="164"/>
    </row>
    <row r="49" spans="1:29" ht="27.75" customHeight="1" thickTop="1" thickBot="1">
      <c r="A49" s="54"/>
      <c r="B49" s="286"/>
      <c r="C49" s="674"/>
      <c r="D49" s="672"/>
      <c r="E49" s="672"/>
      <c r="F49" s="676"/>
      <c r="G49" s="241"/>
      <c r="H49" s="241"/>
      <c r="I49" s="241"/>
      <c r="J49" s="241"/>
      <c r="K49" s="241"/>
      <c r="L49" s="241"/>
      <c r="M49" s="241"/>
      <c r="N49" s="241"/>
      <c r="O49" s="241"/>
      <c r="P49" s="241"/>
      <c r="Q49" s="241"/>
      <c r="R49" s="241"/>
      <c r="S49" s="241"/>
      <c r="T49" s="241"/>
      <c r="U49" s="241"/>
      <c r="V49" s="241"/>
      <c r="W49" s="241"/>
      <c r="X49" s="54"/>
      <c r="Y49" s="164"/>
      <c r="Z49" s="164"/>
      <c r="AA49" s="164"/>
      <c r="AB49" s="164"/>
      <c r="AC49" s="164"/>
    </row>
    <row r="50" spans="1:29" ht="27.75" customHeight="1" thickTop="1" thickBot="1">
      <c r="A50" s="54"/>
      <c r="B50" s="286"/>
      <c r="C50" s="363">
        <v>1</v>
      </c>
      <c r="D50" s="253">
        <f>IF('Лист персонажа 1'!M7&lt;&gt;0,IF('Лист персонажа 1'!L7="Воин",VLOOKUP('Лист персонажа 1'!M7,Воин!G6:K25,3,0),IF('Лист персонажа 1'!L7="Варвар",VLOOKUP('Лист персонажа 1'!M7,Варвар!G6:K25,3,0),IF('Лист персонажа 1'!L7="Вор",VLOOKUP('Лист персонажа 1'!M7,Вор!G6:K25,3,0),IF('Лист персонажа 1'!L7="Бард",VLOOKUP('Лист персонажа 1'!M7,Бард!G3:K22,3,0),IF('Лист персонажа 1'!L7="Друид",VLOOKUP('Лист персонажа 1'!M7,Друид!G6:K25,3,0),IF('Лист персонажа 1'!L7="Жрец",VLOOKUP('Лист персонажа 1'!M7,Жрец!G6:K25,3,0),IF('Лист персонажа 1'!L7="Маг",VLOOKUP('Лист персонажа 1'!M7,Маг!G6:K25,3,0),IF('Лист персонажа 1'!L7="Монах",VLOOKUP('Лист персонажа 1'!M7,Монах!G6:K25,3,0),IF('Лист персонажа 1'!L7="Паладин",VLOOKUP('Лист персонажа 1'!M7,Паладин!G6:K25,3,0),IF('Лист персонажа 1'!L7="Рейнджер",VLOOKUP('Лист персонажа 1'!M7,Рейнджер!G6:K25,3,0),IF('Лист персонажа 1'!L7="Чародей",VLOOKUP('Лист персонажа 1'!M7,Чародей!G6:K25,3,0),0))))))))))),0)</f>
        <v>5</v>
      </c>
      <c r="E50" s="253">
        <f>IF('Лист персонажа 1'!M7&lt;&gt;0,IF('Лист персонажа 1'!L7="Воин",VLOOKUP('Лист персонажа 1'!M7,Воин!G6:K25,4,0),IF('Лист персонажа 1'!L7="Варвар",VLOOKUP('Лист персонажа 1'!M7,Варвар!G6:K25,4,0),IF('Лист персонажа 1'!L7="Вор",VLOOKUP('Лист персонажа 1'!M7,Вор!G6:K25,4,0),IF('Лист персонажа 1'!L7="Бард",VLOOKUP('Лист персонажа 1'!M7,Бард!G3:K22,4,0),IF('Лист персонажа 1'!L7="Друид",VLOOKUP('Лист персонажа 1'!M7,Друид!G6:K25,4,0),IF('Лист персонажа 1'!L7="Жрец",VLOOKUP('Лист персонажа 1'!M7,Жрец!G6:K25,4,0),IF('Лист персонажа 1'!L7="Маг",VLOOKUP('Лист персонажа 1'!M7,Маг!G6:K25,4,0),IF('Лист персонажа 1'!L7="Монах",VLOOKUP('Лист персонажа 1'!M7,Монах!G6:K25,4,0),IF('Лист персонажа 1'!L7="Паладин",VLOOKUP('Лист персонажа 1'!M7,Паладин!G6:K25,4,0),IF('Лист персонажа 1'!L7="Рейнджер",VLOOKUP('Лист персонажа 1'!M7,Рейнджер!G6:K25,4,0),IF('Лист персонажа 1'!L7="Чародей",VLOOKUP('Лист персонажа 1'!M7,Чародей!G6:K25,4,0),0))))))))))),0)</f>
        <v>2</v>
      </c>
      <c r="F50" s="254">
        <f>IF('Лист персонажа 1'!M7&lt;&gt;0,IF('Лист персонажа 1'!L7="Воин",VLOOKUP('Лист персонажа 1'!M7,Воин!G6:K25,5,0),IF('Лист персонажа 1'!L7="Варвар",VLOOKUP('Лист персонажа 1'!M7,Варвар!G6:K25,5,0),IF('Лист персонажа 1'!L7="Вор",VLOOKUP('Лист персонажа 1'!M7,Вор!G6:K25,5,0),IF('Лист персонажа 1'!L7="Бард",VLOOKUP('Лист персонажа 1'!M7,Бард!G3:K22,5,0),IF('Лист персонажа 1'!L7="Друид",VLOOKUP('Лист персонажа 1'!M7,Друид!G6:K25,5,0),IF('Лист персонажа 1'!L7="Жрец",VLOOKUP('Лист персонажа 1'!M7,Жрец!G6:K25,5,0),IF('Лист персонажа 1'!L7="Маг",VLOOKUP('Лист персонажа 1'!M7,Маг!G6:K25,5,0),IF('Лист персонажа 1'!L7="Монах",VLOOKUP('Лист персонажа 1'!M7,Монах!G6:K25,5,0),IF('Лист персонажа 1'!L7="Паладин",VLOOKUP('Лист персонажа 1'!M7,Паладин!G6:K25,5,0),IF('Лист персонажа 1'!L7="Рейнджер",VLOOKUP('Лист персонажа 1'!M7,Рейнджер!G6:K25,5,0),IF('Лист персонажа 1'!L7="Чародей",VLOOKUP('Лист персонажа 1'!M7,Чародей!G6:K25,5,0),0))))))))))),0)</f>
        <v>2</v>
      </c>
      <c r="G50" s="241"/>
      <c r="H50" s="241"/>
      <c r="I50" s="241"/>
      <c r="J50" s="241"/>
      <c r="K50" s="241"/>
      <c r="L50" s="241"/>
      <c r="M50" s="241"/>
      <c r="N50" s="241"/>
      <c r="O50" s="241"/>
      <c r="P50" s="241"/>
      <c r="Q50" s="241"/>
      <c r="R50" s="241"/>
      <c r="S50" s="241"/>
      <c r="T50" s="241"/>
      <c r="U50" s="241"/>
      <c r="V50" s="241"/>
      <c r="W50" s="241"/>
      <c r="X50" s="54"/>
      <c r="Y50" s="164"/>
      <c r="Z50" s="164"/>
      <c r="AA50" s="164"/>
      <c r="AB50" s="164"/>
      <c r="AC50" s="164"/>
    </row>
    <row r="51" spans="1:29" ht="27.75" customHeight="1" thickTop="1" thickBot="1">
      <c r="A51" s="54"/>
      <c r="B51" s="286"/>
      <c r="C51" s="363">
        <v>2</v>
      </c>
      <c r="D51" s="253">
        <f>IF('Лист персонажа 1'!M8&lt;&gt;0,IF('Лист персонажа 1'!L8="Воин",VLOOKUP('Лист персонажа 1'!M8,Воин!G6:K25,3,0),IF('Лист персонажа 1'!L8="Варвар",VLOOKUP('Лист персонажа 1'!M8,Варвар!G6:K25,3,0),IF('Лист персонажа 1'!L8="Вор",VLOOKUP('Лист персонажа 1'!M8,Вор!G6:K25,3,0),IF('Лист персонажа 1'!L8="Бард",VLOOKUP('Лист персонажа 1'!M8,Бард!G3:K22,3,0),IF('Лист персонажа 1'!L8="Друид",VLOOKUP('Лист персонажа 1'!M8,Друид!G6:K25,3,0),IF('Лист персонажа 1'!L8="Жрец",VLOOKUP('Лист персонажа 1'!M8,Жрец!G6:K25,3,0),IF('Лист персонажа 1'!L8="Маг",VLOOKUP('Лист персонажа 1'!M8,Маг!G6:K25,3,0),IF('Лист персонажа 1'!L8="Монах",VLOOKUP('Лист персонажа 1'!M8,Монах!G6:K25,3,0),IF('Лист персонажа 1'!L8="Паладин",VLOOKUP('Лист персонажа 1'!M8,Паладин!G6:K25,3,0),IF('Лист персонажа 1'!L8="Рейнджер",VLOOKUP('Лист персонажа 1'!M8,Рейнджер!G6:K25,3,0),IF('Лист персонажа 1'!L8="Чародей",VLOOKUP('Лист персонажа 1'!M8,Чародей!G6:K25,3,0),0))))))))))),0)</f>
        <v>0</v>
      </c>
      <c r="E51" s="253">
        <f>IF('Лист персонажа 1'!M8&lt;&gt;0,IF('Лист персонажа 1'!L8="Воин",VLOOKUP('Лист персонажа 1'!M8,Воин!G6:K25,4,0),IF('Лист персонажа 1'!L8="Варвар",VLOOKUP('Лист персонажа 1'!M8,Варвар!G6:K25,4,0),IF('Лист персонажа 1'!L8="Вор",VLOOKUP('Лист персонажа 1'!M8,Вор!G6:K25,4,0),IF('Лист персонажа 1'!L8="Бард",VLOOKUP('Лист персонажа 1'!M8,Бард!G3:K22,4,0),IF('Лист персонажа 1'!L8="Друид",VLOOKUP('Лист персонажа 1'!M8,Друид!G6:K25,4,0),IF('Лист персонажа 1'!L8="Жрец",VLOOKUP('Лист персонажа 1'!M8,Жрец!G6:K25,4,0),IF('Лист персонажа 1'!L8="Маг",VLOOKUP('Лист персонажа 1'!M8,Маг!G6:K25,4,0),IF('Лист персонажа 1'!L8="Монах",VLOOKUP('Лист персонажа 1'!M8,Монах!G6:K25,4,0),IF('Лист персонажа 1'!L8="Паладин",VLOOKUP('Лист персонажа 1'!M8,Паладин!G6:K25,4,0),IF('Лист персонажа 1'!L8="Рейнджер",VLOOKUP('Лист персонажа 1'!M8,Рейнджер!G6:K25,4,0),IF('Лист персонажа 1'!L8="Чародей",VLOOKUP('Лист персонажа 1'!M8,Чародей!G6:K25,4,0),0))))))))))),0)</f>
        <v>0</v>
      </c>
      <c r="F51" s="254">
        <f>IF('Лист персонажа 1'!M8&lt;&gt;0,IF('Лист персонажа 1'!L8="Воин",VLOOKUP('Лист персонажа 1'!M8,Воин!G6:K25,5,0),IF('Лист персонажа 1'!L8="Варвар",VLOOKUP('Лист персонажа 1'!M8,Варвар!G6:K25,5,0),IF('Лист персонажа 1'!L8="Вор",VLOOKUP('Лист персонажа 1'!M8,Вор!G6:K25,5,0),IF('Лист персонажа 1'!L8="Бард",VLOOKUP('Лист персонажа 1'!M8,Бард!G3:K22,5,0),IF('Лист персонажа 1'!L8="Друид",VLOOKUP('Лист персонажа 1'!M8,Друид!G6:K25,5,0),IF('Лист персонажа 1'!L8="Жрец",VLOOKUP('Лист персонажа 1'!M8,Жрец!G6:K25,5,0),IF('Лист персонажа 1'!L8="Маг",VLOOKUP('Лист персонажа 1'!M8,Маг!G6:K25,5,0),IF('Лист персонажа 1'!L8="Монах",VLOOKUP('Лист персонажа 1'!M8,Монах!G6:K25,5,0),IF('Лист персонажа 1'!L8="Паладин",VLOOKUP('Лист персонажа 1'!M8,Паладин!G6:K25,5,0),IF('Лист персонажа 1'!L8="Рейнджер",VLOOKUP('Лист персонажа 1'!M8,Рейнджер!G6:K25,5,0),IF('Лист персонажа 1'!L8="Чародей",VLOOKUP('Лист персонажа 1'!M8,Чародей!G6:K25,5,0),0))))))))))),0)</f>
        <v>0</v>
      </c>
      <c r="G51" s="241"/>
      <c r="H51" s="241"/>
      <c r="I51" s="241"/>
      <c r="J51" s="241"/>
      <c r="K51" s="241"/>
      <c r="L51" s="241"/>
      <c r="M51" s="241"/>
      <c r="N51" s="241"/>
      <c r="O51" s="241"/>
      <c r="P51" s="241"/>
      <c r="Q51" s="241"/>
      <c r="R51" s="241"/>
      <c r="S51" s="241"/>
      <c r="T51" s="241"/>
      <c r="U51" s="241"/>
      <c r="V51" s="241"/>
      <c r="W51" s="241"/>
      <c r="X51" s="54"/>
      <c r="Y51" s="164"/>
      <c r="Z51" s="164"/>
      <c r="AA51" s="164"/>
      <c r="AB51" s="164"/>
      <c r="AC51" s="164"/>
    </row>
    <row r="52" spans="1:29" ht="27.75" customHeight="1" thickTop="1" thickBot="1">
      <c r="A52" s="54"/>
      <c r="B52" s="286"/>
      <c r="C52" s="363">
        <v>3</v>
      </c>
      <c r="D52" s="253">
        <f>IF('Лист персонажа 1'!M9&lt;&gt;0,IF('Лист персонажа 1'!L9="Воин",VLOOKUP('Лист персонажа 1'!M9,Воин!G6:K25,3,0),IF('Лист персонажа 1'!L9="Варвар",VLOOKUP('Лист персонажа 1'!M9,Варвар!G6:K25,3,0),IF('Лист персонажа 1'!L9="Вор",VLOOKUP('Лист персонажа 1'!M9,Вор!G6:K25,3,0),IF('Лист персонажа 1'!L9="Бард",VLOOKUP('Лист персонажа 1'!M9,Бард!G3:K22,3,0),IF('Лист персонажа 1'!L9="Друид",VLOOKUP('Лист персонажа 1'!M9,Друид!G6:K25,3,0),IF('Лист персонажа 1'!L9="Жрец",VLOOKUP('Лист персонажа 1'!M9,Жрец!G6:K25,3,0),IF('Лист персонажа 1'!L9="Маг",VLOOKUP('Лист персонажа 1'!M9,Маг!G6:K25,3,0),IF('Лист персонажа 1'!L9="Монах",VLOOKUP('Лист персонажа 1'!M9,Монах!G6:K25,3,0),IF('Лист персонажа 1'!L9="Паладин",VLOOKUP('Лист персонажа 1'!M9,Паладин!G6:K25,3,0),IF('Лист персонажа 1'!L9="Рейнджер",VLOOKUP('Лист персонажа 1'!M9,Рейнджер!G6:K25,3,0),IF('Лист персонажа 1'!L9="Чародей",VLOOKUP('Лист персонажа 1'!M9,Чародей!G6:K25,3,0),0))))))))))),0)</f>
        <v>0</v>
      </c>
      <c r="E52" s="253">
        <f>IF('Лист персонажа 1'!M9&lt;&gt;0,IF('Лист персонажа 1'!L9="Воин",VLOOKUP('Лист персонажа 1'!M9,Воин!G6:K25,4,0),IF('Лист персонажа 1'!L9="Варвар",VLOOKUP('Лист персонажа 1'!M9,Варвар!G6:K25,4,0),IF('Лист персонажа 1'!L9="Вор",VLOOKUP('Лист персонажа 1'!M9,Вор!G6:K25,4,0),IF('Лист персонажа 1'!L9="Бард",VLOOKUP('Лист персонажа 1'!M9,Бард!G3:K22,4,0),IF('Лист персонажа 1'!L9="Друид",VLOOKUP('Лист персонажа 1'!M9,Друид!G6:K25,4,0),IF('Лист персонажа 1'!L9="Жрец",VLOOKUP('Лист персонажа 1'!M9,Жрец!G6:K25,4,0),IF('Лист персонажа 1'!L9="Маг",VLOOKUP('Лист персонажа 1'!M9,Маг!G6:K25,4,0),IF('Лист персонажа 1'!L9="Монах",VLOOKUP('Лист персонажа 1'!M9,Монах!G6:K25,4,0),IF('Лист персонажа 1'!L9="Паладин",VLOOKUP('Лист персонажа 1'!M9,Паладин!G6:K25,4,0),IF('Лист персонажа 1'!L9="Рейнджер",VLOOKUP('Лист персонажа 1'!M9,Рейнджер!G6:K25,4,0),IF('Лист персонажа 1'!L9="Чародей",VLOOKUP('Лист персонажа 1'!M9,Чародей!G6:K25,4,0),0))))))))))),0)</f>
        <v>0</v>
      </c>
      <c r="F52" s="254">
        <f>IF('Лист персонажа 1'!M9&lt;&gt;0,IF('Лист персонажа 1'!L9="Воин",VLOOKUP('Лист персонажа 1'!M9,Воин!G6:K25,5,0),IF('Лист персонажа 1'!L9="Варвар",VLOOKUP('Лист персонажа 1'!M9,Варвар!G6:K25,5,0),IF('Лист персонажа 1'!L9="Вор",VLOOKUP('Лист персонажа 1'!M9,Вор!G6:K25,5,0),IF('Лист персонажа 1'!L9="Бард",VLOOKUP('Лист персонажа 1'!M9,Бард!G3:K22,5,0),IF('Лист персонажа 1'!L9="Друид",VLOOKUP('Лист персонажа 1'!M9,Друид!G6:K25,5,0),IF('Лист персонажа 1'!L9="Жрец",VLOOKUP('Лист персонажа 1'!M9,Жрец!G6:K25,5,0),IF('Лист персонажа 1'!L9="Маг",VLOOKUP('Лист персонажа 1'!M9,Маг!G6:K25,5,0),IF('Лист персонажа 1'!L9="Монах",VLOOKUP('Лист персонажа 1'!M9,Монах!G6:K25,5,0),IF('Лист персонажа 1'!L9="Паладин",VLOOKUP('Лист персонажа 1'!M9,Паладин!G6:K25,5,0),IF('Лист персонажа 1'!L9="Рейнджер",VLOOKUP('Лист персонажа 1'!M9,Рейнджер!G6:K25,5,0),IF('Лист персонажа 1'!L9="Чародей",VLOOKUP('Лист персонажа 1'!M9,Чародей!G6:K25,5,0),0))))))))))),0)</f>
        <v>0</v>
      </c>
      <c r="G52" s="241"/>
      <c r="H52" s="241"/>
      <c r="I52" s="241"/>
      <c r="J52" s="241"/>
      <c r="K52" s="241"/>
      <c r="L52" s="241"/>
      <c r="M52" s="241"/>
      <c r="N52" s="241"/>
      <c r="O52" s="241"/>
      <c r="P52" s="241"/>
      <c r="Q52" s="241"/>
      <c r="R52" s="241"/>
      <c r="S52" s="241"/>
      <c r="T52" s="241"/>
      <c r="U52" s="241"/>
      <c r="V52" s="241"/>
      <c r="W52" s="241"/>
      <c r="X52" s="54"/>
      <c r="Y52" s="164"/>
      <c r="Z52" s="164"/>
      <c r="AA52" s="164"/>
      <c r="AB52" s="164"/>
      <c r="AC52" s="164"/>
    </row>
    <row r="53" spans="1:29" ht="27.75" customHeight="1" thickTop="1" thickBot="1">
      <c r="A53" s="54"/>
      <c r="B53" s="286"/>
      <c r="C53" s="363">
        <v>4</v>
      </c>
      <c r="D53" s="253">
        <f>IF('Лист персонажа 1'!M10&lt;&gt;0,IF('Лист персонажа 1'!L10="Воин",VLOOKUP('Лист персонажа 1'!M10,Воин!G6:K25,3,0),IF('Лист персонажа 1'!L10="Варвар",VLOOKUP('Лист персонажа 1'!M10,Варвар!G6:K25,3,0),IF('Лист персонажа 1'!L10="Вор",VLOOKUP('Лист персонажа 1'!M10,Вор!G6:K25,3,0),IF('Лист персонажа 1'!L10="Бард",VLOOKUP('Лист персонажа 1'!M10,Бард!G3:K22,3,0),IF('Лист персонажа 1'!L10="Друид",VLOOKUP('Лист персонажа 1'!M10,Друид!G6:K25,3,0),IF('Лист персонажа 1'!L10="Жрец",VLOOKUP('Лист персонажа 1'!M10,Жрец!G6:K25,3,0),IF('Лист персонажа 1'!L10="Маг",VLOOKUP('Лист персонажа 1'!M10,Маг!G6:K25,3,0),IF('Лист персонажа 1'!L10="Монах",VLOOKUP('Лист персонажа 1'!M10,Монах!G6:K25,3,0),IF('Лист персонажа 1'!L10="Паладин",VLOOKUP('Лист персонажа 1'!M10,Паладин!G6:K25,3,0),IF('Лист персонажа 1'!L10="Рейнджер",VLOOKUP('Лист персонажа 1'!M10,Рейнджер!G6:K25,3,0),IF('Лист персонажа 1'!L10="Чародей",VLOOKUP('Лист персонажа 1'!M10,Чародей!G6:K25,3,0),0))))))))))),0)</f>
        <v>0</v>
      </c>
      <c r="E53" s="253">
        <f>IF('Лист персонажа 1'!M10&lt;&gt;0,IF('Лист персонажа 1'!L10="Воин",VLOOKUP('Лист персонажа 1'!M10,Воин!G6:K25,4,0),IF('Лист персонажа 1'!L10="Варвар",VLOOKUP('Лист персонажа 1'!M10,Варвар!G6:K25,4,0),IF('Лист персонажа 1'!L10="Вор",VLOOKUP('Лист персонажа 1'!M10,Вор!G6:K25,4,0),IF('Лист персонажа 1'!L10="Бард",VLOOKUP('Лист персонажа 1'!M10,Бард!G3:K22,4,0),IF('Лист персонажа 1'!L10="Друид",VLOOKUP('Лист персонажа 1'!M10,Друид!G6:K25,4,0),IF('Лист персонажа 1'!L10="Жрец",VLOOKUP('Лист персонажа 1'!M10,Жрец!G6:K25,4,0),IF('Лист персонажа 1'!L10="Маг",VLOOKUP('Лист персонажа 1'!M10,Маг!G6:K25,4,0),IF('Лист персонажа 1'!L10="Монах",VLOOKUP('Лист персонажа 1'!M10,Монах!G6:K25,4,0),IF('Лист персонажа 1'!L10="Паладин",VLOOKUP('Лист персонажа 1'!M10,Паладин!G6:K25,4,0),IF('Лист персонажа 1'!L10="Рейнджер",VLOOKUP('Лист персонажа 1'!M10,Рейнджер!G6:K25,4,0),IF('Лист персонажа 1'!L10="Чародей",VLOOKUP('Лист персонажа 1'!M10,Чародей!G6:K25,4,0),0))))))))))),0)</f>
        <v>0</v>
      </c>
      <c r="F53" s="254">
        <f>IF('Лист персонажа 1'!M10&lt;&gt;0,IF('Лист персонажа 1'!L10="Воин",VLOOKUP('Лист персонажа 1'!M10,Воин!G6:K25,5,0),IF('Лист персонажа 1'!L10="Варвар",VLOOKUP('Лист персонажа 1'!M10,Варвар!G6:K25,5,0),IF('Лист персонажа 1'!L10="Вор",VLOOKUP('Лист персонажа 1'!M10,Вор!G6:K25,5,0),IF('Лист персонажа 1'!L10="Бард",VLOOKUP('Лист персонажа 1'!M10,Бард!G3:K22,5,0),IF('Лист персонажа 1'!L10="Друид",VLOOKUP('Лист персонажа 1'!M10,Друид!G6:K25,5,0),IF('Лист персонажа 1'!L10="Жрец",VLOOKUP('Лист персонажа 1'!M10,Жрец!G6:K25,5,0),IF('Лист персонажа 1'!L10="Маг",VLOOKUP('Лист персонажа 1'!M10,Маг!G6:K25,5,0),IF('Лист персонажа 1'!L10="Монах",VLOOKUP('Лист персонажа 1'!M10,Монах!G6:K25,5,0),IF('Лист персонажа 1'!L10="Паладин",VLOOKUP('Лист персонажа 1'!M10,Паладин!G6:K25,5,0),IF('Лист персонажа 1'!L10="Рейнджер",VLOOKUP('Лист персонажа 1'!M10,Рейнджер!G6:K25,5,0),IF('Лист персонажа 1'!L10="Чародей",VLOOKUP('Лист персонажа 1'!M10,Чародей!G6:K25,5,0),0))))))))))),0)</f>
        <v>0</v>
      </c>
      <c r="G53" s="241"/>
      <c r="H53" s="241"/>
      <c r="I53" s="241"/>
      <c r="J53" s="241"/>
      <c r="K53" s="241"/>
      <c r="L53" s="241"/>
      <c r="M53" s="241"/>
      <c r="N53" s="241"/>
      <c r="O53" s="241"/>
      <c r="P53" s="241"/>
      <c r="Q53" s="241"/>
      <c r="R53" s="241"/>
      <c r="S53" s="241"/>
      <c r="T53" s="241"/>
      <c r="U53" s="241"/>
      <c r="V53" s="241"/>
      <c r="W53" s="241"/>
      <c r="X53" s="54"/>
      <c r="Y53" s="164"/>
      <c r="Z53" s="164"/>
      <c r="AA53" s="164"/>
      <c r="AB53" s="164"/>
      <c r="AC53" s="164"/>
    </row>
    <row r="54" spans="1:29" ht="27.75" customHeight="1" thickTop="1" thickBot="1">
      <c r="A54" s="54"/>
      <c r="B54" s="286"/>
      <c r="C54" s="257">
        <v>5</v>
      </c>
      <c r="D54" s="255">
        <f>IF('Лист персонажа 1'!M11&lt;&gt;0,IF('Лист персонажа 1'!L11="Воин",VLOOKUP('Лист персонажа 1'!M11,Воин!G6:K25,3,0),IF('Лист персонажа 1'!L11="Варвар",VLOOKUP('Лист персонажа 1'!M11,Варвар!G6:K25,3,0),IF('Лист персонажа 1'!L11="Вор",VLOOKUP('Лист персонажа 1'!M11,Вор!G6:K25,3,0),IF('Лист персонажа 1'!L11="Бард",VLOOKUP('Лист персонажа 1'!M11,Бард!G3:K22,3,0),IF('Лист персонажа 1'!L11="Друид",VLOOKUP('Лист персонажа 1'!M11,Друид!G6:K25,3,0),IF('Лист персонажа 1'!L11="Жрец",VLOOKUP('Лист персонажа 1'!M11,Жрец!G6:K25,3,0),IF('Лист персонажа 1'!L11="Маг",VLOOKUP('Лист персонажа 1'!M11,Маг!G6:K25,3,0),IF('Лист персонажа 1'!L11="Монах",VLOOKUP('Лист персонажа 1'!M11,Монах!G6:K25,3,0),IF('Лист персонажа 1'!L11="Паладин",VLOOKUP('Лист персонажа 1'!M11,Паладин!G6:K25,3,0),IF('Лист персонажа 1'!L11="Рейнджер",VLOOKUP('Лист персонажа 1'!M11,Рейнджер!G6:K25,3,0),IF('Лист персонажа 1'!L11="Чародей",VLOOKUP('Лист персонажа 1'!M11,Чародей!G6:K25,3,0),0))))))))))),0)</f>
        <v>0</v>
      </c>
      <c r="E54" s="255">
        <f>IF('Лист персонажа 1'!M11&lt;&gt;0,IF('Лист персонажа 1'!L11="Воин",VLOOKUP('Лист персонажа 1'!M11,Воин!G6:K25,4,0),IF('Лист персонажа 1'!L11="Варвар",VLOOKUP('Лист персонажа 1'!M11,Варвар!G6:K25,4,0),IF('Лист персонажа 1'!L11="Вор",VLOOKUP('Лист персонажа 1'!M11,Вор!G6:K25,4,0),IF('Лист персонажа 1'!L11="Бард",VLOOKUP('Лист персонажа 1'!M11,Бард!G3:K22,4,0),IF('Лист персонажа 1'!L11="Друид",VLOOKUP('Лист персонажа 1'!M11,Друид!G6:K25,4,0),IF('Лист персонажа 1'!L11="Жрец",VLOOKUP('Лист персонажа 1'!M11,Жрец!G6:K25,4,0),IF('Лист персонажа 1'!L11="Маг",VLOOKUP('Лист персонажа 1'!M11,Маг!G6:K25,4,0),IF('Лист персонажа 1'!L11="Монах",VLOOKUP('Лист персонажа 1'!M11,Монах!G6:K25,4,0),IF('Лист персонажа 1'!L11="Паладин",VLOOKUP('Лист персонажа 1'!M11,Паладин!G6:K25,4,0),IF('Лист персонажа 1'!L11="Рейнджер",VLOOKUP('Лист персонажа 1'!M11,Рейнджер!G6:K25,4,0),IF('Лист персонажа 1'!L11="Чародей",VLOOKUP('Лист персонажа 1'!M11,Чародей!G6:K25,4,0),0))))))))))),0)</f>
        <v>0</v>
      </c>
      <c r="F54" s="256">
        <f>IF('Лист персонажа 1'!M11&lt;&gt;0,IF('Лист персонажа 1'!L11="Воин",VLOOKUP('Лист персонажа 1'!M11,Воин!G6:K25,5,0),IF('Лист персонажа 1'!L11="Варвар",VLOOKUP('Лист персонажа 1'!M11,Варвар!G6:K25,5,0),IF('Лист персонажа 1'!L11="Вор",VLOOKUP('Лист персонажа 1'!M11,Вор!G6:K25,5,0),IF('Лист персонажа 1'!L11="Бард",VLOOKUP('Лист персонажа 1'!M11,Бард!G3:K22,5,0),IF('Лист персонажа 1'!L11="Друид",VLOOKUP('Лист персонажа 1'!M11,Друид!G6:K25,5,0),IF('Лист персонажа 1'!L11="Жрец",VLOOKUP('Лист персонажа 1'!M11,Жрец!G6:K25,5,0),IF('Лист персонажа 1'!L11="Маг",VLOOKUP('Лист персонажа 1'!M11,Маг!G6:K25,5,0),IF('Лист персонажа 1'!L11="Монах",VLOOKUP('Лист персонажа 1'!M11,Монах!G6:K25,5,0),IF('Лист персонажа 1'!L11="Паладин",VLOOKUP('Лист персонажа 1'!M11,Паладин!G6:K25,5,0),IF('Лист персонажа 1'!L11="Рейнджер",VLOOKUP('Лист персонажа 1'!M11,Рейнджер!G6:K25,5,0),IF('Лист персонажа 1'!L11="Чародей",VLOOKUP('Лист персонажа 1'!M11,Чародей!G6:K25,5,0),0))))))))))),0)</f>
        <v>0</v>
      </c>
      <c r="G54" s="241"/>
      <c r="H54" s="241"/>
      <c r="I54" s="241"/>
      <c r="J54" s="241"/>
      <c r="K54" s="241"/>
      <c r="L54" s="241"/>
      <c r="M54" s="241"/>
      <c r="N54" s="241"/>
      <c r="O54" s="241"/>
      <c r="P54" s="241"/>
      <c r="Q54" s="241"/>
      <c r="R54" s="241"/>
      <c r="S54" s="241"/>
      <c r="T54" s="241"/>
      <c r="U54" s="241"/>
      <c r="V54" s="241"/>
      <c r="W54" s="241"/>
      <c r="X54" s="54"/>
      <c r="Y54" s="164"/>
      <c r="Z54" s="164"/>
      <c r="AA54" s="164"/>
      <c r="AB54" s="164"/>
      <c r="AC54" s="164"/>
    </row>
    <row r="55" spans="1:29" ht="27.75" customHeight="1" thickTop="1">
      <c r="A55" s="387"/>
      <c r="B55" s="241"/>
      <c r="C55" s="241"/>
      <c r="D55" s="241"/>
      <c r="E55" s="241"/>
      <c r="F55" s="241"/>
      <c r="G55" s="241"/>
      <c r="H55" s="241"/>
      <c r="I55" s="241"/>
      <c r="J55" s="241"/>
      <c r="K55" s="241"/>
      <c r="L55" s="241"/>
      <c r="M55" s="241"/>
      <c r="N55" s="241"/>
      <c r="O55" s="241"/>
      <c r="P55" s="241"/>
      <c r="Q55" s="241"/>
      <c r="R55" s="241"/>
      <c r="S55" s="241"/>
      <c r="T55" s="241"/>
      <c r="U55" s="241"/>
      <c r="V55" s="241"/>
      <c r="W55" s="241"/>
      <c r="X55" s="54"/>
      <c r="Y55" s="164"/>
      <c r="Z55" s="164"/>
      <c r="AA55" s="164"/>
      <c r="AB55" s="164"/>
      <c r="AC55" s="164"/>
    </row>
    <row r="56" spans="1:29" ht="25.5" customHeight="1" thickBot="1">
      <c r="A56" s="52"/>
      <c r="B56" s="52"/>
      <c r="C56" s="52"/>
      <c r="D56" s="52"/>
      <c r="E56" s="52"/>
      <c r="F56" s="52"/>
      <c r="G56" s="52"/>
      <c r="H56" s="52"/>
      <c r="I56" s="52"/>
      <c r="J56" s="52"/>
      <c r="K56" s="52"/>
      <c r="L56" s="52"/>
      <c r="M56" s="52"/>
      <c r="N56" s="52"/>
      <c r="O56" s="52"/>
      <c r="P56" s="52"/>
      <c r="Q56" s="52"/>
      <c r="R56" s="52"/>
      <c r="S56" s="52"/>
      <c r="T56" s="52"/>
      <c r="U56" s="52"/>
      <c r="V56" s="52"/>
      <c r="W56" s="52"/>
      <c r="X56" s="52"/>
      <c r="Y56" s="164"/>
      <c r="Z56" s="164"/>
      <c r="AA56" s="164"/>
      <c r="AB56" s="164"/>
      <c r="AC56" s="164"/>
    </row>
    <row r="57" spans="1:29" ht="27.75" customHeight="1" thickTop="1">
      <c r="Q57" s="164"/>
      <c r="R57" s="164"/>
      <c r="S57" s="164"/>
      <c r="T57" s="164"/>
      <c r="U57" s="164"/>
      <c r="V57" s="164"/>
      <c r="W57" s="164"/>
      <c r="X57" s="164"/>
      <c r="Y57" s="164"/>
      <c r="Z57" s="164"/>
      <c r="AA57" s="164"/>
      <c r="AB57" s="164"/>
      <c r="AC57" s="164"/>
    </row>
    <row r="58" spans="1:29" ht="30.75" customHeight="1">
      <c r="Q58" s="164"/>
      <c r="R58" s="164"/>
      <c r="S58" s="164"/>
      <c r="T58" s="164"/>
      <c r="U58" s="164"/>
      <c r="V58" s="164"/>
      <c r="W58" s="164"/>
      <c r="X58" s="164"/>
      <c r="Y58" s="164"/>
      <c r="Z58" s="164"/>
      <c r="AA58" s="164"/>
      <c r="AB58" s="164"/>
      <c r="AC58" s="164"/>
    </row>
    <row r="59" spans="1:29" ht="27.75" customHeight="1">
      <c r="Q59" s="164"/>
      <c r="R59" s="164"/>
      <c r="S59" s="164"/>
      <c r="T59" s="164"/>
      <c r="U59" s="164"/>
      <c r="V59" s="164"/>
      <c r="W59" s="164"/>
      <c r="X59" s="164"/>
      <c r="Y59" s="164"/>
      <c r="Z59" s="164"/>
      <c r="AA59" s="164"/>
      <c r="AB59" s="164"/>
      <c r="AC59" s="164"/>
    </row>
    <row r="60" spans="1:29" ht="27.75" customHeight="1">
      <c r="Q60" s="164"/>
      <c r="R60" s="164"/>
      <c r="S60" s="164"/>
      <c r="T60" s="164"/>
      <c r="U60" s="164"/>
      <c r="V60" s="164"/>
      <c r="W60" s="164"/>
      <c r="X60" s="164"/>
      <c r="Y60" s="164"/>
      <c r="Z60" s="164"/>
      <c r="AA60" s="164"/>
      <c r="AB60" s="164"/>
      <c r="AC60" s="164"/>
    </row>
    <row r="61" spans="1:29" ht="27.75" customHeight="1">
      <c r="Q61" s="164"/>
      <c r="R61" s="164"/>
      <c r="S61" s="164"/>
      <c r="T61" s="164"/>
      <c r="U61" s="164"/>
      <c r="V61" s="164"/>
      <c r="W61" s="164"/>
      <c r="X61" s="164"/>
      <c r="Y61" s="164"/>
      <c r="Z61" s="164"/>
      <c r="AA61" s="164"/>
      <c r="AB61" s="164"/>
      <c r="AC61" s="164"/>
    </row>
    <row r="62" spans="1:29" ht="33" customHeight="1">
      <c r="Q62" s="164"/>
      <c r="R62" s="164"/>
      <c r="S62" s="164"/>
      <c r="T62" s="164"/>
      <c r="U62" s="164"/>
      <c r="V62" s="164"/>
      <c r="W62" s="164"/>
      <c r="X62" s="164"/>
      <c r="Y62" s="164"/>
      <c r="Z62" s="164"/>
      <c r="AA62" s="164"/>
      <c r="AB62" s="164"/>
      <c r="AC62" s="164"/>
    </row>
    <row r="63" spans="1:29" ht="40.5" customHeight="1">
      <c r="Q63" s="164"/>
      <c r="R63" s="164"/>
      <c r="S63" s="164"/>
      <c r="T63" s="164"/>
      <c r="U63" s="164"/>
      <c r="V63" s="164"/>
      <c r="W63" s="164"/>
      <c r="X63" s="164"/>
      <c r="Y63" s="164"/>
      <c r="Z63" s="164"/>
      <c r="AA63" s="164"/>
      <c r="AB63" s="164"/>
      <c r="AC63" s="164"/>
    </row>
    <row r="64" spans="1:29" ht="137.25" customHeight="1">
      <c r="Q64" s="164"/>
      <c r="R64" s="164"/>
      <c r="S64" s="164"/>
      <c r="T64" s="164"/>
      <c r="U64" s="164"/>
      <c r="V64" s="164"/>
      <c r="W64" s="164"/>
      <c r="X64" s="164"/>
      <c r="Y64" s="164"/>
      <c r="Z64" s="164"/>
      <c r="AA64" s="164"/>
      <c r="AB64" s="164"/>
      <c r="AC64" s="164"/>
    </row>
    <row r="65" spans="17:29" ht="27.75" customHeight="1">
      <c r="Q65" s="164"/>
      <c r="R65" s="164"/>
      <c r="S65" s="164"/>
      <c r="T65" s="164"/>
      <c r="U65" s="164"/>
      <c r="V65" s="164"/>
      <c r="W65" s="164"/>
      <c r="X65" s="164"/>
      <c r="Y65" s="164"/>
      <c r="Z65" s="164"/>
      <c r="AA65" s="164"/>
      <c r="AB65" s="164"/>
      <c r="AC65" s="164"/>
    </row>
    <row r="66" spans="17:29" ht="27.75" customHeight="1">
      <c r="Q66" s="164"/>
      <c r="R66" s="164"/>
      <c r="S66" s="164"/>
      <c r="T66" s="164"/>
      <c r="U66" s="164"/>
      <c r="V66" s="164"/>
      <c r="W66" s="164"/>
      <c r="X66" s="164"/>
      <c r="Y66" s="164"/>
      <c r="Z66" s="164"/>
      <c r="AA66" s="164"/>
      <c r="AB66" s="164"/>
      <c r="AC66" s="164"/>
    </row>
    <row r="67" spans="17:29" ht="27.75" customHeight="1">
      <c r="Q67" s="164"/>
      <c r="R67" s="164"/>
      <c r="S67" s="164"/>
      <c r="T67" s="164"/>
      <c r="U67" s="164"/>
      <c r="V67" s="164"/>
      <c r="W67" s="164"/>
      <c r="X67" s="164"/>
      <c r="Y67" s="164"/>
      <c r="Z67" s="164"/>
      <c r="AA67" s="164"/>
      <c r="AB67" s="164"/>
      <c r="AC67" s="164"/>
    </row>
    <row r="68" spans="17:29" ht="38.25" customHeight="1">
      <c r="Q68" s="164"/>
      <c r="R68" s="164"/>
      <c r="S68" s="164"/>
      <c r="T68" s="164"/>
      <c r="U68" s="164"/>
      <c r="V68" s="164"/>
      <c r="W68" s="164"/>
      <c r="X68" s="164"/>
      <c r="Y68" s="164"/>
      <c r="Z68" s="164"/>
      <c r="AA68" s="164"/>
      <c r="AB68" s="164"/>
      <c r="AC68" s="164"/>
    </row>
    <row r="69" spans="17:29" ht="27.75" customHeight="1">
      <c r="Q69" s="164"/>
      <c r="R69" s="164"/>
      <c r="S69" s="164"/>
      <c r="T69" s="164"/>
      <c r="U69" s="164"/>
      <c r="V69" s="164"/>
      <c r="W69" s="164"/>
      <c r="X69" s="164"/>
      <c r="Y69" s="164"/>
      <c r="Z69" s="164"/>
      <c r="AA69" s="164"/>
      <c r="AB69" s="164"/>
      <c r="AC69" s="164"/>
    </row>
    <row r="70" spans="17:29" ht="27.75" customHeight="1">
      <c r="Q70" s="164"/>
      <c r="R70" s="164"/>
      <c r="S70" s="164"/>
      <c r="T70" s="164"/>
      <c r="U70" s="164"/>
      <c r="V70" s="164"/>
      <c r="W70" s="164"/>
      <c r="X70" s="164"/>
      <c r="Y70" s="164"/>
      <c r="Z70" s="164"/>
      <c r="AA70" s="164"/>
      <c r="AB70" s="164"/>
      <c r="AC70" s="164"/>
    </row>
    <row r="71" spans="17:29" ht="34.5" customHeight="1">
      <c r="Q71" s="164"/>
      <c r="R71" s="164"/>
      <c r="S71" s="164"/>
      <c r="T71" s="164"/>
      <c r="U71" s="164"/>
      <c r="V71" s="164"/>
      <c r="W71" s="164"/>
      <c r="X71" s="164"/>
      <c r="Y71" s="164"/>
      <c r="Z71" s="164"/>
      <c r="AA71" s="164"/>
      <c r="AB71" s="164"/>
      <c r="AC71" s="164"/>
    </row>
    <row r="72" spans="17:29" ht="27.75" customHeight="1">
      <c r="Q72" s="164"/>
      <c r="R72" s="164"/>
      <c r="S72" s="164"/>
      <c r="T72" s="164"/>
      <c r="U72" s="164"/>
      <c r="V72" s="164"/>
      <c r="W72" s="164"/>
      <c r="X72" s="164"/>
      <c r="Y72" s="164"/>
      <c r="Z72" s="164"/>
      <c r="AA72" s="164"/>
      <c r="AB72" s="164"/>
      <c r="AC72" s="164"/>
    </row>
    <row r="73" spans="17:29" ht="27.75" customHeight="1">
      <c r="Q73" s="164"/>
      <c r="R73" s="164"/>
      <c r="S73" s="164"/>
      <c r="T73" s="164"/>
      <c r="U73" s="164"/>
      <c r="V73" s="164"/>
      <c r="W73" s="164"/>
      <c r="X73" s="164"/>
      <c r="Y73" s="164"/>
      <c r="Z73" s="164"/>
      <c r="AA73" s="164"/>
      <c r="AB73" s="164"/>
      <c r="AC73" s="164"/>
    </row>
    <row r="74" spans="17:29" ht="27.75" customHeight="1">
      <c r="Q74" s="164"/>
      <c r="R74" s="164"/>
      <c r="S74" s="164"/>
      <c r="T74" s="164"/>
      <c r="U74" s="164"/>
      <c r="V74" s="164"/>
      <c r="W74" s="164"/>
      <c r="X74" s="164"/>
      <c r="Y74" s="164"/>
      <c r="Z74" s="164"/>
      <c r="AA74" s="164"/>
      <c r="AB74" s="164"/>
      <c r="AC74" s="164"/>
    </row>
    <row r="75" spans="17:29" ht="27.75" customHeight="1">
      <c r="Q75" s="164"/>
      <c r="R75" s="164"/>
      <c r="S75" s="164"/>
      <c r="T75" s="164"/>
      <c r="U75" s="164"/>
      <c r="V75" s="164"/>
      <c r="W75" s="164"/>
      <c r="X75" s="164"/>
      <c r="Y75" s="164"/>
      <c r="Z75" s="164"/>
      <c r="AA75" s="164"/>
      <c r="AB75" s="164"/>
      <c r="AC75" s="164"/>
    </row>
    <row r="76" spans="17:29" ht="27.75" customHeight="1">
      <c r="Q76" s="164"/>
      <c r="R76" s="164"/>
      <c r="S76" s="164"/>
      <c r="T76" s="164"/>
      <c r="U76" s="164"/>
      <c r="V76" s="164"/>
      <c r="W76" s="164"/>
      <c r="X76" s="164"/>
      <c r="Y76" s="164"/>
      <c r="Z76" s="164"/>
      <c r="AA76" s="164"/>
      <c r="AB76" s="164"/>
      <c r="AC76" s="164"/>
    </row>
    <row r="77" spans="17:29" ht="27.75" customHeight="1">
      <c r="Q77" s="164"/>
      <c r="R77" s="164"/>
      <c r="S77" s="164"/>
      <c r="T77" s="164"/>
      <c r="U77" s="164"/>
      <c r="V77" s="164"/>
      <c r="W77" s="164"/>
      <c r="X77" s="164"/>
      <c r="Y77" s="164"/>
      <c r="Z77" s="164"/>
      <c r="AA77" s="164"/>
      <c r="AB77" s="164"/>
      <c r="AC77" s="164"/>
    </row>
    <row r="78" spans="17:29" ht="27.75" customHeight="1">
      <c r="Q78" s="164"/>
      <c r="R78" s="164"/>
      <c r="S78" s="164"/>
      <c r="T78" s="164"/>
      <c r="U78" s="164"/>
      <c r="V78" s="164"/>
      <c r="W78" s="164"/>
      <c r="X78" s="164"/>
      <c r="Y78" s="164"/>
      <c r="Z78" s="164"/>
      <c r="AA78" s="164"/>
      <c r="AB78" s="164"/>
      <c r="AC78" s="164"/>
    </row>
    <row r="79" spans="17:29" ht="27.75" customHeight="1">
      <c r="Q79" s="164"/>
      <c r="R79" s="164"/>
      <c r="S79" s="164"/>
      <c r="T79" s="164"/>
      <c r="U79" s="164"/>
      <c r="V79" s="164"/>
      <c r="W79" s="164"/>
      <c r="X79" s="164"/>
      <c r="Y79" s="164"/>
      <c r="Z79" s="164"/>
      <c r="AA79" s="164"/>
      <c r="AB79" s="164"/>
      <c r="AC79" s="164"/>
    </row>
    <row r="80" spans="17:29" ht="27.75" customHeight="1">
      <c r="Q80" s="164"/>
      <c r="R80" s="164"/>
      <c r="S80" s="164"/>
      <c r="T80" s="164"/>
      <c r="U80" s="164"/>
      <c r="V80" s="164"/>
      <c r="W80" s="164"/>
      <c r="X80" s="164"/>
      <c r="Y80" s="164"/>
      <c r="Z80" s="164"/>
      <c r="AA80" s="164"/>
      <c r="AB80" s="164"/>
      <c r="AC80" s="164"/>
    </row>
    <row r="81" spans="17:29" ht="27.75" customHeight="1">
      <c r="Q81" s="164"/>
      <c r="R81" s="164"/>
      <c r="S81" s="164"/>
      <c r="T81" s="164"/>
      <c r="U81" s="164"/>
      <c r="V81" s="164"/>
      <c r="W81" s="164"/>
      <c r="X81" s="164"/>
      <c r="Y81" s="164"/>
      <c r="Z81" s="164"/>
      <c r="AA81" s="164"/>
      <c r="AB81" s="164"/>
      <c r="AC81" s="164"/>
    </row>
    <row r="82" spans="17:29" ht="27.75" customHeight="1">
      <c r="Q82" s="164"/>
      <c r="R82" s="164"/>
      <c r="S82" s="164"/>
      <c r="T82" s="164"/>
      <c r="U82" s="164"/>
      <c r="V82" s="164"/>
      <c r="W82" s="164"/>
      <c r="X82" s="164"/>
      <c r="Y82" s="164"/>
      <c r="Z82" s="164"/>
      <c r="AA82" s="164"/>
      <c r="AB82" s="164"/>
      <c r="AC82" s="164"/>
    </row>
    <row r="83" spans="17:29" ht="27.75" customHeight="1">
      <c r="Q83" s="164"/>
      <c r="R83" s="164"/>
      <c r="S83" s="164"/>
      <c r="T83" s="164"/>
      <c r="U83" s="164"/>
      <c r="V83" s="164"/>
      <c r="W83" s="164"/>
      <c r="X83" s="164"/>
      <c r="Y83" s="164"/>
      <c r="Z83" s="164"/>
      <c r="AA83" s="164"/>
      <c r="AB83" s="164"/>
      <c r="AC83" s="164"/>
    </row>
    <row r="84" spans="17:29" ht="27.75" customHeight="1">
      <c r="Q84" s="164"/>
      <c r="R84" s="164"/>
      <c r="S84" s="164"/>
      <c r="T84" s="164"/>
      <c r="U84" s="164"/>
      <c r="V84" s="164"/>
      <c r="W84" s="164"/>
      <c r="X84" s="164"/>
      <c r="Y84" s="164"/>
      <c r="Z84" s="164"/>
      <c r="AA84" s="164"/>
      <c r="AB84" s="164"/>
      <c r="AC84" s="164"/>
    </row>
    <row r="85" spans="17:29" ht="27.75" customHeight="1">
      <c r="Q85" s="164"/>
      <c r="R85" s="164"/>
      <c r="S85" s="164"/>
      <c r="T85" s="164"/>
      <c r="U85" s="164"/>
      <c r="V85" s="164"/>
      <c r="W85" s="164"/>
      <c r="X85" s="164"/>
      <c r="Y85" s="164"/>
      <c r="Z85" s="164"/>
      <c r="AA85" s="164"/>
      <c r="AB85" s="164"/>
      <c r="AC85" s="164"/>
    </row>
    <row r="86" spans="17:29" ht="27.75" customHeight="1">
      <c r="Q86" s="164"/>
      <c r="R86" s="164"/>
      <c r="S86" s="164"/>
      <c r="T86" s="164"/>
      <c r="U86" s="164"/>
      <c r="V86" s="164"/>
      <c r="W86" s="164"/>
      <c r="X86" s="164"/>
      <c r="Y86" s="164"/>
      <c r="Z86" s="164"/>
      <c r="AA86" s="164"/>
      <c r="AB86" s="164"/>
      <c r="AC86" s="164"/>
    </row>
    <row r="87" spans="17:29" ht="27.75" customHeight="1">
      <c r="Q87" s="164"/>
      <c r="R87" s="164"/>
      <c r="S87" s="164"/>
      <c r="T87" s="164"/>
      <c r="U87" s="164"/>
      <c r="V87" s="164"/>
      <c r="W87" s="164"/>
      <c r="X87" s="164"/>
      <c r="Y87" s="164"/>
      <c r="Z87" s="164"/>
      <c r="AA87" s="164"/>
      <c r="AB87" s="164"/>
      <c r="AC87" s="164"/>
    </row>
    <row r="88" spans="17:29" ht="27.75" customHeight="1">
      <c r="Q88" s="164"/>
      <c r="R88" s="164"/>
      <c r="S88" s="164"/>
      <c r="T88" s="164"/>
      <c r="U88" s="164"/>
      <c r="V88" s="164"/>
      <c r="W88" s="164"/>
      <c r="X88" s="164"/>
      <c r="Y88" s="164"/>
      <c r="Z88" s="164"/>
      <c r="AA88" s="164"/>
      <c r="AB88" s="164"/>
      <c r="AC88" s="164"/>
    </row>
    <row r="89" spans="17:29" ht="27.75" customHeight="1">
      <c r="Q89" s="164"/>
      <c r="R89" s="164"/>
      <c r="S89" s="164"/>
      <c r="T89" s="164"/>
      <c r="U89" s="164"/>
      <c r="V89" s="164"/>
      <c r="W89" s="164"/>
      <c r="X89" s="164"/>
      <c r="Y89" s="164"/>
      <c r="Z89" s="164"/>
      <c r="AA89" s="164"/>
      <c r="AB89" s="164"/>
      <c r="AC89" s="164"/>
    </row>
    <row r="90" spans="17:29" ht="27.75" customHeight="1">
      <c r="Q90" s="164"/>
      <c r="R90" s="164"/>
      <c r="S90" s="164"/>
      <c r="T90" s="164"/>
      <c r="U90" s="164"/>
      <c r="V90" s="164"/>
      <c r="W90" s="164"/>
      <c r="X90" s="164"/>
      <c r="Y90" s="164"/>
      <c r="Z90" s="164"/>
      <c r="AA90" s="164"/>
      <c r="AB90" s="164"/>
      <c r="AC90" s="164"/>
    </row>
    <row r="91" spans="17:29" ht="27.75" customHeight="1">
      <c r="Q91" s="164"/>
      <c r="R91" s="164"/>
      <c r="S91" s="164"/>
      <c r="T91" s="164"/>
      <c r="U91" s="164"/>
      <c r="V91" s="164"/>
      <c r="W91" s="164"/>
      <c r="X91" s="164"/>
      <c r="Y91" s="164"/>
      <c r="Z91" s="164"/>
      <c r="AA91" s="164"/>
      <c r="AB91" s="164"/>
      <c r="AC91" s="164"/>
    </row>
    <row r="92" spans="17:29" ht="27.75" customHeight="1">
      <c r="Q92" s="164"/>
      <c r="R92" s="164"/>
      <c r="S92" s="164"/>
      <c r="T92" s="164"/>
      <c r="U92" s="164"/>
      <c r="V92" s="164"/>
      <c r="W92" s="164"/>
      <c r="X92" s="164"/>
      <c r="Y92" s="164"/>
      <c r="Z92" s="164"/>
      <c r="AA92" s="164"/>
      <c r="AB92" s="164"/>
      <c r="AC92" s="164"/>
    </row>
    <row r="93" spans="17:29" ht="27.75" customHeight="1">
      <c r="Q93" s="164"/>
      <c r="R93" s="164"/>
      <c r="S93" s="164"/>
      <c r="T93" s="164"/>
      <c r="U93" s="164"/>
      <c r="V93" s="164"/>
      <c r="W93" s="164"/>
      <c r="X93" s="164"/>
      <c r="Y93" s="164"/>
      <c r="Z93" s="164"/>
      <c r="AA93" s="164"/>
      <c r="AB93" s="164"/>
      <c r="AC93" s="164"/>
    </row>
    <row r="94" spans="17:29" ht="27.75" customHeight="1">
      <c r="Q94" s="164"/>
      <c r="R94" s="164"/>
      <c r="S94" s="164"/>
      <c r="T94" s="164"/>
      <c r="U94" s="164"/>
      <c r="V94" s="164"/>
      <c r="W94" s="164"/>
      <c r="X94" s="164"/>
      <c r="Y94" s="164"/>
      <c r="Z94" s="164"/>
      <c r="AA94" s="164"/>
      <c r="AB94" s="164"/>
      <c r="AC94" s="164"/>
    </row>
    <row r="95" spans="17:29" ht="27.75" customHeight="1">
      <c r="Q95" s="164"/>
      <c r="R95" s="164"/>
      <c r="S95" s="164"/>
      <c r="T95" s="164"/>
      <c r="U95" s="164"/>
      <c r="V95" s="164"/>
      <c r="W95" s="164"/>
      <c r="X95" s="164"/>
      <c r="Y95" s="164"/>
      <c r="Z95" s="164"/>
      <c r="AA95" s="164"/>
      <c r="AB95" s="164"/>
      <c r="AC95" s="164"/>
    </row>
    <row r="96" spans="17:29" ht="27.75" customHeight="1">
      <c r="Q96" s="164"/>
      <c r="R96" s="164"/>
      <c r="S96" s="164"/>
      <c r="T96" s="164"/>
      <c r="U96" s="164"/>
      <c r="V96" s="164"/>
      <c r="W96" s="164"/>
      <c r="X96" s="164"/>
      <c r="Y96" s="164"/>
      <c r="Z96" s="164"/>
      <c r="AA96" s="164"/>
      <c r="AB96" s="164"/>
      <c r="AC96" s="164"/>
    </row>
    <row r="97" spans="17:29" ht="27.75" customHeight="1">
      <c r="Q97" s="164"/>
      <c r="R97" s="164"/>
      <c r="S97" s="164"/>
      <c r="T97" s="164"/>
      <c r="U97" s="164"/>
      <c r="V97" s="164"/>
      <c r="W97" s="164"/>
      <c r="X97" s="164"/>
      <c r="Y97" s="164"/>
      <c r="Z97" s="164"/>
      <c r="AA97" s="164"/>
      <c r="AB97" s="164"/>
      <c r="AC97" s="164"/>
    </row>
    <row r="98" spans="17:29" ht="27.75" customHeight="1">
      <c r="Q98" s="164"/>
      <c r="R98" s="164"/>
      <c r="S98" s="164"/>
      <c r="T98" s="164"/>
      <c r="U98" s="164"/>
      <c r="V98" s="164"/>
      <c r="W98" s="164"/>
      <c r="X98" s="164"/>
      <c r="Y98" s="164"/>
      <c r="Z98" s="164"/>
      <c r="AA98" s="164"/>
      <c r="AB98" s="164"/>
      <c r="AC98" s="164"/>
    </row>
    <row r="99" spans="17:29" ht="27.75" customHeight="1">
      <c r="Q99" s="164"/>
      <c r="R99" s="164"/>
      <c r="S99" s="164"/>
      <c r="T99" s="164"/>
      <c r="U99" s="164"/>
      <c r="V99" s="164"/>
      <c r="W99" s="164"/>
      <c r="X99" s="164"/>
      <c r="Y99" s="164"/>
      <c r="Z99" s="164"/>
      <c r="AA99" s="164"/>
      <c r="AB99" s="164"/>
      <c r="AC99" s="164"/>
    </row>
    <row r="100" spans="17:29" ht="27.75" customHeight="1">
      <c r="Q100" s="164"/>
      <c r="R100" s="164"/>
      <c r="S100" s="164"/>
      <c r="T100" s="164"/>
      <c r="U100" s="164"/>
      <c r="V100" s="164"/>
      <c r="W100" s="164"/>
      <c r="X100" s="164"/>
      <c r="Y100" s="164"/>
      <c r="Z100" s="164"/>
      <c r="AA100" s="164"/>
      <c r="AB100" s="164"/>
      <c r="AC100" s="164"/>
    </row>
    <row r="101" spans="17:29" ht="27.75" customHeight="1">
      <c r="Q101" s="164"/>
      <c r="R101" s="164"/>
      <c r="S101" s="164"/>
      <c r="T101" s="164"/>
      <c r="U101" s="164"/>
      <c r="V101" s="164"/>
      <c r="W101" s="164"/>
      <c r="X101" s="164"/>
      <c r="Y101" s="164"/>
      <c r="Z101" s="164"/>
      <c r="AA101" s="164"/>
      <c r="AB101" s="164"/>
      <c r="AC101" s="164"/>
    </row>
    <row r="102" spans="17:29" ht="27.75" customHeight="1">
      <c r="Q102" s="164"/>
      <c r="R102" s="164"/>
      <c r="S102" s="164"/>
      <c r="T102" s="164"/>
      <c r="U102" s="164"/>
      <c r="V102" s="164"/>
      <c r="W102" s="164"/>
      <c r="X102" s="164"/>
      <c r="Y102" s="164"/>
      <c r="Z102" s="164"/>
      <c r="AA102" s="164"/>
      <c r="AB102" s="164"/>
      <c r="AC102" s="164"/>
    </row>
    <row r="103" spans="17:29" ht="27.75" customHeight="1">
      <c r="Q103" s="164"/>
      <c r="R103" s="164"/>
      <c r="S103" s="164"/>
      <c r="T103" s="164"/>
      <c r="U103" s="164"/>
      <c r="V103" s="164"/>
      <c r="W103" s="164"/>
      <c r="X103" s="164"/>
      <c r="Y103" s="164"/>
      <c r="Z103" s="164"/>
      <c r="AA103" s="164"/>
      <c r="AB103" s="164"/>
      <c r="AC103" s="164"/>
    </row>
    <row r="104" spans="17:29" ht="27.75" customHeight="1">
      <c r="Q104" s="164"/>
      <c r="R104" s="164"/>
      <c r="S104" s="164"/>
      <c r="T104" s="164"/>
      <c r="U104" s="164"/>
      <c r="V104" s="164"/>
      <c r="W104" s="164"/>
      <c r="X104" s="164"/>
      <c r="Y104" s="164"/>
      <c r="Z104" s="164"/>
      <c r="AA104" s="164"/>
      <c r="AB104" s="164"/>
      <c r="AC104" s="164"/>
    </row>
    <row r="105" spans="17:29" ht="27.75" customHeight="1">
      <c r="Q105" s="164"/>
      <c r="R105" s="164"/>
      <c r="S105" s="164"/>
      <c r="T105" s="164"/>
      <c r="U105" s="164"/>
      <c r="V105" s="164"/>
      <c r="W105" s="164"/>
      <c r="X105" s="164"/>
      <c r="Y105" s="164"/>
      <c r="Z105" s="164"/>
      <c r="AA105" s="164"/>
      <c r="AB105" s="164"/>
      <c r="AC105" s="164"/>
    </row>
    <row r="106" spans="17:29" ht="27.75" customHeight="1">
      <c r="Q106" s="164"/>
      <c r="R106" s="164"/>
      <c r="S106" s="164"/>
      <c r="T106" s="164"/>
      <c r="U106" s="164"/>
      <c r="V106" s="164"/>
      <c r="W106" s="164"/>
      <c r="X106" s="164"/>
      <c r="Y106" s="164"/>
      <c r="Z106" s="164"/>
      <c r="AA106" s="164"/>
      <c r="AB106" s="164"/>
      <c r="AC106" s="164"/>
    </row>
    <row r="107" spans="17:29" ht="27.75" customHeight="1">
      <c r="Q107" s="164"/>
      <c r="R107" s="164"/>
      <c r="S107" s="164"/>
      <c r="T107" s="164"/>
      <c r="U107" s="164"/>
      <c r="V107" s="164"/>
      <c r="W107" s="164"/>
      <c r="X107" s="164"/>
      <c r="Y107" s="164"/>
      <c r="Z107" s="164"/>
      <c r="AA107" s="164"/>
      <c r="AB107" s="164"/>
      <c r="AC107" s="164"/>
    </row>
    <row r="108" spans="17:29" ht="27.75" customHeight="1">
      <c r="Q108" s="164"/>
      <c r="R108" s="164"/>
      <c r="S108" s="164"/>
      <c r="T108" s="164"/>
      <c r="U108" s="164"/>
      <c r="V108" s="164"/>
      <c r="W108" s="164"/>
      <c r="X108" s="164"/>
      <c r="Y108" s="164"/>
      <c r="Z108" s="164"/>
      <c r="AA108" s="164"/>
      <c r="AB108" s="164"/>
      <c r="AC108" s="164"/>
    </row>
    <row r="109" spans="17:29" ht="27.75" customHeight="1">
      <c r="Q109" s="164"/>
      <c r="R109" s="164"/>
      <c r="S109" s="164"/>
      <c r="T109" s="164"/>
      <c r="U109" s="164"/>
      <c r="V109" s="164"/>
      <c r="W109" s="164"/>
      <c r="X109" s="164"/>
      <c r="Y109" s="164"/>
      <c r="Z109" s="164"/>
      <c r="AA109" s="164"/>
      <c r="AB109" s="164"/>
      <c r="AC109" s="164"/>
    </row>
    <row r="110" spans="17:29" ht="27.75" customHeight="1">
      <c r="Q110" s="164"/>
      <c r="R110" s="164"/>
      <c r="S110" s="164"/>
      <c r="T110" s="164"/>
      <c r="U110" s="164"/>
      <c r="V110" s="164"/>
      <c r="W110" s="164"/>
      <c r="X110" s="164"/>
      <c r="Y110" s="164"/>
      <c r="Z110" s="164"/>
      <c r="AA110" s="164"/>
      <c r="AB110" s="164"/>
      <c r="AC110" s="164"/>
    </row>
    <row r="111" spans="17:29" ht="27.75" customHeight="1">
      <c r="Q111" s="164"/>
      <c r="R111" s="164"/>
      <c r="S111" s="164"/>
      <c r="T111" s="164"/>
      <c r="U111" s="164"/>
      <c r="V111" s="164"/>
      <c r="W111" s="164"/>
      <c r="X111" s="164"/>
      <c r="Y111" s="164"/>
      <c r="Z111" s="164"/>
      <c r="AA111" s="164"/>
      <c r="AB111" s="164"/>
      <c r="AC111" s="164"/>
    </row>
    <row r="112" spans="17:29" ht="30" customHeight="1">
      <c r="Q112" s="164"/>
      <c r="R112" s="164"/>
      <c r="S112" s="164"/>
      <c r="T112" s="164"/>
      <c r="U112" s="164"/>
      <c r="V112" s="164"/>
      <c r="W112" s="164"/>
      <c r="X112" s="164"/>
      <c r="Y112" s="164"/>
      <c r="Z112" s="164"/>
      <c r="AA112" s="164"/>
      <c r="AB112" s="164"/>
      <c r="AC112" s="164"/>
    </row>
    <row r="113" spans="17:29" ht="27.75" customHeight="1">
      <c r="Q113" s="164"/>
      <c r="R113" s="164"/>
      <c r="S113" s="164"/>
      <c r="T113" s="164"/>
      <c r="U113" s="164"/>
      <c r="V113" s="164"/>
      <c r="W113" s="164"/>
      <c r="X113" s="164"/>
      <c r="Y113" s="164"/>
      <c r="Z113" s="164"/>
      <c r="AA113" s="164"/>
      <c r="AB113" s="164"/>
      <c r="AC113" s="164"/>
    </row>
    <row r="114" spans="17:29" ht="27.75" customHeight="1">
      <c r="Q114" s="164"/>
      <c r="R114" s="164"/>
      <c r="S114" s="164"/>
      <c r="T114" s="164"/>
      <c r="U114" s="164"/>
      <c r="V114" s="164"/>
      <c r="W114" s="164"/>
      <c r="X114" s="164"/>
      <c r="Y114" s="164"/>
      <c r="Z114" s="164"/>
      <c r="AA114" s="164"/>
      <c r="AB114" s="164"/>
      <c r="AC114" s="164"/>
    </row>
    <row r="115" spans="17:29" ht="27.75" customHeight="1">
      <c r="Q115" s="164"/>
      <c r="R115" s="164"/>
      <c r="S115" s="164"/>
      <c r="T115" s="164"/>
      <c r="U115" s="164"/>
      <c r="V115" s="164"/>
      <c r="W115" s="164"/>
      <c r="X115" s="164"/>
      <c r="Y115" s="164"/>
      <c r="Z115" s="164"/>
      <c r="AA115" s="164"/>
      <c r="AB115" s="164"/>
      <c r="AC115" s="164"/>
    </row>
    <row r="116" spans="17:29" ht="27.75" customHeight="1">
      <c r="Q116" s="164"/>
      <c r="R116" s="164"/>
      <c r="S116" s="164"/>
      <c r="T116" s="164"/>
      <c r="U116" s="164"/>
      <c r="V116" s="164"/>
      <c r="W116" s="164"/>
      <c r="X116" s="164"/>
      <c r="Y116" s="164"/>
      <c r="Z116" s="164"/>
      <c r="AA116" s="164"/>
      <c r="AB116" s="164"/>
      <c r="AC116" s="164"/>
    </row>
    <row r="117" spans="17:29" ht="27.75" customHeight="1">
      <c r="Q117" s="164"/>
      <c r="R117" s="164"/>
      <c r="S117" s="164"/>
      <c r="T117" s="164"/>
      <c r="U117" s="164"/>
      <c r="V117" s="164"/>
      <c r="W117" s="164"/>
      <c r="X117" s="164"/>
      <c r="Y117" s="164"/>
      <c r="Z117" s="164"/>
      <c r="AA117" s="164"/>
      <c r="AB117" s="164"/>
      <c r="AC117" s="164"/>
    </row>
    <row r="118" spans="17:29" ht="27.75" customHeight="1">
      <c r="Q118" s="164"/>
      <c r="R118" s="164"/>
      <c r="S118" s="164"/>
      <c r="T118" s="164"/>
      <c r="U118" s="164"/>
      <c r="V118" s="164"/>
      <c r="W118" s="164"/>
      <c r="X118" s="164"/>
      <c r="Y118" s="164"/>
      <c r="Z118" s="164"/>
      <c r="AA118" s="164"/>
      <c r="AB118" s="164"/>
      <c r="AC118" s="164"/>
    </row>
    <row r="119" spans="17:29" ht="27.75" customHeight="1">
      <c r="Q119" s="164"/>
      <c r="R119" s="164"/>
      <c r="S119" s="164"/>
      <c r="T119" s="164"/>
      <c r="U119" s="164"/>
      <c r="V119" s="164"/>
      <c r="W119" s="164"/>
      <c r="X119" s="164"/>
      <c r="Y119" s="164"/>
      <c r="Z119" s="164"/>
      <c r="AA119" s="164"/>
      <c r="AB119" s="164"/>
      <c r="AC119" s="164"/>
    </row>
    <row r="120" spans="17:29" ht="27.75" customHeight="1">
      <c r="Q120" s="164"/>
      <c r="R120" s="164"/>
      <c r="S120" s="164"/>
      <c r="T120" s="164"/>
      <c r="U120" s="164"/>
      <c r="V120" s="164"/>
      <c r="W120" s="164"/>
      <c r="X120" s="164"/>
      <c r="Y120" s="164"/>
      <c r="Z120" s="164"/>
      <c r="AA120" s="164"/>
      <c r="AB120" s="164"/>
      <c r="AC120" s="164"/>
    </row>
    <row r="121" spans="17:29" ht="27.75" customHeight="1">
      <c r="Q121" s="164"/>
      <c r="R121" s="164"/>
      <c r="S121" s="164"/>
      <c r="T121" s="164"/>
      <c r="U121" s="164"/>
      <c r="V121" s="164"/>
      <c r="W121" s="164"/>
      <c r="X121" s="164"/>
      <c r="Y121" s="164"/>
      <c r="Z121" s="164"/>
      <c r="AA121" s="164"/>
      <c r="AB121" s="164"/>
      <c r="AC121" s="164"/>
    </row>
    <row r="122" spans="17:29" ht="27.75" customHeight="1">
      <c r="Q122" s="164"/>
      <c r="R122" s="164"/>
      <c r="S122" s="164"/>
      <c r="T122" s="164"/>
      <c r="U122" s="164"/>
      <c r="V122" s="164"/>
      <c r="W122" s="164"/>
      <c r="X122" s="164"/>
      <c r="Y122" s="164"/>
      <c r="Z122" s="164"/>
      <c r="AA122" s="164"/>
      <c r="AB122" s="164"/>
      <c r="AC122" s="164"/>
    </row>
    <row r="123" spans="17:29" ht="27.75" customHeight="1">
      <c r="Q123" s="164"/>
      <c r="R123" s="164"/>
      <c r="S123" s="164"/>
      <c r="T123" s="164"/>
      <c r="U123" s="164"/>
      <c r="V123" s="164"/>
      <c r="W123" s="164"/>
      <c r="X123" s="164"/>
      <c r="Y123" s="164"/>
      <c r="Z123" s="164"/>
      <c r="AA123" s="164"/>
      <c r="AB123" s="164"/>
      <c r="AC123" s="164"/>
    </row>
    <row r="124" spans="17:29" ht="27.75" customHeight="1">
      <c r="Q124" s="164"/>
      <c r="R124" s="164"/>
      <c r="S124" s="164"/>
      <c r="T124" s="164"/>
      <c r="U124" s="164"/>
      <c r="V124" s="164"/>
      <c r="W124" s="164"/>
      <c r="X124" s="164"/>
      <c r="Y124" s="164"/>
      <c r="Z124" s="164"/>
      <c r="AA124" s="164"/>
      <c r="AB124" s="164"/>
      <c r="AC124" s="164"/>
    </row>
    <row r="125" spans="17:29" ht="27.75" customHeight="1">
      <c r="Q125" s="164"/>
      <c r="R125" s="164"/>
      <c r="S125" s="164"/>
      <c r="T125" s="164"/>
      <c r="U125" s="164"/>
      <c r="V125" s="164"/>
      <c r="W125" s="164"/>
      <c r="X125" s="164"/>
      <c r="Y125" s="164"/>
      <c r="Z125" s="164"/>
      <c r="AA125" s="164"/>
      <c r="AB125" s="164"/>
      <c r="AC125" s="164"/>
    </row>
    <row r="126" spans="17:29" ht="27.75" customHeight="1">
      <c r="Q126" s="164"/>
      <c r="R126" s="164"/>
      <c r="S126" s="164"/>
      <c r="T126" s="164"/>
      <c r="U126" s="164"/>
      <c r="V126" s="164"/>
      <c r="W126" s="164"/>
      <c r="X126" s="164"/>
      <c r="Y126" s="164"/>
      <c r="Z126" s="164"/>
      <c r="AA126" s="164"/>
      <c r="AB126" s="164"/>
      <c r="AC126" s="164"/>
    </row>
    <row r="127" spans="17:29" ht="27.75" customHeight="1">
      <c r="Q127" s="164"/>
      <c r="R127" s="164"/>
      <c r="S127" s="164"/>
      <c r="T127" s="164"/>
      <c r="U127" s="164"/>
      <c r="V127" s="164"/>
      <c r="W127" s="164"/>
      <c r="X127" s="164"/>
      <c r="Y127" s="164"/>
      <c r="Z127" s="164"/>
      <c r="AA127" s="164"/>
      <c r="AB127" s="164"/>
      <c r="AC127" s="164"/>
    </row>
    <row r="128" spans="17:29" ht="27.75" customHeight="1">
      <c r="Q128" s="164"/>
      <c r="R128" s="164"/>
      <c r="S128" s="164"/>
      <c r="T128" s="164"/>
      <c r="U128" s="164"/>
      <c r="V128" s="164"/>
      <c r="W128" s="164"/>
      <c r="X128" s="164"/>
      <c r="Y128" s="164"/>
      <c r="Z128" s="164"/>
      <c r="AA128" s="164"/>
      <c r="AB128" s="164"/>
      <c r="AC128" s="164"/>
    </row>
    <row r="129" spans="17:29" ht="27.75" customHeight="1">
      <c r="Q129" s="164"/>
      <c r="R129" s="164"/>
      <c r="S129" s="164"/>
      <c r="T129" s="164"/>
      <c r="U129" s="164"/>
      <c r="V129" s="164"/>
      <c r="W129" s="164"/>
      <c r="X129" s="164"/>
      <c r="Y129" s="164"/>
      <c r="Z129" s="164"/>
      <c r="AA129" s="164"/>
      <c r="AB129" s="164"/>
      <c r="AC129" s="164"/>
    </row>
    <row r="130" spans="17:29" ht="27.75" customHeight="1"/>
    <row r="131" spans="17:29" ht="27.75" customHeight="1"/>
    <row r="132" spans="17:29" ht="27.75" customHeight="1"/>
    <row r="133" spans="17:29" ht="27.75" customHeight="1"/>
    <row r="134" spans="17:29" ht="27.75" customHeight="1"/>
    <row r="135" spans="17:29" ht="27.75" customHeight="1"/>
    <row r="136" spans="17:29" ht="27.75" customHeight="1"/>
    <row r="137" spans="17:29" ht="27.75" customHeight="1"/>
    <row r="138" spans="17:29" ht="27.75" customHeight="1"/>
    <row r="139" spans="17:29" ht="27.75" customHeight="1"/>
    <row r="140" spans="17:29" ht="27.75" customHeight="1"/>
    <row r="141" spans="17:29" ht="27.75" customHeight="1"/>
    <row r="142" spans="17:29" ht="27.75" customHeight="1"/>
    <row r="143" spans="17:29" ht="27.75" customHeight="1"/>
    <row r="144" spans="17:29"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110">
    <mergeCell ref="O18:P18"/>
    <mergeCell ref="Q18:T18"/>
    <mergeCell ref="O17:P17"/>
    <mergeCell ref="Q17:T17"/>
    <mergeCell ref="O16:P16"/>
    <mergeCell ref="Q16:T16"/>
    <mergeCell ref="O15:P15"/>
    <mergeCell ref="Q15:T15"/>
    <mergeCell ref="S11:S12"/>
    <mergeCell ref="O24:P24"/>
    <mergeCell ref="Q24:R24"/>
    <mergeCell ref="S24:T24"/>
    <mergeCell ref="O22:P22"/>
    <mergeCell ref="Q22:R22"/>
    <mergeCell ref="S22:T22"/>
    <mergeCell ref="O21:P21"/>
    <mergeCell ref="Q21:R21"/>
    <mergeCell ref="S21:T21"/>
    <mergeCell ref="O28:P28"/>
    <mergeCell ref="O27:P27"/>
    <mergeCell ref="Q27:R27"/>
    <mergeCell ref="S27:T27"/>
    <mergeCell ref="O26:P26"/>
    <mergeCell ref="Q26:R26"/>
    <mergeCell ref="S26:T26"/>
    <mergeCell ref="S25:T25"/>
    <mergeCell ref="Q25:R25"/>
    <mergeCell ref="O25:P25"/>
    <mergeCell ref="D32:M32"/>
    <mergeCell ref="D26:M26"/>
    <mergeCell ref="D20:M20"/>
    <mergeCell ref="G19:M19"/>
    <mergeCell ref="E19:F19"/>
    <mergeCell ref="C19:D19"/>
    <mergeCell ref="C25:D25"/>
    <mergeCell ref="E25:F25"/>
    <mergeCell ref="G25:M25"/>
    <mergeCell ref="C31:D31"/>
    <mergeCell ref="E31:F31"/>
    <mergeCell ref="G31:M31"/>
    <mergeCell ref="C29:E29"/>
    <mergeCell ref="C23:E23"/>
    <mergeCell ref="G18:M18"/>
    <mergeCell ref="I17:K17"/>
    <mergeCell ref="L17:M17"/>
    <mergeCell ref="F17:H17"/>
    <mergeCell ref="C17:E17"/>
    <mergeCell ref="F29:H29"/>
    <mergeCell ref="I29:K29"/>
    <mergeCell ref="L29:M29"/>
    <mergeCell ref="F4:H4"/>
    <mergeCell ref="F22:H22"/>
    <mergeCell ref="I22:K22"/>
    <mergeCell ref="L23:M23"/>
    <mergeCell ref="I23:K23"/>
    <mergeCell ref="F23:H23"/>
    <mergeCell ref="G13:H13"/>
    <mergeCell ref="G14:H14"/>
    <mergeCell ref="C13:C14"/>
    <mergeCell ref="N4:O4"/>
    <mergeCell ref="C4:E4"/>
    <mergeCell ref="F16:H16"/>
    <mergeCell ref="I16:K16"/>
    <mergeCell ref="L16:M16"/>
    <mergeCell ref="C5:D5"/>
    <mergeCell ref="K5:L5"/>
    <mergeCell ref="C6:D6"/>
    <mergeCell ref="K6:L11"/>
    <mergeCell ref="C8:D8"/>
    <mergeCell ref="C10:D10"/>
    <mergeCell ref="C16:E16"/>
    <mergeCell ref="S20:T20"/>
    <mergeCell ref="Q20:R20"/>
    <mergeCell ref="O20:P20"/>
    <mergeCell ref="O19:T19"/>
    <mergeCell ref="L28:M28"/>
    <mergeCell ref="C28:E28"/>
    <mergeCell ref="F28:H28"/>
    <mergeCell ref="I28:K28"/>
    <mergeCell ref="D41:H41"/>
    <mergeCell ref="D38:H38"/>
    <mergeCell ref="D39:H39"/>
    <mergeCell ref="D40:H40"/>
    <mergeCell ref="D36:H36"/>
    <mergeCell ref="D37:H37"/>
    <mergeCell ref="C30:D30"/>
    <mergeCell ref="E30:F30"/>
    <mergeCell ref="G30:M30"/>
    <mergeCell ref="D34:H35"/>
    <mergeCell ref="C34:C35"/>
    <mergeCell ref="C24:D24"/>
    <mergeCell ref="E24:F24"/>
    <mergeCell ref="G24:M24"/>
    <mergeCell ref="L22:M22"/>
    <mergeCell ref="C22:E22"/>
    <mergeCell ref="Q34:R34"/>
    <mergeCell ref="S34:T34"/>
    <mergeCell ref="U34:V34"/>
    <mergeCell ref="I34:J34"/>
    <mergeCell ref="K34:L34"/>
    <mergeCell ref="M34:N34"/>
    <mergeCell ref="D48:D49"/>
    <mergeCell ref="E48:E49"/>
    <mergeCell ref="C48:C49"/>
    <mergeCell ref="F48:F49"/>
    <mergeCell ref="O34:P34"/>
    <mergeCell ref="D44:H44"/>
    <mergeCell ref="D45:H45"/>
    <mergeCell ref="D42:H42"/>
    <mergeCell ref="D43:H43"/>
  </mergeCells>
  <conditionalFormatting sqref="N11">
    <cfRule type="cellIs" dxfId="22" priority="25" operator="equal">
      <formula>$N$12="Аспект"</formula>
    </cfRule>
  </conditionalFormatting>
  <conditionalFormatting sqref="O12">
    <cfRule type="expression" dxfId="21" priority="24">
      <formula>$N$12="Аспект"</formula>
    </cfRule>
  </conditionalFormatting>
  <conditionalFormatting sqref="P12">
    <cfRule type="expression" dxfId="20" priority="23">
      <formula>$N$12="Аспект"</formula>
    </cfRule>
  </conditionalFormatting>
  <conditionalFormatting sqref="Q12">
    <cfRule type="expression" dxfId="19" priority="22">
      <formula>$N$12="Аспект"</formula>
    </cfRule>
  </conditionalFormatting>
  <conditionalFormatting sqref="R12">
    <cfRule type="cellIs" dxfId="18" priority="10" operator="equal">
      <formula>0</formula>
    </cfRule>
    <cfRule type="expression" dxfId="17" priority="21">
      <formula>$N$12="Аспект"</formula>
    </cfRule>
  </conditionalFormatting>
  <conditionalFormatting sqref="O11">
    <cfRule type="expression" dxfId="16" priority="20">
      <formula>$N$12="Аспект"</formula>
    </cfRule>
  </conditionalFormatting>
  <conditionalFormatting sqref="P11">
    <cfRule type="expression" dxfId="15" priority="19">
      <formula>$N$12="Аспект"</formula>
    </cfRule>
  </conditionalFormatting>
  <conditionalFormatting sqref="Q11">
    <cfRule type="expression" dxfId="14" priority="18">
      <formula>$N$12="Аспект"</formula>
    </cfRule>
  </conditionalFormatting>
  <conditionalFormatting sqref="R11">
    <cfRule type="cellIs" dxfId="13" priority="11" operator="equal">
      <formula>0</formula>
    </cfRule>
    <cfRule type="expression" dxfId="12" priority="17">
      <formula>$N$12="Аспект"</formula>
    </cfRule>
  </conditionalFormatting>
  <conditionalFormatting sqref="S11:S12">
    <cfRule type="cellIs" dxfId="11" priority="12" operator="equal">
      <formula>0</formula>
    </cfRule>
    <cfRule type="expression" dxfId="10" priority="16">
      <formula>$N$12="Аспект"</formula>
    </cfRule>
  </conditionalFormatting>
  <conditionalFormatting sqref="N11:S12">
    <cfRule type="expression" dxfId="9" priority="15">
      <formula>$N$12=0</formula>
    </cfRule>
  </conditionalFormatting>
  <dataValidations count="1">
    <dataValidation type="list" allowBlank="1" showInputMessage="1" showErrorMessage="1" sqref="L14">
      <formula1>"Маленький,Средний,Большой"</formula1>
    </dataValidation>
  </dataValidations>
  <pageMargins left="0.7" right="0.7" top="0.75" bottom="0.75" header="0.3" footer="0.3"/>
  <pageSetup paperSize="9" orientation="portrait" r:id="rId2"/>
  <drawing r:id="rId3"/>
  <legacyDrawing r:id="rId4"/>
  <extLst>
    <ext xmlns:x14="http://schemas.microsoft.com/office/spreadsheetml/2009/9/main" uri="{78C0D931-6437-407d-A8EE-F0AAD7539E65}">
      <x14:conditionalFormattings>
        <x14:conditionalFormatting xmlns:xm="http://schemas.microsoft.com/office/excel/2006/main">
          <x14:cfRule type="cellIs" priority="26" operator="equal" id="{DFDD4089-F775-4C9C-A502-532F6C6B72C6}">
            <xm:f>Расы!$AK$3</xm:f>
            <x14: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x14:dxf>
          </x14:cfRule>
          <xm:sqref>N12</xm:sqref>
        </x14:conditionalFormatting>
        <x14:conditionalFormatting xmlns:xm="http://schemas.microsoft.com/office/excel/2006/main">
          <x14:cfRule type="cellIs" priority="8" operator="equal" id="{68A3673C-4FBC-4B21-906E-769A7E8EDB96}">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9" operator="equal" id="{8290D52D-F13D-49DF-AF32-F2451C90ECA5}">
            <xm:f>Расы!$AK$5</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13" operator="equal" id="{8B32855F-ADB1-4CBA-AF13-4B2EC5A4669F}">
            <xm:f>Расы!$AK$50</xm:f>
            <x14: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14:cfRule type="cellIs" priority="14" operator="equal" id="{2F8096A7-2853-47B7-9262-127484D5B57D}">
            <xm:f>Расы!$AK$28</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m:sqref>N11</xm:sqref>
        </x14:conditionalFormatting>
        <x14:conditionalFormatting xmlns:xm="http://schemas.microsoft.com/office/excel/2006/main">
          <x14:cfRule type="expression" priority="1" id="{C965D7AD-156E-45C0-A748-5A04EF5C07E3}">
            <xm:f>'Лист персонажа 1'!$G$8="Полувеликан"</xm:f>
            <x14:dxf>
              <font>
                <color theme="1" tint="0.14996795556505021"/>
              </font>
              <fill>
                <patternFill>
                  <bgColor theme="2"/>
                </patternFill>
              </fill>
              <border>
                <left style="thin">
                  <color auto="1"/>
                </left>
                <right style="thin">
                  <color auto="1"/>
                </right>
                <top style="thin">
                  <color auto="1"/>
                </top>
                <vertical/>
                <horizontal/>
              </border>
            </x14:dxf>
          </x14:cfRule>
          <x14:cfRule type="expression" priority="2" id="{2DE53544-2788-414F-845A-2045F2B72112}">
            <xm:f>'Лист персонажа 1'!$G$8&lt;&gt;"Полувеликан"</xm:f>
            <x14:dxf>
              <font>
                <color theme="0" tint="-4.9989318521683403E-2"/>
              </font>
            </x14:dxf>
          </x14:cfRule>
          <xm:sqref>S7</xm:sqref>
        </x14:conditionalFormatting>
        <x14:conditionalFormatting xmlns:xm="http://schemas.microsoft.com/office/excel/2006/main">
          <x14:cfRule type="expression" priority="3" id="{89CCC44C-2709-48BF-89FD-71498D9DBF9D}">
            <xm:f>'Лист персонажа 1'!$G$8&lt;&gt;"Полувеликан"</xm:f>
            <x14:dxf>
              <font>
                <color theme="0" tint="-4.9989318521683403E-2"/>
              </font>
            </x14:dxf>
          </x14:cfRule>
          <x14:cfRule type="expression" priority="6" id="{3A42C2EA-4E13-4C36-AD30-0E6637E08841}">
            <xm:f>'Лист персонажа 1'!$G$8="Полувеликан"</xm:f>
            <x14:dxf>
              <fill>
                <patternFill>
                  <bgColor theme="2"/>
                </patternFill>
              </fill>
              <border>
                <left style="thin">
                  <color theme="1" tint="0.14996795556505021"/>
                </left>
                <right style="thin">
                  <color theme="1" tint="0.14996795556505021"/>
                </right>
                <top style="thin">
                  <color theme="1" tint="0.14996795556505021"/>
                </top>
                <vertical/>
                <horizontal/>
              </border>
            </x14:dxf>
          </x14:cfRule>
          <xm:sqref>O7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0"/>
  <sheetViews>
    <sheetView showGridLines="0" showRowColHeaders="0" workbookViewId="0">
      <selection activeCell="AA6" sqref="AA6"/>
    </sheetView>
  </sheetViews>
  <sheetFormatPr defaultRowHeight="15"/>
  <sheetData>
    <row r="2" spans="2:19" ht="26.25" customHeight="1" thickBot="1">
      <c r="B2" s="811" t="s">
        <v>202</v>
      </c>
      <c r="C2" s="811"/>
      <c r="D2" s="811"/>
      <c r="E2" s="811"/>
      <c r="F2" s="811"/>
      <c r="G2" s="811"/>
      <c r="H2" s="811"/>
      <c r="I2" s="811"/>
      <c r="J2" s="811"/>
      <c r="K2" s="811"/>
      <c r="L2" s="811"/>
      <c r="M2" s="812"/>
      <c r="N2" s="780" t="s">
        <v>152</v>
      </c>
      <c r="O2" s="781"/>
      <c r="P2" s="781"/>
      <c r="Q2" s="781"/>
      <c r="R2" s="781"/>
      <c r="S2" s="781"/>
    </row>
    <row r="3" spans="2:19" ht="26.25" customHeight="1">
      <c r="B3" s="813" t="s">
        <v>116</v>
      </c>
      <c r="C3" s="814"/>
      <c r="D3" s="814"/>
      <c r="E3" s="814"/>
      <c r="F3" s="815"/>
      <c r="G3" s="816" t="s">
        <v>117</v>
      </c>
      <c r="H3" s="817"/>
      <c r="I3" s="817"/>
      <c r="J3" s="818"/>
      <c r="K3" s="816" t="s">
        <v>118</v>
      </c>
      <c r="L3" s="817"/>
      <c r="M3" s="818"/>
      <c r="N3" s="782"/>
      <c r="O3" s="783"/>
      <c r="P3" s="783"/>
      <c r="Q3" s="784"/>
      <c r="R3" s="784"/>
      <c r="S3" s="785"/>
    </row>
    <row r="4" spans="2:19" ht="81.75" customHeight="1">
      <c r="B4" s="810" t="s">
        <v>1148</v>
      </c>
      <c r="C4" s="810"/>
      <c r="D4" s="810"/>
      <c r="E4" s="810"/>
      <c r="F4" s="810"/>
      <c r="G4" s="804" t="s">
        <v>1149</v>
      </c>
      <c r="H4" s="804"/>
      <c r="I4" s="804"/>
      <c r="J4" s="804"/>
      <c r="K4" s="803"/>
      <c r="L4" s="803"/>
      <c r="M4" s="803"/>
      <c r="N4" s="789" t="s">
        <v>1158</v>
      </c>
      <c r="O4" s="790"/>
      <c r="P4" s="790"/>
      <c r="Q4" s="790" t="s">
        <v>1159</v>
      </c>
      <c r="R4" s="790"/>
      <c r="S4" s="791"/>
    </row>
    <row r="5" spans="2:19" ht="74.25" customHeight="1">
      <c r="B5" s="802"/>
      <c r="C5" s="802"/>
      <c r="D5" s="802"/>
      <c r="E5" s="802"/>
      <c r="F5" s="802"/>
      <c r="G5" s="819"/>
      <c r="H5" s="819"/>
      <c r="I5" s="819"/>
      <c r="J5" s="819"/>
      <c r="K5" s="809"/>
      <c r="L5" s="809"/>
      <c r="M5" s="809"/>
      <c r="N5" s="792" t="s">
        <v>1160</v>
      </c>
      <c r="O5" s="793"/>
      <c r="P5" s="793"/>
      <c r="Q5" s="793"/>
      <c r="R5" s="793"/>
      <c r="S5" s="794"/>
    </row>
    <row r="6" spans="2:19" ht="70.5" customHeight="1" thickBot="1">
      <c r="B6" s="810" t="s">
        <v>1178</v>
      </c>
      <c r="C6" s="810"/>
      <c r="D6" s="810"/>
      <c r="E6" s="810"/>
      <c r="F6" s="810"/>
      <c r="G6" s="804" t="s">
        <v>202</v>
      </c>
      <c r="H6" s="804"/>
      <c r="I6" s="804"/>
      <c r="J6" s="804"/>
      <c r="K6" s="803"/>
      <c r="L6" s="803"/>
      <c r="M6" s="803"/>
      <c r="N6" s="786"/>
      <c r="O6" s="787"/>
      <c r="P6" s="787"/>
      <c r="Q6" s="787"/>
      <c r="R6" s="787"/>
      <c r="S6" s="788"/>
    </row>
    <row r="7" spans="2:19" ht="84" customHeight="1">
      <c r="B7" s="802" t="s">
        <v>1150</v>
      </c>
      <c r="C7" s="802"/>
      <c r="D7" s="802"/>
      <c r="E7" s="802"/>
      <c r="F7" s="802"/>
      <c r="G7" s="805" t="s">
        <v>1151</v>
      </c>
      <c r="H7" s="805"/>
      <c r="I7" s="805"/>
      <c r="J7" s="805"/>
      <c r="K7" s="808"/>
      <c r="L7" s="808"/>
      <c r="M7" s="808"/>
    </row>
    <row r="8" spans="2:19" ht="81.75" customHeight="1">
      <c r="B8" s="810" t="s">
        <v>1170</v>
      </c>
      <c r="C8" s="810"/>
      <c r="D8" s="810"/>
      <c r="E8" s="810"/>
      <c r="F8" s="810"/>
      <c r="G8" s="804" t="s">
        <v>202</v>
      </c>
      <c r="H8" s="804"/>
      <c r="I8" s="804"/>
      <c r="J8" s="804"/>
      <c r="K8" s="807"/>
      <c r="L8" s="807"/>
      <c r="M8" s="807"/>
    </row>
    <row r="9" spans="2:19" ht="78.75" customHeight="1">
      <c r="B9" s="802" t="s">
        <v>1152</v>
      </c>
      <c r="C9" s="802"/>
      <c r="D9" s="802"/>
      <c r="E9" s="802"/>
      <c r="F9" s="802"/>
      <c r="G9" s="806"/>
      <c r="H9" s="806"/>
      <c r="I9" s="806"/>
      <c r="J9" s="806"/>
      <c r="K9" s="808"/>
      <c r="L9" s="808"/>
      <c r="M9" s="808"/>
    </row>
    <row r="10" spans="2:19" ht="78" customHeight="1">
      <c r="B10" s="810" t="s">
        <v>1153</v>
      </c>
      <c r="C10" s="810"/>
      <c r="D10" s="810"/>
      <c r="E10" s="810"/>
      <c r="F10" s="810"/>
      <c r="G10" s="804"/>
      <c r="H10" s="804"/>
      <c r="I10" s="804"/>
      <c r="J10" s="804"/>
      <c r="K10" s="803"/>
      <c r="L10" s="803"/>
      <c r="M10" s="803"/>
    </row>
    <row r="11" spans="2:19" ht="77.25" customHeight="1">
      <c r="B11" s="802" t="s">
        <v>1175</v>
      </c>
      <c r="C11" s="802"/>
      <c r="D11" s="802"/>
      <c r="E11" s="802"/>
      <c r="F11" s="802"/>
      <c r="G11" s="819"/>
      <c r="H11" s="819"/>
      <c r="I11" s="819"/>
      <c r="J11" s="819"/>
      <c r="K11" s="809"/>
      <c r="L11" s="809"/>
      <c r="M11" s="809"/>
    </row>
    <row r="12" spans="2:19" ht="78.75" customHeight="1">
      <c r="B12" s="810" t="s">
        <v>1176</v>
      </c>
      <c r="C12" s="810"/>
      <c r="D12" s="810"/>
      <c r="E12" s="810"/>
      <c r="F12" s="810"/>
      <c r="G12" s="821" t="s">
        <v>1179</v>
      </c>
      <c r="H12" s="821"/>
      <c r="I12" s="821"/>
      <c r="J12" s="821"/>
      <c r="K12" s="803"/>
      <c r="L12" s="803"/>
      <c r="M12" s="803"/>
    </row>
    <row r="13" spans="2:19" ht="76.5" customHeight="1">
      <c r="B13" s="802"/>
      <c r="C13" s="802"/>
      <c r="D13" s="802"/>
      <c r="E13" s="802"/>
      <c r="F13" s="802"/>
      <c r="G13" s="805"/>
      <c r="H13" s="805"/>
      <c r="I13" s="805"/>
      <c r="J13" s="805"/>
      <c r="K13" s="808"/>
      <c r="L13" s="808"/>
      <c r="M13" s="808"/>
    </row>
    <row r="14" spans="2:19" ht="77.25" customHeight="1">
      <c r="B14" s="810" t="s">
        <v>1172</v>
      </c>
      <c r="C14" s="810"/>
      <c r="D14" s="810"/>
      <c r="E14" s="810"/>
      <c r="F14" s="810"/>
      <c r="G14" s="804"/>
      <c r="H14" s="804"/>
      <c r="I14" s="804"/>
      <c r="J14" s="804"/>
      <c r="K14" s="807"/>
      <c r="L14" s="807"/>
      <c r="M14" s="807"/>
    </row>
    <row r="15" spans="2:19" ht="77.25" customHeight="1">
      <c r="B15" s="802" t="s">
        <v>1171</v>
      </c>
      <c r="C15" s="802"/>
      <c r="D15" s="802"/>
      <c r="E15" s="802"/>
      <c r="F15" s="802"/>
      <c r="G15" s="806"/>
      <c r="H15" s="806"/>
      <c r="I15" s="806"/>
      <c r="J15" s="806"/>
      <c r="K15" s="808"/>
      <c r="L15" s="808"/>
      <c r="M15" s="808"/>
    </row>
    <row r="16" spans="2:19" ht="85.5" customHeight="1">
      <c r="B16" s="810" t="s">
        <v>1174</v>
      </c>
      <c r="C16" s="810"/>
      <c r="D16" s="810"/>
      <c r="E16" s="810"/>
      <c r="F16" s="810"/>
      <c r="G16" s="804"/>
      <c r="H16" s="804"/>
      <c r="I16" s="804"/>
      <c r="J16" s="804"/>
      <c r="K16" s="807"/>
      <c r="L16" s="807"/>
      <c r="M16" s="807"/>
    </row>
    <row r="17" spans="2:13" ht="15" customHeight="1">
      <c r="B17" s="822" t="s">
        <v>130</v>
      </c>
      <c r="C17" s="823"/>
      <c r="D17" s="823"/>
      <c r="E17" s="823"/>
      <c r="F17" s="823"/>
      <c r="G17" s="823"/>
      <c r="H17" s="823"/>
      <c r="I17" s="823"/>
      <c r="J17" s="823"/>
      <c r="K17" s="823"/>
      <c r="L17" s="823"/>
      <c r="M17" s="824"/>
    </row>
    <row r="18" spans="2:13" ht="18">
      <c r="B18" s="802" t="s">
        <v>1154</v>
      </c>
      <c r="C18" s="802"/>
      <c r="D18" s="802"/>
      <c r="E18" s="802"/>
      <c r="F18" s="802"/>
      <c r="G18" s="802"/>
      <c r="H18" s="283"/>
      <c r="I18" s="826" t="s">
        <v>1154</v>
      </c>
      <c r="J18" s="826"/>
      <c r="K18" s="826"/>
      <c r="L18" s="826"/>
      <c r="M18" s="826"/>
    </row>
    <row r="19" spans="2:13" ht="18" customHeight="1">
      <c r="B19" s="825" t="s">
        <v>132</v>
      </c>
      <c r="C19" s="825"/>
      <c r="D19" s="825"/>
      <c r="E19" s="825"/>
      <c r="F19" s="825"/>
      <c r="G19" s="825"/>
      <c r="H19" s="283"/>
      <c r="I19" s="820" t="s">
        <v>133</v>
      </c>
      <c r="J19" s="820"/>
      <c r="K19" s="820"/>
      <c r="L19" s="820"/>
      <c r="M19" s="820"/>
    </row>
    <row r="20" spans="2:13" ht="18">
      <c r="B20" s="802"/>
      <c r="C20" s="802"/>
      <c r="D20" s="802"/>
      <c r="E20" s="802"/>
      <c r="F20" s="802"/>
      <c r="G20" s="802"/>
      <c r="H20" s="283"/>
      <c r="I20" s="800" t="s">
        <v>1154</v>
      </c>
      <c r="J20" s="800"/>
      <c r="K20" s="800"/>
      <c r="L20" s="800"/>
      <c r="M20" s="800"/>
    </row>
    <row r="21" spans="2:13" ht="18.75" customHeight="1">
      <c r="B21" s="825" t="s">
        <v>137</v>
      </c>
      <c r="C21" s="825"/>
      <c r="D21" s="825"/>
      <c r="E21" s="825"/>
      <c r="F21" s="825"/>
      <c r="G21" s="825"/>
      <c r="H21" s="283"/>
      <c r="I21" s="820" t="s">
        <v>138</v>
      </c>
      <c r="J21" s="820"/>
      <c r="K21" s="820"/>
      <c r="L21" s="820"/>
      <c r="M21" s="820"/>
    </row>
    <row r="22" spans="2:13" ht="18">
      <c r="B22" s="802"/>
      <c r="C22" s="802"/>
      <c r="D22" s="802"/>
      <c r="E22" s="802"/>
      <c r="F22" s="802"/>
      <c r="G22" s="802"/>
      <c r="H22" s="283"/>
      <c r="I22" s="800" t="s">
        <v>1154</v>
      </c>
      <c r="J22" s="800"/>
      <c r="K22" s="800"/>
      <c r="L22" s="800"/>
      <c r="M22" s="800"/>
    </row>
    <row r="23" spans="2:13" ht="18.75" customHeight="1">
      <c r="B23" s="825" t="s">
        <v>140</v>
      </c>
      <c r="C23" s="825"/>
      <c r="D23" s="825"/>
      <c r="E23" s="825"/>
      <c r="F23" s="825"/>
      <c r="G23" s="825"/>
      <c r="H23" s="283"/>
      <c r="I23" s="820" t="s">
        <v>141</v>
      </c>
      <c r="J23" s="820"/>
      <c r="K23" s="820"/>
      <c r="L23" s="820"/>
      <c r="M23" s="820"/>
    </row>
    <row r="24" spans="2:13" ht="18">
      <c r="B24" s="802"/>
      <c r="C24" s="802"/>
      <c r="D24" s="802"/>
      <c r="E24" s="802"/>
      <c r="F24" s="802"/>
      <c r="G24" s="802"/>
      <c r="H24" s="283"/>
      <c r="I24" s="800" t="s">
        <v>1155</v>
      </c>
      <c r="J24" s="800"/>
      <c r="K24" s="800"/>
      <c r="L24" s="800"/>
      <c r="M24" s="800"/>
    </row>
    <row r="25" spans="2:13" ht="18.75" customHeight="1">
      <c r="B25" s="820" t="s">
        <v>144</v>
      </c>
      <c r="C25" s="820"/>
      <c r="D25" s="820"/>
      <c r="E25" s="820"/>
      <c r="F25" s="820"/>
      <c r="G25" s="820"/>
      <c r="H25" s="283"/>
      <c r="I25" s="820" t="s">
        <v>145</v>
      </c>
      <c r="J25" s="820"/>
      <c r="K25" s="820"/>
      <c r="L25" s="820"/>
      <c r="M25" s="820"/>
    </row>
    <row r="26" spans="2:13" ht="18">
      <c r="B26" s="802"/>
      <c r="C26" s="802"/>
      <c r="D26" s="802"/>
      <c r="E26" s="802"/>
      <c r="F26" s="802"/>
      <c r="G26" s="802"/>
      <c r="H26" s="283"/>
      <c r="I26" s="800" t="s">
        <v>1156</v>
      </c>
      <c r="J26" s="800"/>
      <c r="K26" s="800"/>
      <c r="L26" s="800"/>
      <c r="M26" s="800"/>
    </row>
    <row r="27" spans="2:13" ht="18.75" customHeight="1">
      <c r="B27" s="820" t="s">
        <v>149</v>
      </c>
      <c r="C27" s="820"/>
      <c r="D27" s="820"/>
      <c r="E27" s="820"/>
      <c r="F27" s="820"/>
      <c r="G27" s="820"/>
      <c r="H27" s="283"/>
      <c r="I27" s="820" t="s">
        <v>150</v>
      </c>
      <c r="J27" s="820"/>
      <c r="K27" s="820"/>
      <c r="L27" s="820"/>
      <c r="M27" s="820"/>
    </row>
    <row r="28" spans="2:13" ht="18">
      <c r="B28" s="802"/>
      <c r="C28" s="802"/>
      <c r="D28" s="802"/>
      <c r="E28" s="802"/>
      <c r="F28" s="802"/>
      <c r="G28" s="802"/>
      <c r="H28" s="283"/>
      <c r="I28" s="800" t="s">
        <v>1157</v>
      </c>
      <c r="J28" s="800"/>
      <c r="K28" s="800"/>
      <c r="L28" s="800"/>
      <c r="M28" s="800"/>
    </row>
    <row r="29" spans="2:13" ht="18.75" customHeight="1">
      <c r="B29" s="820" t="s">
        <v>153</v>
      </c>
      <c r="C29" s="820"/>
      <c r="D29" s="820"/>
      <c r="E29" s="820"/>
      <c r="F29" s="820"/>
      <c r="G29" s="820"/>
      <c r="H29" s="283"/>
      <c r="I29" s="801" t="s">
        <v>154</v>
      </c>
      <c r="J29" s="801"/>
      <c r="K29" s="801"/>
      <c r="L29" s="801"/>
      <c r="M29" s="801"/>
    </row>
    <row r="30" spans="2:13" ht="15" customHeight="1">
      <c r="B30" s="802"/>
      <c r="C30" s="802"/>
      <c r="D30" s="802"/>
      <c r="E30" s="802"/>
      <c r="F30" s="802"/>
      <c r="G30" s="802"/>
      <c r="H30" s="284"/>
      <c r="I30" s="798"/>
      <c r="J30" s="798"/>
      <c r="K30" s="798"/>
      <c r="L30" s="798"/>
      <c r="M30" s="798"/>
    </row>
    <row r="31" spans="2:13" ht="24" customHeight="1">
      <c r="B31" s="827" t="s">
        <v>203</v>
      </c>
      <c r="C31" s="827"/>
      <c r="D31" s="827"/>
      <c r="E31" s="827"/>
      <c r="F31" s="827"/>
      <c r="G31" s="827"/>
      <c r="H31" s="284"/>
      <c r="I31" s="799" t="s">
        <v>156</v>
      </c>
      <c r="J31" s="799"/>
      <c r="K31" s="799"/>
      <c r="L31" s="799"/>
      <c r="M31" s="799"/>
    </row>
    <row r="32" spans="2:13" ht="26.25" customHeight="1">
      <c r="B32" s="777" t="s">
        <v>1177</v>
      </c>
      <c r="C32" s="778"/>
      <c r="D32" s="778"/>
      <c r="E32" s="778"/>
      <c r="F32" s="778"/>
      <c r="G32" s="779"/>
      <c r="H32" s="285"/>
      <c r="I32" s="795"/>
      <c r="J32" s="796"/>
      <c r="K32" s="796"/>
      <c r="L32" s="796"/>
      <c r="M32" s="797"/>
    </row>
    <row r="35" spans="8:11">
      <c r="H35">
        <v>3.15</v>
      </c>
    </row>
    <row r="36" spans="8:11">
      <c r="H36">
        <v>22.5</v>
      </c>
    </row>
    <row r="37" spans="8:11">
      <c r="H37">
        <v>1.8</v>
      </c>
    </row>
    <row r="38" spans="8:11">
      <c r="H38">
        <v>9</v>
      </c>
    </row>
    <row r="39" spans="8:11">
      <c r="H39">
        <v>0</v>
      </c>
    </row>
    <row r="40" spans="8:11">
      <c r="H40">
        <f>SUM(H35,H36,H37,H38,H39)</f>
        <v>36.450000000000003</v>
      </c>
      <c r="K40">
        <f>2650+500+40+200</f>
        <v>3390</v>
      </c>
    </row>
  </sheetData>
  <mergeCells count="83">
    <mergeCell ref="B28:G28"/>
    <mergeCell ref="B29:G29"/>
    <mergeCell ref="B30:G30"/>
    <mergeCell ref="B31:G31"/>
    <mergeCell ref="B22:G22"/>
    <mergeCell ref="B23:G23"/>
    <mergeCell ref="B24:G24"/>
    <mergeCell ref="B25:G25"/>
    <mergeCell ref="B26:G26"/>
    <mergeCell ref="B27:G27"/>
    <mergeCell ref="B18:G18"/>
    <mergeCell ref="B17:M17"/>
    <mergeCell ref="B19:G19"/>
    <mergeCell ref="B20:G20"/>
    <mergeCell ref="B21:G21"/>
    <mergeCell ref="I18:M18"/>
    <mergeCell ref="I22:M22"/>
    <mergeCell ref="I23:M23"/>
    <mergeCell ref="I24:M24"/>
    <mergeCell ref="I19:M19"/>
    <mergeCell ref="I20:M20"/>
    <mergeCell ref="I21:M21"/>
    <mergeCell ref="I25:M25"/>
    <mergeCell ref="I26:M26"/>
    <mergeCell ref="I27:M27"/>
    <mergeCell ref="B11:F11"/>
    <mergeCell ref="B12:F12"/>
    <mergeCell ref="B13:F13"/>
    <mergeCell ref="B14:F14"/>
    <mergeCell ref="B15:F15"/>
    <mergeCell ref="B16:F16"/>
    <mergeCell ref="K12:M12"/>
    <mergeCell ref="K13:M13"/>
    <mergeCell ref="K14:M14"/>
    <mergeCell ref="K15:M15"/>
    <mergeCell ref="K16:M16"/>
    <mergeCell ref="G12:J12"/>
    <mergeCell ref="G13:J13"/>
    <mergeCell ref="G14:J14"/>
    <mergeCell ref="G15:J15"/>
    <mergeCell ref="G16:J16"/>
    <mergeCell ref="B2:M2"/>
    <mergeCell ref="B3:F3"/>
    <mergeCell ref="B4:F4"/>
    <mergeCell ref="B5:F5"/>
    <mergeCell ref="B6:F6"/>
    <mergeCell ref="G3:J3"/>
    <mergeCell ref="K3:M3"/>
    <mergeCell ref="G4:J4"/>
    <mergeCell ref="K4:M4"/>
    <mergeCell ref="G5:J5"/>
    <mergeCell ref="K5:M5"/>
    <mergeCell ref="G11:J11"/>
    <mergeCell ref="K7:M7"/>
    <mergeCell ref="K10:M10"/>
    <mergeCell ref="K11:M11"/>
    <mergeCell ref="B8:F8"/>
    <mergeCell ref="B9:F9"/>
    <mergeCell ref="B10:F10"/>
    <mergeCell ref="G10:J10"/>
    <mergeCell ref="K6:M6"/>
    <mergeCell ref="G6:J6"/>
    <mergeCell ref="G7:J7"/>
    <mergeCell ref="G8:J8"/>
    <mergeCell ref="G9:J9"/>
    <mergeCell ref="K8:M8"/>
    <mergeCell ref="K9:M9"/>
    <mergeCell ref="B32:G32"/>
    <mergeCell ref="N2:S2"/>
    <mergeCell ref="N3:P3"/>
    <mergeCell ref="Q3:S3"/>
    <mergeCell ref="N6:P6"/>
    <mergeCell ref="Q6:S6"/>
    <mergeCell ref="N4:P4"/>
    <mergeCell ref="Q4:S4"/>
    <mergeCell ref="N5:P5"/>
    <mergeCell ref="Q5:S5"/>
    <mergeCell ref="I32:M32"/>
    <mergeCell ref="I30:M30"/>
    <mergeCell ref="I31:M31"/>
    <mergeCell ref="I28:M28"/>
    <mergeCell ref="I29:M29"/>
    <mergeCell ref="B7:F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18"/>
  <sheetViews>
    <sheetView showGridLines="0" showRowColHeaders="0" workbookViewId="0">
      <selection activeCell="B27" sqref="B27"/>
    </sheetView>
  </sheetViews>
  <sheetFormatPr defaultRowHeight="21"/>
  <cols>
    <col min="2" max="2" width="39.28515625" style="140" customWidth="1"/>
    <col min="3" max="3" width="56.85546875" style="140" customWidth="1"/>
    <col min="4" max="4" width="62.140625" style="140" customWidth="1"/>
    <col min="5" max="5" width="29" customWidth="1"/>
    <col min="12" max="12" width="31" customWidth="1"/>
  </cols>
  <sheetData>
    <row r="1" spans="2:4" thickBot="1">
      <c r="B1" s="165" t="s">
        <v>204</v>
      </c>
      <c r="C1" s="166" t="s">
        <v>205</v>
      </c>
      <c r="D1" s="166" t="s">
        <v>206</v>
      </c>
    </row>
    <row r="2" spans="2:4" ht="45.75" customHeight="1" thickBot="1">
      <c r="B2" s="167" t="s">
        <v>207</v>
      </c>
      <c r="C2" s="168" t="s">
        <v>208</v>
      </c>
      <c r="D2" s="168" t="s">
        <v>209</v>
      </c>
    </row>
    <row r="3" spans="2:4" ht="41.25" thickBot="1">
      <c r="B3" s="167" t="s">
        <v>210</v>
      </c>
      <c r="C3" s="168"/>
      <c r="D3" s="168" t="s">
        <v>211</v>
      </c>
    </row>
    <row r="4" spans="2:4" ht="41.25" thickBot="1">
      <c r="B4" s="167" t="s">
        <v>212</v>
      </c>
      <c r="C4" s="168" t="s">
        <v>213</v>
      </c>
      <c r="D4" s="168" t="s">
        <v>214</v>
      </c>
    </row>
    <row r="5" spans="2:4" thickBot="1">
      <c r="B5" s="167" t="s">
        <v>215</v>
      </c>
      <c r="C5" s="168" t="s">
        <v>208</v>
      </c>
      <c r="D5" s="168" t="s">
        <v>216</v>
      </c>
    </row>
    <row r="6" spans="2:4" ht="41.25" thickBot="1">
      <c r="B6" s="167" t="s">
        <v>217</v>
      </c>
      <c r="C6" s="168" t="s">
        <v>208</v>
      </c>
      <c r="D6" s="168" t="s">
        <v>218</v>
      </c>
    </row>
    <row r="7" spans="2:4" ht="41.25" thickBot="1">
      <c r="B7" s="167" t="s">
        <v>219</v>
      </c>
      <c r="C7" s="168" t="s">
        <v>220</v>
      </c>
      <c r="D7" s="168" t="s">
        <v>221</v>
      </c>
    </row>
    <row r="8" spans="2:4" thickBot="1">
      <c r="B8" s="167" t="s">
        <v>222</v>
      </c>
      <c r="C8" s="168" t="s">
        <v>208</v>
      </c>
      <c r="D8" s="168" t="s">
        <v>223</v>
      </c>
    </row>
    <row r="9" spans="2:4" thickBot="1">
      <c r="B9" s="169" t="s">
        <v>224</v>
      </c>
      <c r="C9" s="170" t="s">
        <v>225</v>
      </c>
      <c r="D9" s="170" t="s">
        <v>226</v>
      </c>
    </row>
    <row r="10" spans="2:4" ht="41.25" thickBot="1">
      <c r="B10" s="169" t="s">
        <v>227</v>
      </c>
      <c r="C10" s="170" t="s">
        <v>228</v>
      </c>
      <c r="D10" s="170" t="s">
        <v>229</v>
      </c>
    </row>
    <row r="11" spans="2:4" ht="24" thickBot="1">
      <c r="B11" s="169" t="s">
        <v>230</v>
      </c>
      <c r="C11" s="170" t="s">
        <v>231</v>
      </c>
      <c r="D11" s="170" t="s">
        <v>232</v>
      </c>
    </row>
    <row r="12" spans="2:4" ht="47.25" thickBot="1">
      <c r="B12" s="169" t="s">
        <v>233</v>
      </c>
      <c r="C12" s="170" t="s">
        <v>228</v>
      </c>
      <c r="D12" s="170" t="s">
        <v>234</v>
      </c>
    </row>
    <row r="13" spans="2:4" ht="61.5" thickBot="1">
      <c r="B13" s="169" t="s">
        <v>235</v>
      </c>
      <c r="C13" s="170" t="s">
        <v>236</v>
      </c>
      <c r="D13" s="170" t="s">
        <v>237</v>
      </c>
    </row>
    <row r="14" spans="2:4" thickBot="1">
      <c r="B14" s="167" t="s">
        <v>238</v>
      </c>
      <c r="C14" s="168" t="s">
        <v>239</v>
      </c>
      <c r="D14" s="168" t="s">
        <v>240</v>
      </c>
    </row>
    <row r="15" spans="2:4" ht="41.25" thickBot="1">
      <c r="B15" s="167" t="s">
        <v>65</v>
      </c>
      <c r="C15" s="168" t="s">
        <v>208</v>
      </c>
      <c r="D15" s="168" t="s">
        <v>241</v>
      </c>
    </row>
    <row r="16" spans="2:4" thickBot="1">
      <c r="B16" s="167" t="s">
        <v>242</v>
      </c>
      <c r="C16" s="168" t="s">
        <v>243</v>
      </c>
      <c r="D16" s="168" t="s">
        <v>244</v>
      </c>
    </row>
    <row r="17" spans="2:4" ht="41.25" thickBot="1">
      <c r="B17" s="169" t="s">
        <v>245</v>
      </c>
      <c r="C17" s="170" t="s">
        <v>220</v>
      </c>
      <c r="D17" s="170" t="s">
        <v>246</v>
      </c>
    </row>
    <row r="18" spans="2:4" ht="41.25" thickBot="1">
      <c r="B18" s="169" t="s">
        <v>247</v>
      </c>
      <c r="C18" s="170" t="s">
        <v>248</v>
      </c>
      <c r="D18" s="170" t="s">
        <v>249</v>
      </c>
    </row>
    <row r="19" spans="2:4" ht="41.25" thickBot="1">
      <c r="B19" s="169" t="s">
        <v>250</v>
      </c>
      <c r="C19" s="170" t="s">
        <v>248</v>
      </c>
      <c r="D19" s="170" t="s">
        <v>251</v>
      </c>
    </row>
    <row r="20" spans="2:4" ht="41.25" thickBot="1">
      <c r="B20" s="169" t="s">
        <v>252</v>
      </c>
      <c r="C20" s="170" t="s">
        <v>253</v>
      </c>
      <c r="D20" s="170" t="s">
        <v>254</v>
      </c>
    </row>
    <row r="21" spans="2:4" ht="41.25" thickBot="1">
      <c r="B21" s="169" t="s">
        <v>255</v>
      </c>
      <c r="C21" s="170" t="s">
        <v>256</v>
      </c>
      <c r="D21" s="170" t="s">
        <v>257</v>
      </c>
    </row>
    <row r="22" spans="2:4" ht="61.5" thickBot="1">
      <c r="B22" s="169" t="s">
        <v>258</v>
      </c>
      <c r="C22" s="170" t="s">
        <v>259</v>
      </c>
      <c r="D22" s="170" t="s">
        <v>260</v>
      </c>
    </row>
    <row r="23" spans="2:4" ht="41.25" thickBot="1">
      <c r="B23" s="169" t="s">
        <v>261</v>
      </c>
      <c r="C23" s="170" t="s">
        <v>262</v>
      </c>
      <c r="D23" s="170" t="s">
        <v>263</v>
      </c>
    </row>
    <row r="24" spans="2:4" thickBot="1">
      <c r="B24" s="167" t="s">
        <v>264</v>
      </c>
      <c r="C24" s="168" t="s">
        <v>220</v>
      </c>
      <c r="D24" s="168" t="s">
        <v>265</v>
      </c>
    </row>
    <row r="25" spans="2:4" ht="41.25" thickBot="1">
      <c r="B25" s="167" t="s">
        <v>266</v>
      </c>
      <c r="C25" s="168" t="s">
        <v>267</v>
      </c>
      <c r="D25" s="168" t="s">
        <v>268</v>
      </c>
    </row>
    <row r="26" spans="2:4" ht="61.5" thickBot="1">
      <c r="B26" s="167" t="s">
        <v>269</v>
      </c>
      <c r="C26" s="168" t="s">
        <v>270</v>
      </c>
      <c r="D26" s="168" t="s">
        <v>271</v>
      </c>
    </row>
    <row r="27" spans="2:4" ht="41.25" thickBot="1">
      <c r="B27" s="167" t="s">
        <v>272</v>
      </c>
      <c r="C27" s="168" t="s">
        <v>220</v>
      </c>
      <c r="D27" s="168" t="s">
        <v>273</v>
      </c>
    </row>
    <row r="28" spans="2:4" ht="41.25" thickBot="1">
      <c r="B28" s="171" t="s">
        <v>274</v>
      </c>
      <c r="C28" s="172" t="s">
        <v>220</v>
      </c>
      <c r="D28" s="172" t="s">
        <v>275</v>
      </c>
    </row>
    <row r="29" spans="2:4" ht="41.25" thickBot="1">
      <c r="B29" s="171" t="s">
        <v>276</v>
      </c>
      <c r="C29" s="172" t="s">
        <v>274</v>
      </c>
      <c r="D29" s="172" t="s">
        <v>275</v>
      </c>
    </row>
    <row r="30" spans="2:4" ht="41.25" thickBot="1">
      <c r="B30" s="171" t="s">
        <v>277</v>
      </c>
      <c r="C30" s="172" t="s">
        <v>276</v>
      </c>
      <c r="D30" s="172" t="s">
        <v>275</v>
      </c>
    </row>
    <row r="31" spans="2:4" ht="41.25" thickBot="1">
      <c r="B31" s="167" t="s">
        <v>278</v>
      </c>
      <c r="C31" s="168" t="s">
        <v>220</v>
      </c>
      <c r="D31" s="168" t="s">
        <v>279</v>
      </c>
    </row>
    <row r="32" spans="2:4" thickBot="1">
      <c r="B32" s="171" t="s">
        <v>280</v>
      </c>
      <c r="C32" s="172" t="s">
        <v>220</v>
      </c>
      <c r="D32" s="172" t="s">
        <v>275</v>
      </c>
    </row>
    <row r="33" spans="2:4" ht="41.25" thickBot="1">
      <c r="B33" s="171" t="s">
        <v>281</v>
      </c>
      <c r="C33" s="172" t="s">
        <v>280</v>
      </c>
      <c r="D33" s="172" t="s">
        <v>282</v>
      </c>
    </row>
    <row r="34" spans="2:4" ht="41.25" thickBot="1">
      <c r="B34" s="171" t="s">
        <v>283</v>
      </c>
      <c r="C34" s="172" t="s">
        <v>280</v>
      </c>
      <c r="D34" s="172" t="s">
        <v>275</v>
      </c>
    </row>
    <row r="35" spans="2:4" ht="41.25" thickBot="1">
      <c r="B35" s="167" t="s">
        <v>284</v>
      </c>
      <c r="C35" s="168" t="s">
        <v>285</v>
      </c>
      <c r="D35" s="168" t="s">
        <v>286</v>
      </c>
    </row>
    <row r="36" spans="2:4" thickBot="1">
      <c r="B36" s="167" t="s">
        <v>287</v>
      </c>
      <c r="C36" s="168" t="s">
        <v>288</v>
      </c>
      <c r="D36" s="168" t="s">
        <v>289</v>
      </c>
    </row>
    <row r="37" spans="2:4" ht="41.25" thickBot="1">
      <c r="B37" s="167" t="s">
        <v>290</v>
      </c>
      <c r="C37" s="168" t="s">
        <v>220</v>
      </c>
      <c r="D37" s="168" t="s">
        <v>291</v>
      </c>
    </row>
    <row r="38" spans="2:4" ht="41.25" thickBot="1">
      <c r="B38" s="167" t="s">
        <v>292</v>
      </c>
      <c r="C38" s="168" t="s">
        <v>293</v>
      </c>
      <c r="D38" s="168" t="s">
        <v>294</v>
      </c>
    </row>
    <row r="39" spans="2:4" thickBot="1">
      <c r="B39" s="167" t="s">
        <v>295</v>
      </c>
      <c r="C39" s="168" t="s">
        <v>220</v>
      </c>
      <c r="D39" s="168" t="s">
        <v>296</v>
      </c>
    </row>
    <row r="40" spans="2:4" ht="41.25" thickBot="1">
      <c r="B40" s="169" t="s">
        <v>297</v>
      </c>
      <c r="C40" s="170" t="s">
        <v>298</v>
      </c>
      <c r="D40" s="170" t="s">
        <v>299</v>
      </c>
    </row>
    <row r="41" spans="2:4" ht="41.25" thickBot="1">
      <c r="B41" s="169" t="s">
        <v>300</v>
      </c>
      <c r="C41" s="170" t="s">
        <v>301</v>
      </c>
      <c r="D41" s="170" t="s">
        <v>302</v>
      </c>
    </row>
    <row r="42" spans="2:4" ht="41.25" thickBot="1">
      <c r="B42" s="169" t="s">
        <v>303</v>
      </c>
      <c r="C42" s="170" t="s">
        <v>304</v>
      </c>
      <c r="D42" s="170" t="s">
        <v>305</v>
      </c>
    </row>
    <row r="43" spans="2:4" ht="41.25" thickBot="1">
      <c r="B43" s="169" t="s">
        <v>306</v>
      </c>
      <c r="C43" s="170" t="s">
        <v>301</v>
      </c>
      <c r="D43" s="170" t="s">
        <v>307</v>
      </c>
    </row>
    <row r="44" spans="2:4" ht="41.25" thickBot="1">
      <c r="B44" s="169" t="s">
        <v>308</v>
      </c>
      <c r="C44" s="170" t="s">
        <v>301</v>
      </c>
      <c r="D44" s="170" t="s">
        <v>309</v>
      </c>
    </row>
    <row r="45" spans="2:4" ht="41.25" thickBot="1">
      <c r="B45" s="169" t="s">
        <v>310</v>
      </c>
      <c r="C45" s="170" t="s">
        <v>301</v>
      </c>
      <c r="D45" s="170" t="s">
        <v>311</v>
      </c>
    </row>
    <row r="46" spans="2:4" ht="41.25" thickBot="1">
      <c r="B46" s="167" t="s">
        <v>312</v>
      </c>
      <c r="C46" s="168" t="s">
        <v>220</v>
      </c>
      <c r="D46" s="168" t="s">
        <v>313</v>
      </c>
    </row>
    <row r="47" spans="2:4" ht="41.25" thickBot="1">
      <c r="B47" s="167" t="s">
        <v>314</v>
      </c>
      <c r="C47" s="168" t="s">
        <v>220</v>
      </c>
      <c r="D47" s="168" t="s">
        <v>315</v>
      </c>
    </row>
    <row r="48" spans="2:4" ht="41.25" thickBot="1">
      <c r="B48" s="167" t="s">
        <v>316</v>
      </c>
      <c r="C48" s="168" t="s">
        <v>220</v>
      </c>
      <c r="D48" s="168" t="s">
        <v>317</v>
      </c>
    </row>
    <row r="49" spans="2:4" thickBot="1">
      <c r="B49" s="167" t="s">
        <v>318</v>
      </c>
      <c r="C49" s="168" t="s">
        <v>220</v>
      </c>
      <c r="D49" s="168" t="s">
        <v>319</v>
      </c>
    </row>
    <row r="50" spans="2:4" ht="41.25" thickBot="1">
      <c r="B50" s="167" t="s">
        <v>320</v>
      </c>
      <c r="C50" s="168" t="s">
        <v>321</v>
      </c>
      <c r="D50" s="168" t="s">
        <v>322</v>
      </c>
    </row>
    <row r="51" spans="2:4" ht="41.25" thickBot="1">
      <c r="B51" s="167" t="s">
        <v>323</v>
      </c>
      <c r="C51" s="168" t="s">
        <v>220</v>
      </c>
      <c r="D51" s="168" t="s">
        <v>324</v>
      </c>
    </row>
    <row r="52" spans="2:4" ht="41.25" thickBot="1">
      <c r="B52" s="171" t="s">
        <v>325</v>
      </c>
      <c r="C52" s="172" t="s">
        <v>220</v>
      </c>
      <c r="D52" s="172" t="s">
        <v>326</v>
      </c>
    </row>
    <row r="53" spans="2:4" ht="61.5" thickBot="1">
      <c r="B53" s="171" t="s">
        <v>327</v>
      </c>
      <c r="C53" s="172" t="s">
        <v>325</v>
      </c>
      <c r="D53" s="172" t="s">
        <v>328</v>
      </c>
    </row>
    <row r="54" spans="2:4" thickBot="1">
      <c r="B54" s="167" t="s">
        <v>329</v>
      </c>
      <c r="C54" s="168" t="s">
        <v>220</v>
      </c>
      <c r="D54" s="168" t="s">
        <v>330</v>
      </c>
    </row>
    <row r="55" spans="2:4" ht="41.25" thickBot="1">
      <c r="B55" s="167" t="s">
        <v>331</v>
      </c>
      <c r="C55" s="168" t="s">
        <v>220</v>
      </c>
      <c r="D55" s="168" t="s">
        <v>332</v>
      </c>
    </row>
    <row r="56" spans="2:4" ht="41.25" thickBot="1">
      <c r="B56" s="167" t="s">
        <v>333</v>
      </c>
      <c r="C56" s="168" t="s">
        <v>220</v>
      </c>
      <c r="D56" s="168" t="s">
        <v>334</v>
      </c>
    </row>
    <row r="57" spans="2:4" ht="41.25" thickBot="1">
      <c r="B57" s="167" t="s">
        <v>335</v>
      </c>
      <c r="C57" s="168" t="s">
        <v>336</v>
      </c>
      <c r="D57" s="168" t="s">
        <v>337</v>
      </c>
    </row>
    <row r="58" spans="2:4" ht="41.25" thickBot="1">
      <c r="B58" s="167" t="s">
        <v>338</v>
      </c>
      <c r="C58" s="168" t="s">
        <v>220</v>
      </c>
      <c r="D58" s="168" t="s">
        <v>339</v>
      </c>
    </row>
    <row r="59" spans="2:4" ht="41.25" thickBot="1">
      <c r="B59" s="167" t="s">
        <v>340</v>
      </c>
      <c r="C59" s="168" t="s">
        <v>220</v>
      </c>
      <c r="D59" s="168" t="s">
        <v>341</v>
      </c>
    </row>
    <row r="60" spans="2:4" ht="41.25" thickBot="1">
      <c r="B60" s="169" t="s">
        <v>342</v>
      </c>
      <c r="C60" s="170" t="s">
        <v>343</v>
      </c>
      <c r="D60" s="170" t="s">
        <v>344</v>
      </c>
    </row>
    <row r="61" spans="2:4" ht="41.25" thickBot="1">
      <c r="B61" s="169" t="s">
        <v>345</v>
      </c>
      <c r="C61" s="170" t="s">
        <v>346</v>
      </c>
      <c r="D61" s="170" t="s">
        <v>347</v>
      </c>
    </row>
    <row r="62" spans="2:4" ht="41.25" thickBot="1">
      <c r="B62" s="169" t="s">
        <v>348</v>
      </c>
      <c r="C62" s="170" t="s">
        <v>346</v>
      </c>
      <c r="D62" s="170" t="s">
        <v>349</v>
      </c>
    </row>
    <row r="63" spans="2:4" ht="41.25" thickBot="1">
      <c r="B63" s="169" t="s">
        <v>350</v>
      </c>
      <c r="C63" s="170" t="s">
        <v>351</v>
      </c>
      <c r="D63" s="170" t="s">
        <v>352</v>
      </c>
    </row>
    <row r="64" spans="2:4" thickBot="1">
      <c r="B64" s="169" t="s">
        <v>353</v>
      </c>
      <c r="C64" s="170" t="s">
        <v>346</v>
      </c>
      <c r="D64" s="170" t="s">
        <v>354</v>
      </c>
    </row>
    <row r="65" spans="2:4" thickBot="1">
      <c r="B65" s="167" t="s">
        <v>355</v>
      </c>
      <c r="C65" s="168" t="s">
        <v>220</v>
      </c>
      <c r="D65" s="168" t="s">
        <v>356</v>
      </c>
    </row>
    <row r="66" spans="2:4" ht="41.25" thickBot="1">
      <c r="B66" s="169" t="s">
        <v>357</v>
      </c>
      <c r="C66" s="170" t="s">
        <v>358</v>
      </c>
      <c r="D66" s="170" t="s">
        <v>359</v>
      </c>
    </row>
    <row r="67" spans="2:4" ht="41.25" thickBot="1">
      <c r="B67" s="169" t="s">
        <v>360</v>
      </c>
      <c r="C67" s="170" t="s">
        <v>361</v>
      </c>
      <c r="D67" s="170" t="s">
        <v>362</v>
      </c>
    </row>
    <row r="68" spans="2:4" ht="41.25" thickBot="1">
      <c r="B68" s="169" t="s">
        <v>363</v>
      </c>
      <c r="C68" s="170" t="s">
        <v>364</v>
      </c>
      <c r="D68" s="170" t="s">
        <v>365</v>
      </c>
    </row>
    <row r="69" spans="2:4" ht="61.5" thickBot="1">
      <c r="B69" s="169" t="s">
        <v>366</v>
      </c>
      <c r="C69" s="170" t="s">
        <v>367</v>
      </c>
      <c r="D69" s="170" t="s">
        <v>368</v>
      </c>
    </row>
    <row r="70" spans="2:4" thickBot="1">
      <c r="B70" s="167" t="s">
        <v>369</v>
      </c>
      <c r="C70" s="168" t="s">
        <v>220</v>
      </c>
      <c r="D70" s="168" t="s">
        <v>370</v>
      </c>
    </row>
    <row r="71" spans="2:4" ht="41.25" thickBot="1">
      <c r="B71" s="167" t="s">
        <v>371</v>
      </c>
      <c r="C71" s="168" t="s">
        <v>372</v>
      </c>
      <c r="D71" s="168" t="s">
        <v>373</v>
      </c>
    </row>
    <row r="72" spans="2:4" ht="41.25" thickBot="1">
      <c r="B72" s="167" t="s">
        <v>374</v>
      </c>
      <c r="C72" s="168" t="s">
        <v>375</v>
      </c>
      <c r="D72" s="168" t="s">
        <v>376</v>
      </c>
    </row>
    <row r="73" spans="2:4" thickBot="1">
      <c r="B73" s="167" t="s">
        <v>377</v>
      </c>
      <c r="C73" s="168" t="s">
        <v>378</v>
      </c>
      <c r="D73" s="168" t="s">
        <v>379</v>
      </c>
    </row>
    <row r="74" spans="2:4" ht="41.25" thickBot="1">
      <c r="B74" s="167" t="s">
        <v>380</v>
      </c>
      <c r="C74" s="168" t="s">
        <v>336</v>
      </c>
      <c r="D74" s="168" t="s">
        <v>381</v>
      </c>
    </row>
    <row r="75" spans="2:4" thickBot="1">
      <c r="B75" s="167" t="s">
        <v>382</v>
      </c>
      <c r="C75" s="168" t="s">
        <v>220</v>
      </c>
      <c r="D75" s="168" t="s">
        <v>383</v>
      </c>
    </row>
    <row r="76" spans="2:4" ht="41.25" thickBot="1">
      <c r="B76" s="167" t="s">
        <v>384</v>
      </c>
      <c r="C76" s="168" t="s">
        <v>220</v>
      </c>
      <c r="D76" s="168" t="s">
        <v>385</v>
      </c>
    </row>
    <row r="77" spans="2:4" ht="41.25" thickBot="1">
      <c r="B77" s="167" t="s">
        <v>386</v>
      </c>
      <c r="C77" s="168" t="s">
        <v>387</v>
      </c>
      <c r="D77" s="168" t="s">
        <v>388</v>
      </c>
    </row>
    <row r="78" spans="2:4" ht="41.25" thickBot="1">
      <c r="B78" s="169" t="s">
        <v>389</v>
      </c>
      <c r="C78" s="170" t="s">
        <v>220</v>
      </c>
      <c r="D78" s="170" t="s">
        <v>390</v>
      </c>
    </row>
    <row r="79" spans="2:4" ht="41.25" thickBot="1">
      <c r="B79" s="169" t="s">
        <v>391</v>
      </c>
      <c r="C79" s="170" t="s">
        <v>392</v>
      </c>
      <c r="D79" s="170" t="s">
        <v>393</v>
      </c>
    </row>
    <row r="80" spans="2:4" ht="41.25" thickBot="1">
      <c r="B80" s="169" t="s">
        <v>394</v>
      </c>
      <c r="C80" s="170" t="s">
        <v>392</v>
      </c>
      <c r="D80" s="170" t="s">
        <v>395</v>
      </c>
    </row>
    <row r="81" spans="2:4" ht="41.25" thickBot="1">
      <c r="B81" s="169" t="s">
        <v>396</v>
      </c>
      <c r="C81" s="170" t="s">
        <v>397</v>
      </c>
      <c r="D81" s="170" t="s">
        <v>398</v>
      </c>
    </row>
    <row r="82" spans="2:4" ht="61.5" thickBot="1">
      <c r="B82" s="169" t="s">
        <v>399</v>
      </c>
      <c r="C82" s="170" t="s">
        <v>400</v>
      </c>
      <c r="D82" s="170" t="s">
        <v>401</v>
      </c>
    </row>
    <row r="83" spans="2:4" thickBot="1">
      <c r="B83" s="167" t="s">
        <v>402</v>
      </c>
      <c r="C83" s="168" t="s">
        <v>220</v>
      </c>
      <c r="D83" s="168" t="s">
        <v>403</v>
      </c>
    </row>
    <row r="84" spans="2:4" ht="41.25" thickBot="1">
      <c r="B84" s="167" t="s">
        <v>404</v>
      </c>
      <c r="C84" s="168" t="s">
        <v>103</v>
      </c>
      <c r="D84" s="168" t="s">
        <v>405</v>
      </c>
    </row>
    <row r="85" spans="2:4" ht="41.25" thickBot="1">
      <c r="B85" s="167" t="s">
        <v>406</v>
      </c>
      <c r="C85" s="168" t="s">
        <v>208</v>
      </c>
      <c r="D85" s="168" t="s">
        <v>407</v>
      </c>
    </row>
    <row r="86" spans="2:4" ht="41.25" thickBot="1">
      <c r="B86" s="167" t="s">
        <v>408</v>
      </c>
      <c r="C86" s="168" t="s">
        <v>220</v>
      </c>
      <c r="D86" s="168" t="s">
        <v>407</v>
      </c>
    </row>
    <row r="87" spans="2:4" thickBot="1">
      <c r="B87" s="167" t="s">
        <v>409</v>
      </c>
      <c r="C87" s="168" t="s">
        <v>220</v>
      </c>
      <c r="D87" s="168" t="s">
        <v>410</v>
      </c>
    </row>
    <row r="88" spans="2:4" ht="41.25" thickBot="1">
      <c r="B88" s="167" t="s">
        <v>411</v>
      </c>
      <c r="C88" s="168" t="s">
        <v>270</v>
      </c>
      <c r="D88" s="168" t="s">
        <v>412</v>
      </c>
    </row>
    <row r="89" spans="2:4" ht="41.25" thickBot="1">
      <c r="B89" s="167" t="s">
        <v>413</v>
      </c>
      <c r="C89" s="168" t="s">
        <v>414</v>
      </c>
      <c r="D89" s="168" t="s">
        <v>415</v>
      </c>
    </row>
    <row r="90" spans="2:4" ht="41.25" thickBot="1">
      <c r="B90" s="167" t="s">
        <v>416</v>
      </c>
      <c r="C90" s="168" t="s">
        <v>417</v>
      </c>
      <c r="D90" s="168" t="s">
        <v>418</v>
      </c>
    </row>
    <row r="91" spans="2:4" ht="81.75" thickBot="1">
      <c r="B91" s="167" t="s">
        <v>419</v>
      </c>
      <c r="C91" s="168" t="s">
        <v>420</v>
      </c>
      <c r="D91" s="168" t="s">
        <v>421</v>
      </c>
    </row>
    <row r="92" spans="2:4" ht="41.25" thickBot="1">
      <c r="B92" s="167" t="s">
        <v>422</v>
      </c>
      <c r="C92" s="168" t="s">
        <v>220</v>
      </c>
      <c r="D92" s="168" t="s">
        <v>423</v>
      </c>
    </row>
    <row r="93" spans="2:4" ht="41.25" thickBot="1">
      <c r="B93" s="167" t="s">
        <v>424</v>
      </c>
      <c r="C93" s="168" t="s">
        <v>220</v>
      </c>
      <c r="D93" s="168" t="s">
        <v>425</v>
      </c>
    </row>
    <row r="94" spans="2:4" ht="41.25" thickBot="1">
      <c r="B94" s="175" t="s">
        <v>426</v>
      </c>
      <c r="C94" s="176" t="s">
        <v>205</v>
      </c>
      <c r="D94" s="176" t="s">
        <v>206</v>
      </c>
    </row>
    <row r="95" spans="2:4" thickBot="1">
      <c r="B95" s="174" t="s">
        <v>427</v>
      </c>
      <c r="C95" s="173" t="s">
        <v>428</v>
      </c>
      <c r="D95" s="173" t="s">
        <v>429</v>
      </c>
    </row>
    <row r="96" spans="2:4" thickBot="1">
      <c r="B96" s="174" t="s">
        <v>430</v>
      </c>
      <c r="C96" s="173" t="s">
        <v>431</v>
      </c>
      <c r="D96" s="173" t="s">
        <v>432</v>
      </c>
    </row>
    <row r="97" spans="2:4" ht="41.25" thickBot="1">
      <c r="B97" s="174" t="s">
        <v>433</v>
      </c>
      <c r="C97" s="173" t="s">
        <v>434</v>
      </c>
      <c r="D97" s="173" t="s">
        <v>435</v>
      </c>
    </row>
    <row r="98" spans="2:4" thickBot="1">
      <c r="B98" s="174" t="s">
        <v>436</v>
      </c>
      <c r="C98" s="173" t="s">
        <v>434</v>
      </c>
      <c r="D98" s="173" t="s">
        <v>437</v>
      </c>
    </row>
    <row r="99" spans="2:4" thickBot="1">
      <c r="B99" s="174" t="s">
        <v>438</v>
      </c>
      <c r="C99" s="173" t="s">
        <v>439</v>
      </c>
      <c r="D99" s="173" t="s">
        <v>440</v>
      </c>
    </row>
    <row r="100" spans="2:4" thickBot="1">
      <c r="B100" s="174" t="s">
        <v>441</v>
      </c>
      <c r="C100" s="173" t="s">
        <v>442</v>
      </c>
      <c r="D100" s="173" t="s">
        <v>443</v>
      </c>
    </row>
    <row r="101" spans="2:4" thickBot="1">
      <c r="B101" s="174" t="s">
        <v>444</v>
      </c>
      <c r="C101" s="173" t="s">
        <v>428</v>
      </c>
      <c r="D101" s="173" t="s">
        <v>445</v>
      </c>
    </row>
    <row r="102" spans="2:4" thickBot="1">
      <c r="B102" s="174" t="s">
        <v>446</v>
      </c>
      <c r="C102" s="173" t="s">
        <v>442</v>
      </c>
      <c r="D102" s="173" t="s">
        <v>447</v>
      </c>
    </row>
    <row r="103" spans="2:4" thickBot="1">
      <c r="B103" s="179" t="s">
        <v>448</v>
      </c>
      <c r="C103" s="180" t="s">
        <v>205</v>
      </c>
      <c r="D103" s="180" t="s">
        <v>206</v>
      </c>
    </row>
    <row r="104" spans="2:4" ht="41.25" thickBot="1">
      <c r="B104" s="177" t="s">
        <v>449</v>
      </c>
      <c r="C104" s="178" t="s">
        <v>220</v>
      </c>
      <c r="D104" s="178" t="s">
        <v>450</v>
      </c>
    </row>
    <row r="105" spans="2:4" ht="41.25" thickBot="1">
      <c r="B105" s="177" t="s">
        <v>451</v>
      </c>
      <c r="C105" s="178" t="s">
        <v>220</v>
      </c>
      <c r="D105" s="178" t="s">
        <v>452</v>
      </c>
    </row>
    <row r="106" spans="2:4" ht="41.25" thickBot="1">
      <c r="B106" s="177" t="s">
        <v>453</v>
      </c>
      <c r="C106" s="178" t="s">
        <v>220</v>
      </c>
      <c r="D106" s="178" t="s">
        <v>454</v>
      </c>
    </row>
    <row r="107" spans="2:4" ht="41.25" thickBot="1">
      <c r="B107" s="177" t="s">
        <v>455</v>
      </c>
      <c r="C107" s="178" t="s">
        <v>220</v>
      </c>
      <c r="D107" s="178" t="s">
        <v>456</v>
      </c>
    </row>
    <row r="108" spans="2:4" thickBot="1">
      <c r="B108" s="177" t="s">
        <v>457</v>
      </c>
      <c r="C108" s="178" t="s">
        <v>220</v>
      </c>
      <c r="D108" s="178" t="s">
        <v>458</v>
      </c>
    </row>
    <row r="109" spans="2:4" thickBot="1">
      <c r="B109" s="177" t="s">
        <v>459</v>
      </c>
      <c r="C109" s="178" t="s">
        <v>220</v>
      </c>
      <c r="D109" s="178" t="s">
        <v>460</v>
      </c>
    </row>
    <row r="110" spans="2:4" thickBot="1">
      <c r="B110" s="177" t="s">
        <v>461</v>
      </c>
      <c r="C110" s="178" t="s">
        <v>220</v>
      </c>
      <c r="D110" s="178" t="s">
        <v>462</v>
      </c>
    </row>
    <row r="111" spans="2:4" ht="41.25" thickBot="1">
      <c r="B111" s="177" t="s">
        <v>463</v>
      </c>
      <c r="C111" s="178" t="s">
        <v>220</v>
      </c>
      <c r="D111" s="178" t="s">
        <v>464</v>
      </c>
    </row>
    <row r="112" spans="2:4" thickBot="1">
      <c r="B112" s="177" t="s">
        <v>465</v>
      </c>
      <c r="C112" s="178" t="s">
        <v>220</v>
      </c>
      <c r="D112" s="178" t="s">
        <v>466</v>
      </c>
    </row>
    <row r="113" spans="2:4" ht="21" customHeight="1" thickBot="1">
      <c r="B113" s="828" t="s">
        <v>467</v>
      </c>
      <c r="C113" s="829"/>
      <c r="D113" s="830"/>
    </row>
    <row r="114" spans="2:4" ht="21" customHeight="1" thickBot="1">
      <c r="B114" s="828"/>
      <c r="C114" s="829"/>
      <c r="D114" s="830"/>
    </row>
    <row r="115" spans="2:4" ht="21" customHeight="1" thickBot="1">
      <c r="B115" s="831" t="s">
        <v>468</v>
      </c>
      <c r="C115" s="829"/>
      <c r="D115" s="830"/>
    </row>
    <row r="116" spans="2:4" ht="21" customHeight="1" thickBot="1">
      <c r="B116" s="828"/>
      <c r="C116" s="829"/>
      <c r="D116" s="830"/>
    </row>
    <row r="117" spans="2:4" ht="21" customHeight="1" thickBot="1">
      <c r="B117" s="828" t="s">
        <v>469</v>
      </c>
      <c r="C117" s="829"/>
      <c r="D117" s="830"/>
    </row>
    <row r="118" spans="2:4" ht="21" customHeight="1" thickBot="1">
      <c r="B118" s="828"/>
      <c r="C118" s="829"/>
      <c r="D118" s="830"/>
    </row>
  </sheetData>
  <mergeCells count="3">
    <mergeCell ref="B113:D114"/>
    <mergeCell ref="B115:D116"/>
    <mergeCell ref="B117:D1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showGridLines="0" workbookViewId="0">
      <selection activeCell="P13" sqref="P13"/>
    </sheetView>
  </sheetViews>
  <sheetFormatPr defaultRowHeight="15"/>
  <cols>
    <col min="8" max="8" width="11.85546875" customWidth="1"/>
    <col min="9" max="9" width="14.42578125" customWidth="1"/>
    <col min="10" max="10" width="19.85546875" customWidth="1"/>
    <col min="11" max="11" width="11.5703125" customWidth="1"/>
    <col min="12" max="12" width="39.42578125" customWidth="1"/>
    <col min="13" max="13" width="29.85546875" customWidth="1"/>
    <col min="14" max="14" width="20" customWidth="1"/>
    <col min="18" max="18" width="9.140625" customWidth="1"/>
    <col min="20" max="20" width="3" style="142" customWidth="1"/>
    <col min="32" max="32" width="9.140625" customWidth="1"/>
  </cols>
  <sheetData>
    <row r="1" spans="1:20" ht="20.25" customHeight="1" thickTop="1" thickBot="1">
      <c r="A1" s="837" t="s">
        <v>5</v>
      </c>
      <c r="B1" s="838"/>
      <c r="C1" s="838"/>
      <c r="D1" s="838"/>
      <c r="E1" s="838"/>
      <c r="F1" s="838"/>
      <c r="G1" s="833" t="s">
        <v>26</v>
      </c>
      <c r="H1" s="835">
        <v>10</v>
      </c>
      <c r="T1"/>
    </row>
    <row r="2" spans="1:20" ht="16.5" customHeight="1" thickTop="1" thickBot="1">
      <c r="A2" s="838"/>
      <c r="B2" s="838"/>
      <c r="C2" s="838"/>
      <c r="D2" s="838"/>
      <c r="E2" s="838"/>
      <c r="F2" s="838"/>
      <c r="G2" s="834"/>
      <c r="H2" s="836"/>
      <c r="T2"/>
    </row>
    <row r="3" spans="1:20" ht="15" customHeight="1" thickTop="1" thickBot="1">
      <c r="A3" s="838"/>
      <c r="B3" s="838"/>
      <c r="C3" s="838"/>
      <c r="D3" s="838"/>
      <c r="E3" s="838"/>
      <c r="F3" s="838"/>
      <c r="G3" s="840" t="s">
        <v>107</v>
      </c>
      <c r="H3" s="841"/>
      <c r="I3" s="841"/>
      <c r="J3" s="841"/>
      <c r="K3" s="841"/>
      <c r="L3" s="841"/>
      <c r="M3" s="841"/>
      <c r="T3"/>
    </row>
    <row r="4" spans="1:20" ht="15" customHeight="1" thickTop="1" thickBot="1">
      <c r="A4" s="839" t="s">
        <v>44</v>
      </c>
      <c r="B4" s="839"/>
      <c r="C4" s="839"/>
      <c r="D4" s="839"/>
      <c r="E4" s="839"/>
      <c r="F4" s="839"/>
      <c r="G4" s="840"/>
      <c r="H4" s="841"/>
      <c r="I4" s="841"/>
      <c r="J4" s="841"/>
      <c r="K4" s="841"/>
      <c r="L4" s="841"/>
      <c r="M4" s="841"/>
      <c r="T4"/>
    </row>
    <row r="5" spans="1:20" ht="20.25" thickTop="1" thickBot="1">
      <c r="A5" s="839"/>
      <c r="B5" s="839"/>
      <c r="C5" s="839"/>
      <c r="D5" s="839"/>
      <c r="E5" s="839"/>
      <c r="F5" s="839"/>
      <c r="G5" s="182" t="s">
        <v>470</v>
      </c>
      <c r="H5" s="183" t="s">
        <v>471</v>
      </c>
      <c r="I5" s="184" t="s">
        <v>199</v>
      </c>
      <c r="J5" s="184" t="s">
        <v>200</v>
      </c>
      <c r="K5" s="184" t="s">
        <v>201</v>
      </c>
      <c r="L5" s="437" t="s">
        <v>472</v>
      </c>
      <c r="M5" s="442" t="s">
        <v>1185</v>
      </c>
      <c r="T5"/>
    </row>
    <row r="6" spans="1:20" ht="22.5" customHeight="1" thickTop="1" thickBot="1">
      <c r="A6" s="181">
        <v>1</v>
      </c>
      <c r="B6" s="832" t="s">
        <v>473</v>
      </c>
      <c r="C6" s="832"/>
      <c r="D6" s="832"/>
      <c r="E6" s="832"/>
      <c r="F6" s="832"/>
      <c r="G6" s="186">
        <v>1</v>
      </c>
      <c r="H6" s="187">
        <v>1</v>
      </c>
      <c r="I6" s="188">
        <v>2</v>
      </c>
      <c r="J6" s="188">
        <v>0</v>
      </c>
      <c r="K6" s="188">
        <v>0</v>
      </c>
      <c r="L6" s="438" t="s">
        <v>1184</v>
      </c>
      <c r="M6" s="441"/>
      <c r="T6"/>
    </row>
    <row r="7" spans="1:20" ht="22.5" customHeight="1" thickTop="1" thickBot="1">
      <c r="A7" s="181">
        <v>2</v>
      </c>
      <c r="B7" s="832" t="s">
        <v>475</v>
      </c>
      <c r="C7" s="832"/>
      <c r="D7" s="832"/>
      <c r="E7" s="832"/>
      <c r="F7" s="832"/>
      <c r="G7" s="182">
        <v>2</v>
      </c>
      <c r="H7" s="183">
        <v>2</v>
      </c>
      <c r="I7" s="185">
        <v>3</v>
      </c>
      <c r="J7" s="185">
        <v>0</v>
      </c>
      <c r="K7" s="185">
        <v>0</v>
      </c>
      <c r="L7" s="439" t="s">
        <v>474</v>
      </c>
      <c r="M7" s="443"/>
      <c r="T7"/>
    </row>
    <row r="8" spans="1:20" ht="22.5" customHeight="1" thickTop="1" thickBot="1">
      <c r="A8" s="181">
        <v>3</v>
      </c>
      <c r="B8" s="832" t="s">
        <v>59</v>
      </c>
      <c r="C8" s="832"/>
      <c r="D8" s="832"/>
      <c r="E8" s="832"/>
      <c r="F8" s="832"/>
      <c r="G8" s="186">
        <v>3</v>
      </c>
      <c r="H8" s="187">
        <v>3</v>
      </c>
      <c r="I8" s="188">
        <v>3</v>
      </c>
      <c r="J8" s="188">
        <v>1</v>
      </c>
      <c r="K8" s="188">
        <v>1</v>
      </c>
      <c r="L8" s="440" t="s">
        <v>1183</v>
      </c>
      <c r="M8" s="441"/>
      <c r="T8"/>
    </row>
    <row r="9" spans="1:20" ht="22.5" customHeight="1" thickTop="1" thickBot="1">
      <c r="A9" s="181">
        <v>4</v>
      </c>
      <c r="B9" s="832" t="s">
        <v>476</v>
      </c>
      <c r="C9" s="832"/>
      <c r="D9" s="832"/>
      <c r="E9" s="832"/>
      <c r="F9" s="832"/>
      <c r="G9" s="182">
        <v>4</v>
      </c>
      <c r="H9" s="183">
        <v>4</v>
      </c>
      <c r="I9" s="185">
        <v>4</v>
      </c>
      <c r="J9" s="185">
        <v>1</v>
      </c>
      <c r="K9" s="185">
        <v>1</v>
      </c>
      <c r="L9" s="439" t="s">
        <v>474</v>
      </c>
      <c r="M9" s="444" t="s">
        <v>1186</v>
      </c>
      <c r="T9"/>
    </row>
    <row r="10" spans="1:20" ht="22.5" customHeight="1" thickTop="1" thickBot="1">
      <c r="A10" s="181">
        <v>5</v>
      </c>
      <c r="B10" s="832" t="s">
        <v>477</v>
      </c>
      <c r="C10" s="832"/>
      <c r="D10" s="832"/>
      <c r="E10" s="832"/>
      <c r="F10" s="832"/>
      <c r="G10" s="186">
        <v>5</v>
      </c>
      <c r="H10" s="187">
        <v>5</v>
      </c>
      <c r="I10" s="188">
        <v>4</v>
      </c>
      <c r="J10" s="188">
        <v>1</v>
      </c>
      <c r="K10" s="188">
        <v>1</v>
      </c>
      <c r="L10" s="440"/>
      <c r="M10" s="441"/>
      <c r="T10"/>
    </row>
    <row r="11" spans="1:20" ht="22.5" customHeight="1" thickTop="1" thickBot="1">
      <c r="A11" s="181">
        <v>6</v>
      </c>
      <c r="B11" s="832" t="s">
        <v>478</v>
      </c>
      <c r="C11" s="832"/>
      <c r="D11" s="832"/>
      <c r="E11" s="832"/>
      <c r="F11" s="832"/>
      <c r="G11" s="182">
        <v>6</v>
      </c>
      <c r="H11" s="183">
        <v>6</v>
      </c>
      <c r="I11" s="185">
        <v>5</v>
      </c>
      <c r="J11" s="185">
        <v>2</v>
      </c>
      <c r="K11" s="185">
        <v>2</v>
      </c>
      <c r="L11" s="439" t="s">
        <v>1184</v>
      </c>
      <c r="M11" s="443"/>
      <c r="T11"/>
    </row>
    <row r="12" spans="1:20" ht="22.5" customHeight="1" thickTop="1" thickBot="1">
      <c r="A12" s="181">
        <v>7</v>
      </c>
      <c r="B12" s="832" t="s">
        <v>479</v>
      </c>
      <c r="C12" s="832"/>
      <c r="D12" s="832"/>
      <c r="E12" s="832"/>
      <c r="F12" s="832"/>
      <c r="G12" s="186">
        <v>7</v>
      </c>
      <c r="H12" s="187">
        <v>7</v>
      </c>
      <c r="I12" s="188">
        <v>5</v>
      </c>
      <c r="J12" s="188">
        <v>2</v>
      </c>
      <c r="K12" s="188">
        <v>2</v>
      </c>
      <c r="L12" s="440"/>
      <c r="M12" s="441"/>
      <c r="T12"/>
    </row>
    <row r="13" spans="1:20" ht="22.5" customHeight="1" thickTop="1" thickBot="1">
      <c r="A13" s="379"/>
      <c r="B13" s="136"/>
      <c r="C13" s="136"/>
      <c r="D13" s="136"/>
      <c r="E13" s="136"/>
      <c r="F13" s="136"/>
      <c r="G13" s="183">
        <v>8</v>
      </c>
      <c r="H13" s="183">
        <v>8</v>
      </c>
      <c r="I13" s="185">
        <v>6</v>
      </c>
      <c r="J13" s="185">
        <v>2</v>
      </c>
      <c r="K13" s="185">
        <v>2</v>
      </c>
      <c r="L13" s="439" t="s">
        <v>474</v>
      </c>
      <c r="M13" s="444" t="s">
        <v>1186</v>
      </c>
      <c r="T13"/>
    </row>
    <row r="14" spans="1:20" ht="22.5" customHeight="1" thickTop="1" thickBot="1">
      <c r="A14" s="379"/>
      <c r="B14" s="136"/>
      <c r="C14" s="136"/>
      <c r="D14" s="136"/>
      <c r="E14" s="136"/>
      <c r="F14" s="136"/>
      <c r="G14" s="187">
        <v>9</v>
      </c>
      <c r="H14" s="187">
        <v>9</v>
      </c>
      <c r="I14" s="188">
        <v>6</v>
      </c>
      <c r="J14" s="188">
        <v>3</v>
      </c>
      <c r="K14" s="188">
        <v>3</v>
      </c>
      <c r="L14" s="440" t="s">
        <v>1183</v>
      </c>
      <c r="M14" s="441"/>
      <c r="T14"/>
    </row>
    <row r="15" spans="1:20" ht="20.25" thickTop="1" thickBot="1">
      <c r="G15" s="183">
        <v>10</v>
      </c>
      <c r="H15" s="183">
        <v>10</v>
      </c>
      <c r="I15" s="185">
        <v>7</v>
      </c>
      <c r="J15" s="185">
        <v>3</v>
      </c>
      <c r="K15" s="185">
        <v>3</v>
      </c>
      <c r="L15" s="439" t="s">
        <v>474</v>
      </c>
      <c r="M15" s="443"/>
      <c r="T15"/>
    </row>
    <row r="16" spans="1:20" ht="20.25" thickTop="1" thickBot="1">
      <c r="G16" s="187">
        <v>11</v>
      </c>
      <c r="H16" s="187">
        <v>11</v>
      </c>
      <c r="I16" s="188">
        <v>7</v>
      </c>
      <c r="J16" s="188">
        <v>3</v>
      </c>
      <c r="K16" s="188">
        <v>3</v>
      </c>
      <c r="L16" s="440"/>
      <c r="M16" s="441"/>
      <c r="T16"/>
    </row>
    <row r="17" spans="7:20" ht="20.25" thickTop="1" thickBot="1">
      <c r="G17" s="183">
        <v>12</v>
      </c>
      <c r="H17" s="183">
        <v>12</v>
      </c>
      <c r="I17" s="185">
        <v>8</v>
      </c>
      <c r="J17" s="185">
        <v>4</v>
      </c>
      <c r="K17" s="185">
        <v>4</v>
      </c>
      <c r="L17" s="439" t="s">
        <v>1184</v>
      </c>
      <c r="M17" s="444" t="s">
        <v>1186</v>
      </c>
      <c r="T17"/>
    </row>
    <row r="18" spans="7:20" ht="20.25" thickTop="1" thickBot="1">
      <c r="G18" s="187">
        <v>13</v>
      </c>
      <c r="H18" s="187">
        <v>13</v>
      </c>
      <c r="I18" s="188">
        <v>8</v>
      </c>
      <c r="J18" s="188">
        <v>4</v>
      </c>
      <c r="K18" s="188">
        <v>4</v>
      </c>
      <c r="L18" s="440"/>
      <c r="M18" s="441"/>
      <c r="T18"/>
    </row>
    <row r="19" spans="7:20" ht="20.25" thickTop="1" thickBot="1">
      <c r="G19" s="183">
        <v>14</v>
      </c>
      <c r="H19" s="183">
        <v>14</v>
      </c>
      <c r="I19" s="185">
        <v>9</v>
      </c>
      <c r="J19" s="185">
        <v>4</v>
      </c>
      <c r="K19" s="185">
        <v>4</v>
      </c>
      <c r="L19" s="439" t="s">
        <v>474</v>
      </c>
      <c r="M19" s="443"/>
      <c r="T19"/>
    </row>
    <row r="20" spans="7:20" ht="20.25" thickTop="1" thickBot="1">
      <c r="G20" s="187">
        <v>15</v>
      </c>
      <c r="H20" s="187">
        <v>15</v>
      </c>
      <c r="I20" s="188">
        <v>9</v>
      </c>
      <c r="J20" s="188">
        <v>5</v>
      </c>
      <c r="K20" s="188">
        <v>5</v>
      </c>
      <c r="L20" s="440" t="s">
        <v>1183</v>
      </c>
      <c r="M20" s="441"/>
      <c r="T20"/>
    </row>
    <row r="21" spans="7:20" ht="20.25" thickTop="1" thickBot="1">
      <c r="G21" s="183">
        <v>16</v>
      </c>
      <c r="H21" s="183">
        <v>16</v>
      </c>
      <c r="I21" s="185">
        <v>10</v>
      </c>
      <c r="J21" s="185">
        <v>5</v>
      </c>
      <c r="K21" s="185">
        <v>5</v>
      </c>
      <c r="L21" s="439" t="s">
        <v>474</v>
      </c>
      <c r="M21" s="444" t="s">
        <v>1186</v>
      </c>
      <c r="T21"/>
    </row>
    <row r="22" spans="7:20" ht="20.25" thickTop="1" thickBot="1">
      <c r="G22" s="187">
        <v>17</v>
      </c>
      <c r="H22" s="187">
        <v>17</v>
      </c>
      <c r="I22" s="188">
        <v>10</v>
      </c>
      <c r="J22" s="188">
        <v>5</v>
      </c>
      <c r="K22" s="188">
        <v>5</v>
      </c>
      <c r="L22" s="440"/>
      <c r="M22" s="441"/>
      <c r="T22"/>
    </row>
    <row r="23" spans="7:20" ht="20.25" thickTop="1" thickBot="1">
      <c r="G23" s="183">
        <v>18</v>
      </c>
      <c r="H23" s="183">
        <v>18</v>
      </c>
      <c r="I23" s="185">
        <v>11</v>
      </c>
      <c r="J23" s="185">
        <v>6</v>
      </c>
      <c r="K23" s="185">
        <v>6</v>
      </c>
      <c r="L23" s="439" t="s">
        <v>1184</v>
      </c>
      <c r="M23" s="443"/>
      <c r="T23"/>
    </row>
    <row r="24" spans="7:20" ht="20.25" thickTop="1" thickBot="1">
      <c r="G24" s="187">
        <v>19</v>
      </c>
      <c r="H24" s="187">
        <v>19</v>
      </c>
      <c r="I24" s="188">
        <v>11</v>
      </c>
      <c r="J24" s="188">
        <v>6</v>
      </c>
      <c r="K24" s="188">
        <v>6</v>
      </c>
      <c r="L24" s="440"/>
      <c r="M24" s="441"/>
    </row>
    <row r="25" spans="7:20" ht="20.25" thickTop="1" thickBot="1">
      <c r="G25" s="183">
        <v>20</v>
      </c>
      <c r="H25" s="183">
        <v>20</v>
      </c>
      <c r="I25" s="185">
        <v>12</v>
      </c>
      <c r="J25" s="185">
        <v>6</v>
      </c>
      <c r="K25" s="185">
        <v>6</v>
      </c>
      <c r="L25" s="439" t="s">
        <v>474</v>
      </c>
      <c r="M25" s="444" t="s">
        <v>1186</v>
      </c>
    </row>
    <row r="26" spans="7:20" s="142" customFormat="1" ht="15.75" thickTop="1"/>
    <row r="41" spans="1:8">
      <c r="A41" s="141"/>
      <c r="B41" s="141"/>
      <c r="C41" s="141"/>
      <c r="D41" s="141"/>
      <c r="E41" s="141"/>
      <c r="F41" s="141"/>
      <c r="G41" s="141"/>
      <c r="H41" s="141"/>
    </row>
    <row r="42" spans="1:8">
      <c r="A42" s="141"/>
      <c r="B42" s="141"/>
      <c r="C42" s="141"/>
      <c r="D42" s="141"/>
      <c r="E42" s="141"/>
      <c r="F42" s="141"/>
      <c r="G42" s="141"/>
      <c r="H42" s="141"/>
    </row>
  </sheetData>
  <mergeCells count="12">
    <mergeCell ref="B12:F12"/>
    <mergeCell ref="G1:G2"/>
    <mergeCell ref="H1:H2"/>
    <mergeCell ref="A1:F3"/>
    <mergeCell ref="A4:F5"/>
    <mergeCell ref="B6:F6"/>
    <mergeCell ref="B7:F7"/>
    <mergeCell ref="B8:F8"/>
    <mergeCell ref="B9:F9"/>
    <mergeCell ref="B10:F10"/>
    <mergeCell ref="B11:F11"/>
    <mergeCell ref="G3:M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showGridLines="0" showRowColHeaders="0" zoomScale="85" zoomScaleNormal="85" workbookViewId="0">
      <selection activeCell="F1" sqref="F1:F2"/>
    </sheetView>
  </sheetViews>
  <sheetFormatPr defaultRowHeight="15"/>
  <cols>
    <col min="4" max="4" width="13.28515625" customWidth="1"/>
    <col min="5" max="5" width="9.140625" customWidth="1"/>
    <col min="7" max="7" width="11.28515625" customWidth="1"/>
    <col min="8" max="8" width="12.5703125" customWidth="1"/>
    <col min="10" max="10" width="11.140625" customWidth="1"/>
    <col min="11" max="11" width="14.7109375" customWidth="1"/>
    <col min="12" max="12" width="45" customWidth="1"/>
    <col min="14" max="14" width="8" customWidth="1"/>
    <col min="15" max="15" width="9.42578125" customWidth="1"/>
    <col min="17" max="17" width="9.140625" customWidth="1"/>
  </cols>
  <sheetData>
    <row r="1" spans="1:19" ht="37.5" customHeight="1" thickBot="1">
      <c r="A1" s="862" t="s">
        <v>190</v>
      </c>
      <c r="B1" s="863"/>
      <c r="C1" s="863"/>
      <c r="D1" s="864"/>
      <c r="E1" s="861" t="s">
        <v>26</v>
      </c>
      <c r="F1" s="861">
        <v>6</v>
      </c>
      <c r="G1" s="850" t="s">
        <v>2</v>
      </c>
      <c r="H1" s="850" t="s">
        <v>480</v>
      </c>
      <c r="I1" s="850" t="s">
        <v>481</v>
      </c>
      <c r="J1" s="859" t="s">
        <v>482</v>
      </c>
      <c r="K1" s="859" t="s">
        <v>483</v>
      </c>
      <c r="L1" s="190" t="s">
        <v>484</v>
      </c>
      <c r="M1" s="856" t="s">
        <v>196</v>
      </c>
      <c r="N1" s="857"/>
      <c r="O1" s="857"/>
      <c r="P1" s="857"/>
      <c r="Q1" s="857"/>
      <c r="R1" s="857"/>
      <c r="S1" s="858"/>
    </row>
    <row r="2" spans="1:19" ht="25.5" customHeight="1" thickBot="1">
      <c r="A2" s="863"/>
      <c r="B2" s="863"/>
      <c r="C2" s="863"/>
      <c r="D2" s="864"/>
      <c r="E2" s="861"/>
      <c r="F2" s="861"/>
      <c r="G2" s="850"/>
      <c r="H2" s="850"/>
      <c r="I2" s="850"/>
      <c r="J2" s="860"/>
      <c r="K2" s="860"/>
      <c r="L2" s="190"/>
      <c r="M2" s="191">
        <v>0</v>
      </c>
      <c r="N2" s="191">
        <v>1</v>
      </c>
      <c r="O2" s="191">
        <v>2</v>
      </c>
      <c r="P2" s="191">
        <v>3</v>
      </c>
      <c r="Q2" s="191">
        <v>4</v>
      </c>
      <c r="R2" s="191">
        <v>5</v>
      </c>
      <c r="S2" s="191">
        <v>6</v>
      </c>
    </row>
    <row r="3" spans="1:19" ht="54.75" customHeight="1" thickBot="1">
      <c r="A3" s="143"/>
      <c r="B3" s="143"/>
      <c r="C3" s="143"/>
      <c r="D3" s="143"/>
      <c r="E3" s="143"/>
      <c r="F3" s="143"/>
      <c r="G3" s="216">
        <v>1</v>
      </c>
      <c r="H3" s="216">
        <v>0</v>
      </c>
      <c r="I3" s="216">
        <v>0</v>
      </c>
      <c r="J3" s="216">
        <v>2</v>
      </c>
      <c r="K3" s="216">
        <v>2</v>
      </c>
      <c r="L3" s="159" t="s">
        <v>485</v>
      </c>
      <c r="M3" s="162">
        <v>2</v>
      </c>
      <c r="N3" s="162" t="s">
        <v>220</v>
      </c>
      <c r="O3" s="162" t="s">
        <v>220</v>
      </c>
      <c r="P3" s="162" t="s">
        <v>220</v>
      </c>
      <c r="Q3" s="162" t="s">
        <v>220</v>
      </c>
      <c r="R3" s="162" t="s">
        <v>220</v>
      </c>
      <c r="S3" s="162" t="s">
        <v>198</v>
      </c>
    </row>
    <row r="4" spans="1:19" ht="16.5" customHeight="1" thickBot="1">
      <c r="A4" s="143"/>
      <c r="B4" s="143"/>
      <c r="C4" s="143"/>
      <c r="D4" s="143"/>
      <c r="E4" s="143"/>
      <c r="F4" s="143"/>
      <c r="G4" s="194">
        <v>2</v>
      </c>
      <c r="H4" s="194">
        <v>1</v>
      </c>
      <c r="I4" s="194">
        <v>0</v>
      </c>
      <c r="J4" s="194">
        <v>3</v>
      </c>
      <c r="K4" s="194">
        <v>3</v>
      </c>
      <c r="L4" s="192" t="s">
        <v>486</v>
      </c>
      <c r="M4" s="191">
        <v>3</v>
      </c>
      <c r="N4" s="191">
        <v>0</v>
      </c>
      <c r="O4" s="191" t="s">
        <v>220</v>
      </c>
      <c r="P4" s="191" t="s">
        <v>198</v>
      </c>
      <c r="Q4" s="191" t="s">
        <v>220</v>
      </c>
      <c r="R4" s="191" t="s">
        <v>220</v>
      </c>
      <c r="S4" s="191" t="s">
        <v>198</v>
      </c>
    </row>
    <row r="5" spans="1:19" ht="35.25" customHeight="1" thickBot="1">
      <c r="A5" s="143"/>
      <c r="B5" s="143"/>
      <c r="C5" s="143"/>
      <c r="D5" s="143"/>
      <c r="E5" s="143"/>
      <c r="F5" s="143"/>
      <c r="G5" s="216">
        <v>3</v>
      </c>
      <c r="H5" s="216">
        <v>2</v>
      </c>
      <c r="I5" s="216">
        <v>1</v>
      </c>
      <c r="J5" s="216">
        <v>3</v>
      </c>
      <c r="K5" s="216">
        <v>3</v>
      </c>
      <c r="L5" s="159" t="s">
        <v>487</v>
      </c>
      <c r="M5" s="162">
        <v>3</v>
      </c>
      <c r="N5" s="162">
        <v>1</v>
      </c>
      <c r="O5" s="162" t="s">
        <v>220</v>
      </c>
      <c r="P5" s="162" t="s">
        <v>220</v>
      </c>
      <c r="Q5" s="162" t="s">
        <v>220</v>
      </c>
      <c r="R5" s="162" t="s">
        <v>220</v>
      </c>
      <c r="S5" s="162" t="s">
        <v>198</v>
      </c>
    </row>
    <row r="6" spans="1:19" ht="16.5" customHeight="1" thickBot="1">
      <c r="A6" s="143"/>
      <c r="B6" s="143"/>
      <c r="C6" s="143"/>
      <c r="D6" s="143"/>
      <c r="E6" s="143"/>
      <c r="F6" s="143"/>
      <c r="G6" s="194">
        <v>4</v>
      </c>
      <c r="H6" s="194">
        <v>3</v>
      </c>
      <c r="I6" s="194">
        <v>1</v>
      </c>
      <c r="J6" s="194">
        <v>4</v>
      </c>
      <c r="K6" s="194">
        <v>4</v>
      </c>
      <c r="L6" s="192" t="s">
        <v>486</v>
      </c>
      <c r="M6" s="191">
        <v>3</v>
      </c>
      <c r="N6" s="191">
        <v>2</v>
      </c>
      <c r="O6" s="191">
        <v>0</v>
      </c>
      <c r="P6" s="191" t="s">
        <v>220</v>
      </c>
      <c r="Q6" s="191" t="s">
        <v>220</v>
      </c>
      <c r="R6" s="191" t="s">
        <v>220</v>
      </c>
      <c r="S6" s="191" t="s">
        <v>198</v>
      </c>
    </row>
    <row r="7" spans="1:19" ht="16.5" customHeight="1" thickBot="1">
      <c r="A7" s="143"/>
      <c r="B7" s="143"/>
      <c r="C7" s="143"/>
      <c r="D7" s="143"/>
      <c r="E7" s="143"/>
      <c r="F7" s="143"/>
      <c r="G7" s="216">
        <v>5</v>
      </c>
      <c r="H7" s="216">
        <v>3</v>
      </c>
      <c r="I7" s="216">
        <v>1</v>
      </c>
      <c r="J7" s="216">
        <v>4</v>
      </c>
      <c r="K7" s="216">
        <v>4</v>
      </c>
      <c r="L7" s="159"/>
      <c r="M7" s="162">
        <v>3</v>
      </c>
      <c r="N7" s="162">
        <v>3</v>
      </c>
      <c r="O7" s="162">
        <v>1</v>
      </c>
      <c r="P7" s="162" t="s">
        <v>198</v>
      </c>
      <c r="Q7" s="162" t="s">
        <v>198</v>
      </c>
      <c r="R7" s="162" t="s">
        <v>198</v>
      </c>
      <c r="S7" s="162" t="s">
        <v>198</v>
      </c>
    </row>
    <row r="8" spans="1:19" ht="19.5" customHeight="1" thickBot="1">
      <c r="A8" s="143"/>
      <c r="B8" s="143"/>
      <c r="C8" s="143"/>
      <c r="D8" s="143"/>
      <c r="E8" s="143"/>
      <c r="F8" s="143"/>
      <c r="G8" s="195">
        <v>6</v>
      </c>
      <c r="H8" s="195">
        <v>4</v>
      </c>
      <c r="I8" s="195">
        <v>2</v>
      </c>
      <c r="J8" s="195">
        <v>5</v>
      </c>
      <c r="K8" s="195">
        <v>5</v>
      </c>
      <c r="L8" s="193" t="s">
        <v>488</v>
      </c>
      <c r="M8" s="189">
        <v>3</v>
      </c>
      <c r="N8" s="189">
        <v>3</v>
      </c>
      <c r="O8" s="189">
        <v>2</v>
      </c>
      <c r="P8" s="189" t="s">
        <v>198</v>
      </c>
      <c r="Q8" s="189" t="s">
        <v>198</v>
      </c>
      <c r="R8" s="189" t="s">
        <v>198</v>
      </c>
      <c r="S8" s="189" t="s">
        <v>198</v>
      </c>
    </row>
    <row r="9" spans="1:19" ht="19.5" customHeight="1" thickBot="1">
      <c r="A9" s="143"/>
      <c r="B9" s="143"/>
      <c r="C9" s="143"/>
      <c r="D9" s="143"/>
      <c r="E9" s="143"/>
      <c r="F9" s="143"/>
      <c r="G9" s="217">
        <v>7</v>
      </c>
      <c r="H9" s="217">
        <v>5</v>
      </c>
      <c r="I9" s="217">
        <v>2</v>
      </c>
      <c r="J9" s="217">
        <v>5</v>
      </c>
      <c r="K9" s="217">
        <v>5</v>
      </c>
      <c r="L9" s="160"/>
      <c r="M9" s="161">
        <v>3</v>
      </c>
      <c r="N9" s="161">
        <v>3</v>
      </c>
      <c r="O9" s="161">
        <v>2</v>
      </c>
      <c r="P9" s="161">
        <v>0</v>
      </c>
      <c r="Q9" s="161" t="s">
        <v>198</v>
      </c>
      <c r="R9" s="161" t="s">
        <v>198</v>
      </c>
      <c r="S9" s="161" t="s">
        <v>198</v>
      </c>
    </row>
    <row r="10" spans="1:19" ht="19.5" customHeight="1" thickBot="1">
      <c r="A10" s="143"/>
      <c r="B10" s="143"/>
      <c r="C10" s="143"/>
      <c r="D10" s="143"/>
      <c r="E10" s="143"/>
      <c r="F10" s="143"/>
      <c r="G10" s="195">
        <v>8</v>
      </c>
      <c r="H10" s="195">
        <f>6/1</f>
        <v>6</v>
      </c>
      <c r="I10" s="195">
        <v>2</v>
      </c>
      <c r="J10" s="195">
        <v>6</v>
      </c>
      <c r="K10" s="195">
        <v>6</v>
      </c>
      <c r="L10" s="193" t="s">
        <v>489</v>
      </c>
      <c r="M10" s="189">
        <v>3</v>
      </c>
      <c r="N10" s="189">
        <v>3</v>
      </c>
      <c r="O10" s="189">
        <v>3</v>
      </c>
      <c r="P10" s="189">
        <v>1</v>
      </c>
      <c r="Q10" s="189" t="s">
        <v>198</v>
      </c>
      <c r="R10" s="189" t="s">
        <v>198</v>
      </c>
      <c r="S10" s="189" t="s">
        <v>198</v>
      </c>
    </row>
    <row r="11" spans="1:19" ht="19.5" customHeight="1" thickBot="1">
      <c r="A11" s="143"/>
      <c r="B11" s="143"/>
      <c r="C11" s="143"/>
      <c r="D11" s="143"/>
      <c r="E11" s="143"/>
      <c r="F11" s="143"/>
      <c r="G11" s="217">
        <v>9</v>
      </c>
      <c r="H11" s="217">
        <f>6/1</f>
        <v>6</v>
      </c>
      <c r="I11" s="217">
        <v>3</v>
      </c>
      <c r="J11" s="217">
        <v>6</v>
      </c>
      <c r="K11" s="217">
        <v>6</v>
      </c>
      <c r="L11" s="160" t="s">
        <v>490</v>
      </c>
      <c r="M11" s="161">
        <v>3</v>
      </c>
      <c r="N11" s="161">
        <v>3</v>
      </c>
      <c r="O11" s="161">
        <v>3</v>
      </c>
      <c r="P11" s="161">
        <v>2</v>
      </c>
      <c r="Q11" s="161" t="s">
        <v>198</v>
      </c>
      <c r="R11" s="161" t="s">
        <v>198</v>
      </c>
      <c r="S11" s="161" t="s">
        <v>198</v>
      </c>
    </row>
    <row r="12" spans="1:19" ht="19.5" customHeight="1" thickBot="1">
      <c r="A12" s="143"/>
      <c r="B12" s="143"/>
      <c r="C12" s="143"/>
      <c r="D12" s="143"/>
      <c r="E12" s="143"/>
      <c r="F12" s="143"/>
      <c r="G12" s="194">
        <v>10</v>
      </c>
      <c r="H12" s="195">
        <v>7</v>
      </c>
      <c r="I12" s="195">
        <v>3</v>
      </c>
      <c r="J12" s="195">
        <v>7</v>
      </c>
      <c r="K12" s="195">
        <v>7</v>
      </c>
      <c r="L12" s="193"/>
      <c r="M12" s="189">
        <v>3</v>
      </c>
      <c r="N12" s="189">
        <v>3</v>
      </c>
      <c r="O12" s="189">
        <v>3</v>
      </c>
      <c r="P12" s="189">
        <v>2</v>
      </c>
      <c r="Q12" s="189">
        <v>0</v>
      </c>
      <c r="R12" s="189" t="s">
        <v>198</v>
      </c>
      <c r="S12" s="189" t="s">
        <v>198</v>
      </c>
    </row>
    <row r="13" spans="1:19" ht="19.5" customHeight="1" thickBot="1">
      <c r="A13" s="143"/>
      <c r="B13" s="143"/>
      <c r="C13" s="143"/>
      <c r="D13" s="143"/>
      <c r="E13" s="143"/>
      <c r="F13" s="143"/>
      <c r="G13" s="216">
        <v>11</v>
      </c>
      <c r="H13" s="217">
        <v>8</v>
      </c>
      <c r="I13" s="217">
        <v>3</v>
      </c>
      <c r="J13" s="217">
        <v>7</v>
      </c>
      <c r="K13" s="217">
        <v>7</v>
      </c>
      <c r="L13" s="160"/>
      <c r="M13" s="161">
        <v>3</v>
      </c>
      <c r="N13" s="161">
        <v>3</v>
      </c>
      <c r="O13" s="161">
        <v>3</v>
      </c>
      <c r="P13" s="161">
        <v>3</v>
      </c>
      <c r="Q13" s="161">
        <v>1</v>
      </c>
      <c r="R13" s="161" t="s">
        <v>198</v>
      </c>
      <c r="S13" s="161" t="s">
        <v>198</v>
      </c>
    </row>
    <row r="14" spans="1:19" ht="19.5" customHeight="1" thickBot="1">
      <c r="A14" s="143"/>
      <c r="B14" s="143"/>
      <c r="C14" s="143"/>
      <c r="D14" s="143"/>
      <c r="E14" s="143"/>
      <c r="F14" s="143"/>
      <c r="G14" s="194">
        <v>12</v>
      </c>
      <c r="H14" s="195">
        <v>9</v>
      </c>
      <c r="I14" s="195">
        <v>4</v>
      </c>
      <c r="J14" s="195">
        <v>8</v>
      </c>
      <c r="K14" s="195">
        <v>8</v>
      </c>
      <c r="L14" s="193" t="s">
        <v>491</v>
      </c>
      <c r="M14" s="189">
        <v>3</v>
      </c>
      <c r="N14" s="189">
        <v>3</v>
      </c>
      <c r="O14" s="189">
        <v>3</v>
      </c>
      <c r="P14" s="189">
        <v>3</v>
      </c>
      <c r="Q14" s="189">
        <v>2</v>
      </c>
      <c r="R14" s="189" t="s">
        <v>198</v>
      </c>
      <c r="S14" s="189" t="s">
        <v>198</v>
      </c>
    </row>
    <row r="15" spans="1:19" ht="19.5" customHeight="1" thickBot="1">
      <c r="A15" s="143"/>
      <c r="B15" s="143"/>
      <c r="C15" s="143"/>
      <c r="D15" s="143"/>
      <c r="E15" s="143"/>
      <c r="F15" s="143"/>
      <c r="G15" s="216">
        <v>13</v>
      </c>
      <c r="H15" s="217">
        <v>9</v>
      </c>
      <c r="I15" s="217">
        <v>4</v>
      </c>
      <c r="J15" s="217">
        <v>8</v>
      </c>
      <c r="K15" s="217">
        <v>8</v>
      </c>
      <c r="L15" s="160"/>
      <c r="M15" s="161">
        <v>3</v>
      </c>
      <c r="N15" s="161">
        <v>3</v>
      </c>
      <c r="O15" s="161">
        <v>3</v>
      </c>
      <c r="P15" s="161">
        <v>3</v>
      </c>
      <c r="Q15" s="161">
        <v>2</v>
      </c>
      <c r="R15" s="161">
        <v>0</v>
      </c>
      <c r="S15" s="161" t="s">
        <v>198</v>
      </c>
    </row>
    <row r="16" spans="1:19" ht="19.5" customHeight="1" thickBot="1">
      <c r="A16" s="143"/>
      <c r="B16" s="143"/>
      <c r="C16" s="143"/>
      <c r="D16" s="143"/>
      <c r="E16" s="143"/>
      <c r="F16" s="143"/>
      <c r="G16" s="195">
        <v>14</v>
      </c>
      <c r="H16" s="195">
        <v>10</v>
      </c>
      <c r="I16" s="195">
        <v>4</v>
      </c>
      <c r="J16" s="195">
        <v>9</v>
      </c>
      <c r="K16" s="195">
        <v>9</v>
      </c>
      <c r="L16" s="193" t="s">
        <v>492</v>
      </c>
      <c r="M16" s="189">
        <v>4</v>
      </c>
      <c r="N16" s="189">
        <v>3</v>
      </c>
      <c r="O16" s="189">
        <v>3</v>
      </c>
      <c r="P16" s="189">
        <v>3</v>
      </c>
      <c r="Q16" s="189">
        <v>3</v>
      </c>
      <c r="R16" s="189">
        <v>1</v>
      </c>
      <c r="S16" s="189" t="s">
        <v>198</v>
      </c>
    </row>
    <row r="17" spans="1:19" ht="19.5" customHeight="1" thickBot="1">
      <c r="A17" s="143"/>
      <c r="B17" s="143"/>
      <c r="C17" s="143"/>
      <c r="D17" s="143"/>
      <c r="E17" s="143"/>
      <c r="F17" s="143"/>
      <c r="G17" s="217">
        <v>15</v>
      </c>
      <c r="H17" s="217">
        <v>11</v>
      </c>
      <c r="I17" s="217">
        <v>5</v>
      </c>
      <c r="J17" s="217">
        <v>9</v>
      </c>
      <c r="K17" s="217">
        <v>9</v>
      </c>
      <c r="L17" s="160" t="s">
        <v>493</v>
      </c>
      <c r="M17" s="161">
        <v>4</v>
      </c>
      <c r="N17" s="161">
        <v>4</v>
      </c>
      <c r="O17" s="161">
        <v>3</v>
      </c>
      <c r="P17" s="161">
        <v>3</v>
      </c>
      <c r="Q17" s="161">
        <v>3</v>
      </c>
      <c r="R17" s="161">
        <v>2</v>
      </c>
      <c r="S17" s="161" t="s">
        <v>198</v>
      </c>
    </row>
    <row r="18" spans="1:19" ht="19.5" customHeight="1" thickBot="1">
      <c r="A18" s="143"/>
      <c r="B18" s="143"/>
      <c r="C18" s="143"/>
      <c r="D18" s="143"/>
      <c r="E18" s="143"/>
      <c r="F18" s="143"/>
      <c r="G18" s="195">
        <v>16</v>
      </c>
      <c r="H18" s="195">
        <v>12</v>
      </c>
      <c r="I18" s="195">
        <v>5</v>
      </c>
      <c r="J18" s="195">
        <v>10</v>
      </c>
      <c r="K18" s="195">
        <v>10</v>
      </c>
      <c r="L18" s="193"/>
      <c r="M18" s="189">
        <v>4</v>
      </c>
      <c r="N18" s="189">
        <v>4</v>
      </c>
      <c r="O18" s="189">
        <v>4</v>
      </c>
      <c r="P18" s="189">
        <v>3</v>
      </c>
      <c r="Q18" s="189">
        <v>3</v>
      </c>
      <c r="R18" s="189">
        <v>2</v>
      </c>
      <c r="S18" s="189">
        <v>0</v>
      </c>
    </row>
    <row r="19" spans="1:19" ht="19.5" customHeight="1" thickBot="1">
      <c r="A19" s="143"/>
      <c r="B19" s="143"/>
      <c r="C19" s="143"/>
      <c r="D19" s="143"/>
      <c r="E19" s="143"/>
      <c r="F19" s="143"/>
      <c r="G19" s="217">
        <v>17</v>
      </c>
      <c r="H19" s="217">
        <v>12</v>
      </c>
      <c r="I19" s="217">
        <v>5</v>
      </c>
      <c r="J19" s="217">
        <v>10</v>
      </c>
      <c r="K19" s="217">
        <v>10</v>
      </c>
      <c r="L19" s="160"/>
      <c r="M19" s="161">
        <v>4</v>
      </c>
      <c r="N19" s="161">
        <v>4</v>
      </c>
      <c r="O19" s="161">
        <v>4</v>
      </c>
      <c r="P19" s="161">
        <v>4</v>
      </c>
      <c r="Q19" s="161">
        <v>3</v>
      </c>
      <c r="R19" s="161">
        <v>3</v>
      </c>
      <c r="S19" s="161">
        <v>1</v>
      </c>
    </row>
    <row r="20" spans="1:19" ht="19.5" customHeight="1" thickBot="1">
      <c r="A20" s="143"/>
      <c r="B20" s="143"/>
      <c r="C20" s="143"/>
      <c r="D20" s="143"/>
      <c r="E20" s="143"/>
      <c r="F20" s="143"/>
      <c r="G20" s="194">
        <v>18</v>
      </c>
      <c r="H20" s="195">
        <v>13</v>
      </c>
      <c r="I20" s="195">
        <v>6</v>
      </c>
      <c r="J20" s="195">
        <v>11</v>
      </c>
      <c r="K20" s="195">
        <v>11</v>
      </c>
      <c r="L20" s="193" t="s">
        <v>494</v>
      </c>
      <c r="M20" s="189">
        <v>4</v>
      </c>
      <c r="N20" s="189">
        <v>4</v>
      </c>
      <c r="O20" s="189">
        <v>4</v>
      </c>
      <c r="P20" s="189">
        <v>4</v>
      </c>
      <c r="Q20" s="189">
        <v>4</v>
      </c>
      <c r="R20" s="189">
        <v>3</v>
      </c>
      <c r="S20" s="189">
        <v>2</v>
      </c>
    </row>
    <row r="21" spans="1:19" ht="19.5" customHeight="1" thickBot="1">
      <c r="A21" s="143"/>
      <c r="B21" s="143"/>
      <c r="C21" s="143"/>
      <c r="D21" s="143"/>
      <c r="E21" s="143"/>
      <c r="F21" s="143"/>
      <c r="G21" s="216">
        <v>19</v>
      </c>
      <c r="H21" s="217">
        <v>14</v>
      </c>
      <c r="I21" s="217">
        <v>6</v>
      </c>
      <c r="J21" s="217">
        <v>11</v>
      </c>
      <c r="K21" s="217">
        <v>11</v>
      </c>
      <c r="L21" s="160"/>
      <c r="M21" s="161">
        <v>4</v>
      </c>
      <c r="N21" s="161">
        <v>4</v>
      </c>
      <c r="O21" s="161">
        <v>4</v>
      </c>
      <c r="P21" s="161">
        <v>4</v>
      </c>
      <c r="Q21" s="161">
        <v>4</v>
      </c>
      <c r="R21" s="161">
        <v>4</v>
      </c>
      <c r="S21" s="161">
        <v>3</v>
      </c>
    </row>
    <row r="22" spans="1:19" ht="19.5" customHeight="1" thickBot="1">
      <c r="A22" s="143"/>
      <c r="B22" s="143"/>
      <c r="C22" s="143"/>
      <c r="D22" s="143"/>
      <c r="E22" s="143"/>
      <c r="F22" s="143"/>
      <c r="G22" s="194">
        <v>20</v>
      </c>
      <c r="H22" s="195">
        <v>15</v>
      </c>
      <c r="I22" s="195">
        <v>6</v>
      </c>
      <c r="J22" s="195">
        <v>12</v>
      </c>
      <c r="K22" s="195">
        <v>12</v>
      </c>
      <c r="L22" s="193" t="s">
        <v>495</v>
      </c>
      <c r="M22" s="189">
        <v>4</v>
      </c>
      <c r="N22" s="189">
        <v>4</v>
      </c>
      <c r="O22" s="189">
        <v>4</v>
      </c>
      <c r="P22" s="189">
        <v>4</v>
      </c>
      <c r="Q22" s="189">
        <v>4</v>
      </c>
      <c r="R22" s="189">
        <v>4</v>
      </c>
      <c r="S22" s="189">
        <v>4</v>
      </c>
    </row>
    <row r="23" spans="1:19" ht="15" customHeight="1">
      <c r="A23" s="143"/>
      <c r="B23" s="143"/>
      <c r="C23" s="143"/>
      <c r="D23" s="143"/>
      <c r="E23" s="143"/>
      <c r="F23" s="143"/>
      <c r="G23" s="142"/>
      <c r="H23" s="142"/>
      <c r="I23" s="142"/>
      <c r="J23" s="142"/>
      <c r="K23" s="142"/>
    </row>
    <row r="24" spans="1:19" ht="15.75" customHeight="1" thickBot="1">
      <c r="A24" s="144"/>
      <c r="B24" s="144"/>
      <c r="C24" s="144"/>
      <c r="D24" s="144"/>
      <c r="E24" s="143"/>
      <c r="F24" s="143"/>
    </row>
    <row r="25" spans="1:19" ht="37.5" customHeight="1" thickBot="1">
      <c r="A25" s="851" t="s">
        <v>496</v>
      </c>
      <c r="B25" s="852"/>
      <c r="C25" s="853"/>
      <c r="D25" s="368" t="s">
        <v>16</v>
      </c>
      <c r="E25" s="143"/>
      <c r="F25" s="143"/>
      <c r="L25" s="854" t="s">
        <v>2</v>
      </c>
      <c r="M25" s="855" t="s">
        <v>497</v>
      </c>
      <c r="N25" s="855"/>
      <c r="O25" s="855"/>
      <c r="P25" s="855"/>
      <c r="Q25" s="855"/>
      <c r="R25" s="855"/>
      <c r="S25" s="855"/>
    </row>
    <row r="26" spans="1:19" ht="21.75" customHeight="1" thickBot="1">
      <c r="A26" s="847" t="s">
        <v>498</v>
      </c>
      <c r="B26" s="848"/>
      <c r="C26" s="849"/>
      <c r="D26" s="368" t="s">
        <v>499</v>
      </c>
      <c r="L26" s="855"/>
      <c r="M26" s="366">
        <v>0</v>
      </c>
      <c r="N26" s="366">
        <v>1</v>
      </c>
      <c r="O26" s="366">
        <v>2</v>
      </c>
      <c r="P26" s="366">
        <v>3</v>
      </c>
      <c r="Q26" s="366">
        <v>4</v>
      </c>
      <c r="R26" s="366">
        <v>5</v>
      </c>
      <c r="S26" s="366">
        <v>6</v>
      </c>
    </row>
    <row r="27" spans="1:19" ht="23.25" customHeight="1" thickBot="1">
      <c r="A27" s="847" t="s">
        <v>500</v>
      </c>
      <c r="B27" s="848"/>
      <c r="C27" s="849"/>
      <c r="D27" s="368" t="s">
        <v>501</v>
      </c>
      <c r="L27" s="161">
        <v>1</v>
      </c>
      <c r="M27" s="161">
        <v>4</v>
      </c>
      <c r="N27" s="161" t="s">
        <v>198</v>
      </c>
      <c r="O27" s="161" t="s">
        <v>198</v>
      </c>
      <c r="P27" s="161" t="s">
        <v>198</v>
      </c>
      <c r="Q27" s="161" t="s">
        <v>198</v>
      </c>
      <c r="R27" s="161" t="s">
        <v>198</v>
      </c>
      <c r="S27" s="161" t="s">
        <v>198</v>
      </c>
    </row>
    <row r="28" spans="1:19" ht="23.25" customHeight="1" thickBot="1">
      <c r="A28" s="847" t="s">
        <v>502</v>
      </c>
      <c r="B28" s="848"/>
      <c r="C28" s="849"/>
      <c r="D28" s="368" t="s">
        <v>503</v>
      </c>
      <c r="L28" s="189">
        <v>2</v>
      </c>
      <c r="M28" s="189">
        <v>5</v>
      </c>
      <c r="N28" s="189" t="s">
        <v>504</v>
      </c>
      <c r="O28" s="189" t="s">
        <v>198</v>
      </c>
      <c r="P28" s="189" t="s">
        <v>198</v>
      </c>
      <c r="Q28" s="189" t="s">
        <v>198</v>
      </c>
      <c r="R28" s="189" t="s">
        <v>198</v>
      </c>
      <c r="S28" s="189" t="s">
        <v>198</v>
      </c>
    </row>
    <row r="29" spans="1:19" ht="45.75" customHeight="1" thickBot="1">
      <c r="A29" s="847" t="s">
        <v>505</v>
      </c>
      <c r="B29" s="848"/>
      <c r="C29" s="849"/>
      <c r="D29" s="368" t="s">
        <v>501</v>
      </c>
      <c r="L29" s="161">
        <v>3</v>
      </c>
      <c r="M29" s="161">
        <v>6</v>
      </c>
      <c r="N29" s="161">
        <v>3</v>
      </c>
      <c r="O29" s="161" t="s">
        <v>198</v>
      </c>
      <c r="P29" s="161" t="s">
        <v>198</v>
      </c>
      <c r="Q29" s="161" t="s">
        <v>198</v>
      </c>
      <c r="R29" s="161" t="s">
        <v>198</v>
      </c>
      <c r="S29" s="161" t="s">
        <v>198</v>
      </c>
    </row>
    <row r="30" spans="1:19" ht="34.5" customHeight="1" thickBot="1">
      <c r="A30" s="847" t="s">
        <v>506</v>
      </c>
      <c r="B30" s="848"/>
      <c r="C30" s="849"/>
      <c r="D30" s="368" t="s">
        <v>507</v>
      </c>
      <c r="L30" s="189">
        <v>4</v>
      </c>
      <c r="M30" s="189">
        <v>6</v>
      </c>
      <c r="N30" s="189">
        <v>3</v>
      </c>
      <c r="O30" s="189" t="s">
        <v>504</v>
      </c>
      <c r="P30" s="189" t="s">
        <v>198</v>
      </c>
      <c r="Q30" s="189" t="s">
        <v>198</v>
      </c>
      <c r="R30" s="189" t="s">
        <v>198</v>
      </c>
      <c r="S30" s="189" t="s">
        <v>198</v>
      </c>
    </row>
    <row r="31" spans="1:19" ht="23.25" customHeight="1" thickBot="1">
      <c r="A31" s="847" t="s">
        <v>508</v>
      </c>
      <c r="B31" s="848"/>
      <c r="C31" s="849"/>
      <c r="D31" s="368" t="s">
        <v>499</v>
      </c>
      <c r="L31" s="161">
        <v>5</v>
      </c>
      <c r="M31" s="161">
        <v>6</v>
      </c>
      <c r="N31" s="161">
        <v>4</v>
      </c>
      <c r="O31" s="161">
        <v>3</v>
      </c>
      <c r="P31" s="161" t="s">
        <v>198</v>
      </c>
      <c r="Q31" s="161" t="s">
        <v>198</v>
      </c>
      <c r="R31" s="161" t="s">
        <v>198</v>
      </c>
      <c r="S31" s="161" t="s">
        <v>198</v>
      </c>
    </row>
    <row r="32" spans="1:19" ht="23.25" customHeight="1" thickBot="1">
      <c r="A32" s="846" t="s">
        <v>509</v>
      </c>
      <c r="B32" s="846"/>
      <c r="C32" s="846"/>
      <c r="D32" s="368" t="s">
        <v>168</v>
      </c>
      <c r="L32" s="189">
        <v>6</v>
      </c>
      <c r="M32" s="189">
        <v>6</v>
      </c>
      <c r="N32" s="189">
        <v>4</v>
      </c>
      <c r="O32" s="189">
        <v>3</v>
      </c>
      <c r="P32" s="189" t="s">
        <v>198</v>
      </c>
      <c r="Q32" s="189" t="s">
        <v>198</v>
      </c>
      <c r="R32" s="189" t="s">
        <v>198</v>
      </c>
      <c r="S32" s="189" t="s">
        <v>198</v>
      </c>
    </row>
    <row r="33" spans="1:19" ht="23.25" customHeight="1" thickBot="1">
      <c r="A33" s="846" t="s">
        <v>510</v>
      </c>
      <c r="B33" s="846"/>
      <c r="C33" s="846"/>
      <c r="D33" s="368" t="s">
        <v>507</v>
      </c>
      <c r="L33" s="161">
        <v>7</v>
      </c>
      <c r="M33" s="161">
        <v>6</v>
      </c>
      <c r="N33" s="161">
        <v>4</v>
      </c>
      <c r="O33" s="161">
        <v>4</v>
      </c>
      <c r="P33" s="161" t="s">
        <v>504</v>
      </c>
      <c r="Q33" s="161" t="s">
        <v>198</v>
      </c>
      <c r="R33" s="161" t="s">
        <v>198</v>
      </c>
      <c r="S33" s="161" t="s">
        <v>198</v>
      </c>
    </row>
    <row r="34" spans="1:19" ht="19.5" thickBot="1">
      <c r="A34" s="845" t="s">
        <v>511</v>
      </c>
      <c r="B34" s="845"/>
      <c r="C34" s="845"/>
      <c r="D34" s="367" t="s">
        <v>499</v>
      </c>
      <c r="L34" s="189">
        <v>8</v>
      </c>
      <c r="M34" s="189">
        <v>6</v>
      </c>
      <c r="N34" s="189">
        <v>4</v>
      </c>
      <c r="O34" s="189">
        <v>4</v>
      </c>
      <c r="P34" s="189">
        <v>3</v>
      </c>
      <c r="Q34" s="189" t="s">
        <v>198</v>
      </c>
      <c r="R34" s="189" t="s">
        <v>198</v>
      </c>
      <c r="S34" s="189" t="s">
        <v>198</v>
      </c>
    </row>
    <row r="35" spans="1:19" ht="19.5" thickBot="1">
      <c r="A35" s="845" t="s">
        <v>512</v>
      </c>
      <c r="B35" s="845"/>
      <c r="C35" s="845"/>
      <c r="D35" s="367" t="s">
        <v>166</v>
      </c>
      <c r="L35" s="161">
        <v>9</v>
      </c>
      <c r="M35" s="161">
        <v>6</v>
      </c>
      <c r="N35" s="161">
        <v>4</v>
      </c>
      <c r="O35" s="161">
        <v>4</v>
      </c>
      <c r="P35" s="161">
        <v>3</v>
      </c>
      <c r="Q35" s="161" t="s">
        <v>198</v>
      </c>
      <c r="R35" s="161" t="s">
        <v>198</v>
      </c>
      <c r="S35" s="161" t="s">
        <v>198</v>
      </c>
    </row>
    <row r="36" spans="1:19" ht="19.5" thickBot="1">
      <c r="L36" s="189">
        <v>10</v>
      </c>
      <c r="M36" s="189">
        <v>6</v>
      </c>
      <c r="N36" s="189">
        <v>4</v>
      </c>
      <c r="O36" s="189">
        <v>4</v>
      </c>
      <c r="P36" s="189">
        <v>4</v>
      </c>
      <c r="Q36" s="189" t="s">
        <v>504</v>
      </c>
      <c r="R36" s="189" t="s">
        <v>198</v>
      </c>
      <c r="S36" s="189" t="s">
        <v>198</v>
      </c>
    </row>
    <row r="37" spans="1:19" ht="19.5" thickBot="1">
      <c r="L37" s="161">
        <v>11</v>
      </c>
      <c r="M37" s="161">
        <v>6</v>
      </c>
      <c r="N37" s="161">
        <v>4</v>
      </c>
      <c r="O37" s="161">
        <v>4</v>
      </c>
      <c r="P37" s="161">
        <v>4</v>
      </c>
      <c r="Q37" s="161">
        <v>3</v>
      </c>
      <c r="R37" s="161" t="s">
        <v>198</v>
      </c>
      <c r="S37" s="161" t="s">
        <v>198</v>
      </c>
    </row>
    <row r="38" spans="1:19" ht="19.5" thickBot="1">
      <c r="L38" s="189">
        <v>12</v>
      </c>
      <c r="M38" s="189">
        <v>6</v>
      </c>
      <c r="N38" s="189">
        <v>4</v>
      </c>
      <c r="O38" s="189">
        <v>4</v>
      </c>
      <c r="P38" s="189">
        <v>4</v>
      </c>
      <c r="Q38" s="189">
        <v>3</v>
      </c>
      <c r="R38" s="189" t="s">
        <v>198</v>
      </c>
      <c r="S38" s="189" t="s">
        <v>198</v>
      </c>
    </row>
    <row r="39" spans="1:19" ht="19.5" thickBot="1">
      <c r="L39" s="161">
        <v>13</v>
      </c>
      <c r="M39" s="161">
        <v>6</v>
      </c>
      <c r="N39" s="161">
        <v>4</v>
      </c>
      <c r="O39" s="161">
        <v>4</v>
      </c>
      <c r="P39" s="161">
        <v>4</v>
      </c>
      <c r="Q39" s="161">
        <v>4</v>
      </c>
      <c r="R39" s="161" t="s">
        <v>504</v>
      </c>
      <c r="S39" s="161" t="s">
        <v>198</v>
      </c>
    </row>
    <row r="40" spans="1:19" ht="19.5" thickBot="1">
      <c r="L40" s="189">
        <v>14</v>
      </c>
      <c r="M40" s="189">
        <v>6</v>
      </c>
      <c r="N40" s="189">
        <v>4</v>
      </c>
      <c r="O40" s="189">
        <v>4</v>
      </c>
      <c r="P40" s="189">
        <v>4</v>
      </c>
      <c r="Q40" s="189">
        <v>4</v>
      </c>
      <c r="R40" s="189">
        <v>3</v>
      </c>
      <c r="S40" s="189" t="s">
        <v>198</v>
      </c>
    </row>
    <row r="41" spans="1:19" ht="19.5" thickBot="1">
      <c r="L41" s="161">
        <v>15</v>
      </c>
      <c r="M41" s="161">
        <v>6</v>
      </c>
      <c r="N41" s="161">
        <v>4</v>
      </c>
      <c r="O41" s="161">
        <v>4</v>
      </c>
      <c r="P41" s="161">
        <v>4</v>
      </c>
      <c r="Q41" s="161">
        <v>4</v>
      </c>
      <c r="R41" s="161">
        <v>3</v>
      </c>
      <c r="S41" s="161" t="s">
        <v>198</v>
      </c>
    </row>
    <row r="42" spans="1:19" ht="19.5" thickBot="1">
      <c r="L42" s="189">
        <v>16</v>
      </c>
      <c r="M42" s="189">
        <v>6</v>
      </c>
      <c r="N42" s="189">
        <v>5</v>
      </c>
      <c r="O42" s="189">
        <v>4</v>
      </c>
      <c r="P42" s="189">
        <v>4</v>
      </c>
      <c r="Q42" s="189">
        <v>4</v>
      </c>
      <c r="R42" s="189">
        <v>4</v>
      </c>
      <c r="S42" s="189" t="s">
        <v>504</v>
      </c>
    </row>
    <row r="43" spans="1:19" ht="19.5" thickBot="1">
      <c r="L43" s="161">
        <v>17</v>
      </c>
      <c r="M43" s="161">
        <v>6</v>
      </c>
      <c r="N43" s="161">
        <v>5</v>
      </c>
      <c r="O43" s="161">
        <v>5</v>
      </c>
      <c r="P43" s="161">
        <v>4</v>
      </c>
      <c r="Q43" s="161">
        <v>4</v>
      </c>
      <c r="R43" s="161">
        <v>4</v>
      </c>
      <c r="S43" s="161">
        <v>3</v>
      </c>
    </row>
    <row r="44" spans="1:19" ht="19.5" thickBot="1">
      <c r="L44" s="189">
        <v>18</v>
      </c>
      <c r="M44" s="189">
        <v>6</v>
      </c>
      <c r="N44" s="189">
        <v>5</v>
      </c>
      <c r="O44" s="189">
        <v>5</v>
      </c>
      <c r="P44" s="189">
        <v>5</v>
      </c>
      <c r="Q44" s="189">
        <v>4</v>
      </c>
      <c r="R44" s="189">
        <v>4</v>
      </c>
      <c r="S44" s="189">
        <v>3</v>
      </c>
    </row>
    <row r="45" spans="1:19" ht="19.5" thickBot="1">
      <c r="L45" s="161">
        <v>19</v>
      </c>
      <c r="M45" s="161">
        <v>6</v>
      </c>
      <c r="N45" s="161">
        <v>5</v>
      </c>
      <c r="O45" s="161">
        <v>5</v>
      </c>
      <c r="P45" s="161">
        <v>5</v>
      </c>
      <c r="Q45" s="161">
        <v>5</v>
      </c>
      <c r="R45" s="161">
        <v>4</v>
      </c>
      <c r="S45" s="161">
        <v>4</v>
      </c>
    </row>
    <row r="46" spans="1:19" ht="19.5" thickBot="1">
      <c r="L46" s="189">
        <v>20</v>
      </c>
      <c r="M46" s="189">
        <v>6</v>
      </c>
      <c r="N46" s="189">
        <v>5</v>
      </c>
      <c r="O46" s="189">
        <v>5</v>
      </c>
      <c r="P46" s="189">
        <v>5</v>
      </c>
      <c r="Q46" s="189">
        <v>5</v>
      </c>
      <c r="R46" s="189">
        <v>5</v>
      </c>
      <c r="S46" s="189">
        <v>4</v>
      </c>
    </row>
    <row r="47" spans="1:19">
      <c r="L47" s="842" t="s">
        <v>513</v>
      </c>
      <c r="M47" s="843"/>
      <c r="N47" s="843"/>
      <c r="O47" s="843"/>
      <c r="P47" s="843"/>
      <c r="Q47" s="843"/>
      <c r="R47" s="843"/>
      <c r="S47" s="843"/>
    </row>
    <row r="48" spans="1:19">
      <c r="L48" s="844"/>
      <c r="M48" s="844"/>
      <c r="N48" s="844"/>
      <c r="O48" s="844"/>
      <c r="P48" s="844"/>
      <c r="Q48" s="844"/>
      <c r="R48" s="844"/>
      <c r="S48" s="844"/>
    </row>
  </sheetData>
  <mergeCells count="23">
    <mergeCell ref="G1:G2"/>
    <mergeCell ref="H1:H2"/>
    <mergeCell ref="A25:C25"/>
    <mergeCell ref="L25:L26"/>
    <mergeCell ref="M25:S25"/>
    <mergeCell ref="M1:S1"/>
    <mergeCell ref="A26:C26"/>
    <mergeCell ref="I1:I2"/>
    <mergeCell ref="J1:J2"/>
    <mergeCell ref="K1:K2"/>
    <mergeCell ref="E1:E2"/>
    <mergeCell ref="F1:F2"/>
    <mergeCell ref="A1:D2"/>
    <mergeCell ref="A31:C31"/>
    <mergeCell ref="A30:C30"/>
    <mergeCell ref="A29:C29"/>
    <mergeCell ref="A28:C28"/>
    <mergeCell ref="A27:C27"/>
    <mergeCell ref="L47:S48"/>
    <mergeCell ref="A34:C34"/>
    <mergeCell ref="A35:C35"/>
    <mergeCell ref="A32:C32"/>
    <mergeCell ref="A33:C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showRowColHeaders="0" workbookViewId="0">
      <selection activeCell="H1" sqref="H1:H2"/>
    </sheetView>
  </sheetViews>
  <sheetFormatPr defaultRowHeight="15"/>
  <cols>
    <col min="1" max="8" width="9.140625" style="344"/>
    <col min="9" max="9" width="11.28515625" style="344" customWidth="1"/>
    <col min="10" max="11" width="9.140625" style="344"/>
    <col min="12" max="12" width="90.140625" style="344" customWidth="1"/>
    <col min="13" max="16384" width="9.140625" style="344"/>
  </cols>
  <sheetData>
    <row r="1" spans="1:12" ht="15" customHeight="1" thickBot="1">
      <c r="A1" s="866" t="s">
        <v>514</v>
      </c>
      <c r="B1" s="867"/>
      <c r="C1" s="867"/>
      <c r="D1" s="867"/>
      <c r="E1" s="867"/>
      <c r="F1" s="867"/>
      <c r="G1" s="868" t="s">
        <v>26</v>
      </c>
      <c r="H1" s="869">
        <v>12</v>
      </c>
    </row>
    <row r="2" spans="1:12" ht="40.5" customHeight="1" thickBot="1">
      <c r="A2" s="867"/>
      <c r="B2" s="867"/>
      <c r="C2" s="867"/>
      <c r="D2" s="867"/>
      <c r="E2" s="867"/>
      <c r="F2" s="867"/>
      <c r="G2" s="868"/>
      <c r="H2" s="869"/>
    </row>
    <row r="3" spans="1:12" ht="29.25" customHeight="1" thickBot="1">
      <c r="A3" s="867"/>
      <c r="B3" s="867"/>
      <c r="C3" s="867"/>
      <c r="D3" s="867"/>
      <c r="E3" s="867"/>
      <c r="F3" s="867"/>
      <c r="G3" s="872" t="s">
        <v>107</v>
      </c>
      <c r="H3" s="873"/>
      <c r="I3" s="873"/>
      <c r="J3" s="873"/>
      <c r="K3" s="873"/>
      <c r="L3" s="873"/>
    </row>
    <row r="4" spans="1:12" ht="19.5" customHeight="1" thickBot="1">
      <c r="A4" s="870" t="s">
        <v>44</v>
      </c>
      <c r="B4" s="870"/>
      <c r="C4" s="870"/>
      <c r="D4" s="870"/>
      <c r="E4" s="870"/>
      <c r="F4" s="870"/>
      <c r="G4" s="874"/>
      <c r="H4" s="875"/>
      <c r="I4" s="875"/>
      <c r="J4" s="875"/>
      <c r="K4" s="875"/>
      <c r="L4" s="875"/>
    </row>
    <row r="5" spans="1:12" ht="47.25" customHeight="1" thickTop="1" thickBot="1">
      <c r="A5" s="870"/>
      <c r="B5" s="870"/>
      <c r="C5" s="870"/>
      <c r="D5" s="870"/>
      <c r="E5" s="870"/>
      <c r="F5" s="871"/>
      <c r="G5" s="373" t="s">
        <v>470</v>
      </c>
      <c r="H5" s="373" t="s">
        <v>471</v>
      </c>
      <c r="I5" s="373" t="s">
        <v>515</v>
      </c>
      <c r="J5" s="373" t="s">
        <v>516</v>
      </c>
      <c r="K5" s="373" t="s">
        <v>517</v>
      </c>
      <c r="L5" s="199" t="s">
        <v>472</v>
      </c>
    </row>
    <row r="6" spans="1:12" ht="20.25" customHeight="1" thickTop="1" thickBot="1">
      <c r="A6" s="865" t="s">
        <v>473</v>
      </c>
      <c r="B6" s="865"/>
      <c r="C6" s="865"/>
      <c r="D6" s="865"/>
      <c r="E6" s="865" t="s">
        <v>25</v>
      </c>
      <c r="F6" s="876"/>
      <c r="G6" s="345">
        <v>1</v>
      </c>
      <c r="H6" s="345">
        <v>1</v>
      </c>
      <c r="I6" s="346">
        <v>2</v>
      </c>
      <c r="J6" s="346">
        <v>0</v>
      </c>
      <c r="K6" s="346">
        <v>0</v>
      </c>
      <c r="L6" s="218" t="s">
        <v>518</v>
      </c>
    </row>
    <row r="7" spans="1:12" ht="26.25" customHeight="1" thickTop="1" thickBot="1">
      <c r="A7" s="865"/>
      <c r="B7" s="865"/>
      <c r="C7" s="865"/>
      <c r="D7" s="865"/>
      <c r="E7" s="865"/>
      <c r="F7" s="876"/>
      <c r="G7" s="347">
        <v>2</v>
      </c>
      <c r="H7" s="347">
        <v>2</v>
      </c>
      <c r="I7" s="348">
        <v>3</v>
      </c>
      <c r="J7" s="348">
        <v>0</v>
      </c>
      <c r="K7" s="348">
        <v>0</v>
      </c>
      <c r="L7" s="371" t="s">
        <v>519</v>
      </c>
    </row>
    <row r="8" spans="1:12" ht="26.25" customHeight="1" thickTop="1" thickBot="1">
      <c r="A8" s="865" t="s">
        <v>520</v>
      </c>
      <c r="B8" s="865"/>
      <c r="C8" s="865"/>
      <c r="D8" s="865"/>
      <c r="E8" s="865" t="s">
        <v>166</v>
      </c>
      <c r="F8" s="876"/>
      <c r="G8" s="345">
        <v>3</v>
      </c>
      <c r="H8" s="345">
        <v>3</v>
      </c>
      <c r="I8" s="346">
        <v>3</v>
      </c>
      <c r="J8" s="346">
        <v>1</v>
      </c>
      <c r="K8" s="346">
        <v>1</v>
      </c>
      <c r="L8" s="218" t="s">
        <v>521</v>
      </c>
    </row>
    <row r="9" spans="1:12" ht="26.25" customHeight="1" thickTop="1" thickBot="1">
      <c r="A9" s="865"/>
      <c r="B9" s="865"/>
      <c r="C9" s="865"/>
      <c r="D9" s="865"/>
      <c r="E9" s="865"/>
      <c r="F9" s="876"/>
      <c r="G9" s="347">
        <v>4</v>
      </c>
      <c r="H9" s="347">
        <v>4</v>
      </c>
      <c r="I9" s="348">
        <v>4</v>
      </c>
      <c r="J9" s="348">
        <v>1</v>
      </c>
      <c r="K9" s="348">
        <v>1</v>
      </c>
      <c r="L9" s="371" t="s">
        <v>522</v>
      </c>
    </row>
    <row r="10" spans="1:12" ht="39" customHeight="1" thickTop="1" thickBot="1">
      <c r="A10" s="865" t="s">
        <v>523</v>
      </c>
      <c r="B10" s="865"/>
      <c r="C10" s="865"/>
      <c r="D10" s="865"/>
      <c r="E10" s="865" t="s">
        <v>168</v>
      </c>
      <c r="F10" s="876"/>
      <c r="G10" s="345">
        <v>5</v>
      </c>
      <c r="H10" s="345">
        <v>5</v>
      </c>
      <c r="I10" s="346">
        <v>4</v>
      </c>
      <c r="J10" s="346">
        <v>1</v>
      </c>
      <c r="K10" s="346">
        <v>1</v>
      </c>
      <c r="L10" s="218" t="s">
        <v>524</v>
      </c>
    </row>
    <row r="11" spans="1:12" ht="26.25" customHeight="1" thickTop="1" thickBot="1">
      <c r="A11" s="865"/>
      <c r="B11" s="865"/>
      <c r="C11" s="865"/>
      <c r="D11" s="865"/>
      <c r="E11" s="865"/>
      <c r="F11" s="876"/>
      <c r="G11" s="347">
        <v>6</v>
      </c>
      <c r="H11" s="347">
        <v>6</v>
      </c>
      <c r="I11" s="348">
        <v>5</v>
      </c>
      <c r="J11" s="348">
        <v>2</v>
      </c>
      <c r="K11" s="348">
        <v>2</v>
      </c>
      <c r="L11" s="371" t="s">
        <v>525</v>
      </c>
    </row>
    <row r="12" spans="1:12" ht="26.25" customHeight="1" thickTop="1" thickBot="1">
      <c r="A12" s="865" t="s">
        <v>59</v>
      </c>
      <c r="B12" s="865"/>
      <c r="C12" s="865"/>
      <c r="D12" s="865"/>
      <c r="E12" s="865" t="s">
        <v>499</v>
      </c>
      <c r="F12" s="876"/>
      <c r="G12" s="345">
        <v>7</v>
      </c>
      <c r="H12" s="345">
        <v>7</v>
      </c>
      <c r="I12" s="346">
        <v>5</v>
      </c>
      <c r="J12" s="346">
        <v>2</v>
      </c>
      <c r="K12" s="346">
        <v>2</v>
      </c>
      <c r="L12" s="218" t="s">
        <v>526</v>
      </c>
    </row>
    <row r="13" spans="1:12" ht="26.25" customHeight="1" thickTop="1" thickBot="1">
      <c r="A13" s="865"/>
      <c r="B13" s="865"/>
      <c r="C13" s="865"/>
      <c r="D13" s="865"/>
      <c r="E13" s="865"/>
      <c r="F13" s="876"/>
      <c r="G13" s="347">
        <v>8</v>
      </c>
      <c r="H13" s="347">
        <v>8</v>
      </c>
      <c r="I13" s="348">
        <v>6</v>
      </c>
      <c r="J13" s="348">
        <v>2</v>
      </c>
      <c r="K13" s="348">
        <v>2</v>
      </c>
      <c r="L13" s="371" t="s">
        <v>527</v>
      </c>
    </row>
    <row r="14" spans="1:12" ht="26.25" customHeight="1" thickTop="1" thickBot="1">
      <c r="A14" s="865" t="s">
        <v>76</v>
      </c>
      <c r="B14" s="865"/>
      <c r="C14" s="865"/>
      <c r="D14" s="865"/>
      <c r="E14" s="865" t="s">
        <v>25</v>
      </c>
      <c r="F14" s="876"/>
      <c r="G14" s="345">
        <v>9</v>
      </c>
      <c r="H14" s="345">
        <v>9</v>
      </c>
      <c r="I14" s="346">
        <v>6</v>
      </c>
      <c r="J14" s="346">
        <v>3</v>
      </c>
      <c r="K14" s="346">
        <v>3</v>
      </c>
      <c r="L14" s="218" t="s">
        <v>528</v>
      </c>
    </row>
    <row r="15" spans="1:12" ht="26.25" customHeight="1" thickTop="1" thickBot="1">
      <c r="A15" s="865"/>
      <c r="B15" s="865"/>
      <c r="C15" s="865"/>
      <c r="D15" s="865"/>
      <c r="E15" s="865"/>
      <c r="F15" s="876"/>
      <c r="G15" s="347">
        <v>10</v>
      </c>
      <c r="H15" s="347">
        <v>10</v>
      </c>
      <c r="I15" s="348">
        <v>7</v>
      </c>
      <c r="J15" s="348">
        <v>3</v>
      </c>
      <c r="K15" s="348">
        <v>3</v>
      </c>
      <c r="L15" s="371" t="s">
        <v>529</v>
      </c>
    </row>
    <row r="16" spans="1:12" ht="26.25" customHeight="1" thickTop="1" thickBot="1">
      <c r="A16" s="865" t="s">
        <v>530</v>
      </c>
      <c r="B16" s="865"/>
      <c r="C16" s="865"/>
      <c r="D16" s="865"/>
      <c r="E16" s="865" t="s">
        <v>499</v>
      </c>
      <c r="F16" s="876"/>
      <c r="G16" s="345">
        <v>11</v>
      </c>
      <c r="H16" s="345">
        <v>11</v>
      </c>
      <c r="I16" s="346">
        <v>7</v>
      </c>
      <c r="J16" s="346">
        <v>3</v>
      </c>
      <c r="K16" s="346">
        <v>3</v>
      </c>
      <c r="L16" s="218" t="s">
        <v>531</v>
      </c>
    </row>
    <row r="17" spans="1:12" ht="26.25" customHeight="1" thickTop="1" thickBot="1">
      <c r="A17" s="865"/>
      <c r="B17" s="865"/>
      <c r="C17" s="865"/>
      <c r="D17" s="865"/>
      <c r="E17" s="865"/>
      <c r="F17" s="876"/>
      <c r="G17" s="347">
        <v>12</v>
      </c>
      <c r="H17" s="347">
        <v>12</v>
      </c>
      <c r="I17" s="348">
        <v>8</v>
      </c>
      <c r="J17" s="348">
        <v>4</v>
      </c>
      <c r="K17" s="348">
        <v>4</v>
      </c>
      <c r="L17" s="371" t="s">
        <v>532</v>
      </c>
    </row>
    <row r="18" spans="1:12" ht="26.25" customHeight="1" thickTop="1" thickBot="1">
      <c r="A18" s="865" t="s">
        <v>533</v>
      </c>
      <c r="B18" s="865"/>
      <c r="C18" s="865"/>
      <c r="D18" s="865"/>
      <c r="E18" s="865" t="s">
        <v>168</v>
      </c>
      <c r="F18" s="876"/>
      <c r="G18" s="345">
        <v>13</v>
      </c>
      <c r="H18" s="345">
        <v>13</v>
      </c>
      <c r="I18" s="346">
        <v>8</v>
      </c>
      <c r="J18" s="346">
        <v>4</v>
      </c>
      <c r="K18" s="346">
        <v>4</v>
      </c>
      <c r="L18" s="218" t="s">
        <v>534</v>
      </c>
    </row>
    <row r="19" spans="1:12" ht="26.25" customHeight="1" thickTop="1" thickBot="1">
      <c r="A19" s="865"/>
      <c r="B19" s="865"/>
      <c r="C19" s="865"/>
      <c r="D19" s="865"/>
      <c r="E19" s="865"/>
      <c r="F19" s="876"/>
      <c r="G19" s="347">
        <v>14</v>
      </c>
      <c r="H19" s="347">
        <v>14</v>
      </c>
      <c r="I19" s="348">
        <v>9</v>
      </c>
      <c r="J19" s="348">
        <v>4</v>
      </c>
      <c r="K19" s="348">
        <v>4</v>
      </c>
      <c r="L19" s="371" t="s">
        <v>535</v>
      </c>
    </row>
    <row r="20" spans="1:12" ht="26.25" customHeight="1" thickTop="1" thickBot="1">
      <c r="A20" s="865" t="s">
        <v>477</v>
      </c>
      <c r="B20" s="865"/>
      <c r="C20" s="865"/>
      <c r="D20" s="865"/>
      <c r="E20" s="865" t="s">
        <v>25</v>
      </c>
      <c r="F20" s="876"/>
      <c r="G20" s="345">
        <v>15</v>
      </c>
      <c r="H20" s="345">
        <v>15</v>
      </c>
      <c r="I20" s="346">
        <v>9</v>
      </c>
      <c r="J20" s="346">
        <v>5</v>
      </c>
      <c r="K20" s="346">
        <v>5</v>
      </c>
      <c r="L20" s="218" t="s">
        <v>536</v>
      </c>
    </row>
    <row r="21" spans="1:12" ht="26.25" customHeight="1" thickTop="1" thickBot="1">
      <c r="A21" s="865"/>
      <c r="B21" s="865"/>
      <c r="C21" s="865"/>
      <c r="D21" s="865"/>
      <c r="E21" s="865"/>
      <c r="F21" s="876"/>
      <c r="G21" s="347">
        <v>16</v>
      </c>
      <c r="H21" s="347">
        <v>16</v>
      </c>
      <c r="I21" s="348">
        <v>10</v>
      </c>
      <c r="J21" s="348">
        <v>5</v>
      </c>
      <c r="K21" s="348">
        <v>5</v>
      </c>
      <c r="L21" s="371" t="s">
        <v>537</v>
      </c>
    </row>
    <row r="22" spans="1:12" ht="26.25" customHeight="1" thickTop="1" thickBot="1">
      <c r="A22" s="865" t="s">
        <v>479</v>
      </c>
      <c r="B22" s="865"/>
      <c r="C22" s="865"/>
      <c r="D22" s="865"/>
      <c r="E22" s="865" t="s">
        <v>507</v>
      </c>
      <c r="F22" s="876"/>
      <c r="G22" s="345">
        <v>17</v>
      </c>
      <c r="H22" s="345">
        <v>17</v>
      </c>
      <c r="I22" s="346">
        <v>10</v>
      </c>
      <c r="J22" s="346">
        <v>5</v>
      </c>
      <c r="K22" s="346">
        <v>5</v>
      </c>
      <c r="L22" s="218" t="s">
        <v>538</v>
      </c>
    </row>
    <row r="23" spans="1:12" ht="21.75" thickTop="1" thickBot="1">
      <c r="A23" s="865"/>
      <c r="B23" s="865"/>
      <c r="C23" s="865"/>
      <c r="D23" s="865"/>
      <c r="E23" s="865"/>
      <c r="F23" s="876"/>
      <c r="G23" s="347">
        <v>18</v>
      </c>
      <c r="H23" s="347">
        <v>18</v>
      </c>
      <c r="I23" s="348">
        <v>11</v>
      </c>
      <c r="J23" s="348">
        <v>6</v>
      </c>
      <c r="K23" s="348">
        <v>6</v>
      </c>
      <c r="L23" s="371" t="s">
        <v>539</v>
      </c>
    </row>
    <row r="24" spans="1:12" ht="21.75" thickTop="1" thickBot="1">
      <c r="G24" s="345">
        <v>19</v>
      </c>
      <c r="H24" s="345">
        <v>19</v>
      </c>
      <c r="I24" s="346">
        <v>11</v>
      </c>
      <c r="J24" s="346">
        <v>6</v>
      </c>
      <c r="K24" s="346">
        <v>6</v>
      </c>
      <c r="L24" s="218" t="s">
        <v>540</v>
      </c>
    </row>
    <row r="25" spans="1:12" ht="21.75" thickTop="1" thickBot="1">
      <c r="G25" s="347">
        <v>20</v>
      </c>
      <c r="H25" s="347">
        <v>20</v>
      </c>
      <c r="I25" s="348">
        <v>12</v>
      </c>
      <c r="J25" s="348">
        <v>6</v>
      </c>
      <c r="K25" s="348">
        <v>6</v>
      </c>
      <c r="L25" s="371" t="s">
        <v>541</v>
      </c>
    </row>
    <row r="26" spans="1:12" ht="15.75" thickTop="1"/>
  </sheetData>
  <mergeCells count="23">
    <mergeCell ref="A22:D23"/>
    <mergeCell ref="E22:F23"/>
    <mergeCell ref="A18:D19"/>
    <mergeCell ref="A20:D21"/>
    <mergeCell ref="E6:F7"/>
    <mergeCell ref="E8:F9"/>
    <mergeCell ref="E10:F11"/>
    <mergeCell ref="E12:F13"/>
    <mergeCell ref="E14:F15"/>
    <mergeCell ref="E16:F17"/>
    <mergeCell ref="E18:F19"/>
    <mergeCell ref="E20:F21"/>
    <mergeCell ref="A6:D7"/>
    <mergeCell ref="A8:D9"/>
    <mergeCell ref="A10:D11"/>
    <mergeCell ref="A12:D13"/>
    <mergeCell ref="A14:D15"/>
    <mergeCell ref="A16:D17"/>
    <mergeCell ref="A1:F3"/>
    <mergeCell ref="G1:G2"/>
    <mergeCell ref="H1:H2"/>
    <mergeCell ref="A4:F5"/>
    <mergeCell ref="G3:L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showRowColHeaders="0" workbookViewId="0">
      <selection activeCell="G3" sqref="G3:L4"/>
    </sheetView>
  </sheetViews>
  <sheetFormatPr defaultRowHeight="15"/>
  <cols>
    <col min="9" max="9" width="10.5703125" customWidth="1"/>
    <col min="12" max="12" width="56.85546875" customWidth="1"/>
  </cols>
  <sheetData>
    <row r="1" spans="1:12" ht="16.5" customHeight="1" thickTop="1" thickBot="1">
      <c r="A1" s="879" t="s">
        <v>542</v>
      </c>
      <c r="B1" s="880"/>
      <c r="C1" s="880"/>
      <c r="D1" s="880"/>
      <c r="E1" s="880"/>
      <c r="F1" s="881"/>
      <c r="G1" s="888" t="s">
        <v>26</v>
      </c>
      <c r="H1" s="890">
        <v>6</v>
      </c>
    </row>
    <row r="2" spans="1:12" ht="28.5" customHeight="1" thickTop="1" thickBot="1">
      <c r="A2" s="882"/>
      <c r="B2" s="883"/>
      <c r="C2" s="883"/>
      <c r="D2" s="883"/>
      <c r="E2" s="883"/>
      <c r="F2" s="884"/>
      <c r="G2" s="889"/>
      <c r="H2" s="891"/>
    </row>
    <row r="3" spans="1:12" ht="16.5" customHeight="1" thickTop="1" thickBot="1">
      <c r="A3" s="885"/>
      <c r="B3" s="886"/>
      <c r="C3" s="886"/>
      <c r="D3" s="886"/>
      <c r="E3" s="886"/>
      <c r="F3" s="887"/>
      <c r="G3" s="896" t="s">
        <v>107</v>
      </c>
      <c r="H3" s="896"/>
      <c r="I3" s="896"/>
      <c r="J3" s="896"/>
      <c r="K3" s="896"/>
      <c r="L3" s="896"/>
    </row>
    <row r="4" spans="1:12" ht="16.5" customHeight="1" thickTop="1" thickBot="1">
      <c r="A4" s="892" t="s">
        <v>44</v>
      </c>
      <c r="B4" s="892"/>
      <c r="C4" s="892"/>
      <c r="D4" s="892"/>
      <c r="E4" s="892"/>
      <c r="F4" s="893"/>
      <c r="G4" s="896"/>
      <c r="H4" s="896"/>
      <c r="I4" s="896"/>
      <c r="J4" s="896"/>
      <c r="K4" s="896"/>
      <c r="L4" s="896"/>
    </row>
    <row r="5" spans="1:12" ht="47.25" customHeight="1" thickTop="1" thickBot="1">
      <c r="A5" s="894"/>
      <c r="B5" s="894"/>
      <c r="C5" s="894"/>
      <c r="D5" s="894"/>
      <c r="E5" s="894"/>
      <c r="F5" s="895"/>
      <c r="G5" s="369" t="s">
        <v>470</v>
      </c>
      <c r="H5" s="369" t="s">
        <v>471</v>
      </c>
      <c r="I5" s="197" t="s">
        <v>543</v>
      </c>
      <c r="J5" s="197" t="s">
        <v>544</v>
      </c>
      <c r="K5" s="197" t="s">
        <v>545</v>
      </c>
      <c r="L5" s="198" t="s">
        <v>472</v>
      </c>
    </row>
    <row r="6" spans="1:12" ht="20.25" thickTop="1" thickBot="1">
      <c r="A6" s="877" t="s">
        <v>498</v>
      </c>
      <c r="B6" s="877"/>
      <c r="C6" s="877"/>
      <c r="D6" s="877"/>
      <c r="E6" s="877" t="s">
        <v>499</v>
      </c>
      <c r="F6" s="878"/>
      <c r="G6" s="219">
        <v>1</v>
      </c>
      <c r="H6" s="219">
        <v>0</v>
      </c>
      <c r="I6" s="219">
        <v>0</v>
      </c>
      <c r="J6" s="219">
        <v>2</v>
      </c>
      <c r="K6" s="219">
        <v>0</v>
      </c>
      <c r="L6" s="219" t="s">
        <v>546</v>
      </c>
    </row>
    <row r="7" spans="1:12" ht="20.25" thickTop="1" thickBot="1">
      <c r="A7" s="877" t="s">
        <v>547</v>
      </c>
      <c r="B7" s="877"/>
      <c r="C7" s="877"/>
      <c r="D7" s="877"/>
      <c r="E7" s="877" t="s">
        <v>166</v>
      </c>
      <c r="F7" s="878"/>
      <c r="G7" s="183">
        <v>2</v>
      </c>
      <c r="H7" s="183">
        <v>1</v>
      </c>
      <c r="I7" s="183">
        <v>0</v>
      </c>
      <c r="J7" s="183">
        <v>3</v>
      </c>
      <c r="K7" s="183">
        <v>0</v>
      </c>
      <c r="L7" s="183" t="s">
        <v>548</v>
      </c>
    </row>
    <row r="8" spans="1:12" ht="34.5" customHeight="1" thickTop="1" thickBot="1">
      <c r="A8" s="877" t="s">
        <v>549</v>
      </c>
      <c r="B8" s="877"/>
      <c r="C8" s="877"/>
      <c r="D8" s="877"/>
      <c r="E8" s="877" t="s">
        <v>550</v>
      </c>
      <c r="F8" s="878"/>
      <c r="G8" s="219">
        <v>3</v>
      </c>
      <c r="H8" s="219">
        <v>2</v>
      </c>
      <c r="I8" s="219">
        <v>1</v>
      </c>
      <c r="J8" s="219">
        <v>3</v>
      </c>
      <c r="K8" s="219">
        <v>1</v>
      </c>
      <c r="L8" s="219" t="s">
        <v>551</v>
      </c>
    </row>
    <row r="9" spans="1:12" ht="20.25" thickTop="1" thickBot="1">
      <c r="A9" s="877" t="s">
        <v>552</v>
      </c>
      <c r="B9" s="877"/>
      <c r="C9" s="877"/>
      <c r="D9" s="877"/>
      <c r="E9" s="877" t="s">
        <v>501</v>
      </c>
      <c r="F9" s="878"/>
      <c r="G9" s="183">
        <v>4</v>
      </c>
      <c r="H9" s="183">
        <v>3</v>
      </c>
      <c r="I9" s="183">
        <v>1</v>
      </c>
      <c r="J9" s="183">
        <v>4</v>
      </c>
      <c r="K9" s="183">
        <v>1</v>
      </c>
      <c r="L9" s="183" t="s">
        <v>519</v>
      </c>
    </row>
    <row r="10" spans="1:12" ht="20.25" thickTop="1" thickBot="1">
      <c r="A10" s="877" t="s">
        <v>553</v>
      </c>
      <c r="B10" s="877"/>
      <c r="C10" s="877"/>
      <c r="D10" s="877"/>
      <c r="E10" s="877" t="s">
        <v>25</v>
      </c>
      <c r="F10" s="878"/>
      <c r="G10" s="219">
        <v>5</v>
      </c>
      <c r="H10" s="219">
        <v>3</v>
      </c>
      <c r="I10" s="219">
        <v>1</v>
      </c>
      <c r="J10" s="219">
        <v>4</v>
      </c>
      <c r="K10" s="219">
        <v>1</v>
      </c>
      <c r="L10" s="219" t="s">
        <v>554</v>
      </c>
    </row>
    <row r="11" spans="1:12" ht="23.25" customHeight="1" thickTop="1" thickBot="1">
      <c r="A11" s="877" t="s">
        <v>555</v>
      </c>
      <c r="B11" s="877"/>
      <c r="C11" s="877"/>
      <c r="D11" s="877"/>
      <c r="E11" s="877" t="s">
        <v>166</v>
      </c>
      <c r="F11" s="878"/>
      <c r="G11" s="183">
        <v>6</v>
      </c>
      <c r="H11" s="183">
        <v>4</v>
      </c>
      <c r="I11" s="183">
        <v>2</v>
      </c>
      <c r="J11" s="183">
        <v>5</v>
      </c>
      <c r="K11" s="183">
        <v>2</v>
      </c>
      <c r="L11" s="183" t="s">
        <v>525</v>
      </c>
    </row>
    <row r="12" spans="1:12" ht="23.25" customHeight="1" thickTop="1" thickBot="1">
      <c r="A12" s="877" t="s">
        <v>500</v>
      </c>
      <c r="B12" s="877"/>
      <c r="C12" s="877"/>
      <c r="D12" s="877"/>
      <c r="E12" s="877" t="s">
        <v>499</v>
      </c>
      <c r="F12" s="878"/>
      <c r="G12" s="219">
        <v>7</v>
      </c>
      <c r="H12" s="219">
        <v>5</v>
      </c>
      <c r="I12" s="219">
        <v>2</v>
      </c>
      <c r="J12" s="219">
        <v>5</v>
      </c>
      <c r="K12" s="219">
        <v>2</v>
      </c>
      <c r="L12" s="219" t="s">
        <v>556</v>
      </c>
    </row>
    <row r="13" spans="1:12" ht="31.5" customHeight="1" thickTop="1" thickBot="1">
      <c r="A13" s="877" t="s">
        <v>557</v>
      </c>
      <c r="B13" s="877"/>
      <c r="C13" s="877"/>
      <c r="D13" s="877"/>
      <c r="E13" s="877" t="s">
        <v>501</v>
      </c>
      <c r="F13" s="878"/>
      <c r="G13" s="183">
        <v>8</v>
      </c>
      <c r="H13" s="183">
        <v>6</v>
      </c>
      <c r="I13" s="183">
        <v>2</v>
      </c>
      <c r="J13" s="183">
        <v>6</v>
      </c>
      <c r="K13" s="183">
        <v>2</v>
      </c>
      <c r="L13" s="183" t="s">
        <v>524</v>
      </c>
    </row>
    <row r="14" spans="1:12" ht="34.5" customHeight="1" thickTop="1" thickBot="1">
      <c r="A14" s="877" t="s">
        <v>558</v>
      </c>
      <c r="B14" s="877"/>
      <c r="C14" s="877"/>
      <c r="D14" s="877"/>
      <c r="E14" s="877" t="s">
        <v>550</v>
      </c>
      <c r="F14" s="878"/>
      <c r="G14" s="219">
        <v>9</v>
      </c>
      <c r="H14" s="219">
        <v>6</v>
      </c>
      <c r="I14" s="219">
        <v>3</v>
      </c>
      <c r="J14" s="219">
        <v>6</v>
      </c>
      <c r="K14" s="219">
        <v>3</v>
      </c>
      <c r="L14" s="219" t="s">
        <v>559</v>
      </c>
    </row>
    <row r="15" spans="1:12" ht="43.5" customHeight="1" thickTop="1" thickBot="1">
      <c r="A15" s="877" t="s">
        <v>560</v>
      </c>
      <c r="B15" s="877"/>
      <c r="C15" s="877"/>
      <c r="D15" s="877"/>
      <c r="E15" s="877" t="s">
        <v>499</v>
      </c>
      <c r="F15" s="878"/>
      <c r="G15" s="183">
        <v>10</v>
      </c>
      <c r="H15" s="183">
        <v>7</v>
      </c>
      <c r="I15" s="183">
        <v>3</v>
      </c>
      <c r="J15" s="183">
        <v>7</v>
      </c>
      <c r="K15" s="183">
        <v>3</v>
      </c>
      <c r="L15" s="183" t="s">
        <v>561</v>
      </c>
    </row>
    <row r="16" spans="1:12" ht="23.25" customHeight="1" thickTop="1" thickBot="1">
      <c r="A16" s="877" t="s">
        <v>562</v>
      </c>
      <c r="B16" s="877"/>
      <c r="C16" s="877"/>
      <c r="D16" s="877"/>
      <c r="E16" s="877" t="s">
        <v>166</v>
      </c>
      <c r="F16" s="878"/>
      <c r="G16" s="219">
        <v>11</v>
      </c>
      <c r="H16" s="219">
        <v>8</v>
      </c>
      <c r="I16" s="219">
        <v>3</v>
      </c>
      <c r="J16" s="219">
        <v>7</v>
      </c>
      <c r="K16" s="219">
        <v>3</v>
      </c>
      <c r="L16" s="219" t="s">
        <v>563</v>
      </c>
    </row>
    <row r="17" spans="1:12" ht="23.25" customHeight="1" thickTop="1" thickBot="1">
      <c r="A17" s="877" t="s">
        <v>508</v>
      </c>
      <c r="B17" s="877"/>
      <c r="C17" s="877"/>
      <c r="D17" s="877"/>
      <c r="E17" s="877" t="s">
        <v>499</v>
      </c>
      <c r="F17" s="878"/>
      <c r="G17" s="183">
        <v>12</v>
      </c>
      <c r="H17" s="183">
        <v>9</v>
      </c>
      <c r="I17" s="183">
        <v>4</v>
      </c>
      <c r="J17" s="183">
        <v>8</v>
      </c>
      <c r="K17" s="183">
        <v>4</v>
      </c>
      <c r="L17" s="183" t="s">
        <v>564</v>
      </c>
    </row>
    <row r="18" spans="1:12" ht="23.25" customHeight="1" thickTop="1" thickBot="1">
      <c r="A18" s="877" t="s">
        <v>565</v>
      </c>
      <c r="B18" s="877"/>
      <c r="C18" s="877"/>
      <c r="D18" s="877"/>
      <c r="E18" s="877" t="s">
        <v>566</v>
      </c>
      <c r="F18" s="878"/>
      <c r="G18" s="219">
        <v>13</v>
      </c>
      <c r="H18" s="219">
        <v>9</v>
      </c>
      <c r="I18" s="219">
        <v>4</v>
      </c>
      <c r="J18" s="219">
        <v>8</v>
      </c>
      <c r="K18" s="219">
        <v>4</v>
      </c>
      <c r="L18" s="219" t="s">
        <v>567</v>
      </c>
    </row>
    <row r="19" spans="1:12" ht="20.25" thickTop="1" thickBot="1">
      <c r="A19" s="877" t="s">
        <v>568</v>
      </c>
      <c r="B19" s="877"/>
      <c r="C19" s="877"/>
      <c r="D19" s="877"/>
      <c r="E19" s="877" t="s">
        <v>503</v>
      </c>
      <c r="F19" s="878"/>
      <c r="G19" s="183">
        <v>14</v>
      </c>
      <c r="H19" s="183">
        <v>10</v>
      </c>
      <c r="I19" s="183">
        <v>4</v>
      </c>
      <c r="J19" s="183">
        <v>9</v>
      </c>
      <c r="K19" s="183">
        <v>4</v>
      </c>
      <c r="L19" s="183" t="s">
        <v>198</v>
      </c>
    </row>
    <row r="20" spans="1:12" ht="23.25" customHeight="1" thickTop="1" thickBot="1">
      <c r="A20" s="877" t="s">
        <v>569</v>
      </c>
      <c r="B20" s="877"/>
      <c r="C20" s="877"/>
      <c r="D20" s="877"/>
      <c r="E20" s="877" t="s">
        <v>166</v>
      </c>
      <c r="F20" s="878"/>
      <c r="G20" s="219">
        <v>15</v>
      </c>
      <c r="H20" s="219">
        <v>11</v>
      </c>
      <c r="I20" s="219">
        <v>5</v>
      </c>
      <c r="J20" s="219">
        <v>9</v>
      </c>
      <c r="K20" s="219">
        <v>5</v>
      </c>
      <c r="L20" s="219" t="s">
        <v>570</v>
      </c>
    </row>
    <row r="21" spans="1:12" ht="20.25" thickTop="1" thickBot="1">
      <c r="A21" s="877" t="s">
        <v>478</v>
      </c>
      <c r="B21" s="877"/>
      <c r="C21" s="877"/>
      <c r="D21" s="877"/>
      <c r="E21" s="877" t="s">
        <v>25</v>
      </c>
      <c r="F21" s="878"/>
      <c r="G21" s="183">
        <v>16</v>
      </c>
      <c r="H21" s="183">
        <v>12</v>
      </c>
      <c r="I21" s="183">
        <v>5</v>
      </c>
      <c r="J21" s="183">
        <v>10</v>
      </c>
      <c r="K21" s="183">
        <v>5</v>
      </c>
      <c r="L21" s="183" t="s">
        <v>561</v>
      </c>
    </row>
    <row r="22" spans="1:12" ht="20.25" thickTop="1" thickBot="1">
      <c r="A22" s="877" t="s">
        <v>571</v>
      </c>
      <c r="B22" s="877"/>
      <c r="C22" s="877"/>
      <c r="D22" s="877"/>
      <c r="E22" s="877" t="s">
        <v>507</v>
      </c>
      <c r="F22" s="878"/>
      <c r="G22" s="219">
        <v>17</v>
      </c>
      <c r="H22" s="219">
        <v>12</v>
      </c>
      <c r="I22" s="219">
        <v>5</v>
      </c>
      <c r="J22" s="219">
        <v>10</v>
      </c>
      <c r="K22" s="219">
        <v>5</v>
      </c>
      <c r="L22" s="219" t="s">
        <v>572</v>
      </c>
    </row>
    <row r="23" spans="1:12" ht="20.25" thickTop="1" thickBot="1">
      <c r="A23" s="877" t="s">
        <v>573</v>
      </c>
      <c r="B23" s="877"/>
      <c r="C23" s="877"/>
      <c r="D23" s="877"/>
      <c r="E23" s="877" t="s">
        <v>503</v>
      </c>
      <c r="F23" s="878"/>
      <c r="G23" s="183">
        <v>18</v>
      </c>
      <c r="H23" s="183">
        <v>13</v>
      </c>
      <c r="I23" s="183">
        <v>6</v>
      </c>
      <c r="J23" s="183">
        <v>11</v>
      </c>
      <c r="K23" s="183">
        <v>6</v>
      </c>
      <c r="L23" s="183" t="s">
        <v>539</v>
      </c>
    </row>
    <row r="24" spans="1:12" ht="23.25" customHeight="1" thickTop="1" thickBot="1">
      <c r="A24" s="877" t="s">
        <v>533</v>
      </c>
      <c r="B24" s="877"/>
      <c r="C24" s="877"/>
      <c r="D24" s="877"/>
      <c r="E24" s="877" t="s">
        <v>566</v>
      </c>
      <c r="F24" s="878"/>
      <c r="G24" s="219">
        <v>19</v>
      </c>
      <c r="H24" s="219">
        <v>14</v>
      </c>
      <c r="I24" s="219">
        <v>6</v>
      </c>
      <c r="J24" s="219">
        <v>11</v>
      </c>
      <c r="K24" s="219">
        <v>6</v>
      </c>
      <c r="L24" s="219" t="s">
        <v>574</v>
      </c>
    </row>
    <row r="25" spans="1:12" ht="20.25" thickTop="1" thickBot="1">
      <c r="A25" s="877" t="s">
        <v>575</v>
      </c>
      <c r="B25" s="877"/>
      <c r="C25" s="877"/>
      <c r="D25" s="877"/>
      <c r="E25" s="877" t="s">
        <v>566</v>
      </c>
      <c r="F25" s="878"/>
      <c r="G25" s="183">
        <v>20</v>
      </c>
      <c r="H25" s="183">
        <v>15</v>
      </c>
      <c r="I25" s="183">
        <v>6</v>
      </c>
      <c r="J25" s="183">
        <v>12</v>
      </c>
      <c r="K25" s="183">
        <v>6</v>
      </c>
      <c r="L25" s="183" t="s">
        <v>198</v>
      </c>
    </row>
    <row r="26" spans="1:12" ht="19.5" thickBot="1">
      <c r="A26" s="877" t="s">
        <v>576</v>
      </c>
      <c r="B26" s="877"/>
      <c r="C26" s="877"/>
      <c r="D26" s="877"/>
      <c r="E26" s="877" t="s">
        <v>25</v>
      </c>
      <c r="F26" s="877"/>
    </row>
    <row r="27" spans="1:12" ht="34.5" customHeight="1" thickBot="1">
      <c r="A27" s="877" t="s">
        <v>577</v>
      </c>
      <c r="B27" s="877"/>
      <c r="C27" s="877"/>
      <c r="D27" s="877"/>
      <c r="E27" s="877" t="s">
        <v>503</v>
      </c>
      <c r="F27" s="877"/>
    </row>
    <row r="28" spans="1:12" ht="19.5" thickBot="1">
      <c r="A28" s="877" t="s">
        <v>578</v>
      </c>
      <c r="B28" s="877"/>
      <c r="C28" s="877"/>
      <c r="D28" s="877"/>
      <c r="E28" s="877" t="s">
        <v>503</v>
      </c>
      <c r="F28" s="877"/>
    </row>
    <row r="29" spans="1:12" ht="34.5" customHeight="1" thickBot="1">
      <c r="A29" s="877" t="s">
        <v>579</v>
      </c>
      <c r="B29" s="877"/>
      <c r="C29" s="877"/>
      <c r="D29" s="877"/>
      <c r="E29" s="877" t="s">
        <v>499</v>
      </c>
      <c r="F29" s="877"/>
    </row>
    <row r="30" spans="1:12" ht="23.25" customHeight="1" thickBot="1">
      <c r="A30" s="877" t="s">
        <v>580</v>
      </c>
      <c r="B30" s="877"/>
      <c r="C30" s="877"/>
      <c r="D30" s="877"/>
      <c r="E30" s="877" t="s">
        <v>503</v>
      </c>
      <c r="F30" s="877"/>
    </row>
    <row r="31" spans="1:12" ht="19.5" thickBot="1">
      <c r="A31" s="877" t="s">
        <v>581</v>
      </c>
      <c r="B31" s="877"/>
      <c r="C31" s="877"/>
      <c r="D31" s="877"/>
      <c r="E31" s="877" t="s">
        <v>166</v>
      </c>
      <c r="F31" s="877"/>
    </row>
    <row r="32" spans="1:12" ht="23.25" customHeight="1" thickBot="1">
      <c r="A32" s="877" t="s">
        <v>582</v>
      </c>
      <c r="B32" s="877"/>
      <c r="C32" s="877"/>
      <c r="D32" s="877"/>
      <c r="E32" s="877" t="s">
        <v>550</v>
      </c>
      <c r="F32" s="877"/>
    </row>
    <row r="33" spans="1:6" ht="23.25" customHeight="1" thickBot="1">
      <c r="A33" s="877" t="s">
        <v>583</v>
      </c>
      <c r="B33" s="877"/>
      <c r="C33" s="877"/>
      <c r="D33" s="877"/>
      <c r="E33" s="877" t="s">
        <v>168</v>
      </c>
      <c r="F33" s="877"/>
    </row>
  </sheetData>
  <mergeCells count="61">
    <mergeCell ref="A31:D31"/>
    <mergeCell ref="E31:F31"/>
    <mergeCell ref="A32:D32"/>
    <mergeCell ref="E32:F32"/>
    <mergeCell ref="A33:D33"/>
    <mergeCell ref="E33:F33"/>
    <mergeCell ref="A28:D28"/>
    <mergeCell ref="E28:F28"/>
    <mergeCell ref="A29:D29"/>
    <mergeCell ref="E29:F29"/>
    <mergeCell ref="A30:D30"/>
    <mergeCell ref="E30:F30"/>
    <mergeCell ref="A25:D25"/>
    <mergeCell ref="E25:F25"/>
    <mergeCell ref="A26:D26"/>
    <mergeCell ref="E26:F26"/>
    <mergeCell ref="A27:D27"/>
    <mergeCell ref="E27:F27"/>
    <mergeCell ref="A22:D22"/>
    <mergeCell ref="E22:F22"/>
    <mergeCell ref="A23:D23"/>
    <mergeCell ref="E23:F23"/>
    <mergeCell ref="A24:D24"/>
    <mergeCell ref="E24:F24"/>
    <mergeCell ref="A19:D19"/>
    <mergeCell ref="E19:F19"/>
    <mergeCell ref="A20:D20"/>
    <mergeCell ref="E20:F20"/>
    <mergeCell ref="A21:D21"/>
    <mergeCell ref="E21:F21"/>
    <mergeCell ref="A16:D16"/>
    <mergeCell ref="E16:F16"/>
    <mergeCell ref="A17:D17"/>
    <mergeCell ref="E17:F17"/>
    <mergeCell ref="A18:D18"/>
    <mergeCell ref="E18:F18"/>
    <mergeCell ref="A13:D13"/>
    <mergeCell ref="E13:F13"/>
    <mergeCell ref="A14:D14"/>
    <mergeCell ref="E14:F14"/>
    <mergeCell ref="A15:D15"/>
    <mergeCell ref="E15:F15"/>
    <mergeCell ref="A10:D10"/>
    <mergeCell ref="E10:F10"/>
    <mergeCell ref="A11:D11"/>
    <mergeCell ref="E11:F11"/>
    <mergeCell ref="A12:D12"/>
    <mergeCell ref="E12:F12"/>
    <mergeCell ref="A7:D7"/>
    <mergeCell ref="E7:F7"/>
    <mergeCell ref="A8:D8"/>
    <mergeCell ref="E8:F8"/>
    <mergeCell ref="A9:D9"/>
    <mergeCell ref="E9:F9"/>
    <mergeCell ref="A6:D6"/>
    <mergeCell ref="E6:F6"/>
    <mergeCell ref="A1:F3"/>
    <mergeCell ref="G1:G2"/>
    <mergeCell ref="H1:H2"/>
    <mergeCell ref="A4:F5"/>
    <mergeCell ref="G3:L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vt:i4>
      </vt:variant>
    </vt:vector>
  </HeadingPairs>
  <TitlesOfParts>
    <vt:vector size="18" baseType="lpstr">
      <vt:lpstr>Карточка персонажа</vt:lpstr>
      <vt:lpstr>Лист персонажа 1</vt:lpstr>
      <vt:lpstr>Лист персонажа 2</vt:lpstr>
      <vt:lpstr>Инвентарь</vt:lpstr>
      <vt:lpstr>Черты</vt:lpstr>
      <vt:lpstr>Воин</vt:lpstr>
      <vt:lpstr>Бард</vt:lpstr>
      <vt:lpstr>Варвар</vt:lpstr>
      <vt:lpstr>Вор</vt:lpstr>
      <vt:lpstr>Друид</vt:lpstr>
      <vt:lpstr>Жрец</vt:lpstr>
      <vt:lpstr>Маг</vt:lpstr>
      <vt:lpstr>Монах</vt:lpstr>
      <vt:lpstr>Паладин</vt:lpstr>
      <vt:lpstr>Рейнджер</vt:lpstr>
      <vt:lpstr>Чародей</vt:lpstr>
      <vt:lpstr>Расы</vt:lpstr>
      <vt:lpstr>Воин</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Berserk</dc:creator>
  <cp:keywords/>
  <dc:description/>
  <cp:lastModifiedBy>Плеханов Андрей</cp:lastModifiedBy>
  <cp:revision/>
  <dcterms:created xsi:type="dcterms:W3CDTF">2015-06-05T18:19:34Z</dcterms:created>
  <dcterms:modified xsi:type="dcterms:W3CDTF">2025-02-06T07:14:38Z</dcterms:modified>
  <cp:category/>
  <cp:contentStatus/>
</cp:coreProperties>
</file>