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ЭтаКнига"/>
  <mc:AlternateContent xmlns:mc="http://schemas.openxmlformats.org/markup-compatibility/2006">
    <mc:Choice Requires="x15">
      <x15ac:absPath xmlns:x15ac="http://schemas.microsoft.com/office/spreadsheetml/2010/11/ac" url="C:\Users\Berserk\Desktop\"/>
    </mc:Choice>
  </mc:AlternateContent>
  <xr:revisionPtr revIDLastSave="0" documentId="13_ncr:1_{A53500DA-55C1-45A0-AE95-4092F0E23B9F}" xr6:coauthVersionLast="47" xr6:coauthVersionMax="47" xr10:uidLastSave="{00000000-0000-0000-0000-000000000000}"/>
  <bookViews>
    <workbookView xWindow="-21720" yWindow="-13365" windowWidth="21840" windowHeight="37920" firstSheet="1" activeTab="1" xr2:uid="{00000000-000D-0000-FFFF-FFFF00000000}"/>
  </bookViews>
  <sheets>
    <sheet name="Карточка персонажа" sheetId="1" state="hidden" r:id="rId1"/>
    <sheet name="Лист персонажа 1" sheetId="8" r:id="rId2"/>
    <sheet name="Лист персонажа 2" sheetId="9" r:id="rId3"/>
    <sheet name="Инвентарь" sheetId="20" r:id="rId4"/>
    <sheet name="Черты" sheetId="6" r:id="rId5"/>
    <sheet name="Воин" sheetId="2" r:id="rId6"/>
    <sheet name="Бард" sheetId="10" r:id="rId7"/>
    <sheet name="Варвар" sheetId="11" r:id="rId8"/>
    <sheet name="Вор" sheetId="12" r:id="rId9"/>
    <sheet name="Друид" sheetId="13" r:id="rId10"/>
    <sheet name="Жрец" sheetId="14" r:id="rId11"/>
    <sheet name="Маг" sheetId="15" r:id="rId12"/>
    <sheet name="Монах" sheetId="16" r:id="rId13"/>
    <sheet name="Паладин" sheetId="17" r:id="rId14"/>
    <sheet name="Рейнджер" sheetId="18" r:id="rId15"/>
    <sheet name="Чародей" sheetId="19" r:id="rId16"/>
    <sheet name="Расы" sheetId="3" r:id="rId17"/>
  </sheets>
  <definedNames>
    <definedName name="Воин">Воин!$G$5:$H$25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6" i="8" l="1"/>
  <c r="W11" i="8" l="1"/>
  <c r="W10" i="8"/>
  <c r="W9" i="8"/>
  <c r="W8" i="8"/>
  <c r="V10" i="8"/>
  <c r="V9" i="8"/>
  <c r="V8" i="8"/>
  <c r="V7" i="8"/>
  <c r="K19" i="8" l="1"/>
  <c r="K17" i="8"/>
  <c r="K16" i="8"/>
  <c r="K15" i="8"/>
  <c r="K14" i="8"/>
  <c r="V6" i="8" l="1"/>
  <c r="W7" i="8"/>
  <c r="K40" i="20"/>
  <c r="P67" i="8" l="1"/>
  <c r="P66" i="8"/>
  <c r="P65" i="8"/>
  <c r="P64" i="8"/>
  <c r="P63" i="8"/>
  <c r="P61" i="8"/>
  <c r="P58" i="8"/>
  <c r="P56" i="8"/>
  <c r="P55" i="8"/>
  <c r="P54" i="8"/>
  <c r="P53" i="8"/>
  <c r="P52" i="8"/>
  <c r="P51" i="8"/>
  <c r="P50" i="8"/>
  <c r="P49" i="8"/>
  <c r="P48" i="8"/>
  <c r="P47" i="8"/>
  <c r="P46" i="8"/>
  <c r="P45" i="8"/>
  <c r="P44" i="8"/>
  <c r="P43" i="8"/>
  <c r="P42" i="8"/>
  <c r="P41" i="8"/>
  <c r="P40" i="8"/>
  <c r="P39" i="8"/>
  <c r="P38" i="8"/>
  <c r="P37" i="8"/>
  <c r="P36" i="8"/>
  <c r="P35" i="8"/>
  <c r="P34" i="8"/>
  <c r="P33" i="8"/>
  <c r="P32" i="8"/>
  <c r="P31" i="8"/>
  <c r="P30" i="8"/>
  <c r="P29" i="8"/>
  <c r="P28" i="8"/>
  <c r="P27" i="8"/>
  <c r="P26" i="8"/>
  <c r="P25" i="8"/>
  <c r="P24" i="8"/>
  <c r="K14" i="9"/>
  <c r="I14" i="9"/>
  <c r="G14" i="9"/>
  <c r="F14" i="9"/>
  <c r="E14" i="9"/>
  <c r="D14" i="9"/>
  <c r="S7" i="9"/>
  <c r="H40" i="20" l="1"/>
  <c r="Q8" i="8" l="1"/>
  <c r="Q3" i="8"/>
  <c r="J7" i="8"/>
  <c r="P7" i="8" s="1"/>
  <c r="M14" i="8"/>
  <c r="T16" i="8"/>
  <c r="V14" i="8"/>
  <c r="V13" i="8"/>
  <c r="R54" i="8"/>
  <c r="J19" i="8"/>
  <c r="F19" i="8" s="1"/>
  <c r="J18" i="8"/>
  <c r="F18" i="8" s="1"/>
  <c r="K18" i="8" s="1"/>
  <c r="J16" i="8"/>
  <c r="F16" i="8" s="1"/>
  <c r="J15" i="8"/>
  <c r="F15" i="8" s="1"/>
  <c r="J14" i="8"/>
  <c r="F14" i="8" s="1"/>
  <c r="G10" i="8"/>
  <c r="N12" i="9"/>
  <c r="N11" i="9" s="1"/>
  <c r="R12" i="9" s="1"/>
  <c r="H11" i="8"/>
  <c r="R43" i="8"/>
  <c r="R48" i="8"/>
  <c r="R53" i="8"/>
  <c r="J8" i="8"/>
  <c r="P8" i="8" s="1"/>
  <c r="J9" i="8"/>
  <c r="P9" i="8" s="1"/>
  <c r="J10" i="8"/>
  <c r="P10" i="8" s="1"/>
  <c r="J11" i="8"/>
  <c r="P11" i="8" s="1"/>
  <c r="J17" i="8"/>
  <c r="F17" i="8" s="1"/>
  <c r="D50" i="9"/>
  <c r="D51" i="9"/>
  <c r="D52" i="9"/>
  <c r="D53" i="9"/>
  <c r="D54" i="9"/>
  <c r="E50" i="9"/>
  <c r="E51" i="9"/>
  <c r="E52" i="9"/>
  <c r="T8" i="8" l="1"/>
  <c r="W6" i="8"/>
  <c r="S22" i="8"/>
  <c r="BD2" i="8"/>
  <c r="F6" i="9"/>
  <c r="S16" i="8"/>
  <c r="R11" i="9"/>
  <c r="O11" i="9"/>
  <c r="P11" i="9"/>
  <c r="Q12" i="9"/>
  <c r="Q11" i="9"/>
  <c r="P12" i="9"/>
  <c r="O12" i="9"/>
  <c r="S11" i="9"/>
  <c r="U45" i="9"/>
  <c r="O45" i="9"/>
  <c r="M45" i="9"/>
  <c r="I45" i="9"/>
  <c r="U44" i="9"/>
  <c r="O44" i="9"/>
  <c r="M44" i="9"/>
  <c r="I44" i="9"/>
  <c r="U43" i="9"/>
  <c r="O43" i="9"/>
  <c r="M43" i="9"/>
  <c r="I43" i="9"/>
  <c r="U42" i="9"/>
  <c r="O42" i="9"/>
  <c r="M42" i="9"/>
  <c r="K42" i="9"/>
  <c r="I42" i="9"/>
  <c r="U41" i="9"/>
  <c r="O41" i="9"/>
  <c r="M41" i="9"/>
  <c r="K41" i="9"/>
  <c r="I41" i="9"/>
  <c r="F54" i="9"/>
  <c r="E54" i="9"/>
  <c r="U40" i="9"/>
  <c r="S40" i="9"/>
  <c r="Q40" i="9"/>
  <c r="O40" i="9"/>
  <c r="M40" i="9"/>
  <c r="K40" i="9"/>
  <c r="I40" i="9"/>
  <c r="F53" i="9"/>
  <c r="E53" i="9"/>
  <c r="U39" i="9"/>
  <c r="S39" i="9"/>
  <c r="Q39" i="9"/>
  <c r="O39" i="9"/>
  <c r="M39" i="9"/>
  <c r="K39" i="9"/>
  <c r="I39" i="9"/>
  <c r="F52" i="9"/>
  <c r="U38" i="9"/>
  <c r="S38" i="9"/>
  <c r="Q38" i="9"/>
  <c r="O38" i="9"/>
  <c r="M38" i="9"/>
  <c r="K38" i="9"/>
  <c r="I38" i="9"/>
  <c r="F51" i="9"/>
  <c r="U37" i="9"/>
  <c r="S37" i="9"/>
  <c r="Q37" i="9"/>
  <c r="O37" i="9"/>
  <c r="M37" i="9"/>
  <c r="K37" i="9"/>
  <c r="I37" i="9"/>
  <c r="F50" i="9"/>
  <c r="U36" i="9"/>
  <c r="O36" i="9"/>
  <c r="M36" i="9"/>
  <c r="K36" i="9"/>
  <c r="I36" i="9"/>
  <c r="F8" i="9" l="1"/>
  <c r="BD3" i="8"/>
  <c r="Q7" i="8" s="1"/>
  <c r="F10" i="9"/>
  <c r="O9" i="8" l="1"/>
  <c r="O11" i="8"/>
  <c r="O10" i="8"/>
  <c r="O8" i="8"/>
  <c r="R52" i="8"/>
  <c r="R50" i="8"/>
  <c r="R45" i="8"/>
  <c r="R37" i="8"/>
  <c r="R61" i="8"/>
  <c r="R55" i="8"/>
  <c r="R25" i="8"/>
  <c r="S8" i="9" l="1"/>
  <c r="H11" i="10"/>
  <c r="H10" i="10"/>
  <c r="G19" i="8"/>
  <c r="N52" i="8" s="1"/>
  <c r="G17" i="8"/>
  <c r="A25" i="9"/>
  <c r="R28" i="8"/>
  <c r="N28" i="8" s="1"/>
  <c r="G18" i="8"/>
  <c r="P51" i="1"/>
  <c r="P50" i="1"/>
  <c r="P43" i="1"/>
  <c r="C8" i="1"/>
  <c r="I17" i="1"/>
  <c r="E17" i="1" s="1"/>
  <c r="I14" i="1"/>
  <c r="E14" i="1" s="1"/>
  <c r="P52" i="1"/>
  <c r="L12" i="1"/>
  <c r="M4" i="1"/>
  <c r="R4" i="1" s="1"/>
  <c r="P26" i="1"/>
  <c r="N44" i="1"/>
  <c r="N35" i="1"/>
  <c r="N28" i="1"/>
  <c r="N27" i="1"/>
  <c r="N24" i="1"/>
  <c r="I12" i="1"/>
  <c r="E12" i="1" s="1"/>
  <c r="E13" i="1"/>
  <c r="E15" i="1"/>
  <c r="E16" i="1"/>
  <c r="F16" i="1"/>
  <c r="G73" i="1" s="1"/>
  <c r="E73" i="1" s="1"/>
  <c r="F17" i="1"/>
  <c r="L40" i="1" s="1"/>
  <c r="F12" i="1"/>
  <c r="T70" i="1" s="1"/>
  <c r="F13" i="1"/>
  <c r="N17" i="1" s="1"/>
  <c r="L17" i="1" s="1"/>
  <c r="F15" i="1"/>
  <c r="L63" i="1" s="1"/>
  <c r="P46" i="1"/>
  <c r="P41" i="1"/>
  <c r="N60" i="8" l="1"/>
  <c r="N59" i="8"/>
  <c r="N40" i="8"/>
  <c r="N29" i="8"/>
  <c r="N42" i="8"/>
  <c r="N33" i="8"/>
  <c r="N30" i="8"/>
  <c r="N58" i="8"/>
  <c r="N62" i="8"/>
  <c r="N49" i="8"/>
  <c r="N43" i="8"/>
  <c r="N27" i="8"/>
  <c r="N53" i="8"/>
  <c r="N61" i="8"/>
  <c r="N38" i="8"/>
  <c r="N57" i="8"/>
  <c r="N48" i="8"/>
  <c r="N47" i="8"/>
  <c r="N63" i="8"/>
  <c r="N51" i="8"/>
  <c r="N41" i="8"/>
  <c r="N65" i="8"/>
  <c r="N45" i="8"/>
  <c r="N55" i="8"/>
  <c r="N66" i="8"/>
  <c r="N64" i="8"/>
  <c r="N67" i="8"/>
  <c r="N56" i="8"/>
  <c r="N34" i="8"/>
  <c r="G10" i="9"/>
  <c r="E10" i="9" s="1"/>
  <c r="G15" i="8"/>
  <c r="G16" i="8"/>
  <c r="N35" i="8" s="1"/>
  <c r="G14" i="8"/>
  <c r="N43" i="9"/>
  <c r="T37" i="9"/>
  <c r="N45" i="9"/>
  <c r="N38" i="9"/>
  <c r="N41" i="9"/>
  <c r="J43" i="9"/>
  <c r="J41" i="9"/>
  <c r="R37" i="9"/>
  <c r="T38" i="9"/>
  <c r="J36" i="9"/>
  <c r="R38" i="9"/>
  <c r="T40" i="9"/>
  <c r="J45" i="9"/>
  <c r="T39" i="9"/>
  <c r="N37" i="9"/>
  <c r="N40" i="9"/>
  <c r="J40" i="9"/>
  <c r="J37" i="9"/>
  <c r="R40" i="9"/>
  <c r="N36" i="9"/>
  <c r="N42" i="9"/>
  <c r="R39" i="9"/>
  <c r="N44" i="9"/>
  <c r="J42" i="9"/>
  <c r="N39" i="9"/>
  <c r="J38" i="9"/>
  <c r="J44" i="9"/>
  <c r="J39" i="9"/>
  <c r="P36" i="9"/>
  <c r="P44" i="9"/>
  <c r="P45" i="9"/>
  <c r="P37" i="9"/>
  <c r="P39" i="9"/>
  <c r="P42" i="9"/>
  <c r="P38" i="9"/>
  <c r="P43" i="9"/>
  <c r="P40" i="9"/>
  <c r="P41" i="9"/>
  <c r="V45" i="9"/>
  <c r="L41" i="9"/>
  <c r="L36" i="9"/>
  <c r="V42" i="9"/>
  <c r="V38" i="9"/>
  <c r="V39" i="9"/>
  <c r="L42" i="9"/>
  <c r="V37" i="9"/>
  <c r="V40" i="9"/>
  <c r="L40" i="9"/>
  <c r="V44" i="9"/>
  <c r="L37" i="9"/>
  <c r="L38" i="9"/>
  <c r="V36" i="9"/>
  <c r="V41" i="9"/>
  <c r="L39" i="9"/>
  <c r="V43" i="9"/>
  <c r="Q68" i="1"/>
  <c r="S70" i="1" s="1"/>
  <c r="L46" i="1"/>
  <c r="O7" i="8"/>
  <c r="P5" i="9" s="1"/>
  <c r="Q20" i="1"/>
  <c r="O20" i="1" s="1"/>
  <c r="K5" i="1"/>
  <c r="U70" i="1"/>
  <c r="Q70" i="1" s="1"/>
  <c r="R14" i="1"/>
  <c r="L50" i="1"/>
  <c r="L25" i="1"/>
  <c r="L31" i="1"/>
  <c r="L34" i="1"/>
  <c r="L36" i="1"/>
  <c r="L27" i="1"/>
  <c r="L28" i="1"/>
  <c r="L44" i="1"/>
  <c r="L26" i="1"/>
  <c r="L22" i="1"/>
  <c r="L51" i="1"/>
  <c r="L29" i="1"/>
  <c r="L24" i="1"/>
  <c r="L47" i="1"/>
  <c r="L56" i="1"/>
  <c r="L35" i="1"/>
  <c r="L41" i="1"/>
  <c r="L43" i="1"/>
  <c r="L32" i="1"/>
  <c r="L45" i="1"/>
  <c r="L54" i="1"/>
  <c r="L48" i="1"/>
  <c r="L53" i="1"/>
  <c r="L57" i="1"/>
  <c r="L58" i="1"/>
  <c r="L64" i="1"/>
  <c r="L23" i="1"/>
  <c r="L65" i="1"/>
  <c r="L49" i="1"/>
  <c r="L52" i="1"/>
  <c r="L37" i="1"/>
  <c r="L38" i="1"/>
  <c r="L59" i="1"/>
  <c r="L39" i="1"/>
  <c r="L60" i="1"/>
  <c r="L55" i="1"/>
  <c r="L61" i="1"/>
  <c r="L62" i="1"/>
  <c r="L42" i="1"/>
  <c r="Q14" i="1"/>
  <c r="G71" i="1"/>
  <c r="E71" i="1" s="1"/>
  <c r="F14" i="1"/>
  <c r="L33" i="1" s="1"/>
  <c r="R8" i="9" l="1"/>
  <c r="N46" i="8"/>
  <c r="N37" i="8"/>
  <c r="N50" i="8"/>
  <c r="N39" i="8"/>
  <c r="N32" i="8"/>
  <c r="N31" i="8"/>
  <c r="N36" i="8"/>
  <c r="N44" i="8"/>
  <c r="N54" i="8"/>
  <c r="Q22" i="8"/>
  <c r="G8" i="9"/>
  <c r="E8" i="9" s="1"/>
  <c r="N24" i="8"/>
  <c r="N25" i="8"/>
  <c r="N26" i="8"/>
  <c r="G6" i="9"/>
  <c r="E6" i="9" s="1"/>
  <c r="P4" i="9"/>
  <c r="Q5" i="9"/>
  <c r="Q4" i="9" s="1"/>
  <c r="BC1" i="8"/>
  <c r="O19" i="8"/>
  <c r="M19" i="8" s="1"/>
  <c r="M16" i="8"/>
  <c r="N7" i="8"/>
  <c r="L14" i="1"/>
  <c r="G69" i="1"/>
  <c r="E69" i="1" s="1"/>
  <c r="L30" i="1" s="1"/>
  <c r="A25" i="1"/>
  <c r="R5" i="9" l="1"/>
  <c r="Q8" i="9"/>
  <c r="O8" i="9" s="1"/>
  <c r="O7" i="9" s="1"/>
  <c r="R4" i="9" l="1"/>
  <c r="S5" i="9"/>
  <c r="S4" i="9" l="1"/>
  <c r="T5" i="9"/>
  <c r="T4"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Berserk</author>
    <author>Плеханов Андрей</author>
  </authors>
  <commentList>
    <comment ref="Q3" authorId="0" shapeId="0" xr:uid="{00000000-0006-0000-0100-000001000000}">
      <text>
        <r>
          <rPr>
            <b/>
            <sz val="20"/>
            <color indexed="81"/>
            <rFont val="Times New Roman"/>
            <family val="1"/>
            <charset val="204"/>
          </rPr>
          <t>Автоматичский параметр</t>
        </r>
        <r>
          <rPr>
            <b/>
            <sz val="16"/>
            <color indexed="81"/>
            <rFont val="Times New Roman"/>
            <family val="1"/>
            <charset val="204"/>
          </rPr>
          <t>.</t>
        </r>
      </text>
    </comment>
    <comment ref="G4" authorId="0" shapeId="0" xr:uid="{00000000-0006-0000-0100-000002000000}">
      <text>
        <r>
          <rPr>
            <b/>
            <sz val="16"/>
            <color indexed="81"/>
            <rFont val="Times New Roman"/>
            <family val="1"/>
            <charset val="204"/>
          </rPr>
          <t xml:space="preserve">Заполнить </t>
        </r>
      </text>
    </comment>
    <comment ref="G6" authorId="0" shapeId="0" xr:uid="{00000000-0006-0000-0100-000003000000}">
      <text>
        <r>
          <rPr>
            <b/>
            <sz val="16"/>
            <color indexed="81"/>
            <rFont val="Times New Roman"/>
            <family val="1"/>
            <charset val="204"/>
          </rPr>
          <t xml:space="preserve">Заполнить </t>
        </r>
      </text>
    </comment>
    <comment ref="L7" authorId="0" shapeId="0" xr:uid="{00000000-0006-0000-0100-000004000000}">
      <text>
        <r>
          <rPr>
            <b/>
            <sz val="16"/>
            <color indexed="81"/>
            <rFont val="Times New Roman"/>
            <family val="1"/>
            <charset val="204"/>
          </rPr>
          <t>Выбрать из раскрывающегося списка</t>
        </r>
      </text>
    </comment>
    <comment ref="M7" authorId="1" shapeId="0" xr:uid="{00000000-0006-0000-0100-000005000000}">
      <text>
        <r>
          <rPr>
            <sz val="20"/>
            <color indexed="81"/>
            <rFont val="Times New Roman"/>
            <family val="1"/>
            <charset val="204"/>
          </rPr>
          <t>Указывать текущий уровень класса</t>
        </r>
        <r>
          <rPr>
            <sz val="9"/>
            <color indexed="81"/>
            <rFont val="Tahoma"/>
            <charset val="1"/>
          </rPr>
          <t xml:space="preserve">
</t>
        </r>
      </text>
    </comment>
    <comment ref="N7" authorId="0" shapeId="0" xr:uid="{00000000-0006-0000-0100-000006000000}">
      <text>
        <r>
          <rPr>
            <b/>
            <sz val="20"/>
            <color indexed="81"/>
            <rFont val="Times New Roman"/>
            <family val="1"/>
            <charset val="204"/>
          </rPr>
          <t>Автоматичский параметр</t>
        </r>
        <r>
          <rPr>
            <b/>
            <sz val="16"/>
            <color indexed="81"/>
            <rFont val="Times New Roman"/>
            <family val="1"/>
            <charset val="204"/>
          </rPr>
          <t>.</t>
        </r>
      </text>
    </comment>
    <comment ref="O7" authorId="0" shapeId="0" xr:uid="{00000000-0006-0000-0100-000007000000}">
      <text>
        <r>
          <rPr>
            <b/>
            <sz val="20"/>
            <color indexed="81"/>
            <rFont val="Times New Roman"/>
            <family val="1"/>
            <charset val="204"/>
          </rPr>
          <t>Автоматичский параметр</t>
        </r>
        <r>
          <rPr>
            <b/>
            <sz val="16"/>
            <color indexed="81"/>
            <rFont val="Times New Roman"/>
            <family val="1"/>
            <charset val="204"/>
          </rPr>
          <t>.</t>
        </r>
      </text>
    </comment>
    <comment ref="G8" authorId="0" shapeId="0" xr:uid="{00000000-0006-0000-0100-000008000000}">
      <text>
        <r>
          <rPr>
            <b/>
            <sz val="16"/>
            <color indexed="81"/>
            <rFont val="Times New Roman"/>
            <family val="1"/>
            <charset val="204"/>
          </rPr>
          <t>Выбрать из раскрывающегося списка</t>
        </r>
      </text>
    </comment>
    <comment ref="L8" authorId="0" shapeId="0" xr:uid="{00000000-0006-0000-0100-000009000000}">
      <text>
        <r>
          <rPr>
            <b/>
            <sz val="16"/>
            <color indexed="81"/>
            <rFont val="Times New Roman"/>
            <family val="1"/>
            <charset val="204"/>
          </rPr>
          <t>Выбрать из раскрывающегося списка</t>
        </r>
      </text>
    </comment>
    <comment ref="M8" authorId="1" shapeId="0" xr:uid="{00000000-0006-0000-0100-00000A000000}">
      <text>
        <r>
          <rPr>
            <sz val="20"/>
            <color indexed="81"/>
            <rFont val="Times New Roman"/>
            <family val="1"/>
            <charset val="204"/>
          </rPr>
          <t>Указывать текущий уровень класса</t>
        </r>
      </text>
    </comment>
    <comment ref="O8" authorId="0" shapeId="0" xr:uid="{00000000-0006-0000-0100-00000B000000}">
      <text>
        <r>
          <rPr>
            <b/>
            <sz val="20"/>
            <color indexed="81"/>
            <rFont val="Times New Roman"/>
            <family val="1"/>
            <charset val="204"/>
          </rPr>
          <t>Автоматичский параметр</t>
        </r>
        <r>
          <rPr>
            <b/>
            <sz val="16"/>
            <color indexed="81"/>
            <rFont val="Times New Roman"/>
            <family val="1"/>
            <charset val="204"/>
          </rPr>
          <t>.</t>
        </r>
      </text>
    </comment>
    <comment ref="Q8" authorId="0" shapeId="0" xr:uid="{00000000-0006-0000-0100-00000C000000}">
      <text>
        <r>
          <rPr>
            <b/>
            <sz val="14"/>
            <color indexed="81"/>
            <rFont val="Times New Roman"/>
            <family val="1"/>
            <charset val="204"/>
          </rPr>
          <t xml:space="preserve">Автоматичский параметр.
Уровень расчитывается автоматически в зависимости от текущего опыта, и расы. </t>
        </r>
      </text>
    </comment>
    <comment ref="R8" authorId="0" shapeId="0" xr:uid="{00000000-0006-0000-0100-00000D000000}">
      <text>
        <r>
          <rPr>
            <b/>
            <sz val="16"/>
            <color indexed="81"/>
            <rFont val="Times New Roman"/>
            <family val="1"/>
            <charset val="204"/>
          </rPr>
          <t>Указать текущие количество опыта</t>
        </r>
      </text>
    </comment>
    <comment ref="T8" authorId="0" shapeId="0" xr:uid="{00000000-0006-0000-0100-00000E000000}">
      <text>
        <r>
          <rPr>
            <b/>
            <sz val="14"/>
            <color indexed="81"/>
            <rFont val="Times New Roman"/>
            <family val="1"/>
            <charset val="204"/>
          </rPr>
          <t xml:space="preserve">Автоматичский параметр.
Расчитывается автоматически в зависимости от текущего опыта, и расы. </t>
        </r>
      </text>
    </comment>
    <comment ref="L9" authorId="0" shapeId="0" xr:uid="{00000000-0006-0000-0100-00000F000000}">
      <text>
        <r>
          <rPr>
            <b/>
            <sz val="16"/>
            <color indexed="81"/>
            <rFont val="Times New Roman"/>
            <family val="1"/>
            <charset val="204"/>
          </rPr>
          <t>Выбрать из раскрывающегося списка</t>
        </r>
      </text>
    </comment>
    <comment ref="M9" authorId="1" shapeId="0" xr:uid="{00000000-0006-0000-0100-000010000000}">
      <text>
        <r>
          <rPr>
            <sz val="20"/>
            <color indexed="81"/>
            <rFont val="Times New Roman"/>
            <family val="1"/>
            <charset val="204"/>
          </rPr>
          <t>Указывать текущий уровень класса</t>
        </r>
      </text>
    </comment>
    <comment ref="O9" authorId="0" shapeId="0" xr:uid="{00000000-0006-0000-0100-000011000000}">
      <text>
        <r>
          <rPr>
            <b/>
            <sz val="20"/>
            <color indexed="81"/>
            <rFont val="Times New Roman"/>
            <family val="1"/>
            <charset val="204"/>
          </rPr>
          <t>Автоматичский параметр</t>
        </r>
        <r>
          <rPr>
            <b/>
            <sz val="16"/>
            <color indexed="81"/>
            <rFont val="Times New Roman"/>
            <family val="1"/>
            <charset val="204"/>
          </rPr>
          <t>.</t>
        </r>
      </text>
    </comment>
    <comment ref="G10" authorId="0" shapeId="0" xr:uid="{00000000-0006-0000-0100-000012000000}">
      <text>
        <r>
          <rPr>
            <b/>
            <sz val="16"/>
            <color indexed="81"/>
            <rFont val="Times New Roman"/>
            <family val="1"/>
            <charset val="204"/>
          </rPr>
          <t>Выбрать из раскрывающегося списка</t>
        </r>
      </text>
    </comment>
    <comment ref="I10" authorId="0" shapeId="0" xr:uid="{00000000-0006-0000-0100-000013000000}">
      <text>
        <r>
          <rPr>
            <b/>
            <sz val="16"/>
            <color indexed="81"/>
            <rFont val="Times New Roman"/>
            <family val="1"/>
            <charset val="204"/>
          </rPr>
          <t xml:space="preserve">Заполнить </t>
        </r>
      </text>
    </comment>
    <comment ref="L10" authorId="0" shapeId="0" xr:uid="{00000000-0006-0000-0100-000014000000}">
      <text>
        <r>
          <rPr>
            <b/>
            <sz val="16"/>
            <color indexed="81"/>
            <rFont val="Times New Roman"/>
            <family val="1"/>
            <charset val="204"/>
          </rPr>
          <t>Выбрать из раскрывающегося списка</t>
        </r>
      </text>
    </comment>
    <comment ref="M10" authorId="1" shapeId="0" xr:uid="{00000000-0006-0000-0100-000015000000}">
      <text>
        <r>
          <rPr>
            <sz val="20"/>
            <color indexed="81"/>
            <rFont val="Times New Roman"/>
            <family val="1"/>
            <charset val="204"/>
          </rPr>
          <t>Указывать текущий уровень класса</t>
        </r>
      </text>
    </comment>
    <comment ref="O10" authorId="0" shapeId="0" xr:uid="{00000000-0006-0000-0100-000016000000}">
      <text>
        <r>
          <rPr>
            <b/>
            <sz val="20"/>
            <color indexed="81"/>
            <rFont val="Times New Roman"/>
            <family val="1"/>
            <charset val="204"/>
          </rPr>
          <t>Автоматичский параметр</t>
        </r>
        <r>
          <rPr>
            <b/>
            <sz val="16"/>
            <color indexed="81"/>
            <rFont val="Times New Roman"/>
            <family val="1"/>
            <charset val="204"/>
          </rPr>
          <t>.</t>
        </r>
      </text>
    </comment>
    <comment ref="Q10" authorId="0" shapeId="0" xr:uid="{00000000-0006-0000-0100-000017000000}">
      <text>
        <r>
          <rPr>
            <b/>
            <sz val="16"/>
            <color indexed="81"/>
            <rFont val="Times New Roman"/>
            <family val="1"/>
            <charset val="204"/>
          </rPr>
          <t>Выбрать из раскрывающегося списка</t>
        </r>
      </text>
    </comment>
    <comment ref="S10" authorId="0" shapeId="0" xr:uid="{00000000-0006-0000-0100-000018000000}">
      <text>
        <r>
          <rPr>
            <b/>
            <sz val="16"/>
            <color indexed="81"/>
            <rFont val="Times New Roman"/>
            <family val="1"/>
            <charset val="204"/>
          </rPr>
          <t>Смотреть на вкладке Жрец, таблица Богов</t>
        </r>
      </text>
    </comment>
    <comment ref="L11" authorId="0" shapeId="0" xr:uid="{00000000-0006-0000-0100-000019000000}">
      <text>
        <r>
          <rPr>
            <b/>
            <sz val="16"/>
            <color indexed="81"/>
            <rFont val="Times New Roman"/>
            <family val="1"/>
            <charset val="204"/>
          </rPr>
          <t>Выбрать из раскрывающегося списка</t>
        </r>
      </text>
    </comment>
    <comment ref="M11" authorId="1" shapeId="0" xr:uid="{00000000-0006-0000-0100-00001A000000}">
      <text>
        <r>
          <rPr>
            <sz val="20"/>
            <color indexed="81"/>
            <rFont val="Times New Roman"/>
            <family val="1"/>
            <charset val="204"/>
          </rPr>
          <t>Указывать текущий уровень класса</t>
        </r>
      </text>
    </comment>
    <comment ref="O11" authorId="0" shapeId="0" xr:uid="{00000000-0006-0000-0100-00001B000000}">
      <text>
        <r>
          <rPr>
            <b/>
            <sz val="20"/>
            <color indexed="81"/>
            <rFont val="Times New Roman"/>
            <family val="1"/>
            <charset val="204"/>
          </rPr>
          <t>Автоматичский параметр</t>
        </r>
        <r>
          <rPr>
            <b/>
            <sz val="16"/>
            <color indexed="81"/>
            <rFont val="Times New Roman"/>
            <family val="1"/>
            <charset val="204"/>
          </rPr>
          <t>.</t>
        </r>
      </text>
    </comment>
    <comment ref="E14" authorId="1" shapeId="0" xr:uid="{70DC0203-D05B-4B8E-977D-A4F389F20A0E}">
      <text>
        <r>
          <rPr>
            <sz val="18"/>
            <color indexed="81"/>
            <rFont val="Times New Roman"/>
            <family val="1"/>
            <charset val="204"/>
          </rPr>
          <t>Заполняемый параметр</t>
        </r>
      </text>
    </comment>
    <comment ref="F14" authorId="0" shapeId="0" xr:uid="{00000000-0006-0000-0100-00001D000000}">
      <text>
        <r>
          <rPr>
            <b/>
            <sz val="20"/>
            <color indexed="81"/>
            <rFont val="Times New Roman"/>
            <family val="1"/>
            <charset val="204"/>
          </rPr>
          <t>Автоматичский параметр</t>
        </r>
        <r>
          <rPr>
            <b/>
            <sz val="16"/>
            <color indexed="81"/>
            <rFont val="Times New Roman"/>
            <family val="1"/>
            <charset val="204"/>
          </rPr>
          <t>.</t>
        </r>
      </text>
    </comment>
    <comment ref="G14" authorId="0" shapeId="0" xr:uid="{00000000-0006-0000-0100-00001E000000}">
      <text>
        <r>
          <rPr>
            <b/>
            <sz val="20"/>
            <color indexed="81"/>
            <rFont val="Times New Roman"/>
            <family val="1"/>
            <charset val="204"/>
          </rPr>
          <t>Автоматичский параметр</t>
        </r>
        <r>
          <rPr>
            <b/>
            <sz val="16"/>
            <color indexed="81"/>
            <rFont val="Times New Roman"/>
            <family val="1"/>
            <charset val="204"/>
          </rPr>
          <t>.</t>
        </r>
      </text>
    </comment>
    <comment ref="H14" authorId="0" shapeId="0" xr:uid="{00000000-0006-0000-0100-00001F000000}">
      <text>
        <r>
          <rPr>
            <b/>
            <sz val="20"/>
            <color indexed="81"/>
            <rFont val="Times New Roman"/>
            <family val="1"/>
            <charset val="204"/>
          </rPr>
          <t>Заполняемый парметр</t>
        </r>
      </text>
    </comment>
    <comment ref="I14" authorId="0" shapeId="0" xr:uid="{00000000-0006-0000-0100-000020000000}">
      <text>
        <r>
          <rPr>
            <b/>
            <sz val="20"/>
            <color indexed="81"/>
            <rFont val="Times New Roman"/>
            <family val="1"/>
            <charset val="204"/>
          </rPr>
          <t>Заполняемый парметр</t>
        </r>
      </text>
    </comment>
    <comment ref="J14" authorId="0" shapeId="0" xr:uid="{00000000-0006-0000-0100-000021000000}">
      <text>
        <r>
          <rPr>
            <b/>
            <sz val="20"/>
            <color indexed="81"/>
            <rFont val="Times New Roman"/>
            <family val="1"/>
            <charset val="204"/>
          </rPr>
          <t>Автоматичский параметр</t>
        </r>
        <r>
          <rPr>
            <b/>
            <sz val="16"/>
            <color indexed="81"/>
            <rFont val="Times New Roman"/>
            <family val="1"/>
            <charset val="204"/>
          </rPr>
          <t>.</t>
        </r>
      </text>
    </comment>
    <comment ref="M14" authorId="0" shapeId="0" xr:uid="{00000000-0006-0000-0100-000022000000}">
      <text>
        <r>
          <rPr>
            <b/>
            <sz val="20"/>
            <color indexed="81"/>
            <rFont val="Times New Roman"/>
            <family val="1"/>
            <charset val="204"/>
          </rPr>
          <t>Автоматичский параметр</t>
        </r>
        <r>
          <rPr>
            <b/>
            <sz val="16"/>
            <color indexed="81"/>
            <rFont val="Times New Roman"/>
            <family val="1"/>
            <charset val="204"/>
          </rPr>
          <t>.</t>
        </r>
      </text>
    </comment>
    <comment ref="O14" authorId="0" shapeId="0" xr:uid="{00000000-0006-0000-0100-000023000000}">
      <text>
        <r>
          <rPr>
            <b/>
            <sz val="18"/>
            <color indexed="81"/>
            <rFont val="Times New Roman"/>
            <family val="1"/>
            <charset val="204"/>
          </rPr>
          <t xml:space="preserve">Автоматический параметр.
</t>
        </r>
        <r>
          <rPr>
            <sz val="18"/>
            <color indexed="81"/>
            <rFont val="Times New Roman"/>
            <family val="1"/>
            <charset val="204"/>
          </rPr>
          <t xml:space="preserve">ХП расчитываются по среднему значению. Если правилами определено откидвать Кость хитов каждый уровень то просто убери формулу. </t>
        </r>
      </text>
    </comment>
    <comment ref="R14" authorId="0" shapeId="0" xr:uid="{00000000-0006-0000-0100-000024000000}">
      <text>
        <r>
          <rPr>
            <b/>
            <sz val="20"/>
            <color indexed="81"/>
            <rFont val="Times New Roman"/>
            <family val="1"/>
            <charset val="204"/>
          </rPr>
          <t>Заполняемый парметр</t>
        </r>
      </text>
    </comment>
    <comment ref="U14" authorId="0" shapeId="0" xr:uid="{00000000-0006-0000-0100-000025000000}">
      <text>
        <r>
          <rPr>
            <b/>
            <sz val="20"/>
            <color indexed="81"/>
            <rFont val="Times New Roman"/>
            <family val="1"/>
            <charset val="204"/>
          </rPr>
          <t>Заполняемый парметр</t>
        </r>
      </text>
    </comment>
    <comment ref="E15" authorId="1" shapeId="0" xr:uid="{C50D9B91-71E5-44FC-9163-87E8D8334650}">
      <text>
        <r>
          <rPr>
            <sz val="20"/>
            <color indexed="81"/>
            <rFont val="Times New Roman"/>
            <family val="1"/>
            <charset val="204"/>
          </rPr>
          <t>Заполняемый параметр</t>
        </r>
      </text>
    </comment>
    <comment ref="F15" authorId="0" shapeId="0" xr:uid="{00000000-0006-0000-0100-000027000000}">
      <text>
        <r>
          <rPr>
            <b/>
            <sz val="20"/>
            <color indexed="81"/>
            <rFont val="Times New Roman"/>
            <family val="1"/>
            <charset val="204"/>
          </rPr>
          <t>Автоматичский параметр</t>
        </r>
        <r>
          <rPr>
            <b/>
            <sz val="16"/>
            <color indexed="81"/>
            <rFont val="Times New Roman"/>
            <family val="1"/>
            <charset val="204"/>
          </rPr>
          <t>.</t>
        </r>
      </text>
    </comment>
    <comment ref="G15" authorId="0" shapeId="0" xr:uid="{00000000-0006-0000-0100-000028000000}">
      <text>
        <r>
          <rPr>
            <b/>
            <sz val="20"/>
            <color indexed="81"/>
            <rFont val="Times New Roman"/>
            <family val="1"/>
            <charset val="204"/>
          </rPr>
          <t>Автоматичский параметр</t>
        </r>
        <r>
          <rPr>
            <b/>
            <sz val="16"/>
            <color indexed="81"/>
            <rFont val="Times New Roman"/>
            <family val="1"/>
            <charset val="204"/>
          </rPr>
          <t>.</t>
        </r>
      </text>
    </comment>
    <comment ref="H15" authorId="0" shapeId="0" xr:uid="{00000000-0006-0000-0100-000029000000}">
      <text>
        <r>
          <rPr>
            <b/>
            <sz val="20"/>
            <color indexed="81"/>
            <rFont val="Times New Roman"/>
            <family val="1"/>
            <charset val="204"/>
          </rPr>
          <t>Заполняемый парметр</t>
        </r>
      </text>
    </comment>
    <comment ref="I15" authorId="0" shapeId="0" xr:uid="{00000000-0006-0000-0100-00002A000000}">
      <text>
        <r>
          <rPr>
            <b/>
            <sz val="20"/>
            <color indexed="81"/>
            <rFont val="Times New Roman"/>
            <family val="1"/>
            <charset val="204"/>
          </rPr>
          <t>Заполняемый парметр</t>
        </r>
      </text>
    </comment>
    <comment ref="J15" authorId="0" shapeId="0" xr:uid="{00000000-0006-0000-0100-00002B000000}">
      <text>
        <r>
          <rPr>
            <b/>
            <sz val="20"/>
            <color indexed="81"/>
            <rFont val="Times New Roman"/>
            <family val="1"/>
            <charset val="204"/>
          </rPr>
          <t>Автоматичский параметр</t>
        </r>
        <r>
          <rPr>
            <b/>
            <sz val="16"/>
            <color indexed="81"/>
            <rFont val="Times New Roman"/>
            <family val="1"/>
            <charset val="204"/>
          </rPr>
          <t>.</t>
        </r>
      </text>
    </comment>
    <comment ref="E16" authorId="1" shapeId="0" xr:uid="{09FE9D9C-39FD-45D8-BAD7-263EC6C857F8}">
      <text>
        <r>
          <rPr>
            <sz val="20"/>
            <color indexed="81"/>
            <rFont val="Times New Roman"/>
            <family val="1"/>
            <charset val="204"/>
          </rPr>
          <t>Заполняемый параметр</t>
        </r>
      </text>
    </comment>
    <comment ref="F16" authorId="0" shapeId="0" xr:uid="{00000000-0006-0000-0100-00002D000000}">
      <text>
        <r>
          <rPr>
            <b/>
            <sz val="20"/>
            <color indexed="81"/>
            <rFont val="Times New Roman"/>
            <family val="1"/>
            <charset val="204"/>
          </rPr>
          <t>Автоматичский параметр</t>
        </r>
        <r>
          <rPr>
            <b/>
            <sz val="16"/>
            <color indexed="81"/>
            <rFont val="Times New Roman"/>
            <family val="1"/>
            <charset val="204"/>
          </rPr>
          <t>.</t>
        </r>
      </text>
    </comment>
    <comment ref="G16" authorId="0" shapeId="0" xr:uid="{00000000-0006-0000-0100-00002E000000}">
      <text>
        <r>
          <rPr>
            <b/>
            <sz val="20"/>
            <color indexed="81"/>
            <rFont val="Times New Roman"/>
            <family val="1"/>
            <charset val="204"/>
          </rPr>
          <t>Автоматичский параметр</t>
        </r>
        <r>
          <rPr>
            <b/>
            <sz val="16"/>
            <color indexed="81"/>
            <rFont val="Times New Roman"/>
            <family val="1"/>
            <charset val="204"/>
          </rPr>
          <t>.</t>
        </r>
      </text>
    </comment>
    <comment ref="H16" authorId="0" shapeId="0" xr:uid="{00000000-0006-0000-0100-00002F000000}">
      <text>
        <r>
          <rPr>
            <b/>
            <sz val="20"/>
            <color indexed="81"/>
            <rFont val="Times New Roman"/>
            <family val="1"/>
            <charset val="204"/>
          </rPr>
          <t>Заполняемый парметр</t>
        </r>
      </text>
    </comment>
    <comment ref="I16" authorId="0" shapeId="0" xr:uid="{00000000-0006-0000-0100-000030000000}">
      <text>
        <r>
          <rPr>
            <b/>
            <sz val="20"/>
            <color indexed="81"/>
            <rFont val="Times New Roman"/>
            <family val="1"/>
            <charset val="204"/>
          </rPr>
          <t>Заполняемый парметр</t>
        </r>
      </text>
    </comment>
    <comment ref="J16" authorId="0" shapeId="0" xr:uid="{00000000-0006-0000-0100-000031000000}">
      <text>
        <r>
          <rPr>
            <b/>
            <sz val="20"/>
            <color indexed="81"/>
            <rFont val="Times New Roman"/>
            <family val="1"/>
            <charset val="204"/>
          </rPr>
          <t>Автоматичский параметр</t>
        </r>
        <r>
          <rPr>
            <b/>
            <sz val="16"/>
            <color indexed="81"/>
            <rFont val="Times New Roman"/>
            <family val="1"/>
            <charset val="204"/>
          </rPr>
          <t>.</t>
        </r>
      </text>
    </comment>
    <comment ref="M16" authorId="0" shapeId="0" xr:uid="{00000000-0006-0000-0100-000032000000}">
      <text>
        <r>
          <rPr>
            <b/>
            <sz val="20"/>
            <color indexed="81"/>
            <rFont val="Times New Roman"/>
            <family val="1"/>
            <charset val="204"/>
          </rPr>
          <t>Автоматичский параметр</t>
        </r>
        <r>
          <rPr>
            <b/>
            <sz val="16"/>
            <color indexed="81"/>
            <rFont val="Times New Roman"/>
            <family val="1"/>
            <charset val="204"/>
          </rPr>
          <t>.</t>
        </r>
      </text>
    </comment>
    <comment ref="O16" authorId="0" shapeId="0" xr:uid="{00000000-0006-0000-0100-000033000000}">
      <text>
        <r>
          <rPr>
            <b/>
            <sz val="20"/>
            <color indexed="81"/>
            <rFont val="Times New Roman"/>
            <family val="1"/>
            <charset val="204"/>
          </rPr>
          <t>Автоматичский параметр</t>
        </r>
        <r>
          <rPr>
            <b/>
            <sz val="16"/>
            <color indexed="81"/>
            <rFont val="Times New Roman"/>
            <family val="1"/>
            <charset val="204"/>
          </rPr>
          <t>.</t>
        </r>
      </text>
    </comment>
    <comment ref="P16" authorId="0" shapeId="0" xr:uid="{00000000-0006-0000-0100-000034000000}">
      <text>
        <r>
          <rPr>
            <b/>
            <sz val="20"/>
            <color indexed="81"/>
            <rFont val="Times New Roman"/>
            <family val="1"/>
            <charset val="204"/>
          </rPr>
          <t>Заполняемый парметр</t>
        </r>
      </text>
    </comment>
    <comment ref="Q16" authorId="0" shapeId="0" xr:uid="{00000000-0006-0000-0100-000035000000}">
      <text>
        <r>
          <rPr>
            <b/>
            <sz val="20"/>
            <color indexed="81"/>
            <rFont val="Times New Roman"/>
            <family val="1"/>
            <charset val="204"/>
          </rPr>
          <t>Заполняемый парметр</t>
        </r>
      </text>
    </comment>
    <comment ref="R16" authorId="0" shapeId="0" xr:uid="{00000000-0006-0000-0100-000036000000}">
      <text>
        <r>
          <rPr>
            <b/>
            <sz val="20"/>
            <color indexed="81"/>
            <rFont val="Times New Roman"/>
            <family val="1"/>
            <charset val="204"/>
          </rPr>
          <t>Автоматичский параметр</t>
        </r>
        <r>
          <rPr>
            <b/>
            <sz val="16"/>
            <color indexed="81"/>
            <rFont val="Times New Roman"/>
            <family val="1"/>
            <charset val="204"/>
          </rPr>
          <t>.</t>
        </r>
      </text>
    </comment>
    <comment ref="S16" authorId="0" shapeId="0" xr:uid="{00000000-0006-0000-0100-000037000000}">
      <text>
        <r>
          <rPr>
            <b/>
            <sz val="20"/>
            <color indexed="81"/>
            <rFont val="Times New Roman"/>
            <family val="1"/>
            <charset val="204"/>
          </rPr>
          <t>Автоматичский параметр</t>
        </r>
        <r>
          <rPr>
            <b/>
            <sz val="16"/>
            <color indexed="81"/>
            <rFont val="Times New Roman"/>
            <family val="1"/>
            <charset val="204"/>
          </rPr>
          <t>.</t>
        </r>
      </text>
    </comment>
    <comment ref="T16" authorId="0" shapeId="0" xr:uid="{00000000-0006-0000-0100-000038000000}">
      <text>
        <r>
          <rPr>
            <b/>
            <sz val="20"/>
            <color indexed="81"/>
            <rFont val="Times New Roman"/>
            <family val="1"/>
            <charset val="204"/>
          </rPr>
          <t>Автоматичский параметр</t>
        </r>
        <r>
          <rPr>
            <b/>
            <sz val="16"/>
            <color indexed="81"/>
            <rFont val="Times New Roman"/>
            <family val="1"/>
            <charset val="204"/>
          </rPr>
          <t>.</t>
        </r>
      </text>
    </comment>
    <comment ref="U16" authorId="0" shapeId="0" xr:uid="{00000000-0006-0000-0100-000039000000}">
      <text>
        <r>
          <rPr>
            <b/>
            <sz val="20"/>
            <color indexed="81"/>
            <rFont val="Times New Roman"/>
            <family val="1"/>
            <charset val="204"/>
          </rPr>
          <t>Заполняемый парметр</t>
        </r>
      </text>
    </comment>
    <comment ref="V16" authorId="0" shapeId="0" xr:uid="{00000000-0006-0000-0100-00003A000000}">
      <text>
        <r>
          <rPr>
            <b/>
            <sz val="20"/>
            <color indexed="81"/>
            <rFont val="Times New Roman"/>
            <family val="1"/>
            <charset val="204"/>
          </rPr>
          <t>Заполняемый парметр</t>
        </r>
      </text>
    </comment>
    <comment ref="E17" authorId="1" shapeId="0" xr:uid="{80D8C60A-DA27-4777-B5F5-CDC48A565E2B}">
      <text>
        <r>
          <rPr>
            <sz val="20"/>
            <color indexed="81"/>
            <rFont val="Times New Roman"/>
            <family val="1"/>
            <charset val="204"/>
          </rPr>
          <t>Заполняемый параметр</t>
        </r>
      </text>
    </comment>
    <comment ref="F17" authorId="0" shapeId="0" xr:uid="{00000000-0006-0000-0100-00003C000000}">
      <text>
        <r>
          <rPr>
            <b/>
            <sz val="20"/>
            <color indexed="81"/>
            <rFont val="Times New Roman"/>
            <family val="1"/>
            <charset val="204"/>
          </rPr>
          <t>Автоматичский параметр</t>
        </r>
        <r>
          <rPr>
            <b/>
            <sz val="16"/>
            <color indexed="81"/>
            <rFont val="Times New Roman"/>
            <family val="1"/>
            <charset val="204"/>
          </rPr>
          <t>.</t>
        </r>
      </text>
    </comment>
    <comment ref="G17" authorId="0" shapeId="0" xr:uid="{00000000-0006-0000-0100-00003D000000}">
      <text>
        <r>
          <rPr>
            <b/>
            <sz val="20"/>
            <color indexed="81"/>
            <rFont val="Times New Roman"/>
            <family val="1"/>
            <charset val="204"/>
          </rPr>
          <t>Автоматичский параметр</t>
        </r>
        <r>
          <rPr>
            <b/>
            <sz val="16"/>
            <color indexed="81"/>
            <rFont val="Times New Roman"/>
            <family val="1"/>
            <charset val="204"/>
          </rPr>
          <t>.</t>
        </r>
      </text>
    </comment>
    <comment ref="H17" authorId="0" shapeId="0" xr:uid="{00000000-0006-0000-0100-00003E000000}">
      <text>
        <r>
          <rPr>
            <b/>
            <sz val="20"/>
            <color indexed="81"/>
            <rFont val="Times New Roman"/>
            <family val="1"/>
            <charset val="204"/>
          </rPr>
          <t>Заполняемый парметр</t>
        </r>
      </text>
    </comment>
    <comment ref="I17" authorId="0" shapeId="0" xr:uid="{00000000-0006-0000-0100-00003F000000}">
      <text>
        <r>
          <rPr>
            <b/>
            <sz val="20"/>
            <color indexed="81"/>
            <rFont val="Times New Roman"/>
            <family val="1"/>
            <charset val="204"/>
          </rPr>
          <t>Заполняемый парметр</t>
        </r>
      </text>
    </comment>
    <comment ref="J17" authorId="0" shapeId="0" xr:uid="{00000000-0006-0000-0100-000040000000}">
      <text>
        <r>
          <rPr>
            <b/>
            <sz val="20"/>
            <color indexed="81"/>
            <rFont val="Times New Roman"/>
            <family val="1"/>
            <charset val="204"/>
          </rPr>
          <t>Автоматичский параметр</t>
        </r>
        <r>
          <rPr>
            <b/>
            <sz val="16"/>
            <color indexed="81"/>
            <rFont val="Times New Roman"/>
            <family val="1"/>
            <charset val="204"/>
          </rPr>
          <t>.</t>
        </r>
      </text>
    </comment>
    <comment ref="E18" authorId="1" shapeId="0" xr:uid="{5C44A9D4-9AA0-4B72-8808-78F52365812B}">
      <text>
        <r>
          <rPr>
            <sz val="20"/>
            <color indexed="81"/>
            <rFont val="Times New Roman"/>
            <family val="1"/>
            <charset val="204"/>
          </rPr>
          <t>Заполняемый параметр</t>
        </r>
      </text>
    </comment>
    <comment ref="F18" authorId="0" shapeId="0" xr:uid="{00000000-0006-0000-0100-000042000000}">
      <text>
        <r>
          <rPr>
            <b/>
            <sz val="20"/>
            <color indexed="81"/>
            <rFont val="Times New Roman"/>
            <family val="1"/>
            <charset val="204"/>
          </rPr>
          <t>Автоматичский параметр</t>
        </r>
        <r>
          <rPr>
            <b/>
            <sz val="16"/>
            <color indexed="81"/>
            <rFont val="Times New Roman"/>
            <family val="1"/>
            <charset val="204"/>
          </rPr>
          <t>.</t>
        </r>
      </text>
    </comment>
    <comment ref="G18" authorId="0" shapeId="0" xr:uid="{00000000-0006-0000-0100-000043000000}">
      <text>
        <r>
          <rPr>
            <b/>
            <sz val="20"/>
            <color indexed="81"/>
            <rFont val="Times New Roman"/>
            <family val="1"/>
            <charset val="204"/>
          </rPr>
          <t>Автоматичский параметр</t>
        </r>
        <r>
          <rPr>
            <b/>
            <sz val="16"/>
            <color indexed="81"/>
            <rFont val="Times New Roman"/>
            <family val="1"/>
            <charset val="204"/>
          </rPr>
          <t>.</t>
        </r>
      </text>
    </comment>
    <comment ref="H18" authorId="0" shapeId="0" xr:uid="{00000000-0006-0000-0100-000044000000}">
      <text>
        <r>
          <rPr>
            <b/>
            <sz val="20"/>
            <color indexed="81"/>
            <rFont val="Times New Roman"/>
            <family val="1"/>
            <charset val="204"/>
          </rPr>
          <t>Заполняемый парметр</t>
        </r>
      </text>
    </comment>
    <comment ref="I18" authorId="0" shapeId="0" xr:uid="{00000000-0006-0000-0100-000045000000}">
      <text>
        <r>
          <rPr>
            <b/>
            <sz val="20"/>
            <color indexed="81"/>
            <rFont val="Times New Roman"/>
            <family val="1"/>
            <charset val="204"/>
          </rPr>
          <t>Заполняемый парметр</t>
        </r>
      </text>
    </comment>
    <comment ref="J18" authorId="0" shapeId="0" xr:uid="{00000000-0006-0000-0100-000046000000}">
      <text>
        <r>
          <rPr>
            <b/>
            <sz val="20"/>
            <color indexed="81"/>
            <rFont val="Times New Roman"/>
            <family val="1"/>
            <charset val="204"/>
          </rPr>
          <t>Автоматичский параметр</t>
        </r>
        <r>
          <rPr>
            <b/>
            <sz val="16"/>
            <color indexed="81"/>
            <rFont val="Times New Roman"/>
            <family val="1"/>
            <charset val="204"/>
          </rPr>
          <t>.</t>
        </r>
      </text>
    </comment>
    <comment ref="E19" authorId="1" shapeId="0" xr:uid="{6326CF1C-D2CE-4D5B-AF12-AD5C5DB0E1CD}">
      <text>
        <r>
          <rPr>
            <sz val="20"/>
            <color indexed="81"/>
            <rFont val="Times New Roman"/>
            <family val="1"/>
            <charset val="204"/>
          </rPr>
          <t>Заполняемый параметр</t>
        </r>
      </text>
    </comment>
    <comment ref="F19" authorId="0" shapeId="0" xr:uid="{00000000-0006-0000-0100-000048000000}">
      <text>
        <r>
          <rPr>
            <b/>
            <sz val="20"/>
            <color indexed="81"/>
            <rFont val="Times New Roman"/>
            <family val="1"/>
            <charset val="204"/>
          </rPr>
          <t>Автоматичский параметр</t>
        </r>
        <r>
          <rPr>
            <b/>
            <sz val="16"/>
            <color indexed="81"/>
            <rFont val="Times New Roman"/>
            <family val="1"/>
            <charset val="204"/>
          </rPr>
          <t>.</t>
        </r>
      </text>
    </comment>
    <comment ref="G19" authorId="0" shapeId="0" xr:uid="{00000000-0006-0000-0100-000049000000}">
      <text>
        <r>
          <rPr>
            <b/>
            <sz val="20"/>
            <color indexed="81"/>
            <rFont val="Times New Roman"/>
            <family val="1"/>
            <charset val="204"/>
          </rPr>
          <t>Автоматичский параметр</t>
        </r>
        <r>
          <rPr>
            <b/>
            <sz val="16"/>
            <color indexed="81"/>
            <rFont val="Times New Roman"/>
            <family val="1"/>
            <charset val="204"/>
          </rPr>
          <t>.</t>
        </r>
      </text>
    </comment>
    <comment ref="H19" authorId="0" shapeId="0" xr:uid="{00000000-0006-0000-0100-00004A000000}">
      <text>
        <r>
          <rPr>
            <b/>
            <sz val="20"/>
            <color indexed="81"/>
            <rFont val="Times New Roman"/>
            <family val="1"/>
            <charset val="204"/>
          </rPr>
          <t>Заполняемый парметр</t>
        </r>
      </text>
    </comment>
    <comment ref="I19" authorId="0" shapeId="0" xr:uid="{00000000-0006-0000-0100-00004B000000}">
      <text>
        <r>
          <rPr>
            <b/>
            <sz val="20"/>
            <color indexed="81"/>
            <rFont val="Times New Roman"/>
            <family val="1"/>
            <charset val="204"/>
          </rPr>
          <t>Заполняемый парметр</t>
        </r>
      </text>
    </comment>
    <comment ref="J19" authorId="0" shapeId="0" xr:uid="{00000000-0006-0000-0100-00004C000000}">
      <text>
        <r>
          <rPr>
            <b/>
            <sz val="20"/>
            <color indexed="81"/>
            <rFont val="Times New Roman"/>
            <family val="1"/>
            <charset val="204"/>
          </rPr>
          <t>Автоматичский параметр</t>
        </r>
        <r>
          <rPr>
            <b/>
            <sz val="16"/>
            <color indexed="81"/>
            <rFont val="Times New Roman"/>
            <family val="1"/>
            <charset val="204"/>
          </rPr>
          <t>.</t>
        </r>
      </text>
    </comment>
    <comment ref="M19" authorId="0" shapeId="0" xr:uid="{00000000-0006-0000-0100-00004D000000}">
      <text>
        <r>
          <rPr>
            <b/>
            <sz val="20"/>
            <color indexed="81"/>
            <rFont val="Times New Roman"/>
            <family val="1"/>
            <charset val="204"/>
          </rPr>
          <t>Автоматичский параметр</t>
        </r>
        <r>
          <rPr>
            <b/>
            <sz val="16"/>
            <color indexed="81"/>
            <rFont val="Times New Roman"/>
            <family val="1"/>
            <charset val="204"/>
          </rPr>
          <t>.</t>
        </r>
      </text>
    </comment>
    <comment ref="O19" authorId="0" shapeId="0" xr:uid="{00000000-0006-0000-0100-00004E000000}">
      <text>
        <r>
          <rPr>
            <b/>
            <sz val="20"/>
            <color indexed="81"/>
            <rFont val="Times New Roman"/>
            <family val="1"/>
            <charset val="204"/>
          </rPr>
          <t>Автоматичский параметр</t>
        </r>
        <r>
          <rPr>
            <b/>
            <sz val="16"/>
            <color indexed="81"/>
            <rFont val="Times New Roman"/>
            <family val="1"/>
            <charset val="204"/>
          </rPr>
          <t>.</t>
        </r>
      </text>
    </comment>
    <comment ref="P19" authorId="0" shapeId="0" xr:uid="{00000000-0006-0000-0100-00004F000000}">
      <text>
        <r>
          <rPr>
            <b/>
            <sz val="20"/>
            <color indexed="81"/>
            <rFont val="Times New Roman"/>
            <family val="1"/>
            <charset val="204"/>
          </rPr>
          <t>Заполняемый парметр</t>
        </r>
      </text>
    </comment>
    <comment ref="L24" authorId="0" shapeId="0" xr:uid="{649D9120-95B7-461F-AF0C-4E29CEEBA338}">
      <text>
        <r>
          <rPr>
            <sz val="20"/>
            <color indexed="81"/>
            <rFont val="Times New Roman"/>
            <family val="1"/>
            <charset val="204"/>
          </rPr>
          <t xml:space="preserve">Общий навык (кидают все) </t>
        </r>
      </text>
    </comment>
    <comment ref="N24" authorId="0" shapeId="0" xr:uid="{00000000-0006-0000-0100-000050000000}">
      <text>
        <r>
          <rPr>
            <b/>
            <sz val="20"/>
            <color indexed="81"/>
            <rFont val="Times New Roman"/>
            <family val="1"/>
            <charset val="204"/>
          </rPr>
          <t>Автоматичский параметр</t>
        </r>
        <r>
          <rPr>
            <b/>
            <sz val="16"/>
            <color indexed="81"/>
            <rFont val="Times New Roman"/>
            <family val="1"/>
            <charset val="204"/>
          </rPr>
          <t>.</t>
        </r>
      </text>
    </comment>
    <comment ref="R24" authorId="0" shapeId="0" xr:uid="{00000000-0006-0000-0100-000051000000}">
      <text>
        <r>
          <rPr>
            <sz val="20"/>
            <color indexed="81"/>
            <rFont val="Times New Roman"/>
            <family val="1"/>
            <charset val="204"/>
          </rPr>
          <t>Автоматичский параметр</t>
        </r>
        <r>
          <rPr>
            <sz val="16"/>
            <color indexed="81"/>
            <rFont val="Times New Roman"/>
            <family val="1"/>
            <charset val="204"/>
          </rPr>
          <t>.</t>
        </r>
      </text>
    </comment>
    <comment ref="S24" authorId="0" shapeId="0" xr:uid="{00000000-0006-0000-0100-000052000000}">
      <text>
        <r>
          <rPr>
            <sz val="20"/>
            <color indexed="81"/>
            <rFont val="Times New Roman"/>
            <family val="1"/>
            <charset val="204"/>
          </rPr>
          <t>Заполняемый парметр</t>
        </r>
      </text>
    </comment>
    <comment ref="L25" authorId="0" shapeId="0" xr:uid="{C440C35C-00C7-4CC1-BAC5-B26A3A1A14A4}">
      <text>
        <r>
          <rPr>
            <sz val="20"/>
            <color indexed="81"/>
            <rFont val="Times New Roman"/>
            <family val="1"/>
            <charset val="204"/>
          </rPr>
          <t xml:space="preserve">Общий навык (кидают все) </t>
        </r>
      </text>
    </comment>
    <comment ref="N25" authorId="0" shapeId="0" xr:uid="{00000000-0006-0000-0100-000053000000}">
      <text>
        <r>
          <rPr>
            <b/>
            <sz val="20"/>
            <color indexed="81"/>
            <rFont val="Times New Roman"/>
            <family val="1"/>
            <charset val="204"/>
          </rPr>
          <t>Автоматичский параметр</t>
        </r>
        <r>
          <rPr>
            <b/>
            <sz val="16"/>
            <color indexed="81"/>
            <rFont val="Times New Roman"/>
            <family val="1"/>
            <charset val="204"/>
          </rPr>
          <t>.</t>
        </r>
      </text>
    </comment>
    <comment ref="R25" authorId="0" shapeId="0" xr:uid="{00000000-0006-0000-0100-000054000000}">
      <text>
        <r>
          <rPr>
            <sz val="20"/>
            <color indexed="81"/>
            <rFont val="Times New Roman"/>
            <family val="1"/>
            <charset val="204"/>
          </rPr>
          <t>Автоматичский параметр</t>
        </r>
        <r>
          <rPr>
            <sz val="16"/>
            <color indexed="81"/>
            <rFont val="Times New Roman"/>
            <family val="1"/>
            <charset val="204"/>
          </rPr>
          <t>.</t>
        </r>
      </text>
    </comment>
    <comment ref="S25" authorId="0" shapeId="0" xr:uid="{00000000-0006-0000-0100-000055000000}">
      <text>
        <r>
          <rPr>
            <sz val="20"/>
            <color indexed="81"/>
            <rFont val="Times New Roman"/>
            <family val="1"/>
            <charset val="204"/>
          </rPr>
          <t>Заполняемый парметр</t>
        </r>
      </text>
    </comment>
    <comment ref="L26" authorId="0" shapeId="0" xr:uid="{60F5ECD4-F36C-4C69-8989-8FB93F67E317}">
      <text>
        <r>
          <rPr>
            <sz val="20"/>
            <color indexed="81"/>
            <rFont val="Times New Roman"/>
            <family val="1"/>
            <charset val="204"/>
          </rPr>
          <t xml:space="preserve">Общий навык (кидают все) </t>
        </r>
      </text>
    </comment>
    <comment ref="N26" authorId="0" shapeId="0" xr:uid="{00000000-0006-0000-0100-000056000000}">
      <text>
        <r>
          <rPr>
            <b/>
            <sz val="20"/>
            <color indexed="81"/>
            <rFont val="Times New Roman"/>
            <family val="1"/>
            <charset val="204"/>
          </rPr>
          <t>Автоматичский параметр</t>
        </r>
        <r>
          <rPr>
            <b/>
            <sz val="16"/>
            <color indexed="81"/>
            <rFont val="Times New Roman"/>
            <family val="1"/>
            <charset val="204"/>
          </rPr>
          <t>.</t>
        </r>
      </text>
    </comment>
    <comment ref="R26" authorId="0" shapeId="0" xr:uid="{00000000-0006-0000-0100-000057000000}">
      <text>
        <r>
          <rPr>
            <sz val="20"/>
            <color indexed="81"/>
            <rFont val="Times New Roman"/>
            <family val="1"/>
            <charset val="204"/>
          </rPr>
          <t>Автоматичский параметр</t>
        </r>
        <r>
          <rPr>
            <sz val="16"/>
            <color indexed="81"/>
            <rFont val="Times New Roman"/>
            <family val="1"/>
            <charset val="204"/>
          </rPr>
          <t>.</t>
        </r>
      </text>
    </comment>
    <comment ref="S26" authorId="0" shapeId="0" xr:uid="{00000000-0006-0000-0100-000058000000}">
      <text>
        <r>
          <rPr>
            <sz val="20"/>
            <color indexed="81"/>
            <rFont val="Times New Roman"/>
            <family val="1"/>
            <charset val="204"/>
          </rPr>
          <t>Заполняемый парметр</t>
        </r>
      </text>
    </comment>
    <comment ref="L27" authorId="0" shapeId="0" xr:uid="{69FAF764-B8A4-4A54-AC8B-96B476DD7D38}">
      <text>
        <r>
          <rPr>
            <sz val="20"/>
            <color indexed="81"/>
            <rFont val="Times New Roman"/>
            <family val="1"/>
            <charset val="204"/>
          </rPr>
          <t xml:space="preserve">Общий навык (кидают все) </t>
        </r>
      </text>
    </comment>
    <comment ref="N27" authorId="0" shapeId="0" xr:uid="{00000000-0006-0000-0100-000059000000}">
      <text>
        <r>
          <rPr>
            <b/>
            <sz val="20"/>
            <color indexed="81"/>
            <rFont val="Times New Roman"/>
            <family val="1"/>
            <charset val="204"/>
          </rPr>
          <t>Автоматичский параметр</t>
        </r>
        <r>
          <rPr>
            <b/>
            <sz val="16"/>
            <color indexed="81"/>
            <rFont val="Times New Roman"/>
            <family val="1"/>
            <charset val="204"/>
          </rPr>
          <t>.</t>
        </r>
      </text>
    </comment>
    <comment ref="R27" authorId="0" shapeId="0" xr:uid="{00000000-0006-0000-0100-00005A000000}">
      <text>
        <r>
          <rPr>
            <sz val="20"/>
            <color indexed="81"/>
            <rFont val="Times New Roman"/>
            <family val="1"/>
            <charset val="204"/>
          </rPr>
          <t>Автоматичский параметр</t>
        </r>
        <r>
          <rPr>
            <sz val="16"/>
            <color indexed="81"/>
            <rFont val="Times New Roman"/>
            <family val="1"/>
            <charset val="204"/>
          </rPr>
          <t>.</t>
        </r>
      </text>
    </comment>
    <comment ref="S27" authorId="0" shapeId="0" xr:uid="{00000000-0006-0000-0100-00005B000000}">
      <text>
        <r>
          <rPr>
            <sz val="20"/>
            <color indexed="81"/>
            <rFont val="Times New Roman"/>
            <family val="1"/>
            <charset val="204"/>
          </rPr>
          <t>Заполняемый парметр</t>
        </r>
      </text>
    </comment>
    <comment ref="L28" authorId="0" shapeId="0" xr:uid="{231D1638-9079-4596-9ED4-3F7C5CA6A19C}">
      <text>
        <r>
          <rPr>
            <sz val="20"/>
            <color indexed="81"/>
            <rFont val="Times New Roman"/>
            <family val="1"/>
            <charset val="204"/>
          </rPr>
          <t xml:space="preserve">Общий навык (кидают все) </t>
        </r>
      </text>
    </comment>
    <comment ref="N28" authorId="0" shapeId="0" xr:uid="{00000000-0006-0000-0100-00005C000000}">
      <text>
        <r>
          <rPr>
            <b/>
            <sz val="20"/>
            <color indexed="81"/>
            <rFont val="Times New Roman"/>
            <family val="1"/>
            <charset val="204"/>
          </rPr>
          <t>Автоматичский параметр</t>
        </r>
        <r>
          <rPr>
            <b/>
            <sz val="16"/>
            <color indexed="81"/>
            <rFont val="Times New Roman"/>
            <family val="1"/>
            <charset val="204"/>
          </rPr>
          <t>.</t>
        </r>
      </text>
    </comment>
    <comment ref="R28" authorId="0" shapeId="0" xr:uid="{00000000-0006-0000-0100-00005D000000}">
      <text>
        <r>
          <rPr>
            <sz val="20"/>
            <color indexed="81"/>
            <rFont val="Times New Roman"/>
            <family val="1"/>
            <charset val="204"/>
          </rPr>
          <t>Автоматичский параметр</t>
        </r>
        <r>
          <rPr>
            <sz val="16"/>
            <color indexed="81"/>
            <rFont val="Times New Roman"/>
            <family val="1"/>
            <charset val="204"/>
          </rPr>
          <t>.</t>
        </r>
      </text>
    </comment>
    <comment ref="S28" authorId="0" shapeId="0" xr:uid="{00000000-0006-0000-0100-00005E000000}">
      <text>
        <r>
          <rPr>
            <sz val="20"/>
            <color indexed="81"/>
            <rFont val="Times New Roman"/>
            <family val="1"/>
            <charset val="204"/>
          </rPr>
          <t>Заполняемый парметр</t>
        </r>
      </text>
    </comment>
    <comment ref="L29" authorId="0" shapeId="0" xr:uid="{040E4E6E-DC21-454D-85D4-50DCA1175564}">
      <text>
        <r>
          <rPr>
            <sz val="20"/>
            <color indexed="81"/>
            <rFont val="Times New Roman"/>
            <family val="1"/>
            <charset val="204"/>
          </rPr>
          <t>Коассовый навык</t>
        </r>
      </text>
    </comment>
    <comment ref="N29" authorId="0" shapeId="0" xr:uid="{00000000-0006-0000-0100-00005F000000}">
      <text>
        <r>
          <rPr>
            <b/>
            <sz val="20"/>
            <color indexed="81"/>
            <rFont val="Times New Roman"/>
            <family val="1"/>
            <charset val="204"/>
          </rPr>
          <t>Автоматичский параметр</t>
        </r>
        <r>
          <rPr>
            <b/>
            <sz val="16"/>
            <color indexed="81"/>
            <rFont val="Times New Roman"/>
            <family val="1"/>
            <charset val="204"/>
          </rPr>
          <t>.</t>
        </r>
      </text>
    </comment>
    <comment ref="R29" authorId="0" shapeId="0" xr:uid="{00000000-0006-0000-0100-000060000000}">
      <text>
        <r>
          <rPr>
            <sz val="20"/>
            <color indexed="81"/>
            <rFont val="Times New Roman"/>
            <family val="1"/>
            <charset val="204"/>
          </rPr>
          <t>Автоматичский параметр</t>
        </r>
        <r>
          <rPr>
            <sz val="16"/>
            <color indexed="81"/>
            <rFont val="Times New Roman"/>
            <family val="1"/>
            <charset val="204"/>
          </rPr>
          <t>.</t>
        </r>
      </text>
    </comment>
    <comment ref="S29" authorId="0" shapeId="0" xr:uid="{00000000-0006-0000-0100-000061000000}">
      <text>
        <r>
          <rPr>
            <sz val="20"/>
            <color indexed="81"/>
            <rFont val="Times New Roman"/>
            <family val="1"/>
            <charset val="204"/>
          </rPr>
          <t>Заполняемый парметр</t>
        </r>
      </text>
    </comment>
    <comment ref="L30" authorId="0" shapeId="0" xr:uid="{AA433ACD-E7BD-4748-B16C-D865525AF647}">
      <text>
        <r>
          <rPr>
            <sz val="20"/>
            <color indexed="81"/>
            <rFont val="Times New Roman"/>
            <family val="1"/>
            <charset val="204"/>
          </rPr>
          <t xml:space="preserve">Общий навык (кидают все) </t>
        </r>
      </text>
    </comment>
    <comment ref="N30" authorId="0" shapeId="0" xr:uid="{00000000-0006-0000-0100-000062000000}">
      <text>
        <r>
          <rPr>
            <b/>
            <sz val="20"/>
            <color indexed="81"/>
            <rFont val="Times New Roman"/>
            <family val="1"/>
            <charset val="204"/>
          </rPr>
          <t>Автоматичский параметр</t>
        </r>
        <r>
          <rPr>
            <b/>
            <sz val="16"/>
            <color indexed="81"/>
            <rFont val="Times New Roman"/>
            <family val="1"/>
            <charset val="204"/>
          </rPr>
          <t>.</t>
        </r>
      </text>
    </comment>
    <comment ref="R30" authorId="0" shapeId="0" xr:uid="{00000000-0006-0000-0100-000063000000}">
      <text>
        <r>
          <rPr>
            <sz val="20"/>
            <color indexed="81"/>
            <rFont val="Times New Roman"/>
            <family val="1"/>
            <charset val="204"/>
          </rPr>
          <t>Автоматичский параметр</t>
        </r>
        <r>
          <rPr>
            <sz val="16"/>
            <color indexed="81"/>
            <rFont val="Times New Roman"/>
            <family val="1"/>
            <charset val="204"/>
          </rPr>
          <t>.</t>
        </r>
      </text>
    </comment>
    <comment ref="S30" authorId="0" shapeId="0" xr:uid="{00000000-0006-0000-0100-000064000000}">
      <text>
        <r>
          <rPr>
            <sz val="20"/>
            <color indexed="81"/>
            <rFont val="Times New Roman"/>
            <family val="1"/>
            <charset val="204"/>
          </rPr>
          <t>Заполняемый парметр</t>
        </r>
      </text>
    </comment>
    <comment ref="L31" authorId="0" shapeId="0" xr:uid="{F0ABEE05-F708-42AD-AF1A-F4B3DB393862}">
      <text>
        <r>
          <rPr>
            <sz val="20"/>
            <color indexed="81"/>
            <rFont val="Times New Roman"/>
            <family val="1"/>
            <charset val="204"/>
          </rPr>
          <t xml:space="preserve">Общий навык (кидают все) </t>
        </r>
      </text>
    </comment>
    <comment ref="N31" authorId="0" shapeId="0" xr:uid="{00000000-0006-0000-0100-000065000000}">
      <text>
        <r>
          <rPr>
            <b/>
            <sz val="20"/>
            <color indexed="81"/>
            <rFont val="Times New Roman"/>
            <family val="1"/>
            <charset val="204"/>
          </rPr>
          <t>Автоматичский параметр</t>
        </r>
        <r>
          <rPr>
            <b/>
            <sz val="16"/>
            <color indexed="81"/>
            <rFont val="Times New Roman"/>
            <family val="1"/>
            <charset val="204"/>
          </rPr>
          <t>.</t>
        </r>
      </text>
    </comment>
    <comment ref="R31" authorId="0" shapeId="0" xr:uid="{00000000-0006-0000-0100-000066000000}">
      <text>
        <r>
          <rPr>
            <sz val="20"/>
            <color indexed="81"/>
            <rFont val="Times New Roman"/>
            <family val="1"/>
            <charset val="204"/>
          </rPr>
          <t>Автоматичский параметр</t>
        </r>
        <r>
          <rPr>
            <sz val="16"/>
            <color indexed="81"/>
            <rFont val="Times New Roman"/>
            <family val="1"/>
            <charset val="204"/>
          </rPr>
          <t>.</t>
        </r>
      </text>
    </comment>
    <comment ref="S31" authorId="0" shapeId="0" xr:uid="{00000000-0006-0000-0100-000067000000}">
      <text>
        <r>
          <rPr>
            <sz val="20"/>
            <color indexed="81"/>
            <rFont val="Times New Roman"/>
            <family val="1"/>
            <charset val="204"/>
          </rPr>
          <t>Заполняемый парметр</t>
        </r>
      </text>
    </comment>
    <comment ref="L32" authorId="0" shapeId="0" xr:uid="{6D7FE2B8-B6E7-428E-BA13-4F36C0D81B77}">
      <text>
        <r>
          <rPr>
            <sz val="20"/>
            <color indexed="81"/>
            <rFont val="Times New Roman"/>
            <family val="1"/>
            <charset val="204"/>
          </rPr>
          <t xml:space="preserve">Общий навык (кидают все) </t>
        </r>
      </text>
    </comment>
    <comment ref="N32" authorId="0" shapeId="0" xr:uid="{00000000-0006-0000-0100-000068000000}">
      <text>
        <r>
          <rPr>
            <b/>
            <sz val="20"/>
            <color indexed="81"/>
            <rFont val="Times New Roman"/>
            <family val="1"/>
            <charset val="204"/>
          </rPr>
          <t>Автоматичский параметр</t>
        </r>
        <r>
          <rPr>
            <b/>
            <sz val="16"/>
            <color indexed="81"/>
            <rFont val="Times New Roman"/>
            <family val="1"/>
            <charset val="204"/>
          </rPr>
          <t>.</t>
        </r>
      </text>
    </comment>
    <comment ref="R32" authorId="0" shapeId="0" xr:uid="{00000000-0006-0000-0100-000069000000}">
      <text>
        <r>
          <rPr>
            <sz val="20"/>
            <color indexed="81"/>
            <rFont val="Times New Roman"/>
            <family val="1"/>
            <charset val="204"/>
          </rPr>
          <t>Автоматичский параметр</t>
        </r>
        <r>
          <rPr>
            <sz val="16"/>
            <color indexed="81"/>
            <rFont val="Times New Roman"/>
            <family val="1"/>
            <charset val="204"/>
          </rPr>
          <t>.</t>
        </r>
      </text>
    </comment>
    <comment ref="S32" authorId="0" shapeId="0" xr:uid="{00000000-0006-0000-0100-00006A000000}">
      <text>
        <r>
          <rPr>
            <sz val="20"/>
            <color indexed="81"/>
            <rFont val="Times New Roman"/>
            <family val="1"/>
            <charset val="204"/>
          </rPr>
          <t>Заполняемый парметр</t>
        </r>
      </text>
    </comment>
    <comment ref="L33" authorId="0" shapeId="0" xr:uid="{DBD61F1D-FF93-42DD-B395-01F17AEDDFBB}">
      <text>
        <r>
          <rPr>
            <sz val="20"/>
            <color indexed="81"/>
            <rFont val="Times New Roman"/>
            <family val="1"/>
            <charset val="204"/>
          </rPr>
          <t>Коассовый навык</t>
        </r>
      </text>
    </comment>
    <comment ref="N33" authorId="0" shapeId="0" xr:uid="{00000000-0006-0000-0100-00006B000000}">
      <text>
        <r>
          <rPr>
            <b/>
            <sz val="20"/>
            <color indexed="81"/>
            <rFont val="Times New Roman"/>
            <family val="1"/>
            <charset val="204"/>
          </rPr>
          <t>Автоматичский параметр</t>
        </r>
        <r>
          <rPr>
            <b/>
            <sz val="16"/>
            <color indexed="81"/>
            <rFont val="Times New Roman"/>
            <family val="1"/>
            <charset val="204"/>
          </rPr>
          <t>.</t>
        </r>
      </text>
    </comment>
    <comment ref="R33" authorId="0" shapeId="0" xr:uid="{00000000-0006-0000-0100-00006C000000}">
      <text>
        <r>
          <rPr>
            <sz val="20"/>
            <color indexed="81"/>
            <rFont val="Times New Roman"/>
            <family val="1"/>
            <charset val="204"/>
          </rPr>
          <t>Автоматичский параметр</t>
        </r>
        <r>
          <rPr>
            <sz val="16"/>
            <color indexed="81"/>
            <rFont val="Times New Roman"/>
            <family val="1"/>
            <charset val="204"/>
          </rPr>
          <t>.</t>
        </r>
      </text>
    </comment>
    <comment ref="S33" authorId="0" shapeId="0" xr:uid="{00000000-0006-0000-0100-00006D000000}">
      <text>
        <r>
          <rPr>
            <sz val="20"/>
            <color indexed="81"/>
            <rFont val="Times New Roman"/>
            <family val="1"/>
            <charset val="204"/>
          </rPr>
          <t>Заполняемый парметр</t>
        </r>
      </text>
    </comment>
    <comment ref="N34" authorId="0" shapeId="0" xr:uid="{00000000-0006-0000-0100-00006E000000}">
      <text>
        <r>
          <rPr>
            <b/>
            <sz val="20"/>
            <color indexed="81"/>
            <rFont val="Times New Roman"/>
            <family val="1"/>
            <charset val="204"/>
          </rPr>
          <t>Автоматичский параметр</t>
        </r>
        <r>
          <rPr>
            <b/>
            <sz val="16"/>
            <color indexed="81"/>
            <rFont val="Times New Roman"/>
            <family val="1"/>
            <charset val="204"/>
          </rPr>
          <t>.</t>
        </r>
      </text>
    </comment>
    <comment ref="R34" authorId="0" shapeId="0" xr:uid="{00000000-0006-0000-0100-00006F000000}">
      <text>
        <r>
          <rPr>
            <sz val="20"/>
            <color indexed="81"/>
            <rFont val="Times New Roman"/>
            <family val="1"/>
            <charset val="204"/>
          </rPr>
          <t>Автоматичский параметр</t>
        </r>
        <r>
          <rPr>
            <sz val="16"/>
            <color indexed="81"/>
            <rFont val="Times New Roman"/>
            <family val="1"/>
            <charset val="204"/>
          </rPr>
          <t>.</t>
        </r>
      </text>
    </comment>
    <comment ref="S34" authorId="0" shapeId="0" xr:uid="{00000000-0006-0000-0100-000070000000}">
      <text>
        <r>
          <rPr>
            <sz val="20"/>
            <color indexed="81"/>
            <rFont val="Times New Roman"/>
            <family val="1"/>
            <charset val="204"/>
          </rPr>
          <t>Заполняемый парметр</t>
        </r>
      </text>
    </comment>
    <comment ref="L35" authorId="0" shapeId="0" xr:uid="{5C060530-735D-409C-B30B-6AC651E332AD}">
      <text>
        <r>
          <rPr>
            <sz val="20"/>
            <color indexed="81"/>
            <rFont val="Times New Roman"/>
            <family val="1"/>
            <charset val="204"/>
          </rPr>
          <t xml:space="preserve">Общий навык (кидают все) </t>
        </r>
      </text>
    </comment>
    <comment ref="N35" authorId="0" shapeId="0" xr:uid="{00000000-0006-0000-0100-000071000000}">
      <text>
        <r>
          <rPr>
            <b/>
            <sz val="20"/>
            <color indexed="81"/>
            <rFont val="Times New Roman"/>
            <family val="1"/>
            <charset val="204"/>
          </rPr>
          <t>Автоматичский параметр</t>
        </r>
        <r>
          <rPr>
            <b/>
            <sz val="16"/>
            <color indexed="81"/>
            <rFont val="Times New Roman"/>
            <family val="1"/>
            <charset val="204"/>
          </rPr>
          <t>.</t>
        </r>
      </text>
    </comment>
    <comment ref="R35" authorId="0" shapeId="0" xr:uid="{00000000-0006-0000-0100-000072000000}">
      <text>
        <r>
          <rPr>
            <sz val="20"/>
            <color indexed="81"/>
            <rFont val="Times New Roman"/>
            <family val="1"/>
            <charset val="204"/>
          </rPr>
          <t>Автоматичский параметр</t>
        </r>
        <r>
          <rPr>
            <sz val="16"/>
            <color indexed="81"/>
            <rFont val="Times New Roman"/>
            <family val="1"/>
            <charset val="204"/>
          </rPr>
          <t>.</t>
        </r>
      </text>
    </comment>
    <comment ref="S35" authorId="0" shapeId="0" xr:uid="{00000000-0006-0000-0100-000073000000}">
      <text>
        <r>
          <rPr>
            <sz val="20"/>
            <color indexed="81"/>
            <rFont val="Times New Roman"/>
            <family val="1"/>
            <charset val="204"/>
          </rPr>
          <t>Заполняемый парметр</t>
        </r>
      </text>
    </comment>
    <comment ref="L36" authorId="0" shapeId="0" xr:uid="{6E3FB6FD-484C-4115-8F43-48F94EAAD0C1}">
      <text>
        <r>
          <rPr>
            <sz val="20"/>
            <color indexed="81"/>
            <rFont val="Times New Roman"/>
            <family val="1"/>
            <charset val="204"/>
          </rPr>
          <t>Коассовый навык</t>
        </r>
      </text>
    </comment>
    <comment ref="N36" authorId="0" shapeId="0" xr:uid="{00000000-0006-0000-0100-000074000000}">
      <text>
        <r>
          <rPr>
            <b/>
            <sz val="20"/>
            <color indexed="81"/>
            <rFont val="Times New Roman"/>
            <family val="1"/>
            <charset val="204"/>
          </rPr>
          <t>Автоматичский параметр</t>
        </r>
        <r>
          <rPr>
            <b/>
            <sz val="16"/>
            <color indexed="81"/>
            <rFont val="Times New Roman"/>
            <family val="1"/>
            <charset val="204"/>
          </rPr>
          <t>.</t>
        </r>
      </text>
    </comment>
    <comment ref="R36" authorId="0" shapeId="0" xr:uid="{00000000-0006-0000-0100-000075000000}">
      <text>
        <r>
          <rPr>
            <sz val="20"/>
            <color indexed="81"/>
            <rFont val="Times New Roman"/>
            <family val="1"/>
            <charset val="204"/>
          </rPr>
          <t>Автоматичский параметр</t>
        </r>
        <r>
          <rPr>
            <sz val="16"/>
            <color indexed="81"/>
            <rFont val="Times New Roman"/>
            <family val="1"/>
            <charset val="204"/>
          </rPr>
          <t>.</t>
        </r>
      </text>
    </comment>
    <comment ref="S36" authorId="0" shapeId="0" xr:uid="{00000000-0006-0000-0100-000076000000}">
      <text>
        <r>
          <rPr>
            <sz val="20"/>
            <color indexed="81"/>
            <rFont val="Times New Roman"/>
            <family val="1"/>
            <charset val="204"/>
          </rPr>
          <t>Заполняемый парметр</t>
        </r>
      </text>
    </comment>
    <comment ref="L37" authorId="0" shapeId="0" xr:uid="{00C2F9F4-2A62-4E15-81C9-C5393709861D}">
      <text>
        <r>
          <rPr>
            <sz val="20"/>
            <color indexed="81"/>
            <rFont val="Times New Roman"/>
            <family val="1"/>
            <charset val="204"/>
          </rPr>
          <t xml:space="preserve">Общий навык (кидают все) </t>
        </r>
      </text>
    </comment>
    <comment ref="N37" authorId="0" shapeId="0" xr:uid="{00000000-0006-0000-0100-000077000000}">
      <text>
        <r>
          <rPr>
            <b/>
            <sz val="20"/>
            <color indexed="81"/>
            <rFont val="Times New Roman"/>
            <family val="1"/>
            <charset val="204"/>
          </rPr>
          <t>Автоматичский параметр</t>
        </r>
        <r>
          <rPr>
            <b/>
            <sz val="16"/>
            <color indexed="81"/>
            <rFont val="Times New Roman"/>
            <family val="1"/>
            <charset val="204"/>
          </rPr>
          <t>.</t>
        </r>
      </text>
    </comment>
    <comment ref="R37" authorId="0" shapeId="0" xr:uid="{00000000-0006-0000-0100-000078000000}">
      <text>
        <r>
          <rPr>
            <sz val="20"/>
            <color indexed="81"/>
            <rFont val="Times New Roman"/>
            <family val="1"/>
            <charset val="204"/>
          </rPr>
          <t>Автоматичский параметр</t>
        </r>
        <r>
          <rPr>
            <sz val="16"/>
            <color indexed="81"/>
            <rFont val="Times New Roman"/>
            <family val="1"/>
            <charset val="204"/>
          </rPr>
          <t>.</t>
        </r>
      </text>
    </comment>
    <comment ref="S37" authorId="0" shapeId="0" xr:uid="{00000000-0006-0000-0100-000079000000}">
      <text>
        <r>
          <rPr>
            <sz val="20"/>
            <color indexed="81"/>
            <rFont val="Times New Roman"/>
            <family val="1"/>
            <charset val="204"/>
          </rPr>
          <t>Заполняемый парметр</t>
        </r>
      </text>
    </comment>
    <comment ref="L38" authorId="0" shapeId="0" xr:uid="{E34451A8-D100-498A-B4FC-D4433339B383}">
      <text>
        <r>
          <rPr>
            <sz val="20"/>
            <color indexed="81"/>
            <rFont val="Times New Roman"/>
            <family val="1"/>
            <charset val="204"/>
          </rPr>
          <t xml:space="preserve">Общий навык (кидают все) </t>
        </r>
      </text>
    </comment>
    <comment ref="N38" authorId="0" shapeId="0" xr:uid="{00000000-0006-0000-0100-00007A000000}">
      <text>
        <r>
          <rPr>
            <b/>
            <sz val="20"/>
            <color indexed="81"/>
            <rFont val="Times New Roman"/>
            <family val="1"/>
            <charset val="204"/>
          </rPr>
          <t>Автоматичский параметр</t>
        </r>
        <r>
          <rPr>
            <b/>
            <sz val="16"/>
            <color indexed="81"/>
            <rFont val="Times New Roman"/>
            <family val="1"/>
            <charset val="204"/>
          </rPr>
          <t>.</t>
        </r>
      </text>
    </comment>
    <comment ref="R38" authorId="0" shapeId="0" xr:uid="{00000000-0006-0000-0100-00007B000000}">
      <text>
        <r>
          <rPr>
            <sz val="20"/>
            <color indexed="81"/>
            <rFont val="Times New Roman"/>
            <family val="1"/>
            <charset val="204"/>
          </rPr>
          <t>Автоматичский параметр</t>
        </r>
        <r>
          <rPr>
            <sz val="16"/>
            <color indexed="81"/>
            <rFont val="Times New Roman"/>
            <family val="1"/>
            <charset val="204"/>
          </rPr>
          <t>.</t>
        </r>
      </text>
    </comment>
    <comment ref="S38" authorId="0" shapeId="0" xr:uid="{00000000-0006-0000-0100-00007C000000}">
      <text>
        <r>
          <rPr>
            <sz val="20"/>
            <color indexed="81"/>
            <rFont val="Times New Roman"/>
            <family val="1"/>
            <charset val="204"/>
          </rPr>
          <t>Заполняемый парметр</t>
        </r>
      </text>
    </comment>
    <comment ref="L39" authorId="0" shapeId="0" xr:uid="{BC8C5FA7-8B78-41D7-B337-AB3FB9708907}">
      <text>
        <r>
          <rPr>
            <sz val="20"/>
            <color indexed="81"/>
            <rFont val="Times New Roman"/>
            <family val="1"/>
            <charset val="204"/>
          </rPr>
          <t>Коассовый навык</t>
        </r>
      </text>
    </comment>
    <comment ref="N39" authorId="0" shapeId="0" xr:uid="{00000000-0006-0000-0100-00007D000000}">
      <text>
        <r>
          <rPr>
            <b/>
            <sz val="20"/>
            <color indexed="81"/>
            <rFont val="Times New Roman"/>
            <family val="1"/>
            <charset val="204"/>
          </rPr>
          <t>Автоматичский параметр</t>
        </r>
        <r>
          <rPr>
            <b/>
            <sz val="16"/>
            <color indexed="81"/>
            <rFont val="Times New Roman"/>
            <family val="1"/>
            <charset val="204"/>
          </rPr>
          <t>.</t>
        </r>
      </text>
    </comment>
    <comment ref="R39" authorId="0" shapeId="0" xr:uid="{00000000-0006-0000-0100-00007E000000}">
      <text>
        <r>
          <rPr>
            <sz val="20"/>
            <color indexed="81"/>
            <rFont val="Times New Roman"/>
            <family val="1"/>
            <charset val="204"/>
          </rPr>
          <t>Автоматичский параметр</t>
        </r>
        <r>
          <rPr>
            <sz val="16"/>
            <color indexed="81"/>
            <rFont val="Times New Roman"/>
            <family val="1"/>
            <charset val="204"/>
          </rPr>
          <t>.</t>
        </r>
      </text>
    </comment>
    <comment ref="S39" authorId="0" shapeId="0" xr:uid="{00000000-0006-0000-0100-00007F000000}">
      <text>
        <r>
          <rPr>
            <sz val="20"/>
            <color indexed="81"/>
            <rFont val="Times New Roman"/>
            <family val="1"/>
            <charset val="204"/>
          </rPr>
          <t>Заполняемый парметр</t>
        </r>
      </text>
    </comment>
    <comment ref="L40" authorId="0" shapeId="0" xr:uid="{90DF1376-6DA7-43DD-9A28-A219EA97F9A4}">
      <text>
        <r>
          <rPr>
            <sz val="20"/>
            <color indexed="81"/>
            <rFont val="Times New Roman"/>
            <family val="1"/>
            <charset val="204"/>
          </rPr>
          <t xml:space="preserve">Общий навык (кидают все) </t>
        </r>
      </text>
    </comment>
    <comment ref="N40" authorId="0" shapeId="0" xr:uid="{00000000-0006-0000-0100-000080000000}">
      <text>
        <r>
          <rPr>
            <b/>
            <sz val="20"/>
            <color indexed="81"/>
            <rFont val="Times New Roman"/>
            <family val="1"/>
            <charset val="204"/>
          </rPr>
          <t>Автоматичский параметр</t>
        </r>
        <r>
          <rPr>
            <b/>
            <sz val="16"/>
            <color indexed="81"/>
            <rFont val="Times New Roman"/>
            <family val="1"/>
            <charset val="204"/>
          </rPr>
          <t>.</t>
        </r>
      </text>
    </comment>
    <comment ref="R40" authorId="0" shapeId="0" xr:uid="{00000000-0006-0000-0100-000081000000}">
      <text>
        <r>
          <rPr>
            <sz val="20"/>
            <color indexed="81"/>
            <rFont val="Times New Roman"/>
            <family val="1"/>
            <charset val="204"/>
          </rPr>
          <t>Автоматичский параметр</t>
        </r>
        <r>
          <rPr>
            <sz val="16"/>
            <color indexed="81"/>
            <rFont val="Times New Roman"/>
            <family val="1"/>
            <charset val="204"/>
          </rPr>
          <t>.</t>
        </r>
      </text>
    </comment>
    <comment ref="S40" authorId="0" shapeId="0" xr:uid="{00000000-0006-0000-0100-000082000000}">
      <text>
        <r>
          <rPr>
            <sz val="20"/>
            <color indexed="81"/>
            <rFont val="Times New Roman"/>
            <family val="1"/>
            <charset val="204"/>
          </rPr>
          <t>Заполняемый парметр</t>
        </r>
      </text>
    </comment>
    <comment ref="L41" authorId="0" shapeId="0" xr:uid="{16712579-E12B-4F93-A253-2DEA7199DB1C}">
      <text>
        <r>
          <rPr>
            <sz val="20"/>
            <color indexed="81"/>
            <rFont val="Times New Roman"/>
            <family val="1"/>
            <charset val="204"/>
          </rPr>
          <t>Коассовый навык</t>
        </r>
      </text>
    </comment>
    <comment ref="N41" authorId="0" shapeId="0" xr:uid="{00000000-0006-0000-0100-000083000000}">
      <text>
        <r>
          <rPr>
            <b/>
            <sz val="20"/>
            <color indexed="81"/>
            <rFont val="Times New Roman"/>
            <family val="1"/>
            <charset val="204"/>
          </rPr>
          <t>Автоматичский параметр</t>
        </r>
        <r>
          <rPr>
            <b/>
            <sz val="16"/>
            <color indexed="81"/>
            <rFont val="Times New Roman"/>
            <family val="1"/>
            <charset val="204"/>
          </rPr>
          <t>.</t>
        </r>
      </text>
    </comment>
    <comment ref="R41" authorId="0" shapeId="0" xr:uid="{00000000-0006-0000-0100-000084000000}">
      <text>
        <r>
          <rPr>
            <sz val="20"/>
            <color indexed="81"/>
            <rFont val="Times New Roman"/>
            <family val="1"/>
            <charset val="204"/>
          </rPr>
          <t>Автоматичский параметр</t>
        </r>
        <r>
          <rPr>
            <sz val="16"/>
            <color indexed="81"/>
            <rFont val="Times New Roman"/>
            <family val="1"/>
            <charset val="204"/>
          </rPr>
          <t>.</t>
        </r>
      </text>
    </comment>
    <comment ref="S41" authorId="0" shapeId="0" xr:uid="{00000000-0006-0000-0100-000085000000}">
      <text>
        <r>
          <rPr>
            <sz val="20"/>
            <color indexed="81"/>
            <rFont val="Times New Roman"/>
            <family val="1"/>
            <charset val="204"/>
          </rPr>
          <t>Заполняемый парметр</t>
        </r>
      </text>
    </comment>
    <comment ref="L42" authorId="0" shapeId="0" xr:uid="{510AA707-25F8-4515-B8D0-11CA696CF3E5}">
      <text>
        <r>
          <rPr>
            <sz val="20"/>
            <color indexed="81"/>
            <rFont val="Times New Roman"/>
            <family val="1"/>
            <charset val="204"/>
          </rPr>
          <t xml:space="preserve">Общий навык (кидают все) </t>
        </r>
      </text>
    </comment>
    <comment ref="N42" authorId="0" shapeId="0" xr:uid="{00000000-0006-0000-0100-000086000000}">
      <text>
        <r>
          <rPr>
            <b/>
            <sz val="20"/>
            <color indexed="81"/>
            <rFont val="Times New Roman"/>
            <family val="1"/>
            <charset val="204"/>
          </rPr>
          <t>Автоматичский параметр</t>
        </r>
        <r>
          <rPr>
            <b/>
            <sz val="16"/>
            <color indexed="81"/>
            <rFont val="Times New Roman"/>
            <family val="1"/>
            <charset val="204"/>
          </rPr>
          <t>.</t>
        </r>
      </text>
    </comment>
    <comment ref="R42" authorId="0" shapeId="0" xr:uid="{00000000-0006-0000-0100-000087000000}">
      <text>
        <r>
          <rPr>
            <sz val="20"/>
            <color indexed="81"/>
            <rFont val="Times New Roman"/>
            <family val="1"/>
            <charset val="204"/>
          </rPr>
          <t>Автоматичский параметр</t>
        </r>
        <r>
          <rPr>
            <sz val="16"/>
            <color indexed="81"/>
            <rFont val="Times New Roman"/>
            <family val="1"/>
            <charset val="204"/>
          </rPr>
          <t>.</t>
        </r>
      </text>
    </comment>
    <comment ref="S42" authorId="0" shapeId="0" xr:uid="{00000000-0006-0000-0100-000088000000}">
      <text>
        <r>
          <rPr>
            <sz val="20"/>
            <color indexed="81"/>
            <rFont val="Times New Roman"/>
            <family val="1"/>
            <charset val="204"/>
          </rPr>
          <t>Заполняемый парметр</t>
        </r>
      </text>
    </comment>
    <comment ref="L43" authorId="0" shapeId="0" xr:uid="{268E9BE5-FDA5-4B16-882F-F881951A09D1}">
      <text>
        <r>
          <rPr>
            <sz val="20"/>
            <color indexed="81"/>
            <rFont val="Times New Roman"/>
            <family val="1"/>
            <charset val="204"/>
          </rPr>
          <t xml:space="preserve">Общий навык (кидают все) </t>
        </r>
      </text>
    </comment>
    <comment ref="N43" authorId="0" shapeId="0" xr:uid="{00000000-0006-0000-0100-000089000000}">
      <text>
        <r>
          <rPr>
            <b/>
            <sz val="20"/>
            <color indexed="81"/>
            <rFont val="Times New Roman"/>
            <family val="1"/>
            <charset val="204"/>
          </rPr>
          <t>Автоматичский параметр</t>
        </r>
        <r>
          <rPr>
            <b/>
            <sz val="16"/>
            <color indexed="81"/>
            <rFont val="Times New Roman"/>
            <family val="1"/>
            <charset val="204"/>
          </rPr>
          <t>.</t>
        </r>
      </text>
    </comment>
    <comment ref="R43" authorId="0" shapeId="0" xr:uid="{00000000-0006-0000-0100-00008A000000}">
      <text>
        <r>
          <rPr>
            <sz val="20"/>
            <color indexed="81"/>
            <rFont val="Times New Roman"/>
            <family val="1"/>
            <charset val="204"/>
          </rPr>
          <t>Автоматичский параметр</t>
        </r>
        <r>
          <rPr>
            <sz val="16"/>
            <color indexed="81"/>
            <rFont val="Times New Roman"/>
            <family val="1"/>
            <charset val="204"/>
          </rPr>
          <t>.</t>
        </r>
      </text>
    </comment>
    <comment ref="S43" authorId="0" shapeId="0" xr:uid="{00000000-0006-0000-0100-00008B000000}">
      <text>
        <r>
          <rPr>
            <sz val="20"/>
            <color indexed="81"/>
            <rFont val="Times New Roman"/>
            <family val="1"/>
            <charset val="204"/>
          </rPr>
          <t>Заполняемый парметр</t>
        </r>
      </text>
    </comment>
    <comment ref="L44" authorId="0" shapeId="0" xr:uid="{0A6DD01A-967C-4AD6-8609-F3F0122C0EB0}">
      <text>
        <r>
          <rPr>
            <sz val="20"/>
            <color indexed="81"/>
            <rFont val="Times New Roman"/>
            <family val="1"/>
            <charset val="204"/>
          </rPr>
          <t>Коассовый навык</t>
        </r>
      </text>
    </comment>
    <comment ref="N44" authorId="0" shapeId="0" xr:uid="{00000000-0006-0000-0100-00008C000000}">
      <text>
        <r>
          <rPr>
            <b/>
            <sz val="20"/>
            <color indexed="81"/>
            <rFont val="Times New Roman"/>
            <family val="1"/>
            <charset val="204"/>
          </rPr>
          <t>Автоматичский параметр</t>
        </r>
        <r>
          <rPr>
            <b/>
            <sz val="16"/>
            <color indexed="81"/>
            <rFont val="Times New Roman"/>
            <family val="1"/>
            <charset val="204"/>
          </rPr>
          <t>.</t>
        </r>
      </text>
    </comment>
    <comment ref="R44" authorId="0" shapeId="0" xr:uid="{00000000-0006-0000-0100-00008D000000}">
      <text>
        <r>
          <rPr>
            <sz val="20"/>
            <color indexed="81"/>
            <rFont val="Times New Roman"/>
            <family val="1"/>
            <charset val="204"/>
          </rPr>
          <t>Автоматичский параметр</t>
        </r>
        <r>
          <rPr>
            <sz val="16"/>
            <color indexed="81"/>
            <rFont val="Times New Roman"/>
            <family val="1"/>
            <charset val="204"/>
          </rPr>
          <t>.</t>
        </r>
      </text>
    </comment>
    <comment ref="S44" authorId="0" shapeId="0" xr:uid="{00000000-0006-0000-0100-00008E000000}">
      <text>
        <r>
          <rPr>
            <sz val="20"/>
            <color indexed="81"/>
            <rFont val="Times New Roman"/>
            <family val="1"/>
            <charset val="204"/>
          </rPr>
          <t>Заполняемый парметр</t>
        </r>
      </text>
    </comment>
    <comment ref="L45" authorId="0" shapeId="0" xr:uid="{7C2DF2A3-972D-48F2-9127-F74BA2F86B2B}">
      <text>
        <r>
          <rPr>
            <sz val="20"/>
            <color indexed="81"/>
            <rFont val="Times New Roman"/>
            <family val="1"/>
            <charset val="204"/>
          </rPr>
          <t xml:space="preserve">Общий навык (кидают все) </t>
        </r>
      </text>
    </comment>
    <comment ref="N45" authorId="0" shapeId="0" xr:uid="{00000000-0006-0000-0100-00008F000000}">
      <text>
        <r>
          <rPr>
            <b/>
            <sz val="20"/>
            <color indexed="81"/>
            <rFont val="Times New Roman"/>
            <family val="1"/>
            <charset val="204"/>
          </rPr>
          <t>Автоматичский параметр</t>
        </r>
        <r>
          <rPr>
            <b/>
            <sz val="16"/>
            <color indexed="81"/>
            <rFont val="Times New Roman"/>
            <family val="1"/>
            <charset val="204"/>
          </rPr>
          <t>.</t>
        </r>
      </text>
    </comment>
    <comment ref="R45" authorId="0" shapeId="0" xr:uid="{00000000-0006-0000-0100-000090000000}">
      <text>
        <r>
          <rPr>
            <sz val="20"/>
            <color indexed="81"/>
            <rFont val="Times New Roman"/>
            <family val="1"/>
            <charset val="204"/>
          </rPr>
          <t>Автоматичский параметр</t>
        </r>
        <r>
          <rPr>
            <sz val="16"/>
            <color indexed="81"/>
            <rFont val="Times New Roman"/>
            <family val="1"/>
            <charset val="204"/>
          </rPr>
          <t>.</t>
        </r>
      </text>
    </comment>
    <comment ref="S45" authorId="0" shapeId="0" xr:uid="{00000000-0006-0000-0100-000091000000}">
      <text>
        <r>
          <rPr>
            <sz val="20"/>
            <color indexed="81"/>
            <rFont val="Times New Roman"/>
            <family val="1"/>
            <charset val="204"/>
          </rPr>
          <t>Заполняемый парметр</t>
        </r>
      </text>
    </comment>
    <comment ref="L46" authorId="0" shapeId="0" xr:uid="{7083DEF4-9CDC-40CA-89D0-EE810939FC2E}">
      <text>
        <r>
          <rPr>
            <sz val="20"/>
            <color indexed="81"/>
            <rFont val="Times New Roman"/>
            <family val="1"/>
            <charset val="204"/>
          </rPr>
          <t xml:space="preserve">Общий навык (кидают все) </t>
        </r>
      </text>
    </comment>
    <comment ref="N46" authorId="0" shapeId="0" xr:uid="{00000000-0006-0000-0100-000092000000}">
      <text>
        <r>
          <rPr>
            <b/>
            <sz val="20"/>
            <color indexed="81"/>
            <rFont val="Times New Roman"/>
            <family val="1"/>
            <charset val="204"/>
          </rPr>
          <t>Автоматичский параметр</t>
        </r>
        <r>
          <rPr>
            <b/>
            <sz val="16"/>
            <color indexed="81"/>
            <rFont val="Times New Roman"/>
            <family val="1"/>
            <charset val="204"/>
          </rPr>
          <t>.</t>
        </r>
      </text>
    </comment>
    <comment ref="R46" authorId="0" shapeId="0" xr:uid="{00000000-0006-0000-0100-000093000000}">
      <text>
        <r>
          <rPr>
            <sz val="20"/>
            <color indexed="81"/>
            <rFont val="Times New Roman"/>
            <family val="1"/>
            <charset val="204"/>
          </rPr>
          <t>Автоматичский параметр</t>
        </r>
        <r>
          <rPr>
            <sz val="16"/>
            <color indexed="81"/>
            <rFont val="Times New Roman"/>
            <family val="1"/>
            <charset val="204"/>
          </rPr>
          <t>.</t>
        </r>
      </text>
    </comment>
    <comment ref="S46" authorId="0" shapeId="0" xr:uid="{00000000-0006-0000-0100-000094000000}">
      <text>
        <r>
          <rPr>
            <sz val="20"/>
            <color indexed="81"/>
            <rFont val="Times New Roman"/>
            <family val="1"/>
            <charset val="204"/>
          </rPr>
          <t>Заполняемый парметр</t>
        </r>
      </text>
    </comment>
    <comment ref="L47" authorId="0" shapeId="0" xr:uid="{0290FA7D-0B7E-49DE-94B3-14EFCDBEB5E0}">
      <text>
        <r>
          <rPr>
            <sz val="20"/>
            <color indexed="81"/>
            <rFont val="Times New Roman"/>
            <family val="1"/>
            <charset val="204"/>
          </rPr>
          <t xml:space="preserve">Общий навык (кидают все) </t>
        </r>
      </text>
    </comment>
    <comment ref="N47" authorId="0" shapeId="0" xr:uid="{00000000-0006-0000-0100-000095000000}">
      <text>
        <r>
          <rPr>
            <b/>
            <sz val="20"/>
            <color indexed="81"/>
            <rFont val="Times New Roman"/>
            <family val="1"/>
            <charset val="204"/>
          </rPr>
          <t>Автоматичский параметр</t>
        </r>
        <r>
          <rPr>
            <b/>
            <sz val="16"/>
            <color indexed="81"/>
            <rFont val="Times New Roman"/>
            <family val="1"/>
            <charset val="204"/>
          </rPr>
          <t>.</t>
        </r>
      </text>
    </comment>
    <comment ref="R47" authorId="0" shapeId="0" xr:uid="{00000000-0006-0000-0100-000096000000}">
      <text>
        <r>
          <rPr>
            <sz val="20"/>
            <color indexed="81"/>
            <rFont val="Times New Roman"/>
            <family val="1"/>
            <charset val="204"/>
          </rPr>
          <t>Автоматичский параметр</t>
        </r>
        <r>
          <rPr>
            <sz val="16"/>
            <color indexed="81"/>
            <rFont val="Times New Roman"/>
            <family val="1"/>
            <charset val="204"/>
          </rPr>
          <t>.</t>
        </r>
      </text>
    </comment>
    <comment ref="S47" authorId="0" shapeId="0" xr:uid="{00000000-0006-0000-0100-000097000000}">
      <text>
        <r>
          <rPr>
            <sz val="20"/>
            <color indexed="81"/>
            <rFont val="Times New Roman"/>
            <family val="1"/>
            <charset val="204"/>
          </rPr>
          <t>Заполняемый парметр</t>
        </r>
      </text>
    </comment>
    <comment ref="L48" authorId="0" shapeId="0" xr:uid="{11B442CF-DBCE-42D9-8AF1-3EC02AAA232A}">
      <text>
        <r>
          <rPr>
            <sz val="20"/>
            <color indexed="81"/>
            <rFont val="Times New Roman"/>
            <family val="1"/>
            <charset val="204"/>
          </rPr>
          <t xml:space="preserve">Общий навык (кидают все) </t>
        </r>
      </text>
    </comment>
    <comment ref="N48" authorId="0" shapeId="0" xr:uid="{00000000-0006-0000-0100-000098000000}">
      <text>
        <r>
          <rPr>
            <b/>
            <sz val="20"/>
            <color indexed="81"/>
            <rFont val="Times New Roman"/>
            <family val="1"/>
            <charset val="204"/>
          </rPr>
          <t>Автоматичский параметр</t>
        </r>
        <r>
          <rPr>
            <b/>
            <sz val="16"/>
            <color indexed="81"/>
            <rFont val="Times New Roman"/>
            <family val="1"/>
            <charset val="204"/>
          </rPr>
          <t>.</t>
        </r>
      </text>
    </comment>
    <comment ref="R48" authorId="0" shapeId="0" xr:uid="{00000000-0006-0000-0100-000099000000}">
      <text>
        <r>
          <rPr>
            <sz val="20"/>
            <color indexed="81"/>
            <rFont val="Times New Roman"/>
            <family val="1"/>
            <charset val="204"/>
          </rPr>
          <t>Автоматичский параметр</t>
        </r>
        <r>
          <rPr>
            <sz val="16"/>
            <color indexed="81"/>
            <rFont val="Times New Roman"/>
            <family val="1"/>
            <charset val="204"/>
          </rPr>
          <t>.</t>
        </r>
      </text>
    </comment>
    <comment ref="S48" authorId="0" shapeId="0" xr:uid="{00000000-0006-0000-0100-00009A000000}">
      <text>
        <r>
          <rPr>
            <sz val="20"/>
            <color indexed="81"/>
            <rFont val="Times New Roman"/>
            <family val="1"/>
            <charset val="204"/>
          </rPr>
          <t>Заполняемый парметр</t>
        </r>
      </text>
    </comment>
    <comment ref="L49" authorId="0" shapeId="0" xr:uid="{51071499-CF75-47A2-BD82-11AEA0D058BD}">
      <text>
        <r>
          <rPr>
            <sz val="20"/>
            <color indexed="81"/>
            <rFont val="Times New Roman"/>
            <family val="1"/>
            <charset val="204"/>
          </rPr>
          <t xml:space="preserve">Общий навык (кидают все) </t>
        </r>
      </text>
    </comment>
    <comment ref="N49" authorId="0" shapeId="0" xr:uid="{00000000-0006-0000-0100-00009B000000}">
      <text>
        <r>
          <rPr>
            <b/>
            <sz val="20"/>
            <color indexed="81"/>
            <rFont val="Times New Roman"/>
            <family val="1"/>
            <charset val="204"/>
          </rPr>
          <t>Автоматичский параметр</t>
        </r>
        <r>
          <rPr>
            <b/>
            <sz val="16"/>
            <color indexed="81"/>
            <rFont val="Times New Roman"/>
            <family val="1"/>
            <charset val="204"/>
          </rPr>
          <t>.</t>
        </r>
      </text>
    </comment>
    <comment ref="R49" authorId="0" shapeId="0" xr:uid="{00000000-0006-0000-0100-00009C000000}">
      <text>
        <r>
          <rPr>
            <sz val="20"/>
            <color indexed="81"/>
            <rFont val="Times New Roman"/>
            <family val="1"/>
            <charset val="204"/>
          </rPr>
          <t>Автоматичский параметр</t>
        </r>
        <r>
          <rPr>
            <sz val="16"/>
            <color indexed="81"/>
            <rFont val="Times New Roman"/>
            <family val="1"/>
            <charset val="204"/>
          </rPr>
          <t>.</t>
        </r>
      </text>
    </comment>
    <comment ref="S49" authorId="0" shapeId="0" xr:uid="{00000000-0006-0000-0100-00009D000000}">
      <text>
        <r>
          <rPr>
            <sz val="20"/>
            <color indexed="81"/>
            <rFont val="Times New Roman"/>
            <family val="1"/>
            <charset val="204"/>
          </rPr>
          <t>Заполняемый парметр</t>
        </r>
      </text>
    </comment>
    <comment ref="L50" authorId="0" shapeId="0" xr:uid="{25B5A0C1-267C-4686-8D58-767129E793B5}">
      <text>
        <r>
          <rPr>
            <sz val="20"/>
            <color indexed="81"/>
            <rFont val="Times New Roman"/>
            <family val="1"/>
            <charset val="204"/>
          </rPr>
          <t xml:space="preserve">Общий навык (кидают все) </t>
        </r>
      </text>
    </comment>
    <comment ref="N50" authorId="0" shapeId="0" xr:uid="{00000000-0006-0000-0100-00009E000000}">
      <text>
        <r>
          <rPr>
            <b/>
            <sz val="20"/>
            <color indexed="81"/>
            <rFont val="Times New Roman"/>
            <family val="1"/>
            <charset val="204"/>
          </rPr>
          <t>Автоматичский параметр</t>
        </r>
        <r>
          <rPr>
            <b/>
            <sz val="16"/>
            <color indexed="81"/>
            <rFont val="Times New Roman"/>
            <family val="1"/>
            <charset val="204"/>
          </rPr>
          <t>.</t>
        </r>
      </text>
    </comment>
    <comment ref="R50" authorId="0" shapeId="0" xr:uid="{00000000-0006-0000-0100-00009F000000}">
      <text>
        <r>
          <rPr>
            <sz val="20"/>
            <color indexed="81"/>
            <rFont val="Times New Roman"/>
            <family val="1"/>
            <charset val="204"/>
          </rPr>
          <t>Автоматичский параметр</t>
        </r>
        <r>
          <rPr>
            <sz val="16"/>
            <color indexed="81"/>
            <rFont val="Times New Roman"/>
            <family val="1"/>
            <charset val="204"/>
          </rPr>
          <t>.</t>
        </r>
      </text>
    </comment>
    <comment ref="S50" authorId="0" shapeId="0" xr:uid="{00000000-0006-0000-0100-0000A0000000}">
      <text>
        <r>
          <rPr>
            <sz val="20"/>
            <color indexed="81"/>
            <rFont val="Times New Roman"/>
            <family val="1"/>
            <charset val="204"/>
          </rPr>
          <t>Заполняемый парметр</t>
        </r>
      </text>
    </comment>
    <comment ref="L51" authorId="0" shapeId="0" xr:uid="{00AB9A4D-6E40-42AF-82E8-26A3FF6208F3}">
      <text>
        <r>
          <rPr>
            <sz val="20"/>
            <color indexed="81"/>
            <rFont val="Times New Roman"/>
            <family val="1"/>
            <charset val="204"/>
          </rPr>
          <t>Коассовый навык</t>
        </r>
      </text>
    </comment>
    <comment ref="N51" authorId="0" shapeId="0" xr:uid="{00000000-0006-0000-0100-0000A1000000}">
      <text>
        <r>
          <rPr>
            <b/>
            <sz val="20"/>
            <color indexed="81"/>
            <rFont val="Times New Roman"/>
            <family val="1"/>
            <charset val="204"/>
          </rPr>
          <t>Автоматичский параметр</t>
        </r>
        <r>
          <rPr>
            <b/>
            <sz val="16"/>
            <color indexed="81"/>
            <rFont val="Times New Roman"/>
            <family val="1"/>
            <charset val="204"/>
          </rPr>
          <t>.</t>
        </r>
      </text>
    </comment>
    <comment ref="R51" authorId="0" shapeId="0" xr:uid="{00000000-0006-0000-0100-0000A2000000}">
      <text>
        <r>
          <rPr>
            <sz val="20"/>
            <color indexed="81"/>
            <rFont val="Times New Roman"/>
            <family val="1"/>
            <charset val="204"/>
          </rPr>
          <t>Автоматичский параметр</t>
        </r>
        <r>
          <rPr>
            <sz val="16"/>
            <color indexed="81"/>
            <rFont val="Times New Roman"/>
            <family val="1"/>
            <charset val="204"/>
          </rPr>
          <t>.</t>
        </r>
      </text>
    </comment>
    <comment ref="S51" authorId="0" shapeId="0" xr:uid="{00000000-0006-0000-0100-0000A3000000}">
      <text>
        <r>
          <rPr>
            <sz val="20"/>
            <color indexed="81"/>
            <rFont val="Times New Roman"/>
            <family val="1"/>
            <charset val="204"/>
          </rPr>
          <t>Заполняемый парметр</t>
        </r>
      </text>
    </comment>
    <comment ref="L52" authorId="0" shapeId="0" xr:uid="{90481276-EC4C-401D-BC04-CCE31593F7A3}">
      <text>
        <r>
          <rPr>
            <sz val="20"/>
            <color indexed="81"/>
            <rFont val="Times New Roman"/>
            <family val="1"/>
            <charset val="204"/>
          </rPr>
          <t xml:space="preserve">Общий навык (кидают все) </t>
        </r>
      </text>
    </comment>
    <comment ref="N52" authorId="0" shapeId="0" xr:uid="{00000000-0006-0000-0100-0000A4000000}">
      <text>
        <r>
          <rPr>
            <b/>
            <sz val="20"/>
            <color indexed="81"/>
            <rFont val="Times New Roman"/>
            <family val="1"/>
            <charset val="204"/>
          </rPr>
          <t>Автоматичский параметр</t>
        </r>
        <r>
          <rPr>
            <b/>
            <sz val="16"/>
            <color indexed="81"/>
            <rFont val="Times New Roman"/>
            <family val="1"/>
            <charset val="204"/>
          </rPr>
          <t>.</t>
        </r>
      </text>
    </comment>
    <comment ref="R52" authorId="0" shapeId="0" xr:uid="{00000000-0006-0000-0100-0000A5000000}">
      <text>
        <r>
          <rPr>
            <sz val="20"/>
            <color indexed="81"/>
            <rFont val="Times New Roman"/>
            <family val="1"/>
            <charset val="204"/>
          </rPr>
          <t>Автоматичский параметр</t>
        </r>
        <r>
          <rPr>
            <sz val="16"/>
            <color indexed="81"/>
            <rFont val="Times New Roman"/>
            <family val="1"/>
            <charset val="204"/>
          </rPr>
          <t>.</t>
        </r>
      </text>
    </comment>
    <comment ref="S52" authorId="0" shapeId="0" xr:uid="{00000000-0006-0000-0100-0000A6000000}">
      <text>
        <r>
          <rPr>
            <sz val="20"/>
            <color indexed="81"/>
            <rFont val="Times New Roman"/>
            <family val="1"/>
            <charset val="204"/>
          </rPr>
          <t>Заполняемый парметр</t>
        </r>
      </text>
    </comment>
    <comment ref="L53" authorId="0" shapeId="0" xr:uid="{4072193F-1730-46E3-95D6-846E07EEF92C}">
      <text>
        <r>
          <rPr>
            <sz val="20"/>
            <color indexed="81"/>
            <rFont val="Times New Roman"/>
            <family val="1"/>
            <charset val="204"/>
          </rPr>
          <t xml:space="preserve">Общий навык (кидают все) </t>
        </r>
      </text>
    </comment>
    <comment ref="N53" authorId="0" shapeId="0" xr:uid="{00000000-0006-0000-0100-0000A7000000}">
      <text>
        <r>
          <rPr>
            <b/>
            <sz val="20"/>
            <color indexed="81"/>
            <rFont val="Times New Roman"/>
            <family val="1"/>
            <charset val="204"/>
          </rPr>
          <t>Автоматичский параметр</t>
        </r>
        <r>
          <rPr>
            <b/>
            <sz val="16"/>
            <color indexed="81"/>
            <rFont val="Times New Roman"/>
            <family val="1"/>
            <charset val="204"/>
          </rPr>
          <t>.</t>
        </r>
      </text>
    </comment>
    <comment ref="R53" authorId="0" shapeId="0" xr:uid="{00000000-0006-0000-0100-0000A8000000}">
      <text>
        <r>
          <rPr>
            <sz val="20"/>
            <color indexed="81"/>
            <rFont val="Times New Roman"/>
            <family val="1"/>
            <charset val="204"/>
          </rPr>
          <t>Автоматичский параметр</t>
        </r>
        <r>
          <rPr>
            <sz val="16"/>
            <color indexed="81"/>
            <rFont val="Times New Roman"/>
            <family val="1"/>
            <charset val="204"/>
          </rPr>
          <t>.</t>
        </r>
      </text>
    </comment>
    <comment ref="S53" authorId="0" shapeId="0" xr:uid="{00000000-0006-0000-0100-0000A9000000}">
      <text>
        <r>
          <rPr>
            <sz val="20"/>
            <color indexed="81"/>
            <rFont val="Times New Roman"/>
            <family val="1"/>
            <charset val="204"/>
          </rPr>
          <t>Заполняемый парметр</t>
        </r>
      </text>
    </comment>
    <comment ref="L54" authorId="0" shapeId="0" xr:uid="{DE65160B-B4C5-4397-A76C-7F00738C3958}">
      <text>
        <r>
          <rPr>
            <sz val="20"/>
            <color indexed="81"/>
            <rFont val="Times New Roman"/>
            <family val="1"/>
            <charset val="204"/>
          </rPr>
          <t xml:space="preserve">Общий навык (кидают все) </t>
        </r>
      </text>
    </comment>
    <comment ref="N54" authorId="0" shapeId="0" xr:uid="{00000000-0006-0000-0100-0000AA000000}">
      <text>
        <r>
          <rPr>
            <b/>
            <sz val="20"/>
            <color indexed="81"/>
            <rFont val="Times New Roman"/>
            <family val="1"/>
            <charset val="204"/>
          </rPr>
          <t>Автоматичский параметр</t>
        </r>
        <r>
          <rPr>
            <b/>
            <sz val="16"/>
            <color indexed="81"/>
            <rFont val="Times New Roman"/>
            <family val="1"/>
            <charset val="204"/>
          </rPr>
          <t>.</t>
        </r>
      </text>
    </comment>
    <comment ref="R54" authorId="0" shapeId="0" xr:uid="{00000000-0006-0000-0100-0000AB000000}">
      <text>
        <r>
          <rPr>
            <sz val="20"/>
            <color indexed="81"/>
            <rFont val="Times New Roman"/>
            <family val="1"/>
            <charset val="204"/>
          </rPr>
          <t>Автоматичский параметр</t>
        </r>
        <r>
          <rPr>
            <sz val="16"/>
            <color indexed="81"/>
            <rFont val="Times New Roman"/>
            <family val="1"/>
            <charset val="204"/>
          </rPr>
          <t>.</t>
        </r>
      </text>
    </comment>
    <comment ref="S54" authorId="0" shapeId="0" xr:uid="{00000000-0006-0000-0100-0000AC000000}">
      <text>
        <r>
          <rPr>
            <sz val="20"/>
            <color indexed="81"/>
            <rFont val="Times New Roman"/>
            <family val="1"/>
            <charset val="204"/>
          </rPr>
          <t>Заполняемый парметр</t>
        </r>
      </text>
    </comment>
    <comment ref="N55" authorId="0" shapeId="0" xr:uid="{00000000-0006-0000-0100-0000AD000000}">
      <text>
        <r>
          <rPr>
            <b/>
            <sz val="20"/>
            <color indexed="81"/>
            <rFont val="Times New Roman"/>
            <family val="1"/>
            <charset val="204"/>
          </rPr>
          <t>Автоматичский параметр</t>
        </r>
        <r>
          <rPr>
            <b/>
            <sz val="16"/>
            <color indexed="81"/>
            <rFont val="Times New Roman"/>
            <family val="1"/>
            <charset val="204"/>
          </rPr>
          <t>.</t>
        </r>
      </text>
    </comment>
    <comment ref="R55" authorId="0" shapeId="0" xr:uid="{00000000-0006-0000-0100-0000AE000000}">
      <text>
        <r>
          <rPr>
            <sz val="20"/>
            <color indexed="81"/>
            <rFont val="Times New Roman"/>
            <family val="1"/>
            <charset val="204"/>
          </rPr>
          <t>Автоматичский параметр</t>
        </r>
        <r>
          <rPr>
            <sz val="16"/>
            <color indexed="81"/>
            <rFont val="Times New Roman"/>
            <family val="1"/>
            <charset val="204"/>
          </rPr>
          <t>.</t>
        </r>
      </text>
    </comment>
    <comment ref="S55" authorId="0" shapeId="0" xr:uid="{00000000-0006-0000-0100-0000AF000000}">
      <text>
        <r>
          <rPr>
            <sz val="20"/>
            <color indexed="81"/>
            <rFont val="Times New Roman"/>
            <family val="1"/>
            <charset val="204"/>
          </rPr>
          <t>Заполняемый парметр</t>
        </r>
      </text>
    </comment>
    <comment ref="N56" authorId="0" shapeId="0" xr:uid="{00000000-0006-0000-0100-0000B0000000}">
      <text>
        <r>
          <rPr>
            <b/>
            <sz val="20"/>
            <color indexed="81"/>
            <rFont val="Times New Roman"/>
            <family val="1"/>
            <charset val="204"/>
          </rPr>
          <t>Автоматичский параметр</t>
        </r>
        <r>
          <rPr>
            <b/>
            <sz val="16"/>
            <color indexed="81"/>
            <rFont val="Times New Roman"/>
            <family val="1"/>
            <charset val="204"/>
          </rPr>
          <t>.</t>
        </r>
      </text>
    </comment>
    <comment ref="R56" authorId="0" shapeId="0" xr:uid="{00000000-0006-0000-0100-0000B1000000}">
      <text>
        <r>
          <rPr>
            <sz val="20"/>
            <color indexed="81"/>
            <rFont val="Times New Roman"/>
            <family val="1"/>
            <charset val="204"/>
          </rPr>
          <t>Автоматичский параметр</t>
        </r>
        <r>
          <rPr>
            <sz val="16"/>
            <color indexed="81"/>
            <rFont val="Times New Roman"/>
            <family val="1"/>
            <charset val="204"/>
          </rPr>
          <t>.</t>
        </r>
      </text>
    </comment>
    <comment ref="S56" authorId="0" shapeId="0" xr:uid="{00000000-0006-0000-0100-0000B2000000}">
      <text>
        <r>
          <rPr>
            <sz val="20"/>
            <color indexed="81"/>
            <rFont val="Times New Roman"/>
            <family val="1"/>
            <charset val="204"/>
          </rPr>
          <t>Заполняемый парметр</t>
        </r>
      </text>
    </comment>
    <comment ref="N57" authorId="0" shapeId="0" xr:uid="{00000000-0006-0000-0100-0000B3000000}">
      <text>
        <r>
          <rPr>
            <b/>
            <sz val="20"/>
            <color indexed="81"/>
            <rFont val="Times New Roman"/>
            <family val="1"/>
            <charset val="204"/>
          </rPr>
          <t>Автоматичский параметр</t>
        </r>
        <r>
          <rPr>
            <b/>
            <sz val="16"/>
            <color indexed="81"/>
            <rFont val="Times New Roman"/>
            <family val="1"/>
            <charset val="204"/>
          </rPr>
          <t>.</t>
        </r>
      </text>
    </comment>
    <comment ref="R57" authorId="0" shapeId="0" xr:uid="{00000000-0006-0000-0100-0000B4000000}">
      <text>
        <r>
          <rPr>
            <sz val="20"/>
            <color indexed="81"/>
            <rFont val="Times New Roman"/>
            <family val="1"/>
            <charset val="204"/>
          </rPr>
          <t>Автоматичский параметр</t>
        </r>
        <r>
          <rPr>
            <sz val="16"/>
            <color indexed="81"/>
            <rFont val="Times New Roman"/>
            <family val="1"/>
            <charset val="204"/>
          </rPr>
          <t>.</t>
        </r>
      </text>
    </comment>
    <comment ref="S57" authorId="0" shapeId="0" xr:uid="{00000000-0006-0000-0100-0000B5000000}">
      <text>
        <r>
          <rPr>
            <sz val="20"/>
            <color indexed="81"/>
            <rFont val="Times New Roman"/>
            <family val="1"/>
            <charset val="204"/>
          </rPr>
          <t>Заполняемый парметр</t>
        </r>
      </text>
    </comment>
    <comment ref="N58" authorId="0" shapeId="0" xr:uid="{00000000-0006-0000-0100-0000B6000000}">
      <text>
        <r>
          <rPr>
            <b/>
            <sz val="20"/>
            <color indexed="81"/>
            <rFont val="Times New Roman"/>
            <family val="1"/>
            <charset val="204"/>
          </rPr>
          <t>Автоматичский параметр</t>
        </r>
        <r>
          <rPr>
            <b/>
            <sz val="16"/>
            <color indexed="81"/>
            <rFont val="Times New Roman"/>
            <family val="1"/>
            <charset val="204"/>
          </rPr>
          <t>.</t>
        </r>
      </text>
    </comment>
    <comment ref="R58" authorId="0" shapeId="0" xr:uid="{00000000-0006-0000-0100-0000B7000000}">
      <text>
        <r>
          <rPr>
            <sz val="20"/>
            <color indexed="81"/>
            <rFont val="Times New Roman"/>
            <family val="1"/>
            <charset val="204"/>
          </rPr>
          <t>Автоматичский параметр</t>
        </r>
        <r>
          <rPr>
            <sz val="16"/>
            <color indexed="81"/>
            <rFont val="Times New Roman"/>
            <family val="1"/>
            <charset val="204"/>
          </rPr>
          <t>.</t>
        </r>
      </text>
    </comment>
    <comment ref="S58" authorId="0" shapeId="0" xr:uid="{00000000-0006-0000-0100-0000B8000000}">
      <text>
        <r>
          <rPr>
            <sz val="20"/>
            <color indexed="81"/>
            <rFont val="Times New Roman"/>
            <family val="1"/>
            <charset val="204"/>
          </rPr>
          <t>Заполняемый парметр</t>
        </r>
      </text>
    </comment>
    <comment ref="N59" authorId="0" shapeId="0" xr:uid="{00000000-0006-0000-0100-0000B9000000}">
      <text>
        <r>
          <rPr>
            <b/>
            <sz val="20"/>
            <color indexed="81"/>
            <rFont val="Times New Roman"/>
            <family val="1"/>
            <charset val="204"/>
          </rPr>
          <t>Автоматичский параметр</t>
        </r>
        <r>
          <rPr>
            <b/>
            <sz val="16"/>
            <color indexed="81"/>
            <rFont val="Times New Roman"/>
            <family val="1"/>
            <charset val="204"/>
          </rPr>
          <t>.</t>
        </r>
      </text>
    </comment>
    <comment ref="R59" authorId="0" shapeId="0" xr:uid="{00000000-0006-0000-0100-0000BA000000}">
      <text>
        <r>
          <rPr>
            <sz val="20"/>
            <color indexed="81"/>
            <rFont val="Times New Roman"/>
            <family val="1"/>
            <charset val="204"/>
          </rPr>
          <t>Автоматичский параметр</t>
        </r>
        <r>
          <rPr>
            <sz val="16"/>
            <color indexed="81"/>
            <rFont val="Times New Roman"/>
            <family val="1"/>
            <charset val="204"/>
          </rPr>
          <t>.</t>
        </r>
      </text>
    </comment>
    <comment ref="S59" authorId="0" shapeId="0" xr:uid="{00000000-0006-0000-0100-0000BB000000}">
      <text>
        <r>
          <rPr>
            <sz val="20"/>
            <color indexed="81"/>
            <rFont val="Times New Roman"/>
            <family val="1"/>
            <charset val="204"/>
          </rPr>
          <t>Заполняемый парметр</t>
        </r>
      </text>
    </comment>
    <comment ref="N60" authorId="0" shapeId="0" xr:uid="{00000000-0006-0000-0100-0000BC000000}">
      <text>
        <r>
          <rPr>
            <b/>
            <sz val="20"/>
            <color indexed="81"/>
            <rFont val="Times New Roman"/>
            <family val="1"/>
            <charset val="204"/>
          </rPr>
          <t>Автоматичский параметр</t>
        </r>
        <r>
          <rPr>
            <b/>
            <sz val="16"/>
            <color indexed="81"/>
            <rFont val="Times New Roman"/>
            <family val="1"/>
            <charset val="204"/>
          </rPr>
          <t>.</t>
        </r>
      </text>
    </comment>
    <comment ref="R60" authorId="0" shapeId="0" xr:uid="{00000000-0006-0000-0100-0000BD000000}">
      <text>
        <r>
          <rPr>
            <sz val="20"/>
            <color indexed="81"/>
            <rFont val="Times New Roman"/>
            <family val="1"/>
            <charset val="204"/>
          </rPr>
          <t>Автоматичский параметр</t>
        </r>
        <r>
          <rPr>
            <sz val="16"/>
            <color indexed="81"/>
            <rFont val="Times New Roman"/>
            <family val="1"/>
            <charset val="204"/>
          </rPr>
          <t>.</t>
        </r>
      </text>
    </comment>
    <comment ref="S60" authorId="0" shapeId="0" xr:uid="{00000000-0006-0000-0100-0000BE000000}">
      <text>
        <r>
          <rPr>
            <sz val="20"/>
            <color indexed="81"/>
            <rFont val="Times New Roman"/>
            <family val="1"/>
            <charset val="204"/>
          </rPr>
          <t>Заполняемый парметр</t>
        </r>
      </text>
    </comment>
    <comment ref="N61" authorId="0" shapeId="0" xr:uid="{00000000-0006-0000-0100-0000BF000000}">
      <text>
        <r>
          <rPr>
            <b/>
            <sz val="20"/>
            <color indexed="81"/>
            <rFont val="Times New Roman"/>
            <family val="1"/>
            <charset val="204"/>
          </rPr>
          <t>Автоматичский параметр</t>
        </r>
        <r>
          <rPr>
            <b/>
            <sz val="16"/>
            <color indexed="81"/>
            <rFont val="Times New Roman"/>
            <family val="1"/>
            <charset val="204"/>
          </rPr>
          <t>.</t>
        </r>
      </text>
    </comment>
    <comment ref="R61" authorId="0" shapeId="0" xr:uid="{00000000-0006-0000-0100-0000C0000000}">
      <text>
        <r>
          <rPr>
            <sz val="20"/>
            <color indexed="81"/>
            <rFont val="Times New Roman"/>
            <family val="1"/>
            <charset val="204"/>
          </rPr>
          <t>Автоматичский параметр</t>
        </r>
        <r>
          <rPr>
            <sz val="16"/>
            <color indexed="81"/>
            <rFont val="Times New Roman"/>
            <family val="1"/>
            <charset val="204"/>
          </rPr>
          <t>.</t>
        </r>
      </text>
    </comment>
    <comment ref="S61" authorId="0" shapeId="0" xr:uid="{00000000-0006-0000-0100-0000C1000000}">
      <text>
        <r>
          <rPr>
            <sz val="20"/>
            <color indexed="81"/>
            <rFont val="Times New Roman"/>
            <family val="1"/>
            <charset val="204"/>
          </rPr>
          <t>Заполняемый парметр</t>
        </r>
      </text>
    </comment>
    <comment ref="N62" authorId="0" shapeId="0" xr:uid="{00000000-0006-0000-0100-0000C2000000}">
      <text>
        <r>
          <rPr>
            <b/>
            <sz val="20"/>
            <color indexed="81"/>
            <rFont val="Times New Roman"/>
            <family val="1"/>
            <charset val="204"/>
          </rPr>
          <t>Автоматичский параметр</t>
        </r>
        <r>
          <rPr>
            <b/>
            <sz val="16"/>
            <color indexed="81"/>
            <rFont val="Times New Roman"/>
            <family val="1"/>
            <charset val="204"/>
          </rPr>
          <t>.</t>
        </r>
      </text>
    </comment>
    <comment ref="R62" authorId="0" shapeId="0" xr:uid="{00000000-0006-0000-0100-0000C3000000}">
      <text>
        <r>
          <rPr>
            <sz val="20"/>
            <color indexed="81"/>
            <rFont val="Times New Roman"/>
            <family val="1"/>
            <charset val="204"/>
          </rPr>
          <t>Автоматичский параметр</t>
        </r>
        <r>
          <rPr>
            <sz val="16"/>
            <color indexed="81"/>
            <rFont val="Times New Roman"/>
            <family val="1"/>
            <charset val="204"/>
          </rPr>
          <t>.</t>
        </r>
      </text>
    </comment>
    <comment ref="S62" authorId="0" shapeId="0" xr:uid="{00000000-0006-0000-0100-0000C4000000}">
      <text>
        <r>
          <rPr>
            <sz val="20"/>
            <color indexed="81"/>
            <rFont val="Times New Roman"/>
            <family val="1"/>
            <charset val="204"/>
          </rPr>
          <t>Заполняемый парметр</t>
        </r>
      </text>
    </comment>
    <comment ref="N63" authorId="0" shapeId="0" xr:uid="{00000000-0006-0000-0100-0000C5000000}">
      <text>
        <r>
          <rPr>
            <b/>
            <sz val="20"/>
            <color indexed="81"/>
            <rFont val="Times New Roman"/>
            <family val="1"/>
            <charset val="204"/>
          </rPr>
          <t>Автоматичский параметр</t>
        </r>
        <r>
          <rPr>
            <b/>
            <sz val="16"/>
            <color indexed="81"/>
            <rFont val="Times New Roman"/>
            <family val="1"/>
            <charset val="204"/>
          </rPr>
          <t>.</t>
        </r>
      </text>
    </comment>
    <comment ref="R63" authorId="0" shapeId="0" xr:uid="{00000000-0006-0000-0100-0000C6000000}">
      <text>
        <r>
          <rPr>
            <sz val="20"/>
            <color indexed="81"/>
            <rFont val="Times New Roman"/>
            <family val="1"/>
            <charset val="204"/>
          </rPr>
          <t>Автоматичский параметр</t>
        </r>
        <r>
          <rPr>
            <sz val="16"/>
            <color indexed="81"/>
            <rFont val="Times New Roman"/>
            <family val="1"/>
            <charset val="204"/>
          </rPr>
          <t>.</t>
        </r>
      </text>
    </comment>
    <comment ref="S63" authorId="0" shapeId="0" xr:uid="{00000000-0006-0000-0100-0000C7000000}">
      <text>
        <r>
          <rPr>
            <sz val="20"/>
            <color indexed="81"/>
            <rFont val="Times New Roman"/>
            <family val="1"/>
            <charset val="204"/>
          </rPr>
          <t>Заполняемый парметр</t>
        </r>
      </text>
    </comment>
    <comment ref="N64" authorId="0" shapeId="0" xr:uid="{00000000-0006-0000-0100-0000C8000000}">
      <text>
        <r>
          <rPr>
            <b/>
            <sz val="20"/>
            <color indexed="81"/>
            <rFont val="Times New Roman"/>
            <family val="1"/>
            <charset val="204"/>
          </rPr>
          <t>Автоматичский параметр</t>
        </r>
        <r>
          <rPr>
            <b/>
            <sz val="16"/>
            <color indexed="81"/>
            <rFont val="Times New Roman"/>
            <family val="1"/>
            <charset val="204"/>
          </rPr>
          <t>.</t>
        </r>
      </text>
    </comment>
    <comment ref="R64" authorId="0" shapeId="0" xr:uid="{00000000-0006-0000-0100-0000C9000000}">
      <text>
        <r>
          <rPr>
            <sz val="20"/>
            <color indexed="81"/>
            <rFont val="Times New Roman"/>
            <family val="1"/>
            <charset val="204"/>
          </rPr>
          <t>Автоматичский параметр</t>
        </r>
        <r>
          <rPr>
            <sz val="16"/>
            <color indexed="81"/>
            <rFont val="Times New Roman"/>
            <family val="1"/>
            <charset val="204"/>
          </rPr>
          <t>.</t>
        </r>
      </text>
    </comment>
    <comment ref="S64" authorId="0" shapeId="0" xr:uid="{00000000-0006-0000-0100-0000CA000000}">
      <text>
        <r>
          <rPr>
            <sz val="20"/>
            <color indexed="81"/>
            <rFont val="Times New Roman"/>
            <family val="1"/>
            <charset val="204"/>
          </rPr>
          <t>Заполняемый парметр</t>
        </r>
      </text>
    </comment>
    <comment ref="N65" authorId="0" shapeId="0" xr:uid="{00000000-0006-0000-0100-0000CB000000}">
      <text>
        <r>
          <rPr>
            <b/>
            <sz val="20"/>
            <color indexed="81"/>
            <rFont val="Times New Roman"/>
            <family val="1"/>
            <charset val="204"/>
          </rPr>
          <t>Автоматичский параметр</t>
        </r>
        <r>
          <rPr>
            <b/>
            <sz val="16"/>
            <color indexed="81"/>
            <rFont val="Times New Roman"/>
            <family val="1"/>
            <charset val="204"/>
          </rPr>
          <t>.</t>
        </r>
      </text>
    </comment>
    <comment ref="R65" authorId="0" shapeId="0" xr:uid="{00000000-0006-0000-0100-0000CC000000}">
      <text>
        <r>
          <rPr>
            <sz val="20"/>
            <color indexed="81"/>
            <rFont val="Times New Roman"/>
            <family val="1"/>
            <charset val="204"/>
          </rPr>
          <t>Автоматичский параметр</t>
        </r>
        <r>
          <rPr>
            <sz val="16"/>
            <color indexed="81"/>
            <rFont val="Times New Roman"/>
            <family val="1"/>
            <charset val="204"/>
          </rPr>
          <t>.</t>
        </r>
      </text>
    </comment>
    <comment ref="S65" authorId="0" shapeId="0" xr:uid="{00000000-0006-0000-0100-0000CD000000}">
      <text>
        <r>
          <rPr>
            <sz val="20"/>
            <color indexed="81"/>
            <rFont val="Times New Roman"/>
            <family val="1"/>
            <charset val="204"/>
          </rPr>
          <t>Заполняемый парметр</t>
        </r>
      </text>
    </comment>
    <comment ref="N66" authorId="0" shapeId="0" xr:uid="{00000000-0006-0000-0100-0000CE000000}">
      <text>
        <r>
          <rPr>
            <b/>
            <sz val="20"/>
            <color indexed="81"/>
            <rFont val="Times New Roman"/>
            <family val="1"/>
            <charset val="204"/>
          </rPr>
          <t>Автоматичский параметр</t>
        </r>
        <r>
          <rPr>
            <b/>
            <sz val="16"/>
            <color indexed="81"/>
            <rFont val="Times New Roman"/>
            <family val="1"/>
            <charset val="204"/>
          </rPr>
          <t>.</t>
        </r>
      </text>
    </comment>
    <comment ref="R66" authorId="0" shapeId="0" xr:uid="{00000000-0006-0000-0100-0000CF000000}">
      <text>
        <r>
          <rPr>
            <sz val="20"/>
            <color indexed="81"/>
            <rFont val="Times New Roman"/>
            <family val="1"/>
            <charset val="204"/>
          </rPr>
          <t>Автоматичский параметр</t>
        </r>
        <r>
          <rPr>
            <sz val="16"/>
            <color indexed="81"/>
            <rFont val="Times New Roman"/>
            <family val="1"/>
            <charset val="204"/>
          </rPr>
          <t>.</t>
        </r>
      </text>
    </comment>
    <comment ref="S66" authorId="0" shapeId="0" xr:uid="{00000000-0006-0000-0100-0000D0000000}">
      <text>
        <r>
          <rPr>
            <sz val="20"/>
            <color indexed="81"/>
            <rFont val="Times New Roman"/>
            <family val="1"/>
            <charset val="204"/>
          </rPr>
          <t>Заполняемый парметр</t>
        </r>
      </text>
    </comment>
    <comment ref="N67" authorId="0" shapeId="0" xr:uid="{00000000-0006-0000-0100-0000D1000000}">
      <text>
        <r>
          <rPr>
            <b/>
            <sz val="20"/>
            <color indexed="81"/>
            <rFont val="Times New Roman"/>
            <family val="1"/>
            <charset val="204"/>
          </rPr>
          <t>Автоматичский параметр</t>
        </r>
        <r>
          <rPr>
            <b/>
            <sz val="16"/>
            <color indexed="81"/>
            <rFont val="Times New Roman"/>
            <family val="1"/>
            <charset val="204"/>
          </rPr>
          <t>.</t>
        </r>
      </text>
    </comment>
    <comment ref="R67" authorId="0" shapeId="0" xr:uid="{00000000-0006-0000-0100-0000D2000000}">
      <text>
        <r>
          <rPr>
            <sz val="20"/>
            <color indexed="81"/>
            <rFont val="Times New Roman"/>
            <family val="1"/>
            <charset val="204"/>
          </rPr>
          <t>Автоматичский параметр</t>
        </r>
        <r>
          <rPr>
            <sz val="16"/>
            <color indexed="81"/>
            <rFont val="Times New Roman"/>
            <family val="1"/>
            <charset val="204"/>
          </rPr>
          <t>.</t>
        </r>
      </text>
    </comment>
    <comment ref="S67" authorId="0" shapeId="0" xr:uid="{00000000-0006-0000-0100-0000D3000000}">
      <text>
        <r>
          <rPr>
            <sz val="20"/>
            <color indexed="81"/>
            <rFont val="Times New Roman"/>
            <family val="1"/>
            <charset val="204"/>
          </rPr>
          <t>Заполняемый парметр</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Berserk</author>
  </authors>
  <commentList>
    <comment ref="P4" authorId="0" shapeId="0" xr:uid="{00000000-0006-0000-0200-000001000000}">
      <text>
        <r>
          <rPr>
            <b/>
            <sz val="20"/>
            <color indexed="81"/>
            <rFont val="Times New Roman"/>
            <family val="1"/>
            <charset val="204"/>
          </rPr>
          <t>Автоматичский параметр</t>
        </r>
        <r>
          <rPr>
            <b/>
            <sz val="16"/>
            <color indexed="81"/>
            <rFont val="Times New Roman"/>
            <family val="1"/>
            <charset val="204"/>
          </rPr>
          <t>.</t>
        </r>
      </text>
    </comment>
    <comment ref="Q4" authorId="0" shapeId="0" xr:uid="{00000000-0006-0000-0200-000002000000}">
      <text>
        <r>
          <rPr>
            <b/>
            <sz val="20"/>
            <color indexed="81"/>
            <rFont val="Times New Roman"/>
            <family val="1"/>
            <charset val="204"/>
          </rPr>
          <t>Автоматичский параметр</t>
        </r>
        <r>
          <rPr>
            <b/>
            <sz val="16"/>
            <color indexed="81"/>
            <rFont val="Times New Roman"/>
            <family val="1"/>
            <charset val="204"/>
          </rPr>
          <t>.</t>
        </r>
      </text>
    </comment>
    <comment ref="R4" authorId="0" shapeId="0" xr:uid="{00000000-0006-0000-0200-000003000000}">
      <text>
        <r>
          <rPr>
            <b/>
            <sz val="20"/>
            <color indexed="81"/>
            <rFont val="Times New Roman"/>
            <family val="1"/>
            <charset val="204"/>
          </rPr>
          <t>Автоматичский параметр</t>
        </r>
        <r>
          <rPr>
            <b/>
            <sz val="16"/>
            <color indexed="81"/>
            <rFont val="Times New Roman"/>
            <family val="1"/>
            <charset val="204"/>
          </rPr>
          <t>.</t>
        </r>
      </text>
    </comment>
    <comment ref="S4" authorId="0" shapeId="0" xr:uid="{00000000-0006-0000-0200-000004000000}">
      <text>
        <r>
          <rPr>
            <b/>
            <sz val="20"/>
            <color indexed="81"/>
            <rFont val="Times New Roman"/>
            <family val="1"/>
            <charset val="204"/>
          </rPr>
          <t>Автоматичский параметр</t>
        </r>
        <r>
          <rPr>
            <b/>
            <sz val="16"/>
            <color indexed="81"/>
            <rFont val="Times New Roman"/>
            <family val="1"/>
            <charset val="204"/>
          </rPr>
          <t>.</t>
        </r>
      </text>
    </comment>
    <comment ref="T4" authorId="0" shapeId="0" xr:uid="{00000000-0006-0000-0200-000005000000}">
      <text>
        <r>
          <rPr>
            <b/>
            <sz val="20"/>
            <color indexed="81"/>
            <rFont val="Times New Roman"/>
            <family val="1"/>
            <charset val="204"/>
          </rPr>
          <t>Автоматичский параметр</t>
        </r>
        <r>
          <rPr>
            <b/>
            <sz val="16"/>
            <color indexed="81"/>
            <rFont val="Times New Roman"/>
            <family val="1"/>
            <charset val="204"/>
          </rPr>
          <t>.</t>
        </r>
      </text>
    </comment>
    <comment ref="E6" authorId="0" shapeId="0" xr:uid="{00000000-0006-0000-0200-000006000000}">
      <text>
        <r>
          <rPr>
            <b/>
            <sz val="20"/>
            <color indexed="81"/>
            <rFont val="Times New Roman"/>
            <family val="1"/>
            <charset val="204"/>
          </rPr>
          <t>Автоматичский параметр</t>
        </r>
        <r>
          <rPr>
            <b/>
            <sz val="16"/>
            <color indexed="81"/>
            <rFont val="Times New Roman"/>
            <family val="1"/>
            <charset val="204"/>
          </rPr>
          <t>.</t>
        </r>
      </text>
    </comment>
    <comment ref="F6" authorId="0" shapeId="0" xr:uid="{00000000-0006-0000-0200-000007000000}">
      <text>
        <r>
          <rPr>
            <b/>
            <sz val="20"/>
            <color indexed="81"/>
            <rFont val="Times New Roman"/>
            <family val="1"/>
            <charset val="204"/>
          </rPr>
          <t>Автоматичский параметр</t>
        </r>
        <r>
          <rPr>
            <b/>
            <sz val="16"/>
            <color indexed="81"/>
            <rFont val="Times New Roman"/>
            <family val="1"/>
            <charset val="204"/>
          </rPr>
          <t>.</t>
        </r>
      </text>
    </comment>
    <comment ref="G6" authorId="0" shapeId="0" xr:uid="{00000000-0006-0000-0200-000008000000}">
      <text>
        <r>
          <rPr>
            <b/>
            <sz val="20"/>
            <color indexed="81"/>
            <rFont val="Times New Roman"/>
            <family val="1"/>
            <charset val="204"/>
          </rPr>
          <t>Автоматичский параметр</t>
        </r>
        <r>
          <rPr>
            <b/>
            <sz val="16"/>
            <color indexed="81"/>
            <rFont val="Times New Roman"/>
            <family val="1"/>
            <charset val="204"/>
          </rPr>
          <t>.</t>
        </r>
      </text>
    </comment>
    <comment ref="H6" authorId="0" shapeId="0" xr:uid="{00000000-0006-0000-0200-000009000000}">
      <text>
        <r>
          <rPr>
            <b/>
            <sz val="20"/>
            <color indexed="81"/>
            <rFont val="Times New Roman"/>
            <family val="1"/>
            <charset val="204"/>
          </rPr>
          <t>Заполняемый парметр</t>
        </r>
      </text>
    </comment>
    <comment ref="I6" authorId="0" shapeId="0" xr:uid="{00000000-0006-0000-0200-00000A000000}">
      <text>
        <r>
          <rPr>
            <b/>
            <sz val="20"/>
            <color indexed="81"/>
            <rFont val="Times New Roman"/>
            <family val="1"/>
            <charset val="204"/>
          </rPr>
          <t>Заполняемый парметр</t>
        </r>
      </text>
    </comment>
    <comment ref="J6" authorId="0" shapeId="0" xr:uid="{00000000-0006-0000-0200-00000B000000}">
      <text>
        <r>
          <rPr>
            <b/>
            <sz val="20"/>
            <color indexed="81"/>
            <rFont val="Times New Roman"/>
            <family val="1"/>
            <charset val="204"/>
          </rPr>
          <t>Заполняемый парметр</t>
        </r>
      </text>
    </comment>
    <comment ref="K6" authorId="0" shapeId="0" xr:uid="{00000000-0006-0000-0200-00000C000000}">
      <text>
        <r>
          <rPr>
            <b/>
            <sz val="20"/>
            <color indexed="81"/>
            <rFont val="Times New Roman"/>
            <family val="1"/>
            <charset val="204"/>
          </rPr>
          <t>Заполняемый парметр</t>
        </r>
      </text>
    </comment>
    <comment ref="Q6" authorId="0" shapeId="0" xr:uid="{00000000-0006-0000-0200-00000D000000}">
      <text>
        <r>
          <rPr>
            <b/>
            <sz val="20"/>
            <color indexed="81"/>
            <rFont val="Times New Roman"/>
            <family val="1"/>
            <charset val="204"/>
          </rPr>
          <t>Заполняемый парметр</t>
        </r>
      </text>
    </comment>
    <comment ref="E8" authorId="0" shapeId="0" xr:uid="{00000000-0006-0000-0200-00000E000000}">
      <text>
        <r>
          <rPr>
            <b/>
            <sz val="20"/>
            <color indexed="81"/>
            <rFont val="Times New Roman"/>
            <family val="1"/>
            <charset val="204"/>
          </rPr>
          <t>Автоматичский параметр</t>
        </r>
        <r>
          <rPr>
            <b/>
            <sz val="16"/>
            <color indexed="81"/>
            <rFont val="Times New Roman"/>
            <family val="1"/>
            <charset val="204"/>
          </rPr>
          <t>.</t>
        </r>
      </text>
    </comment>
    <comment ref="F8" authorId="0" shapeId="0" xr:uid="{00000000-0006-0000-0200-00000F000000}">
      <text>
        <r>
          <rPr>
            <b/>
            <sz val="20"/>
            <color indexed="81"/>
            <rFont val="Times New Roman"/>
            <family val="1"/>
            <charset val="204"/>
          </rPr>
          <t>Автоматичский параметр</t>
        </r>
        <r>
          <rPr>
            <b/>
            <sz val="16"/>
            <color indexed="81"/>
            <rFont val="Times New Roman"/>
            <family val="1"/>
            <charset val="204"/>
          </rPr>
          <t>.</t>
        </r>
      </text>
    </comment>
    <comment ref="G8" authorId="0" shapeId="0" xr:uid="{00000000-0006-0000-0200-000010000000}">
      <text>
        <r>
          <rPr>
            <b/>
            <sz val="20"/>
            <color indexed="81"/>
            <rFont val="Times New Roman"/>
            <family val="1"/>
            <charset val="204"/>
          </rPr>
          <t>Автоматичский параметр</t>
        </r>
        <r>
          <rPr>
            <b/>
            <sz val="16"/>
            <color indexed="81"/>
            <rFont val="Times New Roman"/>
            <family val="1"/>
            <charset val="204"/>
          </rPr>
          <t>.</t>
        </r>
      </text>
    </comment>
    <comment ref="H8" authorId="0" shapeId="0" xr:uid="{00000000-0006-0000-0200-000011000000}">
      <text>
        <r>
          <rPr>
            <b/>
            <sz val="20"/>
            <color indexed="81"/>
            <rFont val="Times New Roman"/>
            <family val="1"/>
            <charset val="204"/>
          </rPr>
          <t>Заполняемый парметр</t>
        </r>
      </text>
    </comment>
    <comment ref="I8" authorId="0" shapeId="0" xr:uid="{00000000-0006-0000-0200-000012000000}">
      <text>
        <r>
          <rPr>
            <b/>
            <sz val="20"/>
            <color indexed="81"/>
            <rFont val="Times New Roman"/>
            <family val="1"/>
            <charset val="204"/>
          </rPr>
          <t>Заполняемый парметр</t>
        </r>
      </text>
    </comment>
    <comment ref="J8" authorId="0" shapeId="0" xr:uid="{00000000-0006-0000-0200-000013000000}">
      <text>
        <r>
          <rPr>
            <b/>
            <sz val="20"/>
            <color indexed="81"/>
            <rFont val="Times New Roman"/>
            <family val="1"/>
            <charset val="204"/>
          </rPr>
          <t>Заполняемый парметр</t>
        </r>
      </text>
    </comment>
    <comment ref="O8" authorId="0" shapeId="0" xr:uid="{00000000-0006-0000-0200-000014000000}">
      <text>
        <r>
          <rPr>
            <b/>
            <sz val="20"/>
            <color indexed="81"/>
            <rFont val="Times New Roman"/>
            <family val="1"/>
            <charset val="204"/>
          </rPr>
          <t>Автоматичский параметр</t>
        </r>
        <r>
          <rPr>
            <b/>
            <sz val="16"/>
            <color indexed="81"/>
            <rFont val="Times New Roman"/>
            <family val="1"/>
            <charset val="204"/>
          </rPr>
          <t>.</t>
        </r>
      </text>
    </comment>
    <comment ref="Q8" authorId="0" shapeId="0" xr:uid="{00000000-0006-0000-0200-000015000000}">
      <text>
        <r>
          <rPr>
            <b/>
            <sz val="20"/>
            <color indexed="81"/>
            <rFont val="Times New Roman"/>
            <family val="1"/>
            <charset val="204"/>
          </rPr>
          <t>Автоматичский параметр</t>
        </r>
        <r>
          <rPr>
            <b/>
            <sz val="16"/>
            <color indexed="81"/>
            <rFont val="Times New Roman"/>
            <family val="1"/>
            <charset val="204"/>
          </rPr>
          <t>.</t>
        </r>
      </text>
    </comment>
    <comment ref="R8" authorId="0" shapeId="0" xr:uid="{00000000-0006-0000-0200-000016000000}">
      <text>
        <r>
          <rPr>
            <b/>
            <sz val="20"/>
            <color indexed="81"/>
            <rFont val="Times New Roman"/>
            <family val="1"/>
            <charset val="204"/>
          </rPr>
          <t>Автоматичский параметр</t>
        </r>
        <r>
          <rPr>
            <b/>
            <sz val="16"/>
            <color indexed="81"/>
            <rFont val="Times New Roman"/>
            <family val="1"/>
            <charset val="204"/>
          </rPr>
          <t>.</t>
        </r>
      </text>
    </comment>
    <comment ref="S8" authorId="0" shapeId="0" xr:uid="{00000000-0006-0000-0200-000017000000}">
      <text>
        <r>
          <rPr>
            <b/>
            <sz val="20"/>
            <color indexed="81"/>
            <rFont val="Times New Roman"/>
            <family val="1"/>
            <charset val="204"/>
          </rPr>
          <t>Автоматичский параметр</t>
        </r>
        <r>
          <rPr>
            <b/>
            <sz val="16"/>
            <color indexed="81"/>
            <rFont val="Times New Roman"/>
            <family val="1"/>
            <charset val="204"/>
          </rPr>
          <t>.</t>
        </r>
      </text>
    </comment>
    <comment ref="T8" authorId="0" shapeId="0" xr:uid="{00000000-0006-0000-0200-000018000000}">
      <text>
        <r>
          <rPr>
            <b/>
            <sz val="20"/>
            <color indexed="81"/>
            <rFont val="Times New Roman"/>
            <family val="1"/>
            <charset val="204"/>
          </rPr>
          <t>Заполняемый парметр</t>
        </r>
      </text>
    </comment>
    <comment ref="E10" authorId="0" shapeId="0" xr:uid="{00000000-0006-0000-0200-000019000000}">
      <text>
        <r>
          <rPr>
            <b/>
            <sz val="20"/>
            <color indexed="81"/>
            <rFont val="Times New Roman"/>
            <family val="1"/>
            <charset val="204"/>
          </rPr>
          <t>Автоматичский параметр</t>
        </r>
        <r>
          <rPr>
            <b/>
            <sz val="16"/>
            <color indexed="81"/>
            <rFont val="Times New Roman"/>
            <family val="1"/>
            <charset val="204"/>
          </rPr>
          <t>.</t>
        </r>
      </text>
    </comment>
    <comment ref="F10" authorId="0" shapeId="0" xr:uid="{00000000-0006-0000-0200-00001A000000}">
      <text>
        <r>
          <rPr>
            <b/>
            <sz val="20"/>
            <color indexed="81"/>
            <rFont val="Times New Roman"/>
            <family val="1"/>
            <charset val="204"/>
          </rPr>
          <t>Автоматичский параметр</t>
        </r>
        <r>
          <rPr>
            <b/>
            <sz val="16"/>
            <color indexed="81"/>
            <rFont val="Times New Roman"/>
            <family val="1"/>
            <charset val="204"/>
          </rPr>
          <t>.</t>
        </r>
      </text>
    </comment>
    <comment ref="G10" authorId="0" shapeId="0" xr:uid="{00000000-0006-0000-0200-00001B000000}">
      <text>
        <r>
          <rPr>
            <b/>
            <sz val="20"/>
            <color indexed="81"/>
            <rFont val="Times New Roman"/>
            <family val="1"/>
            <charset val="204"/>
          </rPr>
          <t>Автоматичский параметр</t>
        </r>
        <r>
          <rPr>
            <b/>
            <sz val="16"/>
            <color indexed="81"/>
            <rFont val="Times New Roman"/>
            <family val="1"/>
            <charset val="204"/>
          </rPr>
          <t>.</t>
        </r>
      </text>
    </comment>
    <comment ref="H10" authorId="0" shapeId="0" xr:uid="{00000000-0006-0000-0200-00001C000000}">
      <text>
        <r>
          <rPr>
            <b/>
            <sz val="20"/>
            <color indexed="81"/>
            <rFont val="Times New Roman"/>
            <family val="1"/>
            <charset val="204"/>
          </rPr>
          <t>Заполняемый парметр</t>
        </r>
      </text>
    </comment>
    <comment ref="I10" authorId="0" shapeId="0" xr:uid="{00000000-0006-0000-0200-00001D000000}">
      <text>
        <r>
          <rPr>
            <b/>
            <sz val="20"/>
            <color indexed="81"/>
            <rFont val="Times New Roman"/>
            <family val="1"/>
            <charset val="204"/>
          </rPr>
          <t>Заполняемый парметр</t>
        </r>
      </text>
    </comment>
    <comment ref="J10" authorId="0" shapeId="0" xr:uid="{00000000-0006-0000-0200-00001E000000}">
      <text>
        <r>
          <rPr>
            <b/>
            <sz val="20"/>
            <color indexed="81"/>
            <rFont val="Times New Roman"/>
            <family val="1"/>
            <charset val="204"/>
          </rPr>
          <t>Заполняемый парметр</t>
        </r>
      </text>
    </comment>
    <comment ref="C13" authorId="0" shapeId="0" xr:uid="{00000000-0006-0000-0200-00001F000000}">
      <text>
        <r>
          <rPr>
            <b/>
            <sz val="16"/>
            <color indexed="81"/>
            <rFont val="Times New Roman"/>
            <family val="1"/>
            <charset val="204"/>
          </rPr>
          <t>Только для Монаха</t>
        </r>
        <r>
          <rPr>
            <sz val="9"/>
            <color indexed="81"/>
            <rFont val="Tahoma"/>
            <charset val="1"/>
          </rPr>
          <t xml:space="preserve">
</t>
        </r>
      </text>
    </comment>
    <comment ref="D14" authorId="0" shapeId="0" xr:uid="{00000000-0006-0000-0200-000020000000}">
      <text>
        <r>
          <rPr>
            <b/>
            <sz val="20"/>
            <color indexed="81"/>
            <rFont val="Times New Roman"/>
            <family val="1"/>
            <charset val="204"/>
          </rPr>
          <t>Автоматичский параметр</t>
        </r>
        <r>
          <rPr>
            <b/>
            <sz val="16"/>
            <color indexed="81"/>
            <rFont val="Times New Roman"/>
            <family val="1"/>
            <charset val="204"/>
          </rPr>
          <t>.</t>
        </r>
      </text>
    </comment>
    <comment ref="E14" authorId="0" shapeId="0" xr:uid="{00000000-0006-0000-0200-000021000000}">
      <text>
        <r>
          <rPr>
            <b/>
            <sz val="20"/>
            <color indexed="81"/>
            <rFont val="Times New Roman"/>
            <family val="1"/>
            <charset val="204"/>
          </rPr>
          <t>Автоматичский параметр</t>
        </r>
        <r>
          <rPr>
            <b/>
            <sz val="16"/>
            <color indexed="81"/>
            <rFont val="Times New Roman"/>
            <family val="1"/>
            <charset val="204"/>
          </rPr>
          <t>.</t>
        </r>
      </text>
    </comment>
    <comment ref="F14" authorId="0" shapeId="0" xr:uid="{00000000-0006-0000-0200-000022000000}">
      <text>
        <r>
          <rPr>
            <b/>
            <sz val="20"/>
            <color indexed="81"/>
            <rFont val="Times New Roman"/>
            <family val="1"/>
            <charset val="204"/>
          </rPr>
          <t>Автоматичский параметр</t>
        </r>
        <r>
          <rPr>
            <b/>
            <sz val="16"/>
            <color indexed="81"/>
            <rFont val="Times New Roman"/>
            <family val="1"/>
            <charset val="204"/>
          </rPr>
          <t>.</t>
        </r>
      </text>
    </comment>
    <comment ref="G14" authorId="0" shapeId="0" xr:uid="{00000000-0006-0000-0200-000023000000}">
      <text>
        <r>
          <rPr>
            <b/>
            <sz val="20"/>
            <color indexed="81"/>
            <rFont val="Times New Roman"/>
            <family val="1"/>
            <charset val="204"/>
          </rPr>
          <t>Автоматичский параметр</t>
        </r>
        <r>
          <rPr>
            <b/>
            <sz val="16"/>
            <color indexed="81"/>
            <rFont val="Times New Roman"/>
            <family val="1"/>
            <charset val="204"/>
          </rPr>
          <t>.</t>
        </r>
      </text>
    </comment>
    <comment ref="I14" authorId="0" shapeId="0" xr:uid="{00000000-0006-0000-0200-000024000000}">
      <text>
        <r>
          <rPr>
            <b/>
            <sz val="20"/>
            <color indexed="81"/>
            <rFont val="Times New Roman"/>
            <family val="1"/>
            <charset val="204"/>
          </rPr>
          <t>Автоматичский параметр</t>
        </r>
        <r>
          <rPr>
            <b/>
            <sz val="16"/>
            <color indexed="81"/>
            <rFont val="Times New Roman"/>
            <family val="1"/>
            <charset val="204"/>
          </rPr>
          <t>.</t>
        </r>
      </text>
    </comment>
    <comment ref="K14" authorId="0" shapeId="0" xr:uid="{00000000-0006-0000-0200-000025000000}">
      <text>
        <r>
          <rPr>
            <b/>
            <sz val="20"/>
            <color indexed="81"/>
            <rFont val="Times New Roman"/>
            <family val="1"/>
            <charset val="204"/>
          </rPr>
          <t>Автоматичский параметр</t>
        </r>
        <r>
          <rPr>
            <b/>
            <sz val="16"/>
            <color indexed="81"/>
            <rFont val="Times New Roman"/>
            <family val="1"/>
            <charset val="204"/>
          </rPr>
          <t>.</t>
        </r>
      </text>
    </comment>
    <comment ref="L14" authorId="0" shapeId="0" xr:uid="{00000000-0006-0000-0200-000026000000}">
      <text>
        <r>
          <rPr>
            <b/>
            <sz val="16"/>
            <color indexed="81"/>
            <rFont val="Times New Roman"/>
            <family val="1"/>
            <charset val="204"/>
          </rPr>
          <t>Выбрать из раскрывающегося списка</t>
        </r>
      </text>
    </comment>
    <comment ref="I36" authorId="0" shapeId="0" xr:uid="{00000000-0006-0000-0200-000027000000}">
      <text>
        <r>
          <rPr>
            <b/>
            <sz val="20"/>
            <color indexed="81"/>
            <rFont val="Times New Roman"/>
            <family val="1"/>
            <charset val="204"/>
          </rPr>
          <t>Автоматичский параметр</t>
        </r>
        <r>
          <rPr>
            <b/>
            <sz val="16"/>
            <color indexed="81"/>
            <rFont val="Times New Roman"/>
            <family val="1"/>
            <charset val="204"/>
          </rPr>
          <t>.</t>
        </r>
      </text>
    </comment>
    <comment ref="J36" authorId="0" shapeId="0" xr:uid="{00000000-0006-0000-0200-000028000000}">
      <text>
        <r>
          <rPr>
            <b/>
            <sz val="20"/>
            <color indexed="81"/>
            <rFont val="Times New Roman"/>
            <family val="1"/>
            <charset val="204"/>
          </rPr>
          <t>Заполняемый парметр</t>
        </r>
      </text>
    </comment>
    <comment ref="L36" authorId="0" shapeId="0" xr:uid="{00000000-0006-0000-0200-000029000000}">
      <text>
        <r>
          <rPr>
            <b/>
            <sz val="20"/>
            <color indexed="81"/>
            <rFont val="Times New Roman"/>
            <family val="1"/>
            <charset val="204"/>
          </rPr>
          <t>Автоматичский параметр</t>
        </r>
        <r>
          <rPr>
            <b/>
            <sz val="16"/>
            <color indexed="81"/>
            <rFont val="Times New Roman"/>
            <family val="1"/>
            <charset val="204"/>
          </rPr>
          <t>.</t>
        </r>
      </text>
    </comment>
    <comment ref="M36" authorId="0" shapeId="0" xr:uid="{00000000-0006-0000-0200-00002A000000}">
      <text>
        <r>
          <rPr>
            <b/>
            <sz val="20"/>
            <color indexed="81"/>
            <rFont val="Times New Roman"/>
            <family val="1"/>
            <charset val="204"/>
          </rPr>
          <t>Автоматичский параметр</t>
        </r>
        <r>
          <rPr>
            <b/>
            <sz val="16"/>
            <color indexed="81"/>
            <rFont val="Times New Roman"/>
            <family val="1"/>
            <charset val="204"/>
          </rPr>
          <t>.</t>
        </r>
      </text>
    </comment>
    <comment ref="N36" authorId="0" shapeId="0" xr:uid="{00000000-0006-0000-0200-00002B000000}">
      <text>
        <r>
          <rPr>
            <b/>
            <sz val="20"/>
            <color indexed="81"/>
            <rFont val="Times New Roman"/>
            <family val="1"/>
            <charset val="204"/>
          </rPr>
          <t>Автоматичский параметр</t>
        </r>
        <r>
          <rPr>
            <b/>
            <sz val="16"/>
            <color indexed="81"/>
            <rFont val="Times New Roman"/>
            <family val="1"/>
            <charset val="204"/>
          </rPr>
          <t>.</t>
        </r>
      </text>
    </comment>
    <comment ref="O36" authorId="0" shapeId="0" xr:uid="{00000000-0006-0000-0200-00002C000000}">
      <text>
        <r>
          <rPr>
            <b/>
            <sz val="20"/>
            <color indexed="81"/>
            <rFont val="Times New Roman"/>
            <family val="1"/>
            <charset val="204"/>
          </rPr>
          <t>Автоматичский параметр</t>
        </r>
        <r>
          <rPr>
            <b/>
            <sz val="16"/>
            <color indexed="81"/>
            <rFont val="Times New Roman"/>
            <family val="1"/>
            <charset val="204"/>
          </rPr>
          <t>.</t>
        </r>
      </text>
    </comment>
    <comment ref="P36" authorId="0" shapeId="0" xr:uid="{00000000-0006-0000-0200-00002D000000}">
      <text>
        <r>
          <rPr>
            <b/>
            <sz val="20"/>
            <color indexed="81"/>
            <rFont val="Times New Roman"/>
            <family val="1"/>
            <charset val="204"/>
          </rPr>
          <t>Автоматичский параметр</t>
        </r>
        <r>
          <rPr>
            <b/>
            <sz val="16"/>
            <color indexed="81"/>
            <rFont val="Times New Roman"/>
            <family val="1"/>
            <charset val="204"/>
          </rPr>
          <t>.</t>
        </r>
      </text>
    </comment>
    <comment ref="Q36" authorId="0" shapeId="0" xr:uid="{00000000-0006-0000-0200-00002E000000}">
      <text>
        <r>
          <rPr>
            <b/>
            <sz val="20"/>
            <color indexed="81"/>
            <rFont val="Times New Roman"/>
            <family val="1"/>
            <charset val="204"/>
          </rPr>
          <t>Автоматичский параметр</t>
        </r>
        <r>
          <rPr>
            <b/>
            <sz val="16"/>
            <color indexed="81"/>
            <rFont val="Times New Roman"/>
            <family val="1"/>
            <charset val="204"/>
          </rPr>
          <t>.</t>
        </r>
      </text>
    </comment>
    <comment ref="R36" authorId="0" shapeId="0" xr:uid="{00000000-0006-0000-0200-00002F000000}">
      <text>
        <r>
          <rPr>
            <b/>
            <sz val="20"/>
            <color indexed="81"/>
            <rFont val="Times New Roman"/>
            <family val="1"/>
            <charset val="204"/>
          </rPr>
          <t>Автоматичский параметр</t>
        </r>
        <r>
          <rPr>
            <b/>
            <sz val="16"/>
            <color indexed="81"/>
            <rFont val="Times New Roman"/>
            <family val="1"/>
            <charset val="204"/>
          </rPr>
          <t>.</t>
        </r>
      </text>
    </comment>
    <comment ref="S36" authorId="0" shapeId="0" xr:uid="{00000000-0006-0000-0200-000030000000}">
      <text>
        <r>
          <rPr>
            <b/>
            <sz val="20"/>
            <color indexed="81"/>
            <rFont val="Times New Roman"/>
            <family val="1"/>
            <charset val="204"/>
          </rPr>
          <t>Автоматичский параметр</t>
        </r>
        <r>
          <rPr>
            <b/>
            <sz val="16"/>
            <color indexed="81"/>
            <rFont val="Times New Roman"/>
            <family val="1"/>
            <charset val="204"/>
          </rPr>
          <t>.</t>
        </r>
      </text>
    </comment>
    <comment ref="T36" authorId="0" shapeId="0" xr:uid="{00000000-0006-0000-0200-000031000000}">
      <text>
        <r>
          <rPr>
            <b/>
            <sz val="20"/>
            <color indexed="81"/>
            <rFont val="Times New Roman"/>
            <family val="1"/>
            <charset val="204"/>
          </rPr>
          <t>Автоматичский параметр</t>
        </r>
        <r>
          <rPr>
            <b/>
            <sz val="16"/>
            <color indexed="81"/>
            <rFont val="Times New Roman"/>
            <family val="1"/>
            <charset val="204"/>
          </rPr>
          <t>.</t>
        </r>
      </text>
    </comment>
    <comment ref="U36" authorId="0" shapeId="0" xr:uid="{00000000-0006-0000-0200-000032000000}">
      <text>
        <r>
          <rPr>
            <b/>
            <sz val="20"/>
            <color indexed="81"/>
            <rFont val="Times New Roman"/>
            <family val="1"/>
            <charset val="204"/>
          </rPr>
          <t>Автоматичский параметр</t>
        </r>
        <r>
          <rPr>
            <b/>
            <sz val="16"/>
            <color indexed="81"/>
            <rFont val="Times New Roman"/>
            <family val="1"/>
            <charset val="204"/>
          </rPr>
          <t>.</t>
        </r>
      </text>
    </comment>
    <comment ref="V36" authorId="0" shapeId="0" xr:uid="{00000000-0006-0000-0200-000033000000}">
      <text>
        <r>
          <rPr>
            <b/>
            <sz val="20"/>
            <color indexed="81"/>
            <rFont val="Times New Roman"/>
            <family val="1"/>
            <charset val="204"/>
          </rPr>
          <t>Автоматичский параметр</t>
        </r>
        <r>
          <rPr>
            <b/>
            <sz val="16"/>
            <color indexed="81"/>
            <rFont val="Times New Roman"/>
            <family val="1"/>
            <charset val="204"/>
          </rPr>
          <t>.</t>
        </r>
      </text>
    </comment>
    <comment ref="I37" authorId="0" shapeId="0" xr:uid="{00000000-0006-0000-0200-000034000000}">
      <text>
        <r>
          <rPr>
            <b/>
            <sz val="20"/>
            <color indexed="81"/>
            <rFont val="Times New Roman"/>
            <family val="1"/>
            <charset val="204"/>
          </rPr>
          <t>Автоматичский параметр</t>
        </r>
        <r>
          <rPr>
            <b/>
            <sz val="16"/>
            <color indexed="81"/>
            <rFont val="Times New Roman"/>
            <family val="1"/>
            <charset val="204"/>
          </rPr>
          <t>.</t>
        </r>
      </text>
    </comment>
    <comment ref="J37" authorId="0" shapeId="0" xr:uid="{00000000-0006-0000-0200-000035000000}">
      <text>
        <r>
          <rPr>
            <b/>
            <sz val="20"/>
            <color indexed="81"/>
            <rFont val="Times New Roman"/>
            <family val="1"/>
            <charset val="204"/>
          </rPr>
          <t>Автоматичский параметр</t>
        </r>
        <r>
          <rPr>
            <b/>
            <sz val="16"/>
            <color indexed="81"/>
            <rFont val="Times New Roman"/>
            <family val="1"/>
            <charset val="204"/>
          </rPr>
          <t>.</t>
        </r>
      </text>
    </comment>
    <comment ref="K37" authorId="0" shapeId="0" xr:uid="{00000000-0006-0000-0200-000036000000}">
      <text>
        <r>
          <rPr>
            <b/>
            <sz val="20"/>
            <color indexed="81"/>
            <rFont val="Times New Roman"/>
            <family val="1"/>
            <charset val="204"/>
          </rPr>
          <t>Автоматичский параметр</t>
        </r>
        <r>
          <rPr>
            <b/>
            <sz val="16"/>
            <color indexed="81"/>
            <rFont val="Times New Roman"/>
            <family val="1"/>
            <charset val="204"/>
          </rPr>
          <t>.</t>
        </r>
      </text>
    </comment>
    <comment ref="L37" authorId="0" shapeId="0" xr:uid="{00000000-0006-0000-0200-000037000000}">
      <text>
        <r>
          <rPr>
            <b/>
            <sz val="20"/>
            <color indexed="81"/>
            <rFont val="Times New Roman"/>
            <family val="1"/>
            <charset val="204"/>
          </rPr>
          <t>Автоматичский параметр</t>
        </r>
        <r>
          <rPr>
            <b/>
            <sz val="16"/>
            <color indexed="81"/>
            <rFont val="Times New Roman"/>
            <family val="1"/>
            <charset val="204"/>
          </rPr>
          <t>.</t>
        </r>
      </text>
    </comment>
    <comment ref="M37" authorId="0" shapeId="0" xr:uid="{00000000-0006-0000-0200-000038000000}">
      <text>
        <r>
          <rPr>
            <b/>
            <sz val="20"/>
            <color indexed="81"/>
            <rFont val="Times New Roman"/>
            <family val="1"/>
            <charset val="204"/>
          </rPr>
          <t>Автоматичский параметр</t>
        </r>
        <r>
          <rPr>
            <b/>
            <sz val="16"/>
            <color indexed="81"/>
            <rFont val="Times New Roman"/>
            <family val="1"/>
            <charset val="204"/>
          </rPr>
          <t>.</t>
        </r>
      </text>
    </comment>
    <comment ref="N37" authorId="0" shapeId="0" xr:uid="{00000000-0006-0000-0200-000039000000}">
      <text>
        <r>
          <rPr>
            <b/>
            <sz val="20"/>
            <color indexed="81"/>
            <rFont val="Times New Roman"/>
            <family val="1"/>
            <charset val="204"/>
          </rPr>
          <t>Автоматичский параметр</t>
        </r>
        <r>
          <rPr>
            <b/>
            <sz val="16"/>
            <color indexed="81"/>
            <rFont val="Times New Roman"/>
            <family val="1"/>
            <charset val="204"/>
          </rPr>
          <t>.</t>
        </r>
      </text>
    </comment>
    <comment ref="O37" authorId="0" shapeId="0" xr:uid="{00000000-0006-0000-0200-00003A000000}">
      <text>
        <r>
          <rPr>
            <b/>
            <sz val="20"/>
            <color indexed="81"/>
            <rFont val="Times New Roman"/>
            <family val="1"/>
            <charset val="204"/>
          </rPr>
          <t>Автоматичский параметр</t>
        </r>
        <r>
          <rPr>
            <b/>
            <sz val="16"/>
            <color indexed="81"/>
            <rFont val="Times New Roman"/>
            <family val="1"/>
            <charset val="204"/>
          </rPr>
          <t>.</t>
        </r>
      </text>
    </comment>
    <comment ref="P37" authorId="0" shapeId="0" xr:uid="{00000000-0006-0000-0200-00003B000000}">
      <text>
        <r>
          <rPr>
            <b/>
            <sz val="20"/>
            <color indexed="81"/>
            <rFont val="Times New Roman"/>
            <family val="1"/>
            <charset val="204"/>
          </rPr>
          <t>Автоматичский параметр</t>
        </r>
        <r>
          <rPr>
            <b/>
            <sz val="16"/>
            <color indexed="81"/>
            <rFont val="Times New Roman"/>
            <family val="1"/>
            <charset val="204"/>
          </rPr>
          <t>.</t>
        </r>
      </text>
    </comment>
    <comment ref="Q37" authorId="0" shapeId="0" xr:uid="{00000000-0006-0000-0200-00003C000000}">
      <text>
        <r>
          <rPr>
            <b/>
            <sz val="20"/>
            <color indexed="81"/>
            <rFont val="Times New Roman"/>
            <family val="1"/>
            <charset val="204"/>
          </rPr>
          <t>Автоматичский параметр</t>
        </r>
        <r>
          <rPr>
            <b/>
            <sz val="16"/>
            <color indexed="81"/>
            <rFont val="Times New Roman"/>
            <family val="1"/>
            <charset val="204"/>
          </rPr>
          <t>.</t>
        </r>
      </text>
    </comment>
    <comment ref="R37" authorId="0" shapeId="0" xr:uid="{00000000-0006-0000-0200-00003D000000}">
      <text>
        <r>
          <rPr>
            <b/>
            <sz val="20"/>
            <color indexed="81"/>
            <rFont val="Times New Roman"/>
            <family val="1"/>
            <charset val="204"/>
          </rPr>
          <t>Автоматичский параметр</t>
        </r>
        <r>
          <rPr>
            <b/>
            <sz val="16"/>
            <color indexed="81"/>
            <rFont val="Times New Roman"/>
            <family val="1"/>
            <charset val="204"/>
          </rPr>
          <t>.</t>
        </r>
      </text>
    </comment>
    <comment ref="S37" authorId="0" shapeId="0" xr:uid="{00000000-0006-0000-0200-00003E000000}">
      <text>
        <r>
          <rPr>
            <b/>
            <sz val="20"/>
            <color indexed="81"/>
            <rFont val="Times New Roman"/>
            <family val="1"/>
            <charset val="204"/>
          </rPr>
          <t>Автоматичский параметр</t>
        </r>
        <r>
          <rPr>
            <b/>
            <sz val="16"/>
            <color indexed="81"/>
            <rFont val="Times New Roman"/>
            <family val="1"/>
            <charset val="204"/>
          </rPr>
          <t>.</t>
        </r>
      </text>
    </comment>
    <comment ref="T37" authorId="0" shapeId="0" xr:uid="{00000000-0006-0000-0200-00003F000000}">
      <text>
        <r>
          <rPr>
            <b/>
            <sz val="20"/>
            <color indexed="81"/>
            <rFont val="Times New Roman"/>
            <family val="1"/>
            <charset val="204"/>
          </rPr>
          <t>Автоматичский параметр</t>
        </r>
        <r>
          <rPr>
            <b/>
            <sz val="16"/>
            <color indexed="81"/>
            <rFont val="Times New Roman"/>
            <family val="1"/>
            <charset val="204"/>
          </rPr>
          <t>.</t>
        </r>
      </text>
    </comment>
    <comment ref="U37" authorId="0" shapeId="0" xr:uid="{00000000-0006-0000-0200-000040000000}">
      <text>
        <r>
          <rPr>
            <b/>
            <sz val="20"/>
            <color indexed="81"/>
            <rFont val="Times New Roman"/>
            <family val="1"/>
            <charset val="204"/>
          </rPr>
          <t>Автоматичский параметр</t>
        </r>
        <r>
          <rPr>
            <b/>
            <sz val="16"/>
            <color indexed="81"/>
            <rFont val="Times New Roman"/>
            <family val="1"/>
            <charset val="204"/>
          </rPr>
          <t>.</t>
        </r>
      </text>
    </comment>
    <comment ref="V37" authorId="0" shapeId="0" xr:uid="{00000000-0006-0000-0200-000041000000}">
      <text>
        <r>
          <rPr>
            <b/>
            <sz val="20"/>
            <color indexed="81"/>
            <rFont val="Times New Roman"/>
            <family val="1"/>
            <charset val="204"/>
          </rPr>
          <t>Автоматичский параметр</t>
        </r>
        <r>
          <rPr>
            <b/>
            <sz val="16"/>
            <color indexed="81"/>
            <rFont val="Times New Roman"/>
            <family val="1"/>
            <charset val="204"/>
          </rPr>
          <t>.</t>
        </r>
      </text>
    </comment>
    <comment ref="I38" authorId="0" shapeId="0" xr:uid="{00000000-0006-0000-0200-000042000000}">
      <text>
        <r>
          <rPr>
            <b/>
            <sz val="20"/>
            <color indexed="81"/>
            <rFont val="Times New Roman"/>
            <family val="1"/>
            <charset val="204"/>
          </rPr>
          <t>Автоматичский параметр</t>
        </r>
        <r>
          <rPr>
            <b/>
            <sz val="16"/>
            <color indexed="81"/>
            <rFont val="Times New Roman"/>
            <family val="1"/>
            <charset val="204"/>
          </rPr>
          <t>.</t>
        </r>
      </text>
    </comment>
    <comment ref="J38" authorId="0" shapeId="0" xr:uid="{00000000-0006-0000-0200-000043000000}">
      <text>
        <r>
          <rPr>
            <b/>
            <sz val="20"/>
            <color indexed="81"/>
            <rFont val="Times New Roman"/>
            <family val="1"/>
            <charset val="204"/>
          </rPr>
          <t>Автоматичский параметр</t>
        </r>
        <r>
          <rPr>
            <b/>
            <sz val="16"/>
            <color indexed="81"/>
            <rFont val="Times New Roman"/>
            <family val="1"/>
            <charset val="204"/>
          </rPr>
          <t>.</t>
        </r>
      </text>
    </comment>
    <comment ref="K38" authorId="0" shapeId="0" xr:uid="{00000000-0006-0000-0200-000044000000}">
      <text>
        <r>
          <rPr>
            <b/>
            <sz val="20"/>
            <color indexed="81"/>
            <rFont val="Times New Roman"/>
            <family val="1"/>
            <charset val="204"/>
          </rPr>
          <t>Автоматичский параметр</t>
        </r>
        <r>
          <rPr>
            <b/>
            <sz val="16"/>
            <color indexed="81"/>
            <rFont val="Times New Roman"/>
            <family val="1"/>
            <charset val="204"/>
          </rPr>
          <t>.</t>
        </r>
      </text>
    </comment>
    <comment ref="L38" authorId="0" shapeId="0" xr:uid="{00000000-0006-0000-0200-000045000000}">
      <text>
        <r>
          <rPr>
            <b/>
            <sz val="20"/>
            <color indexed="81"/>
            <rFont val="Times New Roman"/>
            <family val="1"/>
            <charset val="204"/>
          </rPr>
          <t>Автоматичский параметр</t>
        </r>
        <r>
          <rPr>
            <b/>
            <sz val="16"/>
            <color indexed="81"/>
            <rFont val="Times New Roman"/>
            <family val="1"/>
            <charset val="204"/>
          </rPr>
          <t>.</t>
        </r>
      </text>
    </comment>
    <comment ref="M38" authorId="0" shapeId="0" xr:uid="{00000000-0006-0000-0200-000046000000}">
      <text>
        <r>
          <rPr>
            <b/>
            <sz val="20"/>
            <color indexed="81"/>
            <rFont val="Times New Roman"/>
            <family val="1"/>
            <charset val="204"/>
          </rPr>
          <t>Автоматичский параметр</t>
        </r>
        <r>
          <rPr>
            <b/>
            <sz val="16"/>
            <color indexed="81"/>
            <rFont val="Times New Roman"/>
            <family val="1"/>
            <charset val="204"/>
          </rPr>
          <t>.</t>
        </r>
      </text>
    </comment>
    <comment ref="N38" authorId="0" shapeId="0" xr:uid="{00000000-0006-0000-0200-000047000000}">
      <text>
        <r>
          <rPr>
            <b/>
            <sz val="20"/>
            <color indexed="81"/>
            <rFont val="Times New Roman"/>
            <family val="1"/>
            <charset val="204"/>
          </rPr>
          <t>Автоматичский параметр</t>
        </r>
        <r>
          <rPr>
            <b/>
            <sz val="16"/>
            <color indexed="81"/>
            <rFont val="Times New Roman"/>
            <family val="1"/>
            <charset val="204"/>
          </rPr>
          <t>.</t>
        </r>
      </text>
    </comment>
    <comment ref="O38" authorId="0" shapeId="0" xr:uid="{00000000-0006-0000-0200-000048000000}">
      <text>
        <r>
          <rPr>
            <b/>
            <sz val="20"/>
            <color indexed="81"/>
            <rFont val="Times New Roman"/>
            <family val="1"/>
            <charset val="204"/>
          </rPr>
          <t>Автоматичский параметр</t>
        </r>
        <r>
          <rPr>
            <b/>
            <sz val="16"/>
            <color indexed="81"/>
            <rFont val="Times New Roman"/>
            <family val="1"/>
            <charset val="204"/>
          </rPr>
          <t>.</t>
        </r>
      </text>
    </comment>
    <comment ref="P38" authorId="0" shapeId="0" xr:uid="{00000000-0006-0000-0200-000049000000}">
      <text>
        <r>
          <rPr>
            <b/>
            <sz val="20"/>
            <color indexed="81"/>
            <rFont val="Times New Roman"/>
            <family val="1"/>
            <charset val="204"/>
          </rPr>
          <t>Автоматичский параметр</t>
        </r>
        <r>
          <rPr>
            <b/>
            <sz val="16"/>
            <color indexed="81"/>
            <rFont val="Times New Roman"/>
            <family val="1"/>
            <charset val="204"/>
          </rPr>
          <t>.</t>
        </r>
      </text>
    </comment>
    <comment ref="Q38" authorId="0" shapeId="0" xr:uid="{00000000-0006-0000-0200-00004A000000}">
      <text>
        <r>
          <rPr>
            <b/>
            <sz val="20"/>
            <color indexed="81"/>
            <rFont val="Times New Roman"/>
            <family val="1"/>
            <charset val="204"/>
          </rPr>
          <t>Автоматичский параметр</t>
        </r>
        <r>
          <rPr>
            <b/>
            <sz val="16"/>
            <color indexed="81"/>
            <rFont val="Times New Roman"/>
            <family val="1"/>
            <charset val="204"/>
          </rPr>
          <t>.</t>
        </r>
      </text>
    </comment>
    <comment ref="R38" authorId="0" shapeId="0" xr:uid="{00000000-0006-0000-0200-00004B000000}">
      <text>
        <r>
          <rPr>
            <b/>
            <sz val="20"/>
            <color indexed="81"/>
            <rFont val="Times New Roman"/>
            <family val="1"/>
            <charset val="204"/>
          </rPr>
          <t>Автоматичский параметр</t>
        </r>
        <r>
          <rPr>
            <b/>
            <sz val="16"/>
            <color indexed="81"/>
            <rFont val="Times New Roman"/>
            <family val="1"/>
            <charset val="204"/>
          </rPr>
          <t>.</t>
        </r>
      </text>
    </comment>
    <comment ref="S38" authorId="0" shapeId="0" xr:uid="{00000000-0006-0000-0200-00004C000000}">
      <text>
        <r>
          <rPr>
            <b/>
            <sz val="20"/>
            <color indexed="81"/>
            <rFont val="Times New Roman"/>
            <family val="1"/>
            <charset val="204"/>
          </rPr>
          <t>Автоматичский параметр</t>
        </r>
        <r>
          <rPr>
            <b/>
            <sz val="16"/>
            <color indexed="81"/>
            <rFont val="Times New Roman"/>
            <family val="1"/>
            <charset val="204"/>
          </rPr>
          <t>.</t>
        </r>
      </text>
    </comment>
    <comment ref="T38" authorId="0" shapeId="0" xr:uid="{00000000-0006-0000-0200-00004D000000}">
      <text>
        <r>
          <rPr>
            <b/>
            <sz val="20"/>
            <color indexed="81"/>
            <rFont val="Times New Roman"/>
            <family val="1"/>
            <charset val="204"/>
          </rPr>
          <t>Автоматичский параметр</t>
        </r>
        <r>
          <rPr>
            <b/>
            <sz val="16"/>
            <color indexed="81"/>
            <rFont val="Times New Roman"/>
            <family val="1"/>
            <charset val="204"/>
          </rPr>
          <t>.</t>
        </r>
      </text>
    </comment>
    <comment ref="U38" authorId="0" shapeId="0" xr:uid="{00000000-0006-0000-0200-00004E000000}">
      <text>
        <r>
          <rPr>
            <b/>
            <sz val="20"/>
            <color indexed="81"/>
            <rFont val="Times New Roman"/>
            <family val="1"/>
            <charset val="204"/>
          </rPr>
          <t>Автоматичский параметр</t>
        </r>
        <r>
          <rPr>
            <b/>
            <sz val="16"/>
            <color indexed="81"/>
            <rFont val="Times New Roman"/>
            <family val="1"/>
            <charset val="204"/>
          </rPr>
          <t>.</t>
        </r>
      </text>
    </comment>
    <comment ref="V38" authorId="0" shapeId="0" xr:uid="{00000000-0006-0000-0200-00004F000000}">
      <text>
        <r>
          <rPr>
            <b/>
            <sz val="20"/>
            <color indexed="81"/>
            <rFont val="Times New Roman"/>
            <family val="1"/>
            <charset val="204"/>
          </rPr>
          <t>Автоматичский параметр</t>
        </r>
        <r>
          <rPr>
            <b/>
            <sz val="16"/>
            <color indexed="81"/>
            <rFont val="Times New Roman"/>
            <family val="1"/>
            <charset val="204"/>
          </rPr>
          <t>.</t>
        </r>
      </text>
    </comment>
    <comment ref="I39" authorId="0" shapeId="0" xr:uid="{00000000-0006-0000-0200-000050000000}">
      <text>
        <r>
          <rPr>
            <b/>
            <sz val="20"/>
            <color indexed="81"/>
            <rFont val="Times New Roman"/>
            <family val="1"/>
            <charset val="204"/>
          </rPr>
          <t>Автоматичский параметр</t>
        </r>
        <r>
          <rPr>
            <b/>
            <sz val="16"/>
            <color indexed="81"/>
            <rFont val="Times New Roman"/>
            <family val="1"/>
            <charset val="204"/>
          </rPr>
          <t>.</t>
        </r>
      </text>
    </comment>
    <comment ref="J39" authorId="0" shapeId="0" xr:uid="{00000000-0006-0000-0200-000051000000}">
      <text>
        <r>
          <rPr>
            <b/>
            <sz val="20"/>
            <color indexed="81"/>
            <rFont val="Times New Roman"/>
            <family val="1"/>
            <charset val="204"/>
          </rPr>
          <t>Автоматичский параметр</t>
        </r>
        <r>
          <rPr>
            <b/>
            <sz val="16"/>
            <color indexed="81"/>
            <rFont val="Times New Roman"/>
            <family val="1"/>
            <charset val="204"/>
          </rPr>
          <t>.</t>
        </r>
      </text>
    </comment>
    <comment ref="K39" authorId="0" shapeId="0" xr:uid="{00000000-0006-0000-0200-000052000000}">
      <text>
        <r>
          <rPr>
            <b/>
            <sz val="20"/>
            <color indexed="81"/>
            <rFont val="Times New Roman"/>
            <family val="1"/>
            <charset val="204"/>
          </rPr>
          <t>Автоматичский параметр</t>
        </r>
        <r>
          <rPr>
            <b/>
            <sz val="16"/>
            <color indexed="81"/>
            <rFont val="Times New Roman"/>
            <family val="1"/>
            <charset val="204"/>
          </rPr>
          <t>.</t>
        </r>
      </text>
    </comment>
    <comment ref="L39" authorId="0" shapeId="0" xr:uid="{00000000-0006-0000-0200-000053000000}">
      <text>
        <r>
          <rPr>
            <b/>
            <sz val="20"/>
            <color indexed="81"/>
            <rFont val="Times New Roman"/>
            <family val="1"/>
            <charset val="204"/>
          </rPr>
          <t>Автоматичский параметр</t>
        </r>
        <r>
          <rPr>
            <b/>
            <sz val="16"/>
            <color indexed="81"/>
            <rFont val="Times New Roman"/>
            <family val="1"/>
            <charset val="204"/>
          </rPr>
          <t>.</t>
        </r>
      </text>
    </comment>
    <comment ref="M39" authorId="0" shapeId="0" xr:uid="{00000000-0006-0000-0200-000054000000}">
      <text>
        <r>
          <rPr>
            <b/>
            <sz val="20"/>
            <color indexed="81"/>
            <rFont val="Times New Roman"/>
            <family val="1"/>
            <charset val="204"/>
          </rPr>
          <t>Автоматичский параметр</t>
        </r>
        <r>
          <rPr>
            <b/>
            <sz val="16"/>
            <color indexed="81"/>
            <rFont val="Times New Roman"/>
            <family val="1"/>
            <charset val="204"/>
          </rPr>
          <t>.</t>
        </r>
      </text>
    </comment>
    <comment ref="N39" authorId="0" shapeId="0" xr:uid="{00000000-0006-0000-0200-000055000000}">
      <text>
        <r>
          <rPr>
            <b/>
            <sz val="20"/>
            <color indexed="81"/>
            <rFont val="Times New Roman"/>
            <family val="1"/>
            <charset val="204"/>
          </rPr>
          <t>Автоматичский параметр</t>
        </r>
        <r>
          <rPr>
            <b/>
            <sz val="16"/>
            <color indexed="81"/>
            <rFont val="Times New Roman"/>
            <family val="1"/>
            <charset val="204"/>
          </rPr>
          <t>.</t>
        </r>
      </text>
    </comment>
    <comment ref="O39" authorId="0" shapeId="0" xr:uid="{00000000-0006-0000-0200-000056000000}">
      <text>
        <r>
          <rPr>
            <b/>
            <sz val="20"/>
            <color indexed="81"/>
            <rFont val="Times New Roman"/>
            <family val="1"/>
            <charset val="204"/>
          </rPr>
          <t>Автоматичский параметр</t>
        </r>
        <r>
          <rPr>
            <b/>
            <sz val="16"/>
            <color indexed="81"/>
            <rFont val="Times New Roman"/>
            <family val="1"/>
            <charset val="204"/>
          </rPr>
          <t>.</t>
        </r>
      </text>
    </comment>
    <comment ref="P39" authorId="0" shapeId="0" xr:uid="{00000000-0006-0000-0200-000057000000}">
      <text>
        <r>
          <rPr>
            <b/>
            <sz val="20"/>
            <color indexed="81"/>
            <rFont val="Times New Roman"/>
            <family val="1"/>
            <charset val="204"/>
          </rPr>
          <t>Автоматичский параметр</t>
        </r>
        <r>
          <rPr>
            <b/>
            <sz val="16"/>
            <color indexed="81"/>
            <rFont val="Times New Roman"/>
            <family val="1"/>
            <charset val="204"/>
          </rPr>
          <t>.</t>
        </r>
      </text>
    </comment>
    <comment ref="Q39" authorId="0" shapeId="0" xr:uid="{00000000-0006-0000-0200-000058000000}">
      <text>
        <r>
          <rPr>
            <b/>
            <sz val="20"/>
            <color indexed="81"/>
            <rFont val="Times New Roman"/>
            <family val="1"/>
            <charset val="204"/>
          </rPr>
          <t>Автоматичский параметр</t>
        </r>
        <r>
          <rPr>
            <b/>
            <sz val="16"/>
            <color indexed="81"/>
            <rFont val="Times New Roman"/>
            <family val="1"/>
            <charset val="204"/>
          </rPr>
          <t>.</t>
        </r>
      </text>
    </comment>
    <comment ref="R39" authorId="0" shapeId="0" xr:uid="{00000000-0006-0000-0200-000059000000}">
      <text>
        <r>
          <rPr>
            <b/>
            <sz val="20"/>
            <color indexed="81"/>
            <rFont val="Times New Roman"/>
            <family val="1"/>
            <charset val="204"/>
          </rPr>
          <t>Автоматичский параметр</t>
        </r>
        <r>
          <rPr>
            <b/>
            <sz val="16"/>
            <color indexed="81"/>
            <rFont val="Times New Roman"/>
            <family val="1"/>
            <charset val="204"/>
          </rPr>
          <t>.</t>
        </r>
      </text>
    </comment>
    <comment ref="S39" authorId="0" shapeId="0" xr:uid="{00000000-0006-0000-0200-00005A000000}">
      <text>
        <r>
          <rPr>
            <b/>
            <sz val="20"/>
            <color indexed="81"/>
            <rFont val="Times New Roman"/>
            <family val="1"/>
            <charset val="204"/>
          </rPr>
          <t>Автоматичский параметр</t>
        </r>
        <r>
          <rPr>
            <b/>
            <sz val="16"/>
            <color indexed="81"/>
            <rFont val="Times New Roman"/>
            <family val="1"/>
            <charset val="204"/>
          </rPr>
          <t>.</t>
        </r>
      </text>
    </comment>
    <comment ref="T39" authorId="0" shapeId="0" xr:uid="{00000000-0006-0000-0200-00005B000000}">
      <text>
        <r>
          <rPr>
            <b/>
            <sz val="20"/>
            <color indexed="81"/>
            <rFont val="Times New Roman"/>
            <family val="1"/>
            <charset val="204"/>
          </rPr>
          <t>Автоматичский параметр</t>
        </r>
        <r>
          <rPr>
            <b/>
            <sz val="16"/>
            <color indexed="81"/>
            <rFont val="Times New Roman"/>
            <family val="1"/>
            <charset val="204"/>
          </rPr>
          <t>.</t>
        </r>
      </text>
    </comment>
    <comment ref="U39" authorId="0" shapeId="0" xr:uid="{00000000-0006-0000-0200-00005C000000}">
      <text>
        <r>
          <rPr>
            <b/>
            <sz val="20"/>
            <color indexed="81"/>
            <rFont val="Times New Roman"/>
            <family val="1"/>
            <charset val="204"/>
          </rPr>
          <t>Автоматичский параметр</t>
        </r>
        <r>
          <rPr>
            <b/>
            <sz val="16"/>
            <color indexed="81"/>
            <rFont val="Times New Roman"/>
            <family val="1"/>
            <charset val="204"/>
          </rPr>
          <t>.</t>
        </r>
      </text>
    </comment>
    <comment ref="V39" authorId="0" shapeId="0" xr:uid="{00000000-0006-0000-0200-00005D000000}">
      <text>
        <r>
          <rPr>
            <b/>
            <sz val="20"/>
            <color indexed="81"/>
            <rFont val="Times New Roman"/>
            <family val="1"/>
            <charset val="204"/>
          </rPr>
          <t>Автоматичский параметр</t>
        </r>
        <r>
          <rPr>
            <b/>
            <sz val="16"/>
            <color indexed="81"/>
            <rFont val="Times New Roman"/>
            <family val="1"/>
            <charset val="204"/>
          </rPr>
          <t>.</t>
        </r>
      </text>
    </comment>
    <comment ref="I40" authorId="0" shapeId="0" xr:uid="{00000000-0006-0000-0200-00005E000000}">
      <text>
        <r>
          <rPr>
            <b/>
            <sz val="20"/>
            <color indexed="81"/>
            <rFont val="Times New Roman"/>
            <family val="1"/>
            <charset val="204"/>
          </rPr>
          <t>Автоматичский параметр</t>
        </r>
        <r>
          <rPr>
            <b/>
            <sz val="16"/>
            <color indexed="81"/>
            <rFont val="Times New Roman"/>
            <family val="1"/>
            <charset val="204"/>
          </rPr>
          <t>.</t>
        </r>
      </text>
    </comment>
    <comment ref="J40" authorId="0" shapeId="0" xr:uid="{00000000-0006-0000-0200-00005F000000}">
      <text>
        <r>
          <rPr>
            <b/>
            <sz val="20"/>
            <color indexed="81"/>
            <rFont val="Times New Roman"/>
            <family val="1"/>
            <charset val="204"/>
          </rPr>
          <t>Автоматичский параметр</t>
        </r>
        <r>
          <rPr>
            <b/>
            <sz val="16"/>
            <color indexed="81"/>
            <rFont val="Times New Roman"/>
            <family val="1"/>
            <charset val="204"/>
          </rPr>
          <t>.</t>
        </r>
      </text>
    </comment>
    <comment ref="K40" authorId="0" shapeId="0" xr:uid="{00000000-0006-0000-0200-000060000000}">
      <text>
        <r>
          <rPr>
            <b/>
            <sz val="20"/>
            <color indexed="81"/>
            <rFont val="Times New Roman"/>
            <family val="1"/>
            <charset val="204"/>
          </rPr>
          <t>Автоматичский параметр</t>
        </r>
        <r>
          <rPr>
            <b/>
            <sz val="16"/>
            <color indexed="81"/>
            <rFont val="Times New Roman"/>
            <family val="1"/>
            <charset val="204"/>
          </rPr>
          <t>.</t>
        </r>
      </text>
    </comment>
    <comment ref="L40" authorId="0" shapeId="0" xr:uid="{00000000-0006-0000-0200-000061000000}">
      <text>
        <r>
          <rPr>
            <b/>
            <sz val="20"/>
            <color indexed="81"/>
            <rFont val="Times New Roman"/>
            <family val="1"/>
            <charset val="204"/>
          </rPr>
          <t>Автоматичский параметр</t>
        </r>
        <r>
          <rPr>
            <b/>
            <sz val="16"/>
            <color indexed="81"/>
            <rFont val="Times New Roman"/>
            <family val="1"/>
            <charset val="204"/>
          </rPr>
          <t>.</t>
        </r>
      </text>
    </comment>
    <comment ref="M40" authorId="0" shapeId="0" xr:uid="{00000000-0006-0000-0200-000062000000}">
      <text>
        <r>
          <rPr>
            <b/>
            <sz val="20"/>
            <color indexed="81"/>
            <rFont val="Times New Roman"/>
            <family val="1"/>
            <charset val="204"/>
          </rPr>
          <t>Автоматичский параметр</t>
        </r>
        <r>
          <rPr>
            <b/>
            <sz val="16"/>
            <color indexed="81"/>
            <rFont val="Times New Roman"/>
            <family val="1"/>
            <charset val="204"/>
          </rPr>
          <t>.</t>
        </r>
      </text>
    </comment>
    <comment ref="N40" authorId="0" shapeId="0" xr:uid="{00000000-0006-0000-0200-000063000000}">
      <text>
        <r>
          <rPr>
            <b/>
            <sz val="20"/>
            <color indexed="81"/>
            <rFont val="Times New Roman"/>
            <family val="1"/>
            <charset val="204"/>
          </rPr>
          <t>Автоматичский параметр</t>
        </r>
        <r>
          <rPr>
            <b/>
            <sz val="16"/>
            <color indexed="81"/>
            <rFont val="Times New Roman"/>
            <family val="1"/>
            <charset val="204"/>
          </rPr>
          <t>.</t>
        </r>
      </text>
    </comment>
    <comment ref="O40" authorId="0" shapeId="0" xr:uid="{00000000-0006-0000-0200-000064000000}">
      <text>
        <r>
          <rPr>
            <b/>
            <sz val="20"/>
            <color indexed="81"/>
            <rFont val="Times New Roman"/>
            <family val="1"/>
            <charset val="204"/>
          </rPr>
          <t>Автоматичский параметр</t>
        </r>
        <r>
          <rPr>
            <b/>
            <sz val="16"/>
            <color indexed="81"/>
            <rFont val="Times New Roman"/>
            <family val="1"/>
            <charset val="204"/>
          </rPr>
          <t>.</t>
        </r>
      </text>
    </comment>
    <comment ref="P40" authorId="0" shapeId="0" xr:uid="{00000000-0006-0000-0200-000065000000}">
      <text>
        <r>
          <rPr>
            <b/>
            <sz val="20"/>
            <color indexed="81"/>
            <rFont val="Times New Roman"/>
            <family val="1"/>
            <charset val="204"/>
          </rPr>
          <t>Автоматичский параметр</t>
        </r>
        <r>
          <rPr>
            <b/>
            <sz val="16"/>
            <color indexed="81"/>
            <rFont val="Times New Roman"/>
            <family val="1"/>
            <charset val="204"/>
          </rPr>
          <t>.</t>
        </r>
      </text>
    </comment>
    <comment ref="Q40" authorId="0" shapeId="0" xr:uid="{00000000-0006-0000-0200-000066000000}">
      <text>
        <r>
          <rPr>
            <b/>
            <sz val="20"/>
            <color indexed="81"/>
            <rFont val="Times New Roman"/>
            <family val="1"/>
            <charset val="204"/>
          </rPr>
          <t>Автоматичский параметр</t>
        </r>
        <r>
          <rPr>
            <b/>
            <sz val="16"/>
            <color indexed="81"/>
            <rFont val="Times New Roman"/>
            <family val="1"/>
            <charset val="204"/>
          </rPr>
          <t>.</t>
        </r>
      </text>
    </comment>
    <comment ref="R40" authorId="0" shapeId="0" xr:uid="{00000000-0006-0000-0200-000067000000}">
      <text>
        <r>
          <rPr>
            <b/>
            <sz val="20"/>
            <color indexed="81"/>
            <rFont val="Times New Roman"/>
            <family val="1"/>
            <charset val="204"/>
          </rPr>
          <t>Автоматичский параметр</t>
        </r>
        <r>
          <rPr>
            <b/>
            <sz val="16"/>
            <color indexed="81"/>
            <rFont val="Times New Roman"/>
            <family val="1"/>
            <charset val="204"/>
          </rPr>
          <t>.</t>
        </r>
      </text>
    </comment>
    <comment ref="S40" authorId="0" shapeId="0" xr:uid="{00000000-0006-0000-0200-000068000000}">
      <text>
        <r>
          <rPr>
            <b/>
            <sz val="20"/>
            <color indexed="81"/>
            <rFont val="Times New Roman"/>
            <family val="1"/>
            <charset val="204"/>
          </rPr>
          <t>Автоматичский параметр</t>
        </r>
        <r>
          <rPr>
            <b/>
            <sz val="16"/>
            <color indexed="81"/>
            <rFont val="Times New Roman"/>
            <family val="1"/>
            <charset val="204"/>
          </rPr>
          <t>.</t>
        </r>
      </text>
    </comment>
    <comment ref="T40" authorId="0" shapeId="0" xr:uid="{00000000-0006-0000-0200-000069000000}">
      <text>
        <r>
          <rPr>
            <b/>
            <sz val="20"/>
            <color indexed="81"/>
            <rFont val="Times New Roman"/>
            <family val="1"/>
            <charset val="204"/>
          </rPr>
          <t>Автоматичский параметр</t>
        </r>
        <r>
          <rPr>
            <b/>
            <sz val="16"/>
            <color indexed="81"/>
            <rFont val="Times New Roman"/>
            <family val="1"/>
            <charset val="204"/>
          </rPr>
          <t>.</t>
        </r>
      </text>
    </comment>
    <comment ref="U40" authorId="0" shapeId="0" xr:uid="{00000000-0006-0000-0200-00006A000000}">
      <text>
        <r>
          <rPr>
            <b/>
            <sz val="20"/>
            <color indexed="81"/>
            <rFont val="Times New Roman"/>
            <family val="1"/>
            <charset val="204"/>
          </rPr>
          <t>Автоматичский параметр</t>
        </r>
        <r>
          <rPr>
            <b/>
            <sz val="16"/>
            <color indexed="81"/>
            <rFont val="Times New Roman"/>
            <family val="1"/>
            <charset val="204"/>
          </rPr>
          <t>.</t>
        </r>
      </text>
    </comment>
    <comment ref="V40" authorId="0" shapeId="0" xr:uid="{00000000-0006-0000-0200-00006B000000}">
      <text>
        <r>
          <rPr>
            <b/>
            <sz val="20"/>
            <color indexed="81"/>
            <rFont val="Times New Roman"/>
            <family val="1"/>
            <charset val="204"/>
          </rPr>
          <t>Автоматичский параметр</t>
        </r>
        <r>
          <rPr>
            <b/>
            <sz val="16"/>
            <color indexed="81"/>
            <rFont val="Times New Roman"/>
            <family val="1"/>
            <charset val="204"/>
          </rPr>
          <t>.</t>
        </r>
      </text>
    </comment>
    <comment ref="I41" authorId="0" shapeId="0" xr:uid="{00000000-0006-0000-0200-00006C000000}">
      <text>
        <r>
          <rPr>
            <b/>
            <sz val="20"/>
            <color indexed="81"/>
            <rFont val="Times New Roman"/>
            <family val="1"/>
            <charset val="204"/>
          </rPr>
          <t>Автоматичский параметр</t>
        </r>
        <r>
          <rPr>
            <b/>
            <sz val="16"/>
            <color indexed="81"/>
            <rFont val="Times New Roman"/>
            <family val="1"/>
            <charset val="204"/>
          </rPr>
          <t>.</t>
        </r>
      </text>
    </comment>
    <comment ref="J41" authorId="0" shapeId="0" xr:uid="{00000000-0006-0000-0200-00006D000000}">
      <text>
        <r>
          <rPr>
            <b/>
            <sz val="20"/>
            <color indexed="81"/>
            <rFont val="Times New Roman"/>
            <family val="1"/>
            <charset val="204"/>
          </rPr>
          <t>Автоматичский параметр</t>
        </r>
        <r>
          <rPr>
            <b/>
            <sz val="16"/>
            <color indexed="81"/>
            <rFont val="Times New Roman"/>
            <family val="1"/>
            <charset val="204"/>
          </rPr>
          <t>.</t>
        </r>
      </text>
    </comment>
    <comment ref="K41" authorId="0" shapeId="0" xr:uid="{00000000-0006-0000-0200-00006E000000}">
      <text>
        <r>
          <rPr>
            <b/>
            <sz val="20"/>
            <color indexed="81"/>
            <rFont val="Times New Roman"/>
            <family val="1"/>
            <charset val="204"/>
          </rPr>
          <t>Автоматичский параметр</t>
        </r>
        <r>
          <rPr>
            <b/>
            <sz val="16"/>
            <color indexed="81"/>
            <rFont val="Times New Roman"/>
            <family val="1"/>
            <charset val="204"/>
          </rPr>
          <t>.</t>
        </r>
      </text>
    </comment>
    <comment ref="L41" authorId="0" shapeId="0" xr:uid="{00000000-0006-0000-0200-00006F000000}">
      <text>
        <r>
          <rPr>
            <b/>
            <sz val="20"/>
            <color indexed="81"/>
            <rFont val="Times New Roman"/>
            <family val="1"/>
            <charset val="204"/>
          </rPr>
          <t>Автоматичский параметр</t>
        </r>
        <r>
          <rPr>
            <b/>
            <sz val="16"/>
            <color indexed="81"/>
            <rFont val="Times New Roman"/>
            <family val="1"/>
            <charset val="204"/>
          </rPr>
          <t>.</t>
        </r>
      </text>
    </comment>
    <comment ref="M41" authorId="0" shapeId="0" xr:uid="{00000000-0006-0000-0200-000070000000}">
      <text>
        <r>
          <rPr>
            <b/>
            <sz val="20"/>
            <color indexed="81"/>
            <rFont val="Times New Roman"/>
            <family val="1"/>
            <charset val="204"/>
          </rPr>
          <t>Автоматичский параметр</t>
        </r>
        <r>
          <rPr>
            <b/>
            <sz val="16"/>
            <color indexed="81"/>
            <rFont val="Times New Roman"/>
            <family val="1"/>
            <charset val="204"/>
          </rPr>
          <t>.</t>
        </r>
      </text>
    </comment>
    <comment ref="N41" authorId="0" shapeId="0" xr:uid="{00000000-0006-0000-0200-000071000000}">
      <text>
        <r>
          <rPr>
            <b/>
            <sz val="20"/>
            <color indexed="81"/>
            <rFont val="Times New Roman"/>
            <family val="1"/>
            <charset val="204"/>
          </rPr>
          <t>Автоматичский параметр</t>
        </r>
        <r>
          <rPr>
            <b/>
            <sz val="16"/>
            <color indexed="81"/>
            <rFont val="Times New Roman"/>
            <family val="1"/>
            <charset val="204"/>
          </rPr>
          <t>.</t>
        </r>
      </text>
    </comment>
    <comment ref="O41" authorId="0" shapeId="0" xr:uid="{00000000-0006-0000-0200-000072000000}">
      <text>
        <r>
          <rPr>
            <b/>
            <sz val="20"/>
            <color indexed="81"/>
            <rFont val="Times New Roman"/>
            <family val="1"/>
            <charset val="204"/>
          </rPr>
          <t>Автоматичский параметр</t>
        </r>
        <r>
          <rPr>
            <b/>
            <sz val="16"/>
            <color indexed="81"/>
            <rFont val="Times New Roman"/>
            <family val="1"/>
            <charset val="204"/>
          </rPr>
          <t>.</t>
        </r>
      </text>
    </comment>
    <comment ref="P41" authorId="0" shapeId="0" xr:uid="{00000000-0006-0000-0200-000073000000}">
      <text>
        <r>
          <rPr>
            <b/>
            <sz val="20"/>
            <color indexed="81"/>
            <rFont val="Times New Roman"/>
            <family val="1"/>
            <charset val="204"/>
          </rPr>
          <t>Автоматичский параметр</t>
        </r>
        <r>
          <rPr>
            <b/>
            <sz val="16"/>
            <color indexed="81"/>
            <rFont val="Times New Roman"/>
            <family val="1"/>
            <charset val="204"/>
          </rPr>
          <t>.</t>
        </r>
      </text>
    </comment>
    <comment ref="Q41" authorId="0" shapeId="0" xr:uid="{00000000-0006-0000-0200-000074000000}">
      <text>
        <r>
          <rPr>
            <b/>
            <sz val="20"/>
            <color indexed="81"/>
            <rFont val="Times New Roman"/>
            <family val="1"/>
            <charset val="204"/>
          </rPr>
          <t>Автоматичский параметр</t>
        </r>
        <r>
          <rPr>
            <b/>
            <sz val="16"/>
            <color indexed="81"/>
            <rFont val="Times New Roman"/>
            <family val="1"/>
            <charset val="204"/>
          </rPr>
          <t>.</t>
        </r>
      </text>
    </comment>
    <comment ref="R41" authorId="0" shapeId="0" xr:uid="{00000000-0006-0000-0200-000075000000}">
      <text>
        <r>
          <rPr>
            <b/>
            <sz val="20"/>
            <color indexed="81"/>
            <rFont val="Times New Roman"/>
            <family val="1"/>
            <charset val="204"/>
          </rPr>
          <t>Автоматичский параметр</t>
        </r>
        <r>
          <rPr>
            <b/>
            <sz val="16"/>
            <color indexed="81"/>
            <rFont val="Times New Roman"/>
            <family val="1"/>
            <charset val="204"/>
          </rPr>
          <t>.</t>
        </r>
      </text>
    </comment>
    <comment ref="S41" authorId="0" shapeId="0" xr:uid="{00000000-0006-0000-0200-000076000000}">
      <text>
        <r>
          <rPr>
            <b/>
            <sz val="20"/>
            <color indexed="81"/>
            <rFont val="Times New Roman"/>
            <family val="1"/>
            <charset val="204"/>
          </rPr>
          <t>Автоматичский параметр</t>
        </r>
        <r>
          <rPr>
            <b/>
            <sz val="16"/>
            <color indexed="81"/>
            <rFont val="Times New Roman"/>
            <family val="1"/>
            <charset val="204"/>
          </rPr>
          <t>.</t>
        </r>
      </text>
    </comment>
    <comment ref="T41" authorId="0" shapeId="0" xr:uid="{00000000-0006-0000-0200-000077000000}">
      <text>
        <r>
          <rPr>
            <b/>
            <sz val="20"/>
            <color indexed="81"/>
            <rFont val="Times New Roman"/>
            <family val="1"/>
            <charset val="204"/>
          </rPr>
          <t>Автоматичский параметр</t>
        </r>
        <r>
          <rPr>
            <b/>
            <sz val="16"/>
            <color indexed="81"/>
            <rFont val="Times New Roman"/>
            <family val="1"/>
            <charset val="204"/>
          </rPr>
          <t>.</t>
        </r>
      </text>
    </comment>
    <comment ref="U41" authorId="0" shapeId="0" xr:uid="{00000000-0006-0000-0200-000078000000}">
      <text>
        <r>
          <rPr>
            <b/>
            <sz val="20"/>
            <color indexed="81"/>
            <rFont val="Times New Roman"/>
            <family val="1"/>
            <charset val="204"/>
          </rPr>
          <t>Автоматичский параметр</t>
        </r>
        <r>
          <rPr>
            <b/>
            <sz val="16"/>
            <color indexed="81"/>
            <rFont val="Times New Roman"/>
            <family val="1"/>
            <charset val="204"/>
          </rPr>
          <t>.</t>
        </r>
      </text>
    </comment>
    <comment ref="V41" authorId="0" shapeId="0" xr:uid="{00000000-0006-0000-0200-000079000000}">
      <text>
        <r>
          <rPr>
            <b/>
            <sz val="20"/>
            <color indexed="81"/>
            <rFont val="Times New Roman"/>
            <family val="1"/>
            <charset val="204"/>
          </rPr>
          <t>Автоматичский параметр</t>
        </r>
        <r>
          <rPr>
            <b/>
            <sz val="16"/>
            <color indexed="81"/>
            <rFont val="Times New Roman"/>
            <family val="1"/>
            <charset val="204"/>
          </rPr>
          <t>.</t>
        </r>
      </text>
    </comment>
    <comment ref="I42" authorId="0" shapeId="0" xr:uid="{00000000-0006-0000-0200-00007A000000}">
      <text>
        <r>
          <rPr>
            <b/>
            <sz val="20"/>
            <color indexed="81"/>
            <rFont val="Times New Roman"/>
            <family val="1"/>
            <charset val="204"/>
          </rPr>
          <t>Автоматичский параметр</t>
        </r>
        <r>
          <rPr>
            <b/>
            <sz val="16"/>
            <color indexed="81"/>
            <rFont val="Times New Roman"/>
            <family val="1"/>
            <charset val="204"/>
          </rPr>
          <t>.</t>
        </r>
      </text>
    </comment>
    <comment ref="J42" authorId="0" shapeId="0" xr:uid="{00000000-0006-0000-0200-00007B000000}">
      <text>
        <r>
          <rPr>
            <b/>
            <sz val="20"/>
            <color indexed="81"/>
            <rFont val="Times New Roman"/>
            <family val="1"/>
            <charset val="204"/>
          </rPr>
          <t>Автоматичский параметр</t>
        </r>
        <r>
          <rPr>
            <b/>
            <sz val="16"/>
            <color indexed="81"/>
            <rFont val="Times New Roman"/>
            <family val="1"/>
            <charset val="204"/>
          </rPr>
          <t>.</t>
        </r>
      </text>
    </comment>
    <comment ref="K42" authorId="0" shapeId="0" xr:uid="{00000000-0006-0000-0200-00007C000000}">
      <text>
        <r>
          <rPr>
            <b/>
            <sz val="20"/>
            <color indexed="81"/>
            <rFont val="Times New Roman"/>
            <family val="1"/>
            <charset val="204"/>
          </rPr>
          <t>Автоматичский параметр</t>
        </r>
        <r>
          <rPr>
            <b/>
            <sz val="16"/>
            <color indexed="81"/>
            <rFont val="Times New Roman"/>
            <family val="1"/>
            <charset val="204"/>
          </rPr>
          <t>.</t>
        </r>
      </text>
    </comment>
    <comment ref="L42" authorId="0" shapeId="0" xr:uid="{00000000-0006-0000-0200-00007D000000}">
      <text>
        <r>
          <rPr>
            <b/>
            <sz val="20"/>
            <color indexed="81"/>
            <rFont val="Times New Roman"/>
            <family val="1"/>
            <charset val="204"/>
          </rPr>
          <t>Автоматичский параметр</t>
        </r>
        <r>
          <rPr>
            <b/>
            <sz val="16"/>
            <color indexed="81"/>
            <rFont val="Times New Roman"/>
            <family val="1"/>
            <charset val="204"/>
          </rPr>
          <t>.</t>
        </r>
      </text>
    </comment>
    <comment ref="M42" authorId="0" shapeId="0" xr:uid="{00000000-0006-0000-0200-00007E000000}">
      <text>
        <r>
          <rPr>
            <b/>
            <sz val="20"/>
            <color indexed="81"/>
            <rFont val="Times New Roman"/>
            <family val="1"/>
            <charset val="204"/>
          </rPr>
          <t>Автоматичский параметр</t>
        </r>
        <r>
          <rPr>
            <b/>
            <sz val="16"/>
            <color indexed="81"/>
            <rFont val="Times New Roman"/>
            <family val="1"/>
            <charset val="204"/>
          </rPr>
          <t>.</t>
        </r>
      </text>
    </comment>
    <comment ref="N42" authorId="0" shapeId="0" xr:uid="{00000000-0006-0000-0200-00007F000000}">
      <text>
        <r>
          <rPr>
            <b/>
            <sz val="20"/>
            <color indexed="81"/>
            <rFont val="Times New Roman"/>
            <family val="1"/>
            <charset val="204"/>
          </rPr>
          <t>Автоматичский параметр</t>
        </r>
        <r>
          <rPr>
            <b/>
            <sz val="16"/>
            <color indexed="81"/>
            <rFont val="Times New Roman"/>
            <family val="1"/>
            <charset val="204"/>
          </rPr>
          <t>.</t>
        </r>
      </text>
    </comment>
    <comment ref="O42" authorId="0" shapeId="0" xr:uid="{00000000-0006-0000-0200-000080000000}">
      <text>
        <r>
          <rPr>
            <b/>
            <sz val="20"/>
            <color indexed="81"/>
            <rFont val="Times New Roman"/>
            <family val="1"/>
            <charset val="204"/>
          </rPr>
          <t>Автоматичский параметр</t>
        </r>
        <r>
          <rPr>
            <b/>
            <sz val="16"/>
            <color indexed="81"/>
            <rFont val="Times New Roman"/>
            <family val="1"/>
            <charset val="204"/>
          </rPr>
          <t>.</t>
        </r>
      </text>
    </comment>
    <comment ref="P42" authorId="0" shapeId="0" xr:uid="{00000000-0006-0000-0200-000081000000}">
      <text>
        <r>
          <rPr>
            <b/>
            <sz val="20"/>
            <color indexed="81"/>
            <rFont val="Times New Roman"/>
            <family val="1"/>
            <charset val="204"/>
          </rPr>
          <t>Автоматичский параметр</t>
        </r>
        <r>
          <rPr>
            <b/>
            <sz val="16"/>
            <color indexed="81"/>
            <rFont val="Times New Roman"/>
            <family val="1"/>
            <charset val="204"/>
          </rPr>
          <t>.</t>
        </r>
      </text>
    </comment>
    <comment ref="Q42" authorId="0" shapeId="0" xr:uid="{00000000-0006-0000-0200-000082000000}">
      <text>
        <r>
          <rPr>
            <b/>
            <sz val="20"/>
            <color indexed="81"/>
            <rFont val="Times New Roman"/>
            <family val="1"/>
            <charset val="204"/>
          </rPr>
          <t>Автоматичский параметр</t>
        </r>
        <r>
          <rPr>
            <b/>
            <sz val="16"/>
            <color indexed="81"/>
            <rFont val="Times New Roman"/>
            <family val="1"/>
            <charset val="204"/>
          </rPr>
          <t>.</t>
        </r>
      </text>
    </comment>
    <comment ref="R42" authorId="0" shapeId="0" xr:uid="{00000000-0006-0000-0200-000083000000}">
      <text>
        <r>
          <rPr>
            <b/>
            <sz val="20"/>
            <color indexed="81"/>
            <rFont val="Times New Roman"/>
            <family val="1"/>
            <charset val="204"/>
          </rPr>
          <t>Автоматичский параметр</t>
        </r>
        <r>
          <rPr>
            <b/>
            <sz val="16"/>
            <color indexed="81"/>
            <rFont val="Times New Roman"/>
            <family val="1"/>
            <charset val="204"/>
          </rPr>
          <t>.</t>
        </r>
      </text>
    </comment>
    <comment ref="S42" authorId="0" shapeId="0" xr:uid="{00000000-0006-0000-0200-000084000000}">
      <text>
        <r>
          <rPr>
            <b/>
            <sz val="20"/>
            <color indexed="81"/>
            <rFont val="Times New Roman"/>
            <family val="1"/>
            <charset val="204"/>
          </rPr>
          <t>Автоматичский параметр</t>
        </r>
        <r>
          <rPr>
            <b/>
            <sz val="16"/>
            <color indexed="81"/>
            <rFont val="Times New Roman"/>
            <family val="1"/>
            <charset val="204"/>
          </rPr>
          <t>.</t>
        </r>
      </text>
    </comment>
    <comment ref="T42" authorId="0" shapeId="0" xr:uid="{00000000-0006-0000-0200-000085000000}">
      <text>
        <r>
          <rPr>
            <b/>
            <sz val="20"/>
            <color indexed="81"/>
            <rFont val="Times New Roman"/>
            <family val="1"/>
            <charset val="204"/>
          </rPr>
          <t>Автоматичский параметр</t>
        </r>
        <r>
          <rPr>
            <b/>
            <sz val="16"/>
            <color indexed="81"/>
            <rFont val="Times New Roman"/>
            <family val="1"/>
            <charset val="204"/>
          </rPr>
          <t>.</t>
        </r>
      </text>
    </comment>
    <comment ref="U42" authorId="0" shapeId="0" xr:uid="{00000000-0006-0000-0200-000086000000}">
      <text>
        <r>
          <rPr>
            <b/>
            <sz val="20"/>
            <color indexed="81"/>
            <rFont val="Times New Roman"/>
            <family val="1"/>
            <charset val="204"/>
          </rPr>
          <t>Автоматичский параметр</t>
        </r>
        <r>
          <rPr>
            <b/>
            <sz val="16"/>
            <color indexed="81"/>
            <rFont val="Times New Roman"/>
            <family val="1"/>
            <charset val="204"/>
          </rPr>
          <t>.</t>
        </r>
      </text>
    </comment>
    <comment ref="V42" authorId="0" shapeId="0" xr:uid="{00000000-0006-0000-0200-000087000000}">
      <text>
        <r>
          <rPr>
            <b/>
            <sz val="20"/>
            <color indexed="81"/>
            <rFont val="Times New Roman"/>
            <family val="1"/>
            <charset val="204"/>
          </rPr>
          <t>Автоматичский параметр</t>
        </r>
        <r>
          <rPr>
            <b/>
            <sz val="16"/>
            <color indexed="81"/>
            <rFont val="Times New Roman"/>
            <family val="1"/>
            <charset val="204"/>
          </rPr>
          <t>.</t>
        </r>
      </text>
    </comment>
    <comment ref="I43" authorId="0" shapeId="0" xr:uid="{00000000-0006-0000-0200-000088000000}">
      <text>
        <r>
          <rPr>
            <b/>
            <sz val="20"/>
            <color indexed="81"/>
            <rFont val="Times New Roman"/>
            <family val="1"/>
            <charset val="204"/>
          </rPr>
          <t>Автоматичский параметр</t>
        </r>
        <r>
          <rPr>
            <b/>
            <sz val="16"/>
            <color indexed="81"/>
            <rFont val="Times New Roman"/>
            <family val="1"/>
            <charset val="204"/>
          </rPr>
          <t>.</t>
        </r>
      </text>
    </comment>
    <comment ref="J43" authorId="0" shapeId="0" xr:uid="{00000000-0006-0000-0200-000089000000}">
      <text>
        <r>
          <rPr>
            <b/>
            <sz val="20"/>
            <color indexed="81"/>
            <rFont val="Times New Roman"/>
            <family val="1"/>
            <charset val="204"/>
          </rPr>
          <t>Автоматичский параметр</t>
        </r>
        <r>
          <rPr>
            <b/>
            <sz val="16"/>
            <color indexed="81"/>
            <rFont val="Times New Roman"/>
            <family val="1"/>
            <charset val="204"/>
          </rPr>
          <t>.</t>
        </r>
      </text>
    </comment>
    <comment ref="K43" authorId="0" shapeId="0" xr:uid="{00000000-0006-0000-0200-00008A000000}">
      <text>
        <r>
          <rPr>
            <b/>
            <sz val="20"/>
            <color indexed="81"/>
            <rFont val="Times New Roman"/>
            <family val="1"/>
            <charset val="204"/>
          </rPr>
          <t>Автоматичский параметр</t>
        </r>
        <r>
          <rPr>
            <b/>
            <sz val="16"/>
            <color indexed="81"/>
            <rFont val="Times New Roman"/>
            <family val="1"/>
            <charset val="204"/>
          </rPr>
          <t>.</t>
        </r>
      </text>
    </comment>
    <comment ref="L43" authorId="0" shapeId="0" xr:uid="{00000000-0006-0000-0200-00008B000000}">
      <text>
        <r>
          <rPr>
            <b/>
            <sz val="20"/>
            <color indexed="81"/>
            <rFont val="Times New Roman"/>
            <family val="1"/>
            <charset val="204"/>
          </rPr>
          <t>Автоматичский параметр</t>
        </r>
        <r>
          <rPr>
            <b/>
            <sz val="16"/>
            <color indexed="81"/>
            <rFont val="Times New Roman"/>
            <family val="1"/>
            <charset val="204"/>
          </rPr>
          <t>.</t>
        </r>
      </text>
    </comment>
    <comment ref="M43" authorId="0" shapeId="0" xr:uid="{00000000-0006-0000-0200-00008C000000}">
      <text>
        <r>
          <rPr>
            <b/>
            <sz val="20"/>
            <color indexed="81"/>
            <rFont val="Times New Roman"/>
            <family val="1"/>
            <charset val="204"/>
          </rPr>
          <t>Автоматичский параметр</t>
        </r>
        <r>
          <rPr>
            <b/>
            <sz val="16"/>
            <color indexed="81"/>
            <rFont val="Times New Roman"/>
            <family val="1"/>
            <charset val="204"/>
          </rPr>
          <t>.</t>
        </r>
      </text>
    </comment>
    <comment ref="N43" authorId="0" shapeId="0" xr:uid="{00000000-0006-0000-0200-00008D000000}">
      <text>
        <r>
          <rPr>
            <b/>
            <sz val="20"/>
            <color indexed="81"/>
            <rFont val="Times New Roman"/>
            <family val="1"/>
            <charset val="204"/>
          </rPr>
          <t>Автоматичский параметр</t>
        </r>
        <r>
          <rPr>
            <b/>
            <sz val="16"/>
            <color indexed="81"/>
            <rFont val="Times New Roman"/>
            <family val="1"/>
            <charset val="204"/>
          </rPr>
          <t>.</t>
        </r>
      </text>
    </comment>
    <comment ref="O43" authorId="0" shapeId="0" xr:uid="{00000000-0006-0000-0200-00008E000000}">
      <text>
        <r>
          <rPr>
            <b/>
            <sz val="20"/>
            <color indexed="81"/>
            <rFont val="Times New Roman"/>
            <family val="1"/>
            <charset val="204"/>
          </rPr>
          <t>Автоматичский параметр</t>
        </r>
        <r>
          <rPr>
            <b/>
            <sz val="16"/>
            <color indexed="81"/>
            <rFont val="Times New Roman"/>
            <family val="1"/>
            <charset val="204"/>
          </rPr>
          <t>.</t>
        </r>
      </text>
    </comment>
    <comment ref="P43" authorId="0" shapeId="0" xr:uid="{00000000-0006-0000-0200-00008F000000}">
      <text>
        <r>
          <rPr>
            <b/>
            <sz val="20"/>
            <color indexed="81"/>
            <rFont val="Times New Roman"/>
            <family val="1"/>
            <charset val="204"/>
          </rPr>
          <t>Автоматичский параметр</t>
        </r>
        <r>
          <rPr>
            <b/>
            <sz val="16"/>
            <color indexed="81"/>
            <rFont val="Times New Roman"/>
            <family val="1"/>
            <charset val="204"/>
          </rPr>
          <t>.</t>
        </r>
      </text>
    </comment>
    <comment ref="Q43" authorId="0" shapeId="0" xr:uid="{00000000-0006-0000-0200-000090000000}">
      <text>
        <r>
          <rPr>
            <b/>
            <sz val="20"/>
            <color indexed="81"/>
            <rFont val="Times New Roman"/>
            <family val="1"/>
            <charset val="204"/>
          </rPr>
          <t>Автоматичский параметр</t>
        </r>
        <r>
          <rPr>
            <b/>
            <sz val="16"/>
            <color indexed="81"/>
            <rFont val="Times New Roman"/>
            <family val="1"/>
            <charset val="204"/>
          </rPr>
          <t>.</t>
        </r>
      </text>
    </comment>
    <comment ref="R43" authorId="0" shapeId="0" xr:uid="{00000000-0006-0000-0200-000091000000}">
      <text>
        <r>
          <rPr>
            <b/>
            <sz val="20"/>
            <color indexed="81"/>
            <rFont val="Times New Roman"/>
            <family val="1"/>
            <charset val="204"/>
          </rPr>
          <t>Автоматичский параметр</t>
        </r>
        <r>
          <rPr>
            <b/>
            <sz val="16"/>
            <color indexed="81"/>
            <rFont val="Times New Roman"/>
            <family val="1"/>
            <charset val="204"/>
          </rPr>
          <t>.</t>
        </r>
      </text>
    </comment>
    <comment ref="S43" authorId="0" shapeId="0" xr:uid="{00000000-0006-0000-0200-000092000000}">
      <text>
        <r>
          <rPr>
            <b/>
            <sz val="20"/>
            <color indexed="81"/>
            <rFont val="Times New Roman"/>
            <family val="1"/>
            <charset val="204"/>
          </rPr>
          <t>Автоматичский параметр</t>
        </r>
        <r>
          <rPr>
            <b/>
            <sz val="16"/>
            <color indexed="81"/>
            <rFont val="Times New Roman"/>
            <family val="1"/>
            <charset val="204"/>
          </rPr>
          <t>.</t>
        </r>
      </text>
    </comment>
    <comment ref="T43" authorId="0" shapeId="0" xr:uid="{00000000-0006-0000-0200-000093000000}">
      <text>
        <r>
          <rPr>
            <b/>
            <sz val="20"/>
            <color indexed="81"/>
            <rFont val="Times New Roman"/>
            <family val="1"/>
            <charset val="204"/>
          </rPr>
          <t>Автоматичский параметр</t>
        </r>
        <r>
          <rPr>
            <b/>
            <sz val="16"/>
            <color indexed="81"/>
            <rFont val="Times New Roman"/>
            <family val="1"/>
            <charset val="204"/>
          </rPr>
          <t>.</t>
        </r>
      </text>
    </comment>
    <comment ref="U43" authorId="0" shapeId="0" xr:uid="{00000000-0006-0000-0200-000094000000}">
      <text>
        <r>
          <rPr>
            <b/>
            <sz val="20"/>
            <color indexed="81"/>
            <rFont val="Times New Roman"/>
            <family val="1"/>
            <charset val="204"/>
          </rPr>
          <t>Автоматичский параметр</t>
        </r>
        <r>
          <rPr>
            <b/>
            <sz val="16"/>
            <color indexed="81"/>
            <rFont val="Times New Roman"/>
            <family val="1"/>
            <charset val="204"/>
          </rPr>
          <t>.</t>
        </r>
      </text>
    </comment>
    <comment ref="V43" authorId="0" shapeId="0" xr:uid="{00000000-0006-0000-0200-000095000000}">
      <text>
        <r>
          <rPr>
            <b/>
            <sz val="20"/>
            <color indexed="81"/>
            <rFont val="Times New Roman"/>
            <family val="1"/>
            <charset val="204"/>
          </rPr>
          <t>Автоматичский параметр</t>
        </r>
        <r>
          <rPr>
            <b/>
            <sz val="16"/>
            <color indexed="81"/>
            <rFont val="Times New Roman"/>
            <family val="1"/>
            <charset val="204"/>
          </rPr>
          <t>.</t>
        </r>
      </text>
    </comment>
    <comment ref="I44" authorId="0" shapeId="0" xr:uid="{00000000-0006-0000-0200-000096000000}">
      <text>
        <r>
          <rPr>
            <b/>
            <sz val="20"/>
            <color indexed="81"/>
            <rFont val="Times New Roman"/>
            <family val="1"/>
            <charset val="204"/>
          </rPr>
          <t>Автоматичский параметр</t>
        </r>
        <r>
          <rPr>
            <b/>
            <sz val="16"/>
            <color indexed="81"/>
            <rFont val="Times New Roman"/>
            <family val="1"/>
            <charset val="204"/>
          </rPr>
          <t>.</t>
        </r>
      </text>
    </comment>
    <comment ref="J44" authorId="0" shapeId="0" xr:uid="{00000000-0006-0000-0200-000097000000}">
      <text>
        <r>
          <rPr>
            <b/>
            <sz val="20"/>
            <color indexed="81"/>
            <rFont val="Times New Roman"/>
            <family val="1"/>
            <charset val="204"/>
          </rPr>
          <t>Автоматичский параметр</t>
        </r>
        <r>
          <rPr>
            <b/>
            <sz val="16"/>
            <color indexed="81"/>
            <rFont val="Times New Roman"/>
            <family val="1"/>
            <charset val="204"/>
          </rPr>
          <t>.</t>
        </r>
      </text>
    </comment>
    <comment ref="K44" authorId="0" shapeId="0" xr:uid="{00000000-0006-0000-0200-000098000000}">
      <text>
        <r>
          <rPr>
            <b/>
            <sz val="20"/>
            <color indexed="81"/>
            <rFont val="Times New Roman"/>
            <family val="1"/>
            <charset val="204"/>
          </rPr>
          <t>Автоматичский параметр</t>
        </r>
        <r>
          <rPr>
            <b/>
            <sz val="16"/>
            <color indexed="81"/>
            <rFont val="Times New Roman"/>
            <family val="1"/>
            <charset val="204"/>
          </rPr>
          <t>.</t>
        </r>
      </text>
    </comment>
    <comment ref="L44" authorId="0" shapeId="0" xr:uid="{00000000-0006-0000-0200-000099000000}">
      <text>
        <r>
          <rPr>
            <b/>
            <sz val="20"/>
            <color indexed="81"/>
            <rFont val="Times New Roman"/>
            <family val="1"/>
            <charset val="204"/>
          </rPr>
          <t>Автоматичский параметр</t>
        </r>
        <r>
          <rPr>
            <b/>
            <sz val="16"/>
            <color indexed="81"/>
            <rFont val="Times New Roman"/>
            <family val="1"/>
            <charset val="204"/>
          </rPr>
          <t>.</t>
        </r>
      </text>
    </comment>
    <comment ref="M44" authorId="0" shapeId="0" xr:uid="{00000000-0006-0000-0200-00009A000000}">
      <text>
        <r>
          <rPr>
            <b/>
            <sz val="20"/>
            <color indexed="81"/>
            <rFont val="Times New Roman"/>
            <family val="1"/>
            <charset val="204"/>
          </rPr>
          <t>Автоматичский параметр</t>
        </r>
        <r>
          <rPr>
            <b/>
            <sz val="16"/>
            <color indexed="81"/>
            <rFont val="Times New Roman"/>
            <family val="1"/>
            <charset val="204"/>
          </rPr>
          <t>.</t>
        </r>
      </text>
    </comment>
    <comment ref="N44" authorId="0" shapeId="0" xr:uid="{00000000-0006-0000-0200-00009B000000}">
      <text>
        <r>
          <rPr>
            <b/>
            <sz val="20"/>
            <color indexed="81"/>
            <rFont val="Times New Roman"/>
            <family val="1"/>
            <charset val="204"/>
          </rPr>
          <t>Автоматичский параметр</t>
        </r>
        <r>
          <rPr>
            <b/>
            <sz val="16"/>
            <color indexed="81"/>
            <rFont val="Times New Roman"/>
            <family val="1"/>
            <charset val="204"/>
          </rPr>
          <t>.</t>
        </r>
      </text>
    </comment>
    <comment ref="O44" authorId="0" shapeId="0" xr:uid="{00000000-0006-0000-0200-00009C000000}">
      <text>
        <r>
          <rPr>
            <b/>
            <sz val="20"/>
            <color indexed="81"/>
            <rFont val="Times New Roman"/>
            <family val="1"/>
            <charset val="204"/>
          </rPr>
          <t>Автоматичский параметр</t>
        </r>
        <r>
          <rPr>
            <b/>
            <sz val="16"/>
            <color indexed="81"/>
            <rFont val="Times New Roman"/>
            <family val="1"/>
            <charset val="204"/>
          </rPr>
          <t>.</t>
        </r>
      </text>
    </comment>
    <comment ref="P44" authorId="0" shapeId="0" xr:uid="{00000000-0006-0000-0200-00009D000000}">
      <text>
        <r>
          <rPr>
            <b/>
            <sz val="20"/>
            <color indexed="81"/>
            <rFont val="Times New Roman"/>
            <family val="1"/>
            <charset val="204"/>
          </rPr>
          <t>Автоматичский параметр</t>
        </r>
        <r>
          <rPr>
            <b/>
            <sz val="16"/>
            <color indexed="81"/>
            <rFont val="Times New Roman"/>
            <family val="1"/>
            <charset val="204"/>
          </rPr>
          <t>.</t>
        </r>
      </text>
    </comment>
    <comment ref="Q44" authorId="0" shapeId="0" xr:uid="{00000000-0006-0000-0200-00009E000000}">
      <text>
        <r>
          <rPr>
            <b/>
            <sz val="20"/>
            <color indexed="81"/>
            <rFont val="Times New Roman"/>
            <family val="1"/>
            <charset val="204"/>
          </rPr>
          <t>Автоматичский параметр</t>
        </r>
        <r>
          <rPr>
            <b/>
            <sz val="16"/>
            <color indexed="81"/>
            <rFont val="Times New Roman"/>
            <family val="1"/>
            <charset val="204"/>
          </rPr>
          <t>.</t>
        </r>
      </text>
    </comment>
    <comment ref="R44" authorId="0" shapeId="0" xr:uid="{00000000-0006-0000-0200-00009F000000}">
      <text>
        <r>
          <rPr>
            <b/>
            <sz val="20"/>
            <color indexed="81"/>
            <rFont val="Times New Roman"/>
            <family val="1"/>
            <charset val="204"/>
          </rPr>
          <t>Автоматичский параметр</t>
        </r>
        <r>
          <rPr>
            <b/>
            <sz val="16"/>
            <color indexed="81"/>
            <rFont val="Times New Roman"/>
            <family val="1"/>
            <charset val="204"/>
          </rPr>
          <t>.</t>
        </r>
      </text>
    </comment>
    <comment ref="S44" authorId="0" shapeId="0" xr:uid="{00000000-0006-0000-0200-0000A0000000}">
      <text>
        <r>
          <rPr>
            <b/>
            <sz val="20"/>
            <color indexed="81"/>
            <rFont val="Times New Roman"/>
            <family val="1"/>
            <charset val="204"/>
          </rPr>
          <t>Автоматичский параметр</t>
        </r>
        <r>
          <rPr>
            <b/>
            <sz val="16"/>
            <color indexed="81"/>
            <rFont val="Times New Roman"/>
            <family val="1"/>
            <charset val="204"/>
          </rPr>
          <t>.</t>
        </r>
      </text>
    </comment>
    <comment ref="T44" authorId="0" shapeId="0" xr:uid="{00000000-0006-0000-0200-0000A1000000}">
      <text>
        <r>
          <rPr>
            <b/>
            <sz val="20"/>
            <color indexed="81"/>
            <rFont val="Times New Roman"/>
            <family val="1"/>
            <charset val="204"/>
          </rPr>
          <t>Автоматичский параметр</t>
        </r>
        <r>
          <rPr>
            <b/>
            <sz val="16"/>
            <color indexed="81"/>
            <rFont val="Times New Roman"/>
            <family val="1"/>
            <charset val="204"/>
          </rPr>
          <t>.</t>
        </r>
      </text>
    </comment>
    <comment ref="U44" authorId="0" shapeId="0" xr:uid="{00000000-0006-0000-0200-0000A2000000}">
      <text>
        <r>
          <rPr>
            <b/>
            <sz val="20"/>
            <color indexed="81"/>
            <rFont val="Times New Roman"/>
            <family val="1"/>
            <charset val="204"/>
          </rPr>
          <t>Автоматичский параметр</t>
        </r>
        <r>
          <rPr>
            <b/>
            <sz val="16"/>
            <color indexed="81"/>
            <rFont val="Times New Roman"/>
            <family val="1"/>
            <charset val="204"/>
          </rPr>
          <t>.</t>
        </r>
      </text>
    </comment>
    <comment ref="V44" authorId="0" shapeId="0" xr:uid="{00000000-0006-0000-0200-0000A3000000}">
      <text>
        <r>
          <rPr>
            <b/>
            <sz val="20"/>
            <color indexed="81"/>
            <rFont val="Times New Roman"/>
            <family val="1"/>
            <charset val="204"/>
          </rPr>
          <t>Автоматичский параметр</t>
        </r>
        <r>
          <rPr>
            <b/>
            <sz val="16"/>
            <color indexed="81"/>
            <rFont val="Times New Roman"/>
            <family val="1"/>
            <charset val="204"/>
          </rPr>
          <t>.</t>
        </r>
      </text>
    </comment>
    <comment ref="I45" authorId="0" shapeId="0" xr:uid="{00000000-0006-0000-0200-0000A4000000}">
      <text>
        <r>
          <rPr>
            <b/>
            <sz val="20"/>
            <color indexed="81"/>
            <rFont val="Times New Roman"/>
            <family val="1"/>
            <charset val="204"/>
          </rPr>
          <t>Автоматичский параметр</t>
        </r>
        <r>
          <rPr>
            <b/>
            <sz val="16"/>
            <color indexed="81"/>
            <rFont val="Times New Roman"/>
            <family val="1"/>
            <charset val="204"/>
          </rPr>
          <t>.</t>
        </r>
      </text>
    </comment>
    <comment ref="J45" authorId="0" shapeId="0" xr:uid="{00000000-0006-0000-0200-0000A5000000}">
      <text>
        <r>
          <rPr>
            <b/>
            <sz val="20"/>
            <color indexed="81"/>
            <rFont val="Times New Roman"/>
            <family val="1"/>
            <charset val="204"/>
          </rPr>
          <t>Автоматичский параметр</t>
        </r>
        <r>
          <rPr>
            <b/>
            <sz val="16"/>
            <color indexed="81"/>
            <rFont val="Times New Roman"/>
            <family val="1"/>
            <charset val="204"/>
          </rPr>
          <t>.</t>
        </r>
      </text>
    </comment>
    <comment ref="K45" authorId="0" shapeId="0" xr:uid="{00000000-0006-0000-0200-0000A6000000}">
      <text>
        <r>
          <rPr>
            <b/>
            <sz val="20"/>
            <color indexed="81"/>
            <rFont val="Times New Roman"/>
            <family val="1"/>
            <charset val="204"/>
          </rPr>
          <t>Автоматичский параметр</t>
        </r>
        <r>
          <rPr>
            <b/>
            <sz val="16"/>
            <color indexed="81"/>
            <rFont val="Times New Roman"/>
            <family val="1"/>
            <charset val="204"/>
          </rPr>
          <t>.</t>
        </r>
      </text>
    </comment>
    <comment ref="L45" authorId="0" shapeId="0" xr:uid="{00000000-0006-0000-0200-0000A7000000}">
      <text>
        <r>
          <rPr>
            <b/>
            <sz val="20"/>
            <color indexed="81"/>
            <rFont val="Times New Roman"/>
            <family val="1"/>
            <charset val="204"/>
          </rPr>
          <t>Автоматичский параметр</t>
        </r>
        <r>
          <rPr>
            <b/>
            <sz val="16"/>
            <color indexed="81"/>
            <rFont val="Times New Roman"/>
            <family val="1"/>
            <charset val="204"/>
          </rPr>
          <t>.</t>
        </r>
      </text>
    </comment>
    <comment ref="M45" authorId="0" shapeId="0" xr:uid="{00000000-0006-0000-0200-0000A8000000}">
      <text>
        <r>
          <rPr>
            <b/>
            <sz val="20"/>
            <color indexed="81"/>
            <rFont val="Times New Roman"/>
            <family val="1"/>
            <charset val="204"/>
          </rPr>
          <t>Автоматичский параметр</t>
        </r>
        <r>
          <rPr>
            <b/>
            <sz val="16"/>
            <color indexed="81"/>
            <rFont val="Times New Roman"/>
            <family val="1"/>
            <charset val="204"/>
          </rPr>
          <t>.</t>
        </r>
      </text>
    </comment>
    <comment ref="N45" authorId="0" shapeId="0" xr:uid="{00000000-0006-0000-0200-0000A9000000}">
      <text>
        <r>
          <rPr>
            <b/>
            <sz val="20"/>
            <color indexed="81"/>
            <rFont val="Times New Roman"/>
            <family val="1"/>
            <charset val="204"/>
          </rPr>
          <t>Автоматичский параметр</t>
        </r>
        <r>
          <rPr>
            <b/>
            <sz val="16"/>
            <color indexed="81"/>
            <rFont val="Times New Roman"/>
            <family val="1"/>
            <charset val="204"/>
          </rPr>
          <t>.</t>
        </r>
      </text>
    </comment>
    <comment ref="O45" authorId="0" shapeId="0" xr:uid="{00000000-0006-0000-0200-0000AA000000}">
      <text>
        <r>
          <rPr>
            <b/>
            <sz val="20"/>
            <color indexed="81"/>
            <rFont val="Times New Roman"/>
            <family val="1"/>
            <charset val="204"/>
          </rPr>
          <t>Автоматичский параметр</t>
        </r>
        <r>
          <rPr>
            <b/>
            <sz val="16"/>
            <color indexed="81"/>
            <rFont val="Times New Roman"/>
            <family val="1"/>
            <charset val="204"/>
          </rPr>
          <t>.</t>
        </r>
      </text>
    </comment>
    <comment ref="P45" authorId="0" shapeId="0" xr:uid="{00000000-0006-0000-0200-0000AB000000}">
      <text>
        <r>
          <rPr>
            <b/>
            <sz val="20"/>
            <color indexed="81"/>
            <rFont val="Times New Roman"/>
            <family val="1"/>
            <charset val="204"/>
          </rPr>
          <t>Автоматичский параметр</t>
        </r>
        <r>
          <rPr>
            <b/>
            <sz val="16"/>
            <color indexed="81"/>
            <rFont val="Times New Roman"/>
            <family val="1"/>
            <charset val="204"/>
          </rPr>
          <t>.</t>
        </r>
      </text>
    </comment>
    <comment ref="Q45" authorId="0" shapeId="0" xr:uid="{00000000-0006-0000-0200-0000AC000000}">
      <text>
        <r>
          <rPr>
            <b/>
            <sz val="20"/>
            <color indexed="81"/>
            <rFont val="Times New Roman"/>
            <family val="1"/>
            <charset val="204"/>
          </rPr>
          <t>Автоматичский параметр</t>
        </r>
        <r>
          <rPr>
            <b/>
            <sz val="16"/>
            <color indexed="81"/>
            <rFont val="Times New Roman"/>
            <family val="1"/>
            <charset val="204"/>
          </rPr>
          <t>.</t>
        </r>
      </text>
    </comment>
    <comment ref="R45" authorId="0" shapeId="0" xr:uid="{00000000-0006-0000-0200-0000AD000000}">
      <text>
        <r>
          <rPr>
            <b/>
            <sz val="20"/>
            <color indexed="81"/>
            <rFont val="Times New Roman"/>
            <family val="1"/>
            <charset val="204"/>
          </rPr>
          <t>Автоматичский параметр</t>
        </r>
        <r>
          <rPr>
            <b/>
            <sz val="16"/>
            <color indexed="81"/>
            <rFont val="Times New Roman"/>
            <family val="1"/>
            <charset val="204"/>
          </rPr>
          <t>.</t>
        </r>
      </text>
    </comment>
    <comment ref="S45" authorId="0" shapeId="0" xr:uid="{00000000-0006-0000-0200-0000AE000000}">
      <text>
        <r>
          <rPr>
            <b/>
            <sz val="20"/>
            <color indexed="81"/>
            <rFont val="Times New Roman"/>
            <family val="1"/>
            <charset val="204"/>
          </rPr>
          <t>Автоматичский параметр</t>
        </r>
        <r>
          <rPr>
            <b/>
            <sz val="16"/>
            <color indexed="81"/>
            <rFont val="Times New Roman"/>
            <family val="1"/>
            <charset val="204"/>
          </rPr>
          <t>.</t>
        </r>
      </text>
    </comment>
    <comment ref="T45" authorId="0" shapeId="0" xr:uid="{00000000-0006-0000-0200-0000AF000000}">
      <text>
        <r>
          <rPr>
            <b/>
            <sz val="20"/>
            <color indexed="81"/>
            <rFont val="Times New Roman"/>
            <family val="1"/>
            <charset val="204"/>
          </rPr>
          <t>Автоматичский параметр</t>
        </r>
        <r>
          <rPr>
            <b/>
            <sz val="16"/>
            <color indexed="81"/>
            <rFont val="Times New Roman"/>
            <family val="1"/>
            <charset val="204"/>
          </rPr>
          <t>.</t>
        </r>
      </text>
    </comment>
    <comment ref="U45" authorId="0" shapeId="0" xr:uid="{00000000-0006-0000-0200-0000B0000000}">
      <text>
        <r>
          <rPr>
            <b/>
            <sz val="20"/>
            <color indexed="81"/>
            <rFont val="Times New Roman"/>
            <family val="1"/>
            <charset val="204"/>
          </rPr>
          <t>Автоматичский параметр</t>
        </r>
        <r>
          <rPr>
            <b/>
            <sz val="16"/>
            <color indexed="81"/>
            <rFont val="Times New Roman"/>
            <family val="1"/>
            <charset val="204"/>
          </rPr>
          <t>.</t>
        </r>
      </text>
    </comment>
    <comment ref="V45" authorId="0" shapeId="0" xr:uid="{00000000-0006-0000-0200-0000B1000000}">
      <text>
        <r>
          <rPr>
            <b/>
            <sz val="20"/>
            <color indexed="81"/>
            <rFont val="Times New Roman"/>
            <family val="1"/>
            <charset val="204"/>
          </rPr>
          <t>Автоматичский параметр</t>
        </r>
        <r>
          <rPr>
            <b/>
            <sz val="16"/>
            <color indexed="81"/>
            <rFont val="Times New Roman"/>
            <family val="1"/>
            <charset val="204"/>
          </rPr>
          <t>.</t>
        </r>
      </text>
    </comment>
  </commentList>
</comments>
</file>

<file path=xl/sharedStrings.xml><?xml version="1.0" encoding="utf-8"?>
<sst xmlns="http://schemas.openxmlformats.org/spreadsheetml/2006/main" count="2696" uniqueCount="1179">
  <si>
    <t>Имя Персонажа</t>
  </si>
  <si>
    <t>Класс</t>
  </si>
  <si>
    <t>Уровень</t>
  </si>
  <si>
    <t>Текущие ранги</t>
  </si>
  <si>
    <t>Игрок</t>
  </si>
  <si>
    <t>Воин</t>
  </si>
  <si>
    <t>Класс/уровень</t>
  </si>
  <si>
    <t>Текщий опыт</t>
  </si>
  <si>
    <t xml:space="preserve">Опыта до следующего уровня </t>
  </si>
  <si>
    <t>Полуэльф</t>
  </si>
  <si>
    <t>Невыбрано</t>
  </si>
  <si>
    <t>Раса</t>
  </si>
  <si>
    <t>Мировозрение</t>
  </si>
  <si>
    <t>Бог</t>
  </si>
  <si>
    <t>Размер</t>
  </si>
  <si>
    <t>Возраст</t>
  </si>
  <si>
    <t>Параметр</t>
  </si>
  <si>
    <t>Итоговый параметр</t>
  </si>
  <si>
    <t>Модификатор</t>
  </si>
  <si>
    <t>Временные парметры</t>
  </si>
  <si>
    <t>Верменный модификатор</t>
  </si>
  <si>
    <t>Расовые штрафы</t>
  </si>
  <si>
    <t>Текущие ХП</t>
  </si>
  <si>
    <t>Временные повреждения</t>
  </si>
  <si>
    <t>Скорость</t>
  </si>
  <si>
    <t>Сила</t>
  </si>
  <si>
    <t>Кость хитов</t>
  </si>
  <si>
    <t>Ловкость</t>
  </si>
  <si>
    <t>Телосложение</t>
  </si>
  <si>
    <r>
      <rPr>
        <b/>
        <sz val="14"/>
        <color theme="0"/>
        <rFont val="Arial"/>
        <family val="2"/>
        <charset val="204"/>
      </rPr>
      <t xml:space="preserve">КД 
</t>
    </r>
    <r>
      <rPr>
        <b/>
        <sz val="10"/>
        <color theme="0"/>
        <rFont val="Arial"/>
        <family val="2"/>
        <charset val="204"/>
      </rPr>
      <t>Класс Доспеха</t>
    </r>
  </si>
  <si>
    <t>=</t>
  </si>
  <si>
    <t>Интелект</t>
  </si>
  <si>
    <t>Бонус Доспеха</t>
  </si>
  <si>
    <t>Бонус щита</t>
  </si>
  <si>
    <t>Модификатор ловкости</t>
  </si>
  <si>
    <t>Модификатор размера</t>
  </si>
  <si>
    <t>Природный доспех</t>
  </si>
  <si>
    <t xml:space="preserve">Модификатор отклонения </t>
  </si>
  <si>
    <t>Доп. Модификатор</t>
  </si>
  <si>
    <t>Мудрость</t>
  </si>
  <si>
    <t>Харизма</t>
  </si>
  <si>
    <t>Инициатива</t>
  </si>
  <si>
    <t>+</t>
  </si>
  <si>
    <t>Расовые/классовые черты</t>
  </si>
  <si>
    <t>Навыки</t>
  </si>
  <si>
    <t>Макс рангов</t>
  </si>
  <si>
    <t>/</t>
  </si>
  <si>
    <t>Наименовние навыка</t>
  </si>
  <si>
    <t>Бонус навыка</t>
  </si>
  <si>
    <t>Ключевой параметр</t>
  </si>
  <si>
    <t>Ранги</t>
  </si>
  <si>
    <t>Расовые</t>
  </si>
  <si>
    <t>Прочее</t>
  </si>
  <si>
    <t>Баланс</t>
  </si>
  <si>
    <t>Бесшумное передвижение</t>
  </si>
  <si>
    <t>Верховая езда</t>
  </si>
  <si>
    <t>Выживание</t>
  </si>
  <si>
    <t>Дипломатия</t>
  </si>
  <si>
    <t>Дрессировка</t>
  </si>
  <si>
    <t>Запугивание</t>
  </si>
  <si>
    <t>Изворотлипость</t>
  </si>
  <si>
    <t>Исп. Веревки</t>
  </si>
  <si>
    <t>Использование магический устройст</t>
  </si>
  <si>
    <t>Колдовство</t>
  </si>
  <si>
    <t>Концентрация</t>
  </si>
  <si>
    <t>Выносливость</t>
  </si>
  <si>
    <t>Кувырок</t>
  </si>
  <si>
    <t>Лазание</t>
  </si>
  <si>
    <t>Лечение</t>
  </si>
  <si>
    <t>Ловкость рук</t>
  </si>
  <si>
    <t>Маскировка</t>
  </si>
  <si>
    <t>Маханика</t>
  </si>
  <si>
    <t>Обман</t>
  </si>
  <si>
    <t>Определить</t>
  </si>
  <si>
    <t>Открыть замок</t>
  </si>
  <si>
    <t>Оценка</t>
  </si>
  <si>
    <t>Плавание</t>
  </si>
  <si>
    <t>Подделывание</t>
  </si>
  <si>
    <t>Поиск</t>
  </si>
  <si>
    <t>Проницательность</t>
  </si>
  <si>
    <t>Прыжок</t>
  </si>
  <si>
    <t>Расшифровать</t>
  </si>
  <si>
    <t>Сбор информации</t>
  </si>
  <si>
    <t>Слух</t>
  </si>
  <si>
    <t>Спрятаться</t>
  </si>
  <si>
    <t>Ремесло (?)</t>
  </si>
  <si>
    <t>Актерство (?)</t>
  </si>
  <si>
    <t>Обаяние</t>
  </si>
  <si>
    <t>Профессия (?)</t>
  </si>
  <si>
    <t>Знания (?)</t>
  </si>
  <si>
    <t>Спас-броски</t>
  </si>
  <si>
    <t>Общий</t>
  </si>
  <si>
    <t>Базовое сохранение</t>
  </si>
  <si>
    <t>Мод способностей</t>
  </si>
  <si>
    <t>Магический мод</t>
  </si>
  <si>
    <t>Разные моды</t>
  </si>
  <si>
    <t>Температурный мод</t>
  </si>
  <si>
    <t>Условные модификаторы</t>
  </si>
  <si>
    <t>Базовый бонус атаки</t>
  </si>
  <si>
    <t>Устойчивость к магии</t>
  </si>
  <si>
    <t xml:space="preserve">Стойкость </t>
  </si>
  <si>
    <t>Захват</t>
  </si>
  <si>
    <t>Рефлекс (Ловкость)</t>
  </si>
  <si>
    <t xml:space="preserve">Базовый бонус атаки </t>
  </si>
  <si>
    <t>Модификатор силы</t>
  </si>
  <si>
    <t>Воля (Мудрость)</t>
  </si>
  <si>
    <t>Атака</t>
  </si>
  <si>
    <t>Бонус атаки</t>
  </si>
  <si>
    <t xml:space="preserve">Повреждение </t>
  </si>
  <si>
    <t>Крит</t>
  </si>
  <si>
    <t>Диапазон</t>
  </si>
  <si>
    <t>Тип</t>
  </si>
  <si>
    <t>Заметки</t>
  </si>
  <si>
    <t>Опыт</t>
  </si>
  <si>
    <t>Gear</t>
  </si>
  <si>
    <t>Experiance</t>
  </si>
  <si>
    <t>Снаряжение</t>
  </si>
  <si>
    <t>Расположение</t>
  </si>
  <si>
    <t>Масса</t>
  </si>
  <si>
    <t>Боеприпасы</t>
  </si>
  <si>
    <t>Заклинания</t>
  </si>
  <si>
    <t>Изученые</t>
  </si>
  <si>
    <t>В день</t>
  </si>
  <si>
    <t>Бонус</t>
  </si>
  <si>
    <t>Saves</t>
  </si>
  <si>
    <t>Failure</t>
  </si>
  <si>
    <t>Снаряжение не при себе</t>
  </si>
  <si>
    <t>Clerics</t>
  </si>
  <si>
    <t>Домен</t>
  </si>
  <si>
    <t>Великая Сила</t>
  </si>
  <si>
    <t>Магические предметы</t>
  </si>
  <si>
    <t>Изгнать/запретить нежити</t>
  </si>
  <si>
    <t>Голова (повязка, шляпа, шлем или филактерий)</t>
  </si>
  <si>
    <t>Руки (перчатки или рукавицы)</t>
  </si>
  <si>
    <t>Раз в день</t>
  </si>
  <si>
    <t>Токарная проверка</t>
  </si>
  <si>
    <t>Урон при повороте</t>
  </si>
  <si>
    <t>Глаза (линзы или очки)</t>
  </si>
  <si>
    <t>Руки/запястья (наручи или браслеты)</t>
  </si>
  <si>
    <t>Ярость</t>
  </si>
  <si>
    <t>Шея (Амулет, Брошь, Медальон, Периапт или Скарабей)</t>
  </si>
  <si>
    <t>Тело (мантия или доспехи)</t>
  </si>
  <si>
    <t>Продолжительность</t>
  </si>
  <si>
    <t>Бонус силы/концентрации</t>
  </si>
  <si>
    <t>Плечи (плащ, накидка или мантия)</t>
  </si>
  <si>
    <t>Торс (жилет, облачение или рубашка)</t>
  </si>
  <si>
    <t>Will Bonus</t>
  </si>
  <si>
    <t>КБ штраф</t>
  </si>
  <si>
    <t>Использовано</t>
  </si>
  <si>
    <t>Кольцо 1</t>
  </si>
  <si>
    <t>Талия (пояс или пояс)</t>
  </si>
  <si>
    <t>Прошедшие раунды</t>
  </si>
  <si>
    <t>Языки</t>
  </si>
  <si>
    <t>Кольцо 2</t>
  </si>
  <si>
    <t>Ноги (сапоги, туфли или тапочки)</t>
  </si>
  <si>
    <t>Золото:</t>
  </si>
  <si>
    <t>Драгоценные камни:</t>
  </si>
  <si>
    <t>Фото</t>
  </si>
  <si>
    <t>Итог.параметр</t>
  </si>
  <si>
    <t>Мод.</t>
  </si>
  <si>
    <t>Врем. парм.</t>
  </si>
  <si>
    <t>Верм. мод.</t>
  </si>
  <si>
    <t>Мод. Ловк.</t>
  </si>
  <si>
    <t>Мод. размера</t>
  </si>
  <si>
    <t>Мод. Откл.</t>
  </si>
  <si>
    <t>Доп. Мод.</t>
  </si>
  <si>
    <t>Ловк</t>
  </si>
  <si>
    <t>Бесш. передвижение</t>
  </si>
  <si>
    <t>Мудр</t>
  </si>
  <si>
    <t>Хар</t>
  </si>
  <si>
    <t>Испол. магический устройст</t>
  </si>
  <si>
    <t>Инт</t>
  </si>
  <si>
    <t>Вын</t>
  </si>
  <si>
    <t>Первая</t>
  </si>
  <si>
    <t>Вторая</t>
  </si>
  <si>
    <t>Третья</t>
  </si>
  <si>
    <t>Четвертая</t>
  </si>
  <si>
    <t>Пятая</t>
  </si>
  <si>
    <t xml:space="preserve">Базовое </t>
  </si>
  <si>
    <t>Мод способ.</t>
  </si>
  <si>
    <t>Маг-кий мод</t>
  </si>
  <si>
    <t>Темп. мод</t>
  </si>
  <si>
    <t xml:space="preserve">Бонус атаки </t>
  </si>
  <si>
    <t>Мод. силы</t>
  </si>
  <si>
    <t>Круг</t>
  </si>
  <si>
    <t>Жрец</t>
  </si>
  <si>
    <t>Бард</t>
  </si>
  <si>
    <t>Друид</t>
  </si>
  <si>
    <t>Маг</t>
  </si>
  <si>
    <t>Паладин</t>
  </si>
  <si>
    <t>Рейнджер</t>
  </si>
  <si>
    <t>Чародей</t>
  </si>
  <si>
    <t>Заклинаний в день</t>
  </si>
  <si>
    <t>Спасбросок</t>
  </si>
  <si>
    <t>—</t>
  </si>
  <si>
    <t>Спб Стойк</t>
  </si>
  <si>
    <t>Спб Рефл</t>
  </si>
  <si>
    <t>Спб Воли</t>
  </si>
  <si>
    <t>Инвентарь</t>
  </si>
  <si>
    <t>Деньги:</t>
  </si>
  <si>
    <t xml:space="preserve">Общие Черты </t>
  </si>
  <si>
    <t xml:space="preserve">Необходимые Условия </t>
  </si>
  <si>
    <t>Преимущества</t>
  </si>
  <si>
    <t>Акробатический</t>
  </si>
  <si>
    <t xml:space="preserve"> — </t>
  </si>
  <si>
    <t>+2 бонус к проверкам Прыжков и Падение/Кульбиты</t>
  </si>
  <si>
    <t>Активация в Бою</t>
  </si>
  <si>
    <t>+4 бонус к проверкам Концентрации при активации в защите</t>
  </si>
  <si>
    <t>Аннулирование Материалов</t>
  </si>
  <si>
    <t xml:space="preserve"> —</t>
  </si>
  <si>
    <t xml:space="preserve"> Активация заклинаний без материальных компонентов</t>
  </si>
  <si>
    <t>Атлетичный</t>
  </si>
  <si>
    <t>+2 бонус к проверкам Взбирания и Плавания</t>
  </si>
  <si>
    <t>Бег</t>
  </si>
  <si>
    <t>Бежите с 5 кратной скоростью, +4 бонус к проверкам Прыжков с разбегом</t>
  </si>
  <si>
    <t xml:space="preserve">Близость к Животным </t>
  </si>
  <si>
    <t xml:space="preserve">— </t>
  </si>
  <si>
    <t>+2 бонус к проверкам Езды Верхом и Приручения Животных</t>
  </si>
  <si>
    <t>Боевые Рефлексы¹</t>
  </si>
  <si>
    <t>Дополнительные благоприятные атаки1</t>
  </si>
  <si>
    <t>Боевая Экспертность¹</t>
  </si>
  <si>
    <t xml:space="preserve"> Интл 13 </t>
  </si>
  <si>
    <t>Перенос бонуса атаки к КД (макс. 5 пунктов)</t>
  </si>
  <si>
    <t>Улучшенное Обезоруживание¹</t>
  </si>
  <si>
    <t xml:space="preserve"> Боевая Экспертность </t>
  </si>
  <si>
    <t>+4 бонус к проверкам обезоруживания; нет благоприятнойатаки</t>
  </si>
  <si>
    <r>
      <t>Улучшенный Финт</t>
    </r>
    <r>
      <rPr>
        <sz val="18"/>
        <color theme="1"/>
        <rFont val="Times New Roman"/>
        <family val="1"/>
        <charset val="204"/>
      </rPr>
      <t>¹</t>
    </r>
  </si>
  <si>
    <t xml:space="preserve"> Боевая Экспертность</t>
  </si>
  <si>
    <t xml:space="preserve"> Финт в сражении как действие передвижения</t>
  </si>
  <si>
    <r>
      <t>Улучшенное Опрокидывание</t>
    </r>
    <r>
      <rPr>
        <sz val="20"/>
        <color theme="1"/>
        <rFont val="Times New Roman"/>
        <family val="1"/>
        <charset val="204"/>
      </rPr>
      <t>¹</t>
    </r>
  </si>
  <si>
    <t>+4 бонус к проверкам опрокидывания; нет благоприятной атаки</t>
  </si>
  <si>
    <t>Ураганная Атака¹</t>
  </si>
  <si>
    <t xml:space="preserve"> Ловк 13, Боевая Экспертность, Уворачивание, Подвижность, Энергичная Атака, базовый бонус атаки +4</t>
  </si>
  <si>
    <t>Одна рукопашная атака против каждого оппонента в пределах зоны поражения</t>
  </si>
  <si>
    <t>Ускоренная Перезарядка¹</t>
  </si>
  <si>
    <t xml:space="preserve"> Оружейная Квалификация с арбалетом</t>
  </si>
  <si>
    <t>Более ускоренная перезарядка арбалета</t>
  </si>
  <si>
    <t>+4 бонус к проверкам и спасброскам при противостояниивременным повреждениям</t>
  </si>
  <si>
    <t>Крепкий Орешек</t>
  </si>
  <si>
    <t xml:space="preserve">Выносливость </t>
  </si>
  <si>
    <t>Оставаться в сознании от –1 до –9 хп.</t>
  </si>
  <si>
    <t>Выстрел Вблизи¹</t>
  </si>
  <si>
    <t>+1 бонус к стрелковым атакам и повреждениям в пределах 9 метров</t>
  </si>
  <si>
    <t>Выстрел на Удаленное Расстояние¹</t>
  </si>
  <si>
    <t xml:space="preserve">Выстрел Вблизи </t>
  </si>
  <si>
    <t>Повышение диапазона поражения на 50% или 100%</t>
  </si>
  <si>
    <t>Прицельный Выстрел¹</t>
  </si>
  <si>
    <t>Нет штрафа –4 при стрельбе в рукопашном бою</t>
  </si>
  <si>
    <t>Быстрый Выстрел¹</t>
  </si>
  <si>
    <t xml:space="preserve">Ловк 13, Выстрел Вблизи </t>
  </si>
  <si>
    <t>Одна дополнительная стрелковая атака каждый раунд</t>
  </si>
  <si>
    <t xml:space="preserve">Множественный Выстрел¹ </t>
  </si>
  <si>
    <t>Ловк 17, Выстрел Вблизи, Быстрый Выстрел, базовый бонус атаки +6</t>
  </si>
  <si>
    <t>Выстрел двух или более стрел одновременно</t>
  </si>
  <si>
    <t>Стрельба на Бегу¹</t>
  </si>
  <si>
    <t>Ловк 13, Выстрел Вблизи, Подвижность,Уворачивание, базовый бонус атаки +4</t>
  </si>
  <si>
    <t>Передвижение до и после стрелковой атаки</t>
  </si>
  <si>
    <t>Улучшенный Прицельный Выстрел¹</t>
  </si>
  <si>
    <t>Ловк 19, Выстрел Вблизи, Прицельный Выстрел, базовый бонус атаки +11</t>
  </si>
  <si>
    <t>Игнорирование при стрелковых атаках все укрытия кроме полного укрытия/прикрытия</t>
  </si>
  <si>
    <t xml:space="preserve">Железная Воля </t>
  </si>
  <si>
    <t>+2 бонус к спасброскам Воли</t>
  </si>
  <si>
    <t xml:space="preserve">Измененный Призыв </t>
  </si>
  <si>
    <t xml:space="preserve">Фокусировка в Заклинаниях (колдовство) </t>
  </si>
  <si>
    <t>Призванные существа получают +4 Сила и +4 Тело</t>
  </si>
  <si>
    <t>Искусное Обращение с Оружием¹˒²</t>
  </si>
  <si>
    <t>Квалификация с оружием, базовый бонус атаки +1</t>
  </si>
  <si>
    <t>Используете модификатор Ловк вместо Силы при бросках атаки с облегченным рукопашным оружием</t>
  </si>
  <si>
    <t>Квалификация в Военном Оружии²</t>
  </si>
  <si>
    <t>Нет штрафов с выбранным военным оружием</t>
  </si>
  <si>
    <t xml:space="preserve">Квалификация в Доспехах (легких) </t>
  </si>
  <si>
    <t>Нет штрафов из-за доспехов к броскам атаки</t>
  </si>
  <si>
    <t xml:space="preserve">Квалификация в Доспехах (средних) </t>
  </si>
  <si>
    <t>Квалификация в Доспехах (тяжелых)</t>
  </si>
  <si>
    <t xml:space="preserve">Квалификация в Простом Оружии </t>
  </si>
  <si>
    <t>Нет штрафов с выбранным простым оружием</t>
  </si>
  <si>
    <t xml:space="preserve">Квалификация в Щитах </t>
  </si>
  <si>
    <t xml:space="preserve">Улучшенный Удар Щитом¹ </t>
  </si>
  <si>
    <t>Сохранение бонуса щита к КД при ударе щитом</t>
  </si>
  <si>
    <t xml:space="preserve">Квалификация в Ростовых Щитах </t>
  </si>
  <si>
    <t>Квалификация в Экзотическом Оружии¹˒²</t>
  </si>
  <si>
    <t xml:space="preserve">Базовый бонус атаки +1 </t>
  </si>
  <si>
    <t>Нет штрафов с выбранным экзотическим оружием</t>
  </si>
  <si>
    <t xml:space="preserve">Лидерство </t>
  </si>
  <si>
    <t xml:space="preserve">Персонаж 6-го уровня </t>
  </si>
  <si>
    <t>Привлечение последователей и приверженцев</t>
  </si>
  <si>
    <t xml:space="preserve">Ловкий </t>
  </si>
  <si>
    <t>+2 бонус к проверкам Баланса и Искусства Побега</t>
  </si>
  <si>
    <t>Мастерство в Заклинаниях²</t>
  </si>
  <si>
    <t xml:space="preserve"> Маг 1-го уровня </t>
  </si>
  <si>
    <t>Способность подготавливать некоторые заклинания без книги заклинаний</t>
  </si>
  <si>
    <t xml:space="preserve">Молниеносные Рефлексы </t>
  </si>
  <si>
    <t>+2 бонус к спасброскам Рефлекса</t>
  </si>
  <si>
    <t>Мощная Атака¹</t>
  </si>
  <si>
    <t xml:space="preserve">Сила 13 </t>
  </si>
  <si>
    <t>Переносить бонус атаки в повреждение (не выше базового бонуса атаки)</t>
  </si>
  <si>
    <t>Рассекающий Удар¹</t>
  </si>
  <si>
    <t xml:space="preserve">Мощная Атака </t>
  </si>
  <si>
    <t>Дополнительная рукопашная атака после падения противника</t>
  </si>
  <si>
    <t xml:space="preserve">Мощный Рассекающий Удар¹ </t>
  </si>
  <si>
    <t>Мощная Атака, Рассекающий Удар, базовый бонус атаки +4</t>
  </si>
  <si>
    <t>Неограниченное количество рассекающих ударов в раунд</t>
  </si>
  <si>
    <t>Улучшенный Натиск¹</t>
  </si>
  <si>
    <t>+4 бонус к проверкам натиска; нет благоприятной атаки</t>
  </si>
  <si>
    <t>Улучшенное Набегание¹</t>
  </si>
  <si>
    <t>+4 бонус к проверкам набегания; нет благоприятной атаки</t>
  </si>
  <si>
    <t xml:space="preserve">Улучшенное Раскалывание¹ </t>
  </si>
  <si>
    <t>+4 бонус к проверкам раскалывания; нет благоприятной атаки</t>
  </si>
  <si>
    <t xml:space="preserve">Настороженность </t>
  </si>
  <si>
    <t>+2 бонус к проверкам Прислушивания и Отслеживания</t>
  </si>
  <si>
    <t xml:space="preserve">Неискренний </t>
  </si>
  <si>
    <t>+2 бонус к проверкам Маскировки и Подделки</t>
  </si>
  <si>
    <t xml:space="preserve">Переговорщик </t>
  </si>
  <si>
    <t>+2 бонус к проверкам Дипломатии и Чувства Мотива</t>
  </si>
  <si>
    <t xml:space="preserve">Повышенная Стойкость </t>
  </si>
  <si>
    <t>+2 бонус к спасброскам Стойкости</t>
  </si>
  <si>
    <t xml:space="preserve">Природное Заклинание </t>
  </si>
  <si>
    <t>Мудр 13, Способность применять облик животного</t>
  </si>
  <si>
    <t>Активация заклинаний в облике животного</t>
  </si>
  <si>
    <t xml:space="preserve">Проворные Руки </t>
  </si>
  <si>
    <t>+2 бонус к проверкам Использования Веревки и Ловкости Рук</t>
  </si>
  <si>
    <t xml:space="preserve">Проникновенность Заклинаний </t>
  </si>
  <si>
    <t>+2 бонус к проверкам уровня заклинателя при преодолении устойчивости к магии</t>
  </si>
  <si>
    <t>Повышенная Проникновенность Заклинаний</t>
  </si>
  <si>
    <t>+4 бонус к проверкам уровня заклинателя при преодолении устойчивости к магии</t>
  </si>
  <si>
    <t>Прочность³</t>
  </si>
  <si>
    <t>+3 хит-поинта</t>
  </si>
  <si>
    <t xml:space="preserve">Расследователь </t>
  </si>
  <si>
    <t>+2 бонус к проверкам Поиска и Сбора Информации</t>
  </si>
  <si>
    <t xml:space="preserve">Самодостаточный </t>
  </si>
  <si>
    <t>+2 бонус к проверкам Искусства Выживания и Лечения</t>
  </si>
  <si>
    <t xml:space="preserve">Сверх-изгнание³ </t>
  </si>
  <si>
    <t>Способность изгонять или подчинять существ</t>
  </si>
  <si>
    <t>4 дополнительных применения изгнания или подчинения в день</t>
  </si>
  <si>
    <t xml:space="preserve">Скрытный </t>
  </si>
  <si>
    <t>+2 бонус к проверкам Бесшумного Передвижения и Скрытности</t>
  </si>
  <si>
    <t xml:space="preserve">Способность к Магии </t>
  </si>
  <si>
    <t>+2 бонус к проверкам Использования Магических Устройств и Искусства Магии__</t>
  </si>
  <si>
    <t>Сражение Верхом¹</t>
  </si>
  <si>
    <t xml:space="preserve">1 ранг в Езде Верхом </t>
  </si>
  <si>
    <t>Нейтрализовать попадания по скакуну проверкой Езды Верхом</t>
  </si>
  <si>
    <t>Стрельба Верхом¹</t>
  </si>
  <si>
    <t xml:space="preserve">Сражение Верхом </t>
  </si>
  <si>
    <t>Половина штрафов к стрелковым атакам находясь верхомна скакуне</t>
  </si>
  <si>
    <t xml:space="preserve">Атака на Скаку¹ </t>
  </si>
  <si>
    <t>Передвижение до и после стремительного наступления верхом</t>
  </si>
  <si>
    <t>Энергичное Нападение¹</t>
  </si>
  <si>
    <t xml:space="preserve">Сражение Верхом, Атака на Скаку </t>
  </si>
  <si>
    <t>Двойное повреждение при стремительном наступлении верхом</t>
  </si>
  <si>
    <t xml:space="preserve">Растаптывание¹ </t>
  </si>
  <si>
    <t>Цель не может избежать набегания</t>
  </si>
  <si>
    <t>Сражение в Слепую¹</t>
  </si>
  <si>
    <t>Перебрасывание шанса промаха из-за укрытия</t>
  </si>
  <si>
    <t>Сражение с Оружием в Каждой Руке¹</t>
  </si>
  <si>
    <t xml:space="preserve">Ловк 15 </t>
  </si>
  <si>
    <t>Снижает штрафы при сражении с оружием в каждой рукена 2</t>
  </si>
  <si>
    <t>Защита с Оружием в Каждой Руке¹</t>
  </si>
  <si>
    <t xml:space="preserve">Сражение с Оружием в Каждой Руке </t>
  </si>
  <si>
    <t>Оружие в не основной руке дает +1 бонус щита к КД</t>
  </si>
  <si>
    <t>Улучшенное Сражение с Оружием в Каждой Руке¹</t>
  </si>
  <si>
    <t>Ловк 17, Сражение с Оружием в Каждой Руке, базовый бонус атаки +6</t>
  </si>
  <si>
    <t>Получаете вторую атаку с оружием в не основной руке</t>
  </si>
  <si>
    <t>Повышенное Сражение с Оружием в Каждой Руке¹</t>
  </si>
  <si>
    <t>Ловк 19, Сражение с Оружием в Каждой Руке, Улучшенное Сражение с Оружием в Каждой Руке, базовый бонус атаки +11</t>
  </si>
  <si>
    <t>Получаете третью атаку с оружием в не основной руке</t>
  </si>
  <si>
    <t xml:space="preserve">Убедительность </t>
  </si>
  <si>
    <t>+2 бонус к проверкам Блефа и Запугивания</t>
  </si>
  <si>
    <t xml:space="preserve">Уворачивание¹ </t>
  </si>
  <si>
    <t xml:space="preserve">Ловк 13 </t>
  </si>
  <si>
    <t>+1 бонус уворачивания к КД против указанной цели</t>
  </si>
  <si>
    <t>Подвижность¹</t>
  </si>
  <si>
    <t xml:space="preserve">Уворачивание </t>
  </si>
  <si>
    <t>+4 бонус уворачивания против некоторых благоприятных атак</t>
  </si>
  <si>
    <t>Энергичная Атака¹</t>
  </si>
  <si>
    <t xml:space="preserve">Подвижность, базовый бонус атаки +4 </t>
  </si>
  <si>
    <t>Передвижение до и после рукопашной атаки</t>
  </si>
  <si>
    <t xml:space="preserve">Улучшенное Изгнание </t>
  </si>
  <si>
    <t>+1 уровень к проверкам изгнания</t>
  </si>
  <si>
    <t>Улучшенная Инициатива¹</t>
  </si>
  <si>
    <t>+4 бонус к проверкам инициативы</t>
  </si>
  <si>
    <t xml:space="preserve">Улучшенное Контрзаклинание </t>
  </si>
  <si>
    <t>Использовать контрзаклинание против заклинаний той же школы</t>
  </si>
  <si>
    <t>Улучшенное Критическое Попадание¹˒²</t>
  </si>
  <si>
    <t>Квалификация в оружии, базовый бонус атаки +8</t>
  </si>
  <si>
    <t>Удвоенный диапазон угрозы у оружия</t>
  </si>
  <si>
    <t>Улучшенный Невооруженный Удар¹</t>
  </si>
  <si>
    <t>Принимается вооруженным, даже когда в руках нет оружия</t>
  </si>
  <si>
    <t xml:space="preserve">Улучшенный Захват¹ </t>
  </si>
  <si>
    <t xml:space="preserve">Ловк 13, Улучшенный Невооруженный Удар </t>
  </si>
  <si>
    <t>+4 бонус к проверкам захвата; нет благоприятной атаки</t>
  </si>
  <si>
    <t xml:space="preserve">Отклонение Стрел¹ </t>
  </si>
  <si>
    <t>Отклонение одной стрелковой атаки в раунд</t>
  </si>
  <si>
    <t>Ловить Стрелы¹</t>
  </si>
  <si>
    <t>Ловк 15, Отклонение Стрел, Улучшенный Невооруженный Удар</t>
  </si>
  <si>
    <t>Ловля отклоненной стрелковой атаки</t>
  </si>
  <si>
    <t>Ошеломляющий Удар¹</t>
  </si>
  <si>
    <t>Ловк 13, Мудр 13, Улучшенный Невооруженный Удар, базовый бонус атаки +8</t>
  </si>
  <si>
    <t>Ошеломление оппонента невооруженным ударом</t>
  </si>
  <si>
    <t xml:space="preserve">Усердный </t>
  </si>
  <si>
    <t>+2 бонус к проверкам Оценки и Расшифровки</t>
  </si>
  <si>
    <t>Ускоренная Готовность¹</t>
  </si>
  <si>
    <t>+1 Вынуть оружие из ножен свободное действие</t>
  </si>
  <si>
    <t>Фокусировка в Заклинаниях²</t>
  </si>
  <si>
    <t>+1 к КС спасбросков в выбранной школе магии</t>
  </si>
  <si>
    <t>Повышенная Фокусировка в Заклинания²</t>
  </si>
  <si>
    <t xml:space="preserve">Фокусировка в Навыке² </t>
  </si>
  <si>
    <t>+3 бонус к проверкам выбранного навыка</t>
  </si>
  <si>
    <t>Фокусировка на Оружии¹˒²</t>
  </si>
  <si>
    <t>+1 бонус к броскам атаки с выбранным оружием</t>
  </si>
  <si>
    <t xml:space="preserve">Специализация в Оружии¹˒² </t>
  </si>
  <si>
    <t>Квалификация с оружием, Фокусировка в Оружие, воин 4-го уровня</t>
  </si>
  <si>
    <t>+2 бонус к броскам повреждения с выбранным оружием</t>
  </si>
  <si>
    <t>Повышенная Фокусировка на Оружии¹˒²</t>
  </si>
  <si>
    <t>Квалификация с оружием, Фокусировка в Оружие, воин 8-го уровня</t>
  </si>
  <si>
    <t>+2 бонус к броскам атаки с выбранным оружием</t>
  </si>
  <si>
    <t>Повышенная Специализация в Оружии¹˒²</t>
  </si>
  <si>
    <t>Квалификация с оружием, Повышенная Фокусировка в Оружие, Специализация в Оружие, Фокусировка в Оружие, воин 12-го уровня</t>
  </si>
  <si>
    <t>+4 бонус к броскам повреждения с выбранным оружием</t>
  </si>
  <si>
    <t xml:space="preserve">Чтение Следов </t>
  </si>
  <si>
    <t>Использование навыка Искусство Выживания для чтения следов</t>
  </si>
  <si>
    <t xml:space="preserve">Шустрые Пальцы </t>
  </si>
  <si>
    <t>+2 бонус к проверкам Блокировки Устройств и Взлома Замков</t>
  </si>
  <si>
    <t xml:space="preserve">Черты по Созданию Предметов </t>
  </si>
  <si>
    <t xml:space="preserve">Изготовить кольцо </t>
  </si>
  <si>
    <t xml:space="preserve">Заклинатель 12 уровня </t>
  </si>
  <si>
    <t>Создание магических колец</t>
  </si>
  <si>
    <t xml:space="preserve">Написать свиток </t>
  </si>
  <si>
    <t xml:space="preserve">Заклинатель 1 уровня </t>
  </si>
  <si>
    <t>Создание магических свитков</t>
  </si>
  <si>
    <t>Создать волшебное оружие или доспех</t>
  </si>
  <si>
    <t xml:space="preserve">Заклинатель 5 уровня </t>
  </si>
  <si>
    <t>Создание магического оружия или доспехов</t>
  </si>
  <si>
    <t xml:space="preserve">Создать волшебную палочку </t>
  </si>
  <si>
    <t>Создание магических, волшебных палочек</t>
  </si>
  <si>
    <t xml:space="preserve">Создать жезл </t>
  </si>
  <si>
    <t xml:space="preserve">Заклинатель 9 уровня </t>
  </si>
  <si>
    <t>Создание магических жезлов</t>
  </si>
  <si>
    <t xml:space="preserve">Создать необычный предмет </t>
  </si>
  <si>
    <t xml:space="preserve">Заклинатель 3 уровня </t>
  </si>
  <si>
    <t>Создание магических, необычных предметов</t>
  </si>
  <si>
    <t xml:space="preserve">Создать посох </t>
  </si>
  <si>
    <t>Создание магических посохов</t>
  </si>
  <si>
    <t xml:space="preserve">Сварить снадобье/зелье </t>
  </si>
  <si>
    <t>Создание магических снадобий</t>
  </si>
  <si>
    <t xml:space="preserve">Метамагические Черты </t>
  </si>
  <si>
    <t xml:space="preserve">Заклинание про Себя </t>
  </si>
  <si>
    <t>Активация заклинаний без вербальных компонентов</t>
  </si>
  <si>
    <t xml:space="preserve">Максимизировать Заклинание </t>
  </si>
  <si>
    <t>Увеличить изменяемые числовые эффекты заклинания</t>
  </si>
  <si>
    <t xml:space="preserve">Неподвижное Заклинание </t>
  </si>
  <si>
    <t>Активация заклинаний без соматических компонентов</t>
  </si>
  <si>
    <t xml:space="preserve">Повысить заклинание </t>
  </si>
  <si>
    <t>Активация заклинания как более высокого уровня</t>
  </si>
  <si>
    <t xml:space="preserve">Продлить заклинание </t>
  </si>
  <si>
    <t>Удвоить длительность заклинания</t>
  </si>
  <si>
    <t xml:space="preserve">Расширить заклинание </t>
  </si>
  <si>
    <t>Удвоить зону поражения заклинания</t>
  </si>
  <si>
    <t xml:space="preserve">Увеличить заклинание </t>
  </si>
  <si>
    <t>Удвоить диапазон заклинания</t>
  </si>
  <si>
    <t xml:space="preserve">Усилить заклинание </t>
  </si>
  <si>
    <t>Увеличить изменяемые числовые эффекты заклинания на 50%</t>
  </si>
  <si>
    <t xml:space="preserve">Ускоренное заклинание </t>
  </si>
  <si>
    <t>Активация заклинания свободным действием</t>
  </si>
  <si>
    <t>1 Воин способен выбирать эту отличительную черту как одну из своих бонусных воинских черт.</t>
  </si>
  <si>
    <t>2 Вы можете брать эту черту несколько раз. Её эффекты не слаживаются. Каждый раз, когда вы берете эту черту, она применяется к новому оружию, навыку, школе магии или набору заклинаний.</t>
  </si>
  <si>
    <t>3 Вы можете брать эту черту несколько раз. Её эффекты слаживаются.</t>
  </si>
  <si>
    <t>Ур</t>
  </si>
  <si>
    <t>бонус</t>
  </si>
  <si>
    <t>Особое</t>
  </si>
  <si>
    <t>Взбирание</t>
  </si>
  <si>
    <t>Бонусная черта</t>
  </si>
  <si>
    <t>Езда Верхом</t>
  </si>
  <si>
    <t xml:space="preserve">Приручение животных </t>
  </si>
  <si>
    <t>Прыжки</t>
  </si>
  <si>
    <t xml:space="preserve">Плавание </t>
  </si>
  <si>
    <t>Ремесло</t>
  </si>
  <si>
    <t>Бонус Атаки</t>
  </si>
  <si>
    <t xml:space="preserve">Спб Стойк. </t>
  </si>
  <si>
    <t xml:space="preserve">Спб Рефл. </t>
  </si>
  <si>
    <t>Спб Воли.</t>
  </si>
  <si>
    <t xml:space="preserve">Особое </t>
  </si>
  <si>
    <r>
      <t xml:space="preserve">Владение бардовскими музыкой изнаниями, противопесня, повыситьотвагу +1, </t>
    </r>
    <r>
      <rPr>
        <i/>
        <sz val="12"/>
        <color theme="1"/>
        <rFont val="Times New Roman"/>
        <family val="1"/>
        <charset val="204"/>
      </rPr>
      <t>гипнотизирование</t>
    </r>
  </si>
  <si>
    <t xml:space="preserve"> </t>
  </si>
  <si>
    <t xml:space="preserve">Повысить способности </t>
  </si>
  <si>
    <t>Внушение</t>
  </si>
  <si>
    <t>Повысить отвагу +2</t>
  </si>
  <si>
    <t>Повысить боевой дух</t>
  </si>
  <si>
    <t>Песнь свободы</t>
  </si>
  <si>
    <t>Повысить отвагу + 3</t>
  </si>
  <si>
    <t>Повысить героизм</t>
  </si>
  <si>
    <t>Массовое Внушение</t>
  </si>
  <si>
    <t>Повысить отвагу + 4</t>
  </si>
  <si>
    <t>Навык</t>
  </si>
  <si>
    <t>Знаемые заклинания</t>
  </si>
  <si>
    <t xml:space="preserve">Актёрство </t>
  </si>
  <si>
    <t>Обн</t>
  </si>
  <si>
    <t xml:space="preserve">Дипломатия </t>
  </si>
  <si>
    <t xml:space="preserve">Обн </t>
  </si>
  <si>
    <t xml:space="preserve">Искусство Магии </t>
  </si>
  <si>
    <t xml:space="preserve">Интл </t>
  </si>
  <si>
    <t>2¹</t>
  </si>
  <si>
    <t>Использование МагическихУстройств</t>
  </si>
  <si>
    <t xml:space="preserve">Знание  </t>
  </si>
  <si>
    <t>Интл</t>
  </si>
  <si>
    <t xml:space="preserve">Маскировка </t>
  </si>
  <si>
    <t xml:space="preserve">Прислушивание </t>
  </si>
  <si>
    <t xml:space="preserve">Расшифровка </t>
  </si>
  <si>
    <t>Сбори нформации</t>
  </si>
  <si>
    <t>Ловкие Руки</t>
  </si>
  <si>
    <t>¹ Считается что у Барда достаточно Обаяния чтобы иметь
бонусные заклинания этого уровня.</t>
  </si>
  <si>
    <t>Варвар</t>
  </si>
  <si>
    <t>Спб
Стойк.</t>
  </si>
  <si>
    <t>Спб
Рефл.</t>
  </si>
  <si>
    <t>Спб
Воли</t>
  </si>
  <si>
    <t>Ярость 1/день; безграмотность, повышенное передвижение</t>
  </si>
  <si>
    <t>Сверхъестественное уворачивание</t>
  </si>
  <si>
    <t>Езда верхом</t>
  </si>
  <si>
    <t>Ощущение ловушек +1</t>
  </si>
  <si>
    <t>Ярость 2/день</t>
  </si>
  <si>
    <t>Искуство выживания</t>
  </si>
  <si>
    <t>Улучшенное сверхъестественное уворачивание</t>
  </si>
  <si>
    <t>Ощущение ловушек +2</t>
  </si>
  <si>
    <t>Снижение повреждений 1/—</t>
  </si>
  <si>
    <t>Ярость 3/день</t>
  </si>
  <si>
    <t>Ощущение ловушек +3</t>
  </si>
  <si>
    <t>Снижение повреждений 2/—</t>
  </si>
  <si>
    <t>Приручение животных</t>
  </si>
  <si>
    <t>Повышенная ярость</t>
  </si>
  <si>
    <t>Ярость 4/день, Ощущение ловушек +4</t>
  </si>
  <si>
    <t>Прислушивание</t>
  </si>
  <si>
    <t>Снижение повреждений 3/—</t>
  </si>
  <si>
    <t>Непробиваемая воля</t>
  </si>
  <si>
    <t>Ощущение ловушек +5</t>
  </si>
  <si>
    <t>Снижение повреждений 4/—, ярость 5/день,</t>
  </si>
  <si>
    <t>Неутомимая ярость</t>
  </si>
  <si>
    <t>Ощущение ловушек +6</t>
  </si>
  <si>
    <t>Снижение повреждений 5/—</t>
  </si>
  <si>
    <t>Могучая ярость, ярость 6/день</t>
  </si>
  <si>
    <t>Вор</t>
  </si>
  <si>
    <t>Спб.
Стойк.</t>
  </si>
  <si>
    <t>Спб.
Рефл.</t>
  </si>
  <si>
    <t>Спб.
Воли</t>
  </si>
  <si>
    <t>Коварная атака +1d6, обнаружение ловушек</t>
  </si>
  <si>
    <t xml:space="preserve">Баланс </t>
  </si>
  <si>
    <t>Уклонение</t>
  </si>
  <si>
    <t>Бесшумное Передвижение</t>
  </si>
  <si>
    <t xml:space="preserve">Ловк </t>
  </si>
  <si>
    <t>Коварная атака +2d6, ощущение ловушек +1</t>
  </si>
  <si>
    <t xml:space="preserve">Блеф </t>
  </si>
  <si>
    <t xml:space="preserve">Взбирание </t>
  </si>
  <si>
    <t>Коварная атака +3d6</t>
  </si>
  <si>
    <t xml:space="preserve">Взлом Замка </t>
  </si>
  <si>
    <t>Коварная атака +4d6</t>
  </si>
  <si>
    <t xml:space="preserve">Запугивание </t>
  </si>
  <si>
    <t xml:space="preserve">Использование Верёвки </t>
  </si>
  <si>
    <t>Коварная атака +5d6</t>
  </si>
  <si>
    <t xml:space="preserve">Использование Магических Устройств </t>
  </si>
  <si>
    <t>Особая способность</t>
  </si>
  <si>
    <t xml:space="preserve">Искусство Побега </t>
  </si>
  <si>
    <t>Коварная атака +6d6</t>
  </si>
  <si>
    <t>Ощущение ловушек +4</t>
  </si>
  <si>
    <t>Отслеживание</t>
  </si>
  <si>
    <t xml:space="preserve">Мудр </t>
  </si>
  <si>
    <t>Коварная атака +7d6, особая способность</t>
  </si>
  <si>
    <t xml:space="preserve">Оценка </t>
  </si>
  <si>
    <t xml:space="preserve">Падение/Акробатика </t>
  </si>
  <si>
    <t>Коварная атака +8d6, ощущение ловушек +5</t>
  </si>
  <si>
    <t xml:space="preserve">Подделка </t>
  </si>
  <si>
    <t>Коварная атака +9d6</t>
  </si>
  <si>
    <t xml:space="preserve">Поиск </t>
  </si>
  <si>
    <t>Коварная атака +10d6, особая способность</t>
  </si>
  <si>
    <t xml:space="preserve">Профессия </t>
  </si>
  <si>
    <t xml:space="preserve">Прыжки </t>
  </si>
  <si>
    <t xml:space="preserve">Раскодирование Шрифтов </t>
  </si>
  <si>
    <t xml:space="preserve">Ремесло </t>
  </si>
  <si>
    <t xml:space="preserve">Сбор Информации </t>
  </si>
  <si>
    <t xml:space="preserve">Блокировка Устройств </t>
  </si>
  <si>
    <t xml:space="preserve">Скрытность </t>
  </si>
  <si>
    <t xml:space="preserve">Ловкие Руки </t>
  </si>
  <si>
    <t xml:space="preserve">Чувство Мотива </t>
  </si>
  <si>
    <t>Спб Стойк.</t>
  </si>
  <si>
    <t>Спб Рефл.</t>
  </si>
  <si>
    <t>Заклинаний в День</t>
  </si>
  <si>
    <t>Чувство природы, животное спутник, дикая эмпатия</t>
  </si>
  <si>
    <t>Тело</t>
  </si>
  <si>
    <t>Передвижение по лесу</t>
  </si>
  <si>
    <t>Передвижение без следов</t>
  </si>
  <si>
    <t>Устойчивость к соблазнам природы</t>
  </si>
  <si>
    <t>Искусство Выживания</t>
  </si>
  <si>
    <t>Обращение в животное (1/день)</t>
  </si>
  <si>
    <t>Искусство Магии</t>
  </si>
  <si>
    <t>Обращение в животное (2/день)</t>
  </si>
  <si>
    <t>Обращение в животное (3/день)</t>
  </si>
  <si>
    <t>Знание (природа)</t>
  </si>
  <si>
    <t>Обращение в животное (Большое)</t>
  </si>
  <si>
    <t>Иммунитет к ядам</t>
  </si>
  <si>
    <t>Профессия</t>
  </si>
  <si>
    <t>Обращение в животное (4/день)</t>
  </si>
  <si>
    <t>Обращ. в животное (Крошечное)</t>
  </si>
  <si>
    <t>Приручение Животных</t>
  </si>
  <si>
    <t>Обращение в животное (Растение)</t>
  </si>
  <si>
    <t>Тысячи лиц</t>
  </si>
  <si>
    <t>Обращение в животное (5/день)</t>
  </si>
  <si>
    <t>Обращение в животное (Оргомное), Вечное тело</t>
  </si>
  <si>
    <t>Обращение в элементаль (1/день)</t>
  </si>
  <si>
    <t>Обращение в животное (6/день) элементаль (2/день)</t>
  </si>
  <si>
    <t>Обращение в элементаль (3/день, Огромная элементаль)</t>
  </si>
  <si>
    <t>ЖИВОТНОЕ-СПУТНИК ДРУИДА</t>
  </si>
  <si>
    <t>Уровень Класса</t>
  </si>
  <si>
    <t>Бонусные КХП</t>
  </si>
  <si>
    <t>Природная Корр. Доспеха</t>
  </si>
  <si>
    <t>Корр. Сила/ Ловк</t>
  </si>
  <si>
    <t>Доп. Трюки</t>
  </si>
  <si>
    <t>1-й–2-й</t>
  </si>
  <si>
    <t>Связь, совместные заклинания</t>
  </si>
  <si>
    <t>3-й–5-й</t>
  </si>
  <si>
    <t>6-й–8-й</t>
  </si>
  <si>
    <t>Преданность</t>
  </si>
  <si>
    <t>9-й–11-й</t>
  </si>
  <si>
    <t>Мультиатака</t>
  </si>
  <si>
    <t>12-й–14-й</t>
  </si>
  <si>
    <t>15-й–17-й</t>
  </si>
  <si>
    <t>Улучшенное уклонение</t>
  </si>
  <si>
    <t>18-й–20-й</t>
  </si>
  <si>
    <t>Боги</t>
  </si>
  <si>
    <t>Мировоззрение</t>
  </si>
  <si>
    <t>Основные Сферы</t>
  </si>
  <si>
    <t>Типичные Последователи</t>
  </si>
  <si>
    <t>ЗД</t>
  </si>
  <si>
    <t>Война, Добро, Закон</t>
  </si>
  <si>
    <t>Паладины, воины, монахи</t>
  </si>
  <si>
    <t>Добро, Земля, Закон, Защита</t>
  </si>
  <si>
    <t>Дварфы</t>
  </si>
  <si>
    <t>Изгнание Нежити</t>
  </si>
  <si>
    <t>1+1</t>
  </si>
  <si>
    <t>Добро, Закон, Защита</t>
  </si>
  <si>
    <t>Халфлинги</t>
  </si>
  <si>
    <t>2+1</t>
  </si>
  <si>
    <t>НД</t>
  </si>
  <si>
    <t>Добро, Животные, Растения, Солнце</t>
  </si>
  <si>
    <t>Эльфы, гномы, полуэльфы, халфлинги, рейнджеры, друиды.</t>
  </si>
  <si>
    <t>Добро, Защита, Мошенничество</t>
  </si>
  <si>
    <t>Гномы</t>
  </si>
  <si>
    <t>3+1</t>
  </si>
  <si>
    <t>Добро, Лечение, Сила, Солнце</t>
  </si>
  <si>
    <t>Рейнджеры, барды</t>
  </si>
  <si>
    <t>Знание (магия)</t>
  </si>
  <si>
    <t>ХД</t>
  </si>
  <si>
    <t>Война, Добро, Защита, Хаос</t>
  </si>
  <si>
    <t>Эльфы, полуэльфы, барды</t>
  </si>
  <si>
    <t>Знание (религия)</t>
  </si>
  <si>
    <t>Добро, Сила, Удача, Хаос</t>
  </si>
  <si>
    <t>Воины, варвары, воры, атлеты/спортсмены</t>
  </si>
  <si>
    <t>Знание (планы)</t>
  </si>
  <si>
    <t>4+1</t>
  </si>
  <si>
    <t>ЗН</t>
  </si>
  <si>
    <t>Закон, Магия, Смерть</t>
  </si>
  <si>
    <t>Маги, некромансеры, чародеи</t>
  </si>
  <si>
    <t>Закон, Защита, Разрушения, Сила</t>
  </si>
  <si>
    <t>Воины, монахи, солдаты</t>
  </si>
  <si>
    <t>Н</t>
  </si>
  <si>
    <t>Знание, Магия, Мошенничество</t>
  </si>
  <si>
    <t>Маги, чародеи, ученые</t>
  </si>
  <si>
    <t>Защита, Путешествие, Удача</t>
  </si>
  <si>
    <t>Барды, купцы, искатели приключений</t>
  </si>
  <si>
    <t>5+1</t>
  </si>
  <si>
    <t>Вода, Воздух, Животные, Земля, Растения, Огонь</t>
  </si>
  <si>
    <t>Друиды, варвары, рейнджеры</t>
  </si>
  <si>
    <t>ХН</t>
  </si>
  <si>
    <t>Мошенничество, Удача, Хаос</t>
  </si>
  <si>
    <t>Воры, барды, всяческие мошенники</t>
  </si>
  <si>
    <t>ЗЗ</t>
  </si>
  <si>
    <t>Война, Закон, Зло, Разрушения</t>
  </si>
  <si>
    <t>Злые воины и монахи</t>
  </si>
  <si>
    <t>НЗ</t>
  </si>
  <si>
    <t>Зло, Мошенничество, Смерть</t>
  </si>
  <si>
    <t>Злые некромансеры и воры</t>
  </si>
  <si>
    <t>Знание, Зло, Магия</t>
  </si>
  <si>
    <t>Злые маги и чародеи, воры и шпионы</t>
  </si>
  <si>
    <t>ХЗ</t>
  </si>
  <si>
    <t>Война, Зло, Мошенничество, Хаос</t>
  </si>
  <si>
    <t>Злые воины, варвары, воры</t>
  </si>
  <si>
    <t>Война, Зло, Сила, Хаос</t>
  </si>
  <si>
    <t>Полуорки, орки</t>
  </si>
  <si>
    <t>Талисман</t>
  </si>
  <si>
    <t>Знание</t>
  </si>
  <si>
    <t>(все навыки, каждый берётся индивидуально)</t>
  </si>
  <si>
    <t>Призыв Талисмана, Написать свиток</t>
  </si>
  <si>
    <t>Ворона</t>
  </si>
  <si>
    <t>У хозяина +3 бонус к Оценке</t>
  </si>
  <si>
    <t>Жаба</t>
  </si>
  <si>
    <t>У хозяина +3 хит-поинта</t>
  </si>
  <si>
    <t>Змея2</t>
  </si>
  <si>
    <t>У хозяина +3 бонус к Блефу</t>
  </si>
  <si>
    <t>Кошка</t>
  </si>
  <si>
    <t>У хозяина +3 бонус к Бесшумному Передвижению</t>
  </si>
  <si>
    <t>Расшифровка</t>
  </si>
  <si>
    <t xml:space="preserve"> Бонусная черта</t>
  </si>
  <si>
    <t>Крыса</t>
  </si>
  <si>
    <t>У хозяина +2 бонус к проверкам Стойкости</t>
  </si>
  <si>
    <t>Ласка</t>
  </si>
  <si>
    <t>У хозяина +2 бонус к проверкам Рефлекса</t>
  </si>
  <si>
    <t>Летуч. Мышь</t>
  </si>
  <si>
    <t>У хозяина +3 бонус к Прислушиванию</t>
  </si>
  <si>
    <t>Сова</t>
  </si>
  <si>
    <t>У хозяина +3 бонус к Отслежив. в сумерках и ночью</t>
  </si>
  <si>
    <t>Ястреб</t>
  </si>
  <si>
    <t>У хозяина +3 бонус к Отслежив. при дневн. свете</t>
  </si>
  <si>
    <t>Ящерица</t>
  </si>
  <si>
    <t>У хозяина +3 бонус к Взбиранию</t>
  </si>
  <si>
    <t>Магическое Слежение за Талисманом (Пдз): Если хозяин 13-го 
и выше уровня, он способен магически следить за своим талисма ном (так, будто он применяет заклинание магическое слежение) 
один раз в день</t>
  </si>
  <si>
    <t>Уровень Класса Хозяина</t>
  </si>
  <si>
    <t>Корр. Природного Доспеха</t>
  </si>
  <si>
    <t>1–2</t>
  </si>
  <si>
    <t>Настороженность, улучшенное уклонение, совместные заклинания, эмпатическая связь</t>
  </si>
  <si>
    <t>3–4</t>
  </si>
  <si>
    <t>Перенос касательных заклинаний</t>
  </si>
  <si>
    <t>5–6</t>
  </si>
  <si>
    <t>Общение с хозяином</t>
  </si>
  <si>
    <t>7–8</t>
  </si>
  <si>
    <t>Общение с животными своего типа</t>
  </si>
  <si>
    <t>9–10</t>
  </si>
  <si>
    <t>11–12</t>
  </si>
  <si>
    <t>Устойчивость к Магии</t>
  </si>
  <si>
    <t>13–14</t>
  </si>
  <si>
    <t>Магическое слежение за талисманом</t>
  </si>
  <si>
    <t>15–16</t>
  </si>
  <si>
    <t>17–18</t>
  </si>
  <si>
    <t>19–20</t>
  </si>
  <si>
    <t>Монах</t>
  </si>
  <si>
    <t>Бонус атаки Шквала ударов</t>
  </si>
  <si>
    <t>Невооруж Поврежд1</t>
  </si>
  <si>
    <t>Бонус КД</t>
  </si>
  <si>
    <t>Скорость без Доспехов</t>
  </si>
  <si>
    <t>Актёрство</t>
  </si>
  <si>
    <t>Бонусная черта, шквал ударов, невооруженный удар</t>
  </si>
  <si>
    <t>1d6</t>
  </si>
  <si>
    <t>+0 м.</t>
  </si>
  <si>
    <t>Бонусная черта, уклонение</t>
  </si>
  <si>
    <t>Неподвижный Разум</t>
  </si>
  <si>
    <t>+3 м.</t>
  </si>
  <si>
    <t>Замедленное Падение (6 м.), Удар Ци</t>
  </si>
  <si>
    <t>1d8</t>
  </si>
  <si>
    <t>Чистота тела</t>
  </si>
  <si>
    <t>Бонусная черта, замедленное Падение (9 м.)</t>
  </si>
  <si>
    <t>+6 м.</t>
  </si>
  <si>
    <t>Целостность Тела</t>
  </si>
  <si>
    <t>Искусство Побега</t>
  </si>
  <si>
    <t>Замедленное Падение (12м.)</t>
  </si>
  <si>
    <t>1d10</t>
  </si>
  <si>
    <t>Улучшенное Уклонение</t>
  </si>
  <si>
    <t>+9 м.</t>
  </si>
  <si>
    <t>Замедленное Падение (15 м.), удар Ци (законный)</t>
  </si>
  <si>
    <t>Алмазное Тело, повышенный шквал</t>
  </si>
  <si>
    <t>Замедленное Падение(18 м.), Поражающий Шаг</t>
  </si>
  <si>
    <t>2d6</t>
  </si>
  <si>
    <t>+12 м.</t>
  </si>
  <si>
    <t>Алмазная душа</t>
  </si>
  <si>
    <t>Замедленное Падение (21 м.)</t>
  </si>
  <si>
    <t>Содрагающая Длань</t>
  </si>
  <si>
    <t>+15 м.</t>
  </si>
  <si>
    <t>Падение/Кульбиты</t>
  </si>
  <si>
    <t>Замедленное Падение (24 м.), Удар Ци (адамнтиновый)</t>
  </si>
  <si>
    <t>2d8</t>
  </si>
  <si>
    <t>Скрытность</t>
  </si>
  <si>
    <t>Нестареющее Тело Язык солнца и луны</t>
  </si>
  <si>
    <t>Замедленное Падение (27 м.)</t>
  </si>
  <si>
    <t>+18 м.</t>
  </si>
  <si>
    <t>Пустота Тела</t>
  </si>
  <si>
    <t>Замедленное Падение (любое расстояние) Собственное Улучшение</t>
  </si>
  <si>
    <t>2d10</t>
  </si>
  <si>
    <t>Повр. (Маленький Монах)</t>
  </si>
  <si>
    <t>Повр. (Большой Монах)</t>
  </si>
  <si>
    <t>1d4</t>
  </si>
  <si>
    <t>3d6</t>
  </si>
  <si>
    <t>3d8</t>
  </si>
  <si>
    <t>4d8</t>
  </si>
  <si>
    <t>Спб. Стойк.</t>
  </si>
  <si>
    <t>Спб. Рефл.</t>
  </si>
  <si>
    <t>Спб. Воли</t>
  </si>
  <si>
    <t>Аура добра, обнаружение зла, поразить зло 1/день</t>
  </si>
  <si>
    <t>Излечивающее прикосновение, божественная изящность</t>
  </si>
  <si>
    <t>Знание (дворянство и королевский двор)</t>
  </si>
  <si>
    <t>Аура храбрости, божественное здоровье</t>
  </si>
  <si>
    <t>Изгнание нежити</t>
  </si>
  <si>
    <t>Необычный скакун, поразить зло 2/день</t>
  </si>
  <si>
    <t>Излечение болезни 1/неделю</t>
  </si>
  <si>
    <t>Обн, Интл</t>
  </si>
  <si>
    <t>Излечение болезни 2/неделю</t>
  </si>
  <si>
    <t>Чувство Мотива</t>
  </si>
  <si>
    <t>Поразить зло 3/день</t>
  </si>
  <si>
    <t>Излечение болезни 3/неделю</t>
  </si>
  <si>
    <t>Излечение болезни 4/неделю, поразить зло 4/день</t>
  </si>
  <si>
    <t>Излечение болезни 5/неделю</t>
  </si>
  <si>
    <t>Поразить зло 5/день</t>
  </si>
  <si>
    <t>СКАКУН ПАЛАДИНА</t>
  </si>
  <si>
    <t>Уровень Паладина</t>
  </si>
  <si>
    <t>Бонус КХП</t>
  </si>
  <si>
    <t>Корр. Природн. Доспех</t>
  </si>
  <si>
    <t>Корр. Силы</t>
  </si>
  <si>
    <t>5–7</t>
  </si>
  <si>
    <t>Улучшенное уклонение, совместные заклинания, эмпатическая связь, совместные спасброски</t>
  </si>
  <si>
    <t>8–10</t>
  </si>
  <si>
    <t>Повышенная скорость</t>
  </si>
  <si>
    <t>11–14</t>
  </si>
  <si>
    <t>Командование существами своего вида</t>
  </si>
  <si>
    <t>15–20</t>
  </si>
  <si>
    <t xml:space="preserve"> ИЗБРАННЫЕ ВРАГИ РЕЙНДЖЕРА</t>
  </si>
  <si>
    <t>Тип (Подтип)</t>
  </si>
  <si>
    <t>Примеры</t>
  </si>
  <si>
    <t>Великан</t>
  </si>
  <si>
    <t>Огр</t>
  </si>
  <si>
    <t>Внешний (воздушный)</t>
  </si>
  <si>
    <t>Стрелоястреб</t>
  </si>
  <si>
    <t>Чтение следов, 1-й избранный враг</t>
  </si>
  <si>
    <t>Внешний (водный)</t>
  </si>
  <si>
    <t>Тойанида</t>
  </si>
  <si>
    <t>Стиль боя</t>
  </si>
  <si>
    <t>Внешний (добрый)</t>
  </si>
  <si>
    <t>Ангел</t>
  </si>
  <si>
    <t>Внешний (законный)</t>
  </si>
  <si>
    <t>Формиан</t>
  </si>
  <si>
    <t>Знание (география)</t>
  </si>
  <si>
    <t>Животное-спутник</t>
  </si>
  <si>
    <t>Внешний (земной)</t>
  </si>
  <si>
    <t>Ксорн</t>
  </si>
  <si>
    <t>2-й избранный враг</t>
  </si>
  <si>
    <t>Внешний (злой)</t>
  </si>
  <si>
    <t>Дьявол</t>
  </si>
  <si>
    <t>Знание (устройство подземелий)</t>
  </si>
  <si>
    <t>Улучшенный стиль боя</t>
  </si>
  <si>
    <t>Внешний (местный)</t>
  </si>
  <si>
    <t>Тифлинг</t>
  </si>
  <si>
    <t>Лесное продвижение</t>
  </si>
  <si>
    <t>Внешний (огненный)</t>
  </si>
  <si>
    <t>Саламандра</t>
  </si>
  <si>
    <t>Использование Верёвки</t>
  </si>
  <si>
    <t>Быстрый следопыт</t>
  </si>
  <si>
    <t>Внешний (хаотичный)</t>
  </si>
  <si>
    <t>Демон</t>
  </si>
  <si>
    <t>Уворачивание</t>
  </si>
  <si>
    <t>Гуманоид (водный)</t>
  </si>
  <si>
    <t>Русал</t>
  </si>
  <si>
    <t>3-й избранный враг</t>
  </si>
  <si>
    <t>Гуманоид (гоблиноид)</t>
  </si>
  <si>
    <t>Хобгоблин</t>
  </si>
  <si>
    <t>Мастерство боя</t>
  </si>
  <si>
    <t>Гуманоид (гнолл)</t>
  </si>
  <si>
    <t>Гнолл</t>
  </si>
  <si>
    <t>Гуманоид (гном)</t>
  </si>
  <si>
    <t>Гном</t>
  </si>
  <si>
    <t>Камуфляж</t>
  </si>
  <si>
    <t>Гуманоид (дварф)</t>
  </si>
  <si>
    <t>Дварф</t>
  </si>
  <si>
    <t>Гуманоид (орк)</t>
  </si>
  <si>
    <t>Орк</t>
  </si>
  <si>
    <t>4-й избранный враг</t>
  </si>
  <si>
    <t>Гуманоид (рептилиевидный)</t>
  </si>
  <si>
    <t>Кобольд</t>
  </si>
  <si>
    <t>Гуманоид (человек)</t>
  </si>
  <si>
    <t>Человек</t>
  </si>
  <si>
    <t>Скрытность в поле зрения</t>
  </si>
  <si>
    <t>Гуманоид (халфлинг)</t>
  </si>
  <si>
    <t>Халфлинг</t>
  </si>
  <si>
    <t>Гуманоид (эльф)</t>
  </si>
  <si>
    <t>Эльф</t>
  </si>
  <si>
    <t>Дракон</t>
  </si>
  <si>
    <t>Чёрный дракон</t>
  </si>
  <si>
    <t>5-й избранный враг</t>
  </si>
  <si>
    <t>Животное</t>
  </si>
  <si>
    <t>Медведь</t>
  </si>
  <si>
    <t>Магический зверь</t>
  </si>
  <si>
    <t>Сместитель</t>
  </si>
  <si>
    <t>Механизм</t>
  </si>
  <si>
    <t>Голем</t>
  </si>
  <si>
    <t>Насекомое</t>
  </si>
  <si>
    <t>Ужасный паук</t>
  </si>
  <si>
    <t>Необычный</t>
  </si>
  <si>
    <t>Бихолдер</t>
  </si>
  <si>
    <t>Нежить</t>
  </si>
  <si>
    <t>Зомби</t>
  </si>
  <si>
    <t>Растение</t>
  </si>
  <si>
    <t>Шаркающая куча</t>
  </si>
  <si>
    <t>Слизь</t>
  </si>
  <si>
    <t>Желатиновый куб</t>
  </si>
  <si>
    <t>Фея</t>
  </si>
  <si>
    <t>Дриада</t>
  </si>
  <si>
    <t>Элементаль</t>
  </si>
  <si>
    <t>Невидимый преследователь</t>
  </si>
  <si>
    <t>Заклинаний в день:</t>
  </si>
  <si>
    <t>Блеф</t>
  </si>
  <si>
    <t>Призыв талисмана</t>
  </si>
  <si>
    <t>Количество Знаемых Заклинаний</t>
  </si>
  <si>
    <t>Расовые особенности</t>
  </si>
  <si>
    <t>У гномов +2 расовый бонус к спасброскам против иллюзий, так как гномы хорошо знакомы со всеми типами иллюзий.</t>
  </si>
  <si>
    <t>Обработка камня: Из-за своей расы дварфы прибавляют +2
бонус к проверки, что бы заметить необычную обработку
камня, такую как: закрывающиеся стены, каменные ловушки, новые конструкции (даже те, что на вид старые), неустойчивые поверхности, непрочные потолки, и тому подобное. Что-то, что, похоже, подражает камню, но не каменное
считается необычной обработкой камня.</t>
  </si>
  <si>
    <t>У гномов +1 расовый бонус против кобольдов и гоблинообразных (гоблины, хобгоблины, медвежатники): Часто сражаясь с этими расами, гномы накопили опыт битв применяемый в боях против них</t>
  </si>
  <si>
    <t>Дварф находящийся в 3 метрах от необычной обработки камня, делает проверку, будто активно ищет, дварф может использовать навык Поиск, обнаружить каменные ловушки как и вор.</t>
  </si>
  <si>
    <t>У гномов +1 к Классу Сложности для всех спасбросков с акти-вированных гномами. Их врожденная осведомленность с этими эффектами, делает иллюзии более сложными для рассмотрения. Эта корректировка суммируется с иными похожими эффектами, такими от черты Фокусировка в Заклинаниях</t>
  </si>
  <si>
    <t>Дварф интуитивно чувствует глубину, наклон туннеля, точно, так как человек на поверхности ощущает на склоне где подъем, где спуск. Так как у дварфов развито шестое чувство, отношение к камню, у них достаточно возможности в развитии
этого чувства в их подземных домах</t>
  </si>
  <si>
    <t xml:space="preserve">У гномов +4 бонус к уворачиванию против существ из типа великаны: Заметьте, что если персонаж может потерять бонус к Классу Доспехов, например из-за того, что, он оторопевший, он также теряет и свой бонус уворачивания тоже. </t>
  </si>
  <si>
    <t>Получает +4 бонус к проверкам от повышенного напора или опрокидывания (но, не когда взбирается, лети, едет верхом, или ещё как-то передвигается, не касаясь почвы)</t>
  </si>
  <si>
    <t>У гномов +2 расовый бонус к проверке Ремесло (Алхимия): Очень чувствительный нос гномов позволяет им отслеживать алхимические процессы по запаху.</t>
  </si>
  <si>
    <t>У дварфов +2 расовый бонус к спасброскам против ядов: Дварфы очень устойчивы к токсическим веществам</t>
  </si>
  <si>
    <t>У дварфов +2 расовый бонус к спасброскам против заклинаний и эффектов подобным заклинаниям</t>
  </si>
  <si>
    <t>У дварфов +1 к броскам атаки против орков (включая и полуорков) и гоблиноидов (гоблины, хобгоблины имедвежатники): Дварфы разработали особые боевые умения, способные более профессионально сражаться с их постоянными врагами.</t>
  </si>
  <si>
    <t>У дварфов +4 бонус к уворачиванию против атак существ из типа
вели-кан (таких как огры, тролли и холмовые
великаны)</t>
  </si>
  <si>
    <t>У дварфов +2 расовый бонус к проверке «Ремесло» относящемуся к камню или металлу: Дварфы особенно искусны с обработкой камня и металлов</t>
  </si>
  <si>
    <t>Макс ХП</t>
  </si>
  <si>
    <t>Прогресс уровня</t>
  </si>
  <si>
    <t xml:space="preserve">До следующего уровня </t>
  </si>
  <si>
    <t>Полугиганты получают расовый бонус +2 к спасброскам против всех огненных заклинаний и эффектов. Полугиганты привыкли переносить высокие температуры.</t>
  </si>
  <si>
    <t>Полувеликаны</t>
  </si>
  <si>
    <t>Аспект</t>
  </si>
  <si>
    <t>Драконорожденные</t>
  </si>
  <si>
    <t>Сердце</t>
  </si>
  <si>
    <t>Сердце (Св): Драконорождённый, выбравший сердце в качестве своего драконьего аспекта, получает оружие дыхания. Оружие дыхания — это яркая, сияющая линия, которая сверкает всеми металлическими цветами. Длина линии составляет 5 футов за каждый Hit Die драконорождённого, до максимума в 100 футов при 20 HD. Оружие дыхания наносит 1d8 очков урона, плюс дополнительные 1d8 очков за каждые 3 HD драконорождённого (2d8 при 3 HD, 3d8 при 6 HD и так далее). Урон может быть кислотой, холодом, электричеством или огнём, меняясь при каждом использовании по выбору драконорождённого. Успешный спасбросок по Рефлексу (DC 10 + 1/2 HD драконорождённого + его модификатор Con) уменьшает урон вдвое.</t>
  </si>
  <si>
    <t>Разум</t>
  </si>
  <si>
    <t>Крылья</t>
  </si>
  <si>
    <t>Разум (Ex): Драконорождённый, выбравший аспект разума, обостряет свои чувства, получая иммунитет к параличу и магическому сну. Он получает тёмное зрение до 30 футов и зрение при слабом освещении, а также расовый бонус +2 к проверкам Слушания, Поиска и Обнаружения.
При уровне HD 6 темновидение драконорождённого расширяется до 60 футов.
При уровне HD 9 темновидение драконорождённого простирается до 90 футов, а его способность видеть при слабом освещении позволяет ему видеть в три раза дальше человека в условиях слабого освещения.
При уровне 12 HD темновидение драконорождённого простирается до 120 футов, а её зрение при слабом освещении позволяет ей видеть в четыре раза дальше человека в условиях слабого освещения.
При уровне HD 15 драконорождённый получает слепое зрение на расстоянии до 30 футов.</t>
  </si>
  <si>
    <t xml:space="preserve">Крылья (Ex): Драконорождённый, выбравший аспект крыльев, вылупляется с полностью сформированными крыльями. Драконорождённый может использовать эти крылья для прыжков (давая расовый бонус +10 к проверкам прыжков) и для планирования. Те, у кого 6 HD или больше, могут использовать свои крылья для полёта.
</t>
  </si>
  <si>
    <t>Планирование</t>
  </si>
  <si>
    <t>Планирование: Драконорождённый может использовать свои крылья для планирования, сводя на нет урон от падения с любой высоты и позволяя 20 футов движения вперёд на каждые 5 футов спуска. Драконорождённый скользит со скоростью 30 футов со средней манёвренностью. Даже если манёвренность драконорождённого улучшается, он не может зависать во время планирования. Драконорождённый не может планировать, неся средний или тяжёлый груз.
Если драконорожденный теряет сознание или становится беспомощным в воздухе, его крылья естественным образом раскрываются, а мощные связки укрепляют их. Драконорожденный медленно спускается в тугом штопоре и получает всего 1d6 очков урона от падения, независимо от фактической высоты падения.</t>
  </si>
  <si>
    <t>Полет: Когда драконорождённый, выбравший аспект крыльев, достигает 6 HD, он получает скорость полёта 30 футов со средней маневренностью. Драконорождённый не может летать, неся средний или тяжёлый груз или будучи утомлённым или изнурённым.
Драконорождённый может безопасно летать в течение количества последовательных раундов, равного его модификатору Телосложения (минимум 1 раунд). Он может удвоить эту длину полета, но устаёт от такого напряжения. Драконорождённый также устаёт, проведя в общей сложности более 10 минут в день в полёте. Поскольку драконорождённый может планировать до, после и между раундами фактического полета, он может оставаться в воздухе в течение длительного времени, даже если он может использовать полет только в течение 1 раунда за раз, не уставая.
Когда она достигает 12 HD, драконорождённый имеет достаточно выносливости и мастерства, чтобы летать без устали. Она может летать со скоростью 30 футов (средняя маневренность) с не большим усилием, чем при ходьбе или беге.
Драконорождённый с полётом может совершить атаку пикированием. Атака пикированием работает как рывок, но драконорождённый должен переместиться минимум на 30 футов и опуститься минимум на 10 футов. Драконорождённый может совершить атаку пикированием только при использовании колющего оружия. Если атака пикированием попадает, она наносит двойной урон.</t>
  </si>
  <si>
    <t>Полет</t>
  </si>
  <si>
    <t>Бонус +2 уклонения к классу брони против существ типа дракона. У драконорожденных есть врожденное чувство того, как лучше всего защитить себя от потенциальных врагов.
Иммунитет к пугающему присутствию: Драконорождённые невосприимчивы к пугающему присутствию драконов, как если бы они сами были драконами.</t>
  </si>
  <si>
    <t>Гигант: Полугиганты не подвержены заклинаниям или эффектам, которые действуют только на гуманоидов, например, очарование или подчинение.</t>
  </si>
  <si>
    <t>Зрение при слабом освещении: полугигант может видеть в два раза дальше, чем человек, при свете звёзд, луны, факелов и в других условиях слабого освещения. Он сохраняет способность различать цвета и детали в таких условиях.</t>
  </si>
  <si>
    <t>Способность, похожая на пси-способность: 1 раз в день — топот. Уровень манифестатора равен ½ кубика хитов (минимум 1-й). Сопротивление спасброска зависит от харизмы.</t>
  </si>
  <si>
    <t>Незадано</t>
  </si>
  <si>
    <t>Регулировка уровня</t>
  </si>
  <si>
    <t>Хайрониус</t>
  </si>
  <si>
    <t xml:space="preserve"> бог доблести</t>
  </si>
  <si>
    <t>Морадин</t>
  </si>
  <si>
    <t xml:space="preserve"> бог дварфов</t>
  </si>
  <si>
    <t>Йондалла</t>
  </si>
  <si>
    <t xml:space="preserve"> богиня халфлингов</t>
  </si>
  <si>
    <t>Эхлонна</t>
  </si>
  <si>
    <t xml:space="preserve"> богиня лесной местности</t>
  </si>
  <si>
    <t>Гарл Глиттергольд</t>
  </si>
  <si>
    <t xml:space="preserve"> бог гномов</t>
  </si>
  <si>
    <t>Пелор</t>
  </si>
  <si>
    <t xml:space="preserve"> бог солнца</t>
  </si>
  <si>
    <t>Кореллон Ларесйан</t>
  </si>
  <si>
    <t xml:space="preserve"> бог эльфов</t>
  </si>
  <si>
    <t>Корд</t>
  </si>
  <si>
    <t xml:space="preserve"> бог силы</t>
  </si>
  <si>
    <t>Вии Джас</t>
  </si>
  <si>
    <t>Св. Кутберт</t>
  </si>
  <si>
    <t xml:space="preserve"> бог возмездия</t>
  </si>
  <si>
    <t>Боккоб</t>
  </si>
  <si>
    <t xml:space="preserve"> бог магии</t>
  </si>
  <si>
    <t>Фарлахнгун</t>
  </si>
  <si>
    <t xml:space="preserve"> бог дорог</t>
  </si>
  <si>
    <t>Обад-Хай</t>
  </si>
  <si>
    <t xml:space="preserve"> бог природы</t>
  </si>
  <si>
    <t>Олидаммара</t>
  </si>
  <si>
    <t xml:space="preserve"> бог воров</t>
  </si>
  <si>
    <t>Хекстор</t>
  </si>
  <si>
    <t xml:space="preserve"> бог тирании</t>
  </si>
  <si>
    <t>Нерулл</t>
  </si>
  <si>
    <t xml:space="preserve"> бог смерти</t>
  </si>
  <si>
    <t>Векна</t>
  </si>
  <si>
    <t xml:space="preserve"> бог тайн и секретов</t>
  </si>
  <si>
    <t>Эриснул</t>
  </si>
  <si>
    <t xml:space="preserve"> бог кровопролития</t>
  </si>
  <si>
    <t>Груумш</t>
  </si>
  <si>
    <t xml:space="preserve"> бог орков</t>
  </si>
  <si>
    <t xml:space="preserve"> богиня смерти,  магии</t>
  </si>
  <si>
    <t>Великие божества</t>
  </si>
  <si>
    <t>Средние божества</t>
  </si>
  <si>
    <t>Меньшие боги</t>
  </si>
  <si>
    <t>Полубожества</t>
  </si>
  <si>
    <t>Мёртвые боги</t>
  </si>
  <si>
    <t>Акади (Akadi)</t>
  </si>
  <si>
    <t xml:space="preserve"> Богиня воздуха, движения, скорости, летающих существ</t>
  </si>
  <si>
    <t>Бэйн (Bane)</t>
  </si>
  <si>
    <t xml:space="preserve"> Бог раздора, ненависти, тирании, страха</t>
  </si>
  <si>
    <t>Грумбар (Grumbar)</t>
  </si>
  <si>
    <t xml:space="preserve"> Бог земли, твёрдости, постоянства, клятв</t>
  </si>
  <si>
    <t>Истишия (Istishia)</t>
  </si>
  <si>
    <t xml:space="preserve"> Бог воды, чистоты, слабости</t>
  </si>
  <si>
    <t>Келемвор (Kelemvor)</t>
  </si>
  <si>
    <t xml:space="preserve"> Бог смерти, мертвых</t>
  </si>
  <si>
    <t>Коссут (Kossuth)</t>
  </si>
  <si>
    <t xml:space="preserve"> Бог огня</t>
  </si>
  <si>
    <t>Латандер (Lathander)</t>
  </si>
  <si>
    <t xml:space="preserve"> Бог весны, рассвета, рождения, молодости, здоровья, спорта</t>
  </si>
  <si>
    <t>Ллос (Lloth)</t>
  </si>
  <si>
    <t xml:space="preserve"> Богиня пауков, разрушения, дроу, темноты, предательства</t>
  </si>
  <si>
    <t>Мистра (Mystra)</t>
  </si>
  <si>
    <t xml:space="preserve"> Богиня магии</t>
  </si>
  <si>
    <t>Огма (Oghma)</t>
  </si>
  <si>
    <t xml:space="preserve"> Бог знаний, изобретений, вдохновения, бардов</t>
  </si>
  <si>
    <t>Сильванус (Silvanus)</t>
  </si>
  <si>
    <t xml:space="preserve"> Бог дикой природы, друидов</t>
  </si>
  <si>
    <t>Сирик (Cyric)</t>
  </si>
  <si>
    <t xml:space="preserve"> Бог убийства, лжи, интриг, жульничества, иллюзий</t>
  </si>
  <si>
    <t>Сунэ (Sune)</t>
  </si>
  <si>
    <t xml:space="preserve"> Богиня красоты, любви, страсти</t>
  </si>
  <si>
    <t>Сэлунэ(Selûne)</t>
  </si>
  <si>
    <t xml:space="preserve"> Богиня луны, звёзд, навигации, пророчеств, добрых и нейтральных оборотней</t>
  </si>
  <si>
    <t>Талос (Талос)</t>
  </si>
  <si>
    <t xml:space="preserve"> Бог грома, разрушения, восстаний, пожаров, землетрясений, вихрей</t>
  </si>
  <si>
    <t>Темпус (Tempus)</t>
  </si>
  <si>
    <t xml:space="preserve"> Бог войны</t>
  </si>
  <si>
    <t>Тир (Tyr)</t>
  </si>
  <si>
    <t xml:space="preserve"> Бог правосудия</t>
  </si>
  <si>
    <t>Убтао (Ubtao)</t>
  </si>
  <si>
    <t xml:space="preserve"> Бог создания, джунглей, Чулта, динозавров</t>
  </si>
  <si>
    <t>Чаунтия (Chauntea)</t>
  </si>
  <si>
    <t xml:space="preserve"> Богиня сельского хозяйства, лета, фермеров, садовников</t>
  </si>
  <si>
    <t>Шар (Shar)</t>
  </si>
  <si>
    <t xml:space="preserve"> Богиня тьмы, ночи, потери, забвения, секретов, подземелий, Андердарка</t>
  </si>
  <si>
    <t>Асмодей (Asmodeus)</t>
  </si>
  <si>
    <t xml:space="preserve"> Бог греха</t>
  </si>
  <si>
    <t>Бешаба (Beshaba)</t>
  </si>
  <si>
    <t xml:space="preserve"> Богиня неудачи, несчастных случаев</t>
  </si>
  <si>
    <t>Гонд (Gond)</t>
  </si>
  <si>
    <t xml:space="preserve"> Бог ремёсел, изобретений, кузнечества, конструирования</t>
  </si>
  <si>
    <t>Илматер (Ilmater)</t>
  </si>
  <si>
    <t xml:space="preserve"> Бог выносливости, страданий, мученичества, упорства</t>
  </si>
  <si>
    <t>Миеликки (Mielikki)</t>
  </si>
  <si>
    <t xml:space="preserve"> Богиня лесов, лесных существ, следопытов, дриад, осени</t>
  </si>
  <si>
    <t>Тимора (Tymora)</t>
  </si>
  <si>
    <t xml:space="preserve"> Богиня удачи, мастерства, победы, искателей приключений</t>
  </si>
  <si>
    <t>Амберли (Umberlee)</t>
  </si>
  <si>
    <t xml:space="preserve"> Богиня океанов, течений, волн, морских ветров</t>
  </si>
  <si>
    <t>Хельм (Helm)</t>
  </si>
  <si>
    <t xml:space="preserve"> Бог стражей, защитников, заступников, целителей</t>
  </si>
  <si>
    <t>Азут (Azuth)</t>
  </si>
  <si>
    <t xml:space="preserve"> Бог магов и прочих заклинателей</t>
  </si>
  <si>
    <t>Денеир (Deneir)</t>
  </si>
  <si>
    <t xml:space="preserve"> Бог глифов, литературы, писцов, художников, картографии</t>
  </si>
  <si>
    <t>Лиира (Lliira)</t>
  </si>
  <si>
    <t xml:space="preserve"> Богиня счастья, удовольствия, танца, праздников, свободы</t>
  </si>
  <si>
    <t>Ловиатар (Loviatar)</t>
  </si>
  <si>
    <t xml:space="preserve"> Богиня боли, агонии, пыток, страданий</t>
  </si>
  <si>
    <t>Малар (Malar)</t>
  </si>
  <si>
    <t xml:space="preserve"> Бог охотников, жажды крови, злых оборотней</t>
  </si>
  <si>
    <t>Маск (Mask)</t>
  </si>
  <si>
    <t xml:space="preserve"> Бог воров, кражи, теней</t>
  </si>
  <si>
    <t>Милил (Milil)</t>
  </si>
  <si>
    <t xml:space="preserve"> Бог поэзии, песен, ораторского искусства</t>
  </si>
  <si>
    <t>Аурил (Auril)</t>
  </si>
  <si>
    <t xml:space="preserve"> Богиня холода, зимы</t>
  </si>
  <si>
    <t>Талона (Talona)</t>
  </si>
  <si>
    <t xml:space="preserve"> Богиня болезней, яда</t>
  </si>
  <si>
    <t>Тиамат (Tiamat)</t>
  </si>
  <si>
    <t xml:space="preserve"> «Море», одно из воплощений первобытного хаоса</t>
  </si>
  <si>
    <t>Торм (Torm)</t>
  </si>
  <si>
    <t xml:space="preserve"> Бог долга, преданности, смирения, отваги, паладинов</t>
  </si>
  <si>
    <t>Уокин (Waukeen)</t>
  </si>
  <si>
    <t xml:space="preserve"> Богиня торговли, денег, богатства</t>
  </si>
  <si>
    <t>Шондакул (Shaundakul)</t>
  </si>
  <si>
    <t xml:space="preserve"> Бог путешествий, исследований, караванов, порталов</t>
  </si>
  <si>
    <t>Элдат (Eldath)</t>
  </si>
  <si>
    <t xml:space="preserve"> Богиня мира, тихих мест, родников, водопадов</t>
  </si>
  <si>
    <t>Валькур (Valkur)</t>
  </si>
  <si>
    <t xml:space="preserve"> Бог моряков, кораблей, попутных ветров, морских сражений</t>
  </si>
  <si>
    <t>Велшарун (Velsharoon)</t>
  </si>
  <si>
    <t xml:space="preserve"> Бог некромантии, некромантов, личей, нежити</t>
  </si>
  <si>
    <t>Гарагос (Garagos)</t>
  </si>
  <si>
    <t xml:space="preserve"> Бог войны, владения оружием, разрушения, грабежа</t>
  </si>
  <si>
    <t>Гаргот (Gargauth)</t>
  </si>
  <si>
    <t xml:space="preserve"> Бог предательства, жестокости, политической коррупции</t>
  </si>
  <si>
    <t>Гуэрон Уиндстром (Gwaeron Windstrom)</t>
  </si>
  <si>
    <t xml:space="preserve"> Бог следопытов Севера</t>
  </si>
  <si>
    <t>Джергал (Jergal)</t>
  </si>
  <si>
    <t xml:space="preserve"> Бог судьбы, церемониального погребения, страж могил</t>
  </si>
  <si>
    <t>Красный рыцарь (Red Knight)</t>
  </si>
  <si>
    <t xml:space="preserve"> Богиня стратегии, планирования, тактики</t>
  </si>
  <si>
    <t>Луруэ (Lurue)</t>
  </si>
  <si>
    <t xml:space="preserve"> Богиня говорящих зверей, разумных негуманоидных существ</t>
  </si>
  <si>
    <t>Нобанион (Nobanion)</t>
  </si>
  <si>
    <t xml:space="preserve"> Бог королевской власти, львов, добрых зверей</t>
  </si>
  <si>
    <t>Саврас (Savras)</t>
  </si>
  <si>
    <t xml:space="preserve"> Бог предсказаний, судьбы, истины</t>
  </si>
  <si>
    <t>Сиаморф (Siamorphe)</t>
  </si>
  <si>
    <t xml:space="preserve"> Богиня аристократии</t>
  </si>
  <si>
    <t>Улутиу (Ulutiu)</t>
  </si>
  <si>
    <t xml:space="preserve"> Бог ледников, жителей арктики</t>
  </si>
  <si>
    <t>Утгар (Uthgar)</t>
  </si>
  <si>
    <t xml:space="preserve"> Бог варваров Утгардта, физической силы</t>
  </si>
  <si>
    <t>Финдер Драконошпор (Finder Wyvernspur)</t>
  </si>
  <si>
    <t xml:space="preserve"> Бог жизненного цикла, преобразований искусства, сауриалов</t>
  </si>
  <si>
    <t>Хоар (Hoar)</t>
  </si>
  <si>
    <t xml:space="preserve"> Бог мести, возмездия, справедливости</t>
  </si>
  <si>
    <t>Шаресс (Sharess)</t>
  </si>
  <si>
    <t xml:space="preserve"> Богиня гедонизма, сексуального удовлетворения, увеселительных заведений, кошек</t>
  </si>
  <si>
    <t>Шиаллия (Shiallia)</t>
  </si>
  <si>
    <t xml:space="preserve"> Богиня лесных опушек, Великого Леса, Невервинтерского Леса</t>
  </si>
  <si>
    <t>Амонатор (Amaunator)</t>
  </si>
  <si>
    <t xml:space="preserve"> Древний нетерильский бог Порядка и Солнца</t>
  </si>
  <si>
    <t>Миркул (Myrkul)</t>
  </si>
  <si>
    <t xml:space="preserve"> Бывший бог смерти</t>
  </si>
  <si>
    <t>Баал (Bhaal)</t>
  </si>
  <si>
    <t xml:space="preserve"> Бывший бог убийства и насилия</t>
  </si>
  <si>
    <t>БОГИ Грехоковский пантеон</t>
  </si>
  <si>
    <t>БОГИ Фаэрун(забытые королевства)</t>
  </si>
  <si>
    <t>Стихия воздуха, летающие существа, движение, скорость</t>
  </si>
  <si>
    <t>Архоны воздушных элементалей, заводчики животных, рейнджеры, плуты, мореходы</t>
  </si>
  <si>
    <t>Борьба, ненависть, тирания, страх</t>
  </si>
  <si>
    <t>Завоеватели, злые воины и монахи, тираны, маги</t>
  </si>
  <si>
    <t>Стихия земли, прочность, неизменность, клятвы</t>
  </si>
  <si>
    <t>Стихийные архонты земли, воины, монахи, рейнджеры</t>
  </si>
  <si>
    <t>Стихия воды, очищение</t>
  </si>
  <si>
    <t>Барды, стихийные архоны (вода), моряки, путешественники</t>
  </si>
  <si>
    <t>Смерть и мёртвые</t>
  </si>
  <si>
    <t>умирающие, семьи умирающих, могильщики, охотники на нежить, гробовщики, плакальщики</t>
  </si>
  <si>
    <t>Стихия огня, очищение огнём</t>
  </si>
  <si>
    <t>Друиды, элементные архоны, огненные существа, тэйцы</t>
  </si>
  <si>
    <t>Атлетика, рождение, воображение, рассвет, обновление, самосовершенствование, весна, живучесть, молодость</t>
  </si>
  <si>
    <t>Аристократы, художники, атлеты, купцы, монахи, молодёжь</t>
  </si>
  <si>
    <t>Дроу, пауки, зло, тьма</t>
  </si>
  <si>
    <t>Дроу</t>
  </si>
  <si>
    <t>Магия, заклинания, плетение</t>
  </si>
  <si>
    <t xml:space="preserve">
Эльфы, полуэльфы, инкантатрикс, мистические странники, колдуны, танцоры заклинаний, передающие огонь заклинаний, волшебники</t>
  </si>
  <si>
    <t>Знание, барды, вдохновение, изобретательность</t>
  </si>
  <si>
    <t>Художники, барды, картографы, изобретатели, мудрецы, учёные, писцы и волшебники</t>
  </si>
  <si>
    <t>Дикая природа, друидизм</t>
  </si>
  <si>
    <t>Друиды, лесные люди, лесные эльфы</t>
  </si>
  <si>
    <t>Убийства, ложь, интрига, обман, иллюзии</t>
  </si>
  <si>
    <t>Бывшая паства Бэйна, Бхаала и Миркула, властолюбивый молодняк</t>
  </si>
  <si>
    <t>Красота, любовь, страсть</t>
  </si>
  <si>
    <t>Любовники, художники, полуэльфы, искатели приключений, монахи Солнечной Души</t>
  </si>
  <si>
    <t>Луна, незлые оборотни, навигация, искатели, звёзды, странствия</t>
  </si>
  <si>
    <t>Женщины-волшебницы, добрые и нейтральные оборотни, монахи Солнечной души, моряки и навигаторы</t>
  </si>
  <si>
    <t>Уничтожение, пожары, землетрясения, восстания, бури, ураганы</t>
  </si>
  <si>
    <t>Варвары, друиды, воины, полуорки, боящиеся природных катаклизмов</t>
  </si>
  <si>
    <t>Война, битва, воины</t>
  </si>
  <si>
    <t>воины, бойцы, варвары, рейнджеры, полуорки</t>
  </si>
  <si>
    <t>Бесстрашие, доверие, стратегия, тактика, писание</t>
  </si>
  <si>
    <t>Воины, монахи, паладины, рейнджеры, мудрецы, дварфы</t>
  </si>
  <si>
    <t>Созидание, джунгли, Чалт, жители Чалта, динозавры</t>
  </si>
  <si>
    <t>адепты, чалтане, друиды, жители джунглей, рейнджеры</t>
  </si>
  <si>
    <t>Сельское хозяйство, растениеводство, крестьяне, садовники, лето</t>
  </si>
  <si>
    <t>Крестьяне, друиды, фермеры, садовники</t>
  </si>
  <si>
    <t>тьма, ночь, пещеры, подземелья, забывчивость, потеря, секреты, Подземье</t>
  </si>
  <si>
    <t>анархисты, убийцы, мстители, монахи (Тёмная Луна), нигилисты, жулики, адепты тени, теневые танцоры</t>
  </si>
  <si>
    <t>Ад</t>
  </si>
  <si>
    <t>властные, могущественные фигуры, обладающие великим личным магнетизмом и политическим влиянием.</t>
  </si>
  <si>
    <t>Артефакт Плащ теней. 1 раунд невидимости если находишься в тени. Дает 1 раз в день темновидение</t>
  </si>
  <si>
    <t>надет</t>
  </si>
  <si>
    <t xml:space="preserve">Голова сатира </t>
  </si>
  <si>
    <t>на поясе</t>
  </si>
  <si>
    <t>Бутылка эля Дварф.</t>
  </si>
  <si>
    <t xml:space="preserve">Полный клепаный доспех </t>
  </si>
  <si>
    <t>Плащ</t>
  </si>
  <si>
    <t xml:space="preserve">Разгрузка 4 ячейки </t>
  </si>
  <si>
    <t>Полный клепаный доспех</t>
  </si>
  <si>
    <t>Обший</t>
  </si>
  <si>
    <t>Эльфийский</t>
  </si>
  <si>
    <t>Кошачий</t>
  </si>
  <si>
    <t>­2</t>
  </si>
  <si>
    <t>–2</t>
  </si>
  <si>
    <t>­1</t>
  </si>
  <si>
    <t>–1</t>
  </si>
  <si>
    <t>Нет</t>
  </si>
  <si>
    <t>Бонус атаки Шквал ударов</t>
  </si>
  <si>
    <t>Урон</t>
  </si>
  <si>
    <t>Большой</t>
  </si>
  <si>
    <t>амулет тишины
Тишина вокруг меня на 10 футов
Заклинание тишины</t>
  </si>
  <si>
    <t xml:space="preserve">Кольцо падения перышком
Кольцо +1 к защите </t>
  </si>
  <si>
    <t>Амулет Красный клык +2 КБ
Амулет +2 к модификатору тел.</t>
  </si>
  <si>
    <t>2 зелье лечения 1d8
Среднее зелье лечения 2d8
Запутывающая торба</t>
  </si>
  <si>
    <t>27 медь | 5 серебро | 13 и 0 в банке золото | 0 платина</t>
  </si>
  <si>
    <t xml:space="preserve"> 3 колокольчика</t>
  </si>
  <si>
    <t>Основная</t>
  </si>
  <si>
    <t>Основная + Бонусная черта</t>
  </si>
  <si>
    <t>Увеличение характеристик</t>
  </si>
  <si>
    <t>(+1 к любой характеристике)</t>
  </si>
  <si>
    <t xml:space="preserve">1. Нашение доспехов и владение оружием  
2. Повышенная воля +2 к спасброску Воля
3. Любимое оружее (Длинный меч) +1 к Броскам атаки 
    3.1 +1 на попадание от мастерского длинного меча 
4. Мощная атака + базовый бонус атаки к урону 
5.Выносливость +4 к спасброскам
6. Рассекающий удар (удар по упавшему)
7. Любимое оружее (Двуручный меч) +1 к броскам атаки 
    7.1 +1 на попадание и урон от Гремящей шпалы
8. Специализация в Оружии¹˒² +2 бонус к броскам повреждения с Двурчным Мечем 
</t>
  </si>
  <si>
    <t xml:space="preserve">разгрузка:
лечение 1d8
лечение 1d8
Торба
Дымовая палка
</t>
  </si>
  <si>
    <t>дымная палочка 2
Серпы 3</t>
  </si>
  <si>
    <t xml:space="preserve">
Дневник Тифлинга о Сиаме и артефакте приручения дракона</t>
  </si>
  <si>
    <t>Знания (магия)</t>
  </si>
  <si>
    <t>Знания (религия)</t>
  </si>
  <si>
    <t>Знания (планы)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</si>
</sst>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0">
    <font>
      <sz val="11"/>
      <color theme="1"/>
      <name val="Calibri"/>
      <family val="2"/>
      <scheme val="minor"/>
    </font>
    <font>
      <sz val="11"/>
      <color theme="1"/>
      <name val="Calibri"/>
      <family val="2"/>
      <charset val="204"/>
      <scheme val="minor"/>
    </font>
    <font>
      <sz val="10"/>
      <color rgb="FF000000"/>
      <name val="Arial"/>
      <family val="2"/>
      <charset val="204"/>
    </font>
    <font>
      <b/>
      <sz val="10"/>
      <color rgb="FFFFFFFF"/>
      <name val="Arial"/>
      <family val="2"/>
      <charset val="204"/>
    </font>
    <font>
      <b/>
      <sz val="10"/>
      <color rgb="FF000000"/>
      <name val="Arial"/>
      <family val="2"/>
      <charset val="204"/>
    </font>
    <font>
      <sz val="10"/>
      <color rgb="FFFFFFFF"/>
      <name val="Arial"/>
      <family val="2"/>
      <charset val="204"/>
    </font>
    <font>
      <b/>
      <sz val="11"/>
      <color theme="1"/>
      <name val="Calibri"/>
      <family val="2"/>
      <charset val="204"/>
      <scheme val="minor"/>
    </font>
    <font>
      <sz val="10"/>
      <name val="Arial"/>
      <family val="2"/>
      <charset val="204"/>
    </font>
    <font>
      <b/>
      <sz val="10"/>
      <name val="Arial"/>
      <family val="2"/>
      <charset val="204"/>
    </font>
    <font>
      <sz val="72"/>
      <color theme="1"/>
      <name val="Segoe Print"/>
      <charset val="204"/>
    </font>
    <font>
      <sz val="14"/>
      <color theme="0"/>
      <name val="Arial"/>
      <family val="2"/>
      <charset val="204"/>
    </font>
    <font>
      <b/>
      <sz val="16"/>
      <name val="Arial"/>
      <family val="2"/>
      <charset val="204"/>
    </font>
    <font>
      <b/>
      <sz val="10"/>
      <color theme="0"/>
      <name val="Arial"/>
      <family val="2"/>
      <charset val="204"/>
    </font>
    <font>
      <b/>
      <sz val="14"/>
      <color theme="0"/>
      <name val="Arial"/>
      <family val="2"/>
      <charset val="204"/>
    </font>
    <font>
      <b/>
      <sz val="20"/>
      <color theme="1"/>
      <name val="Calibri"/>
      <family val="2"/>
      <charset val="204"/>
      <scheme val="minor"/>
    </font>
    <font>
      <b/>
      <sz val="24"/>
      <color theme="1"/>
      <name val="Calibri"/>
      <family val="2"/>
      <charset val="204"/>
      <scheme val="minor"/>
    </font>
    <font>
      <b/>
      <sz val="18"/>
      <name val="Arial"/>
      <family val="2"/>
      <charset val="204"/>
    </font>
    <font>
      <b/>
      <sz val="18"/>
      <color theme="1"/>
      <name val="Calibri"/>
      <family val="2"/>
      <charset val="204"/>
      <scheme val="minor"/>
    </font>
    <font>
      <b/>
      <sz val="20"/>
      <color rgb="FFFFFFFF"/>
      <name val="Arial"/>
      <family val="2"/>
      <charset val="204"/>
    </font>
    <font>
      <sz val="20"/>
      <color theme="1"/>
      <name val="Calibri"/>
      <family val="2"/>
      <scheme val="minor"/>
    </font>
    <font>
      <sz val="16"/>
      <color theme="0"/>
      <name val="Arial"/>
      <family val="2"/>
      <charset val="204"/>
    </font>
    <font>
      <b/>
      <sz val="22"/>
      <color rgb="FFFFFFFF"/>
      <name val="Arial"/>
      <family val="2"/>
      <charset val="204"/>
    </font>
    <font>
      <sz val="11"/>
      <color theme="0"/>
      <name val="Calibri"/>
      <family val="2"/>
      <scheme val="minor"/>
    </font>
    <font>
      <b/>
      <sz val="18"/>
      <color rgb="FF000000"/>
      <name val="Arial"/>
      <family val="2"/>
      <charset val="204"/>
    </font>
    <font>
      <sz val="12"/>
      <color rgb="FF000000"/>
      <name val="Arial"/>
      <family val="2"/>
      <charset val="204"/>
    </font>
    <font>
      <b/>
      <sz val="10"/>
      <name val="Georgia"/>
      <family val="1"/>
      <charset val="204"/>
    </font>
    <font>
      <sz val="14"/>
      <name val="Arial"/>
      <family val="2"/>
      <charset val="204"/>
    </font>
    <font>
      <b/>
      <sz val="16"/>
      <color theme="0"/>
      <name val="Calibri"/>
      <family val="2"/>
      <charset val="204"/>
      <scheme val="minor"/>
    </font>
    <font>
      <b/>
      <sz val="12"/>
      <color theme="0"/>
      <name val="Calibri"/>
      <family val="2"/>
      <charset val="204"/>
      <scheme val="minor"/>
    </font>
    <font>
      <sz val="22"/>
      <color theme="1"/>
      <name val="Calibri"/>
      <family val="2"/>
      <scheme val="minor"/>
    </font>
    <font>
      <b/>
      <sz val="12"/>
      <color theme="1"/>
      <name val="Calibri"/>
      <family val="2"/>
      <charset val="204"/>
      <scheme val="minor"/>
    </font>
    <font>
      <sz val="20"/>
      <name val="Arial"/>
      <family val="2"/>
      <charset val="204"/>
    </font>
    <font>
      <sz val="20"/>
      <name val="Georgia"/>
      <family val="1"/>
      <charset val="204"/>
    </font>
    <font>
      <sz val="14"/>
      <color rgb="FF000000"/>
      <name val="Arial"/>
      <family val="2"/>
      <charset val="204"/>
    </font>
    <font>
      <b/>
      <sz val="20"/>
      <name val="Arial"/>
      <family val="2"/>
      <charset val="204"/>
    </font>
    <font>
      <b/>
      <sz val="18"/>
      <color theme="1"/>
      <name val="Calibri"/>
      <family val="2"/>
      <scheme val="minor"/>
    </font>
    <font>
      <b/>
      <sz val="14"/>
      <color rgb="FFFFFFFF"/>
      <name val="Arial"/>
      <family val="2"/>
      <charset val="204"/>
    </font>
    <font>
      <b/>
      <sz val="18"/>
      <color rgb="FFFFFFFF"/>
      <name val="Arial"/>
      <family val="2"/>
      <charset val="204"/>
    </font>
    <font>
      <sz val="18"/>
      <color theme="1"/>
      <name val="Calibri"/>
      <family val="2"/>
      <charset val="204"/>
      <scheme val="minor"/>
    </font>
    <font>
      <b/>
      <sz val="18"/>
      <color theme="1"/>
      <name val="Arial"/>
      <family val="2"/>
      <charset val="204"/>
    </font>
    <font>
      <b/>
      <sz val="26"/>
      <color theme="1"/>
      <name val="Calibri"/>
      <family val="2"/>
      <charset val="204"/>
      <scheme val="minor"/>
    </font>
    <font>
      <sz val="18"/>
      <color theme="1"/>
      <name val="Calibri"/>
      <family val="2"/>
      <scheme val="minor"/>
    </font>
    <font>
      <sz val="16"/>
      <color theme="1"/>
      <name val="Calibri"/>
      <family val="2"/>
      <scheme val="minor"/>
    </font>
    <font>
      <b/>
      <sz val="14"/>
      <color theme="1"/>
      <name val="Calibri"/>
      <family val="2"/>
      <charset val="204"/>
      <scheme val="minor"/>
    </font>
    <font>
      <sz val="15"/>
      <name val="Arial"/>
      <family val="2"/>
      <charset val="204"/>
    </font>
    <font>
      <b/>
      <sz val="16"/>
      <color theme="1"/>
      <name val="Times New Roman"/>
      <family val="1"/>
      <charset val="204"/>
    </font>
    <font>
      <sz val="16"/>
      <color theme="1"/>
      <name val="Times New Roman"/>
      <family val="1"/>
      <charset val="204"/>
    </font>
    <font>
      <sz val="18"/>
      <color theme="1"/>
      <name val="Times New Roman"/>
      <family val="1"/>
      <charset val="204"/>
    </font>
    <font>
      <sz val="20"/>
      <color theme="1"/>
      <name val="Times New Roman"/>
      <family val="1"/>
      <charset val="204"/>
    </font>
    <font>
      <b/>
      <sz val="12"/>
      <color theme="1"/>
      <name val="TimesNewRomanPS-BoldMT"/>
    </font>
    <font>
      <sz val="12"/>
      <color theme="1"/>
      <name val="TimesNewRomanPSMT"/>
    </font>
    <font>
      <sz val="12"/>
      <color theme="1"/>
      <name val="Calibri"/>
      <family val="2"/>
      <charset val="204"/>
      <scheme val="minor"/>
    </font>
    <font>
      <sz val="14"/>
      <color theme="1"/>
      <name val="Times New Roman"/>
      <family val="1"/>
      <charset val="204"/>
    </font>
    <font>
      <sz val="12"/>
      <color theme="1"/>
      <name val="Times New Roman"/>
      <family val="1"/>
      <charset val="204"/>
    </font>
    <font>
      <i/>
      <sz val="12"/>
      <color theme="1"/>
      <name val="Times New Roman"/>
      <family val="1"/>
      <charset val="204"/>
    </font>
    <font>
      <b/>
      <sz val="12"/>
      <color theme="1"/>
      <name val="Times New Roman"/>
      <family val="1"/>
      <charset val="204"/>
    </font>
    <font>
      <b/>
      <sz val="14"/>
      <color theme="1"/>
      <name val="Times New Roman"/>
      <family val="1"/>
      <charset val="204"/>
    </font>
    <font>
      <sz val="11"/>
      <name val="Calibri"/>
      <family val="2"/>
      <scheme val="minor"/>
    </font>
    <font>
      <b/>
      <sz val="16"/>
      <color theme="0"/>
      <name val="Times New Roman"/>
      <family val="1"/>
      <charset val="204"/>
    </font>
    <font>
      <sz val="11"/>
      <color theme="1"/>
      <name val="Times New Roman"/>
      <family val="1"/>
      <charset val="204"/>
    </font>
    <font>
      <b/>
      <sz val="14"/>
      <color theme="1"/>
      <name val="Tempus Sans ITC"/>
      <family val="5"/>
    </font>
    <font>
      <b/>
      <sz val="26"/>
      <color theme="0"/>
      <name val="Calibri"/>
      <family val="2"/>
      <charset val="204"/>
      <scheme val="minor"/>
    </font>
    <font>
      <b/>
      <sz val="11"/>
      <color theme="1"/>
      <name val="Times New Roman"/>
      <family val="1"/>
      <charset val="204"/>
    </font>
    <font>
      <b/>
      <sz val="26"/>
      <color theme="1"/>
      <name val="Times New Roman"/>
      <family val="1"/>
      <charset val="204"/>
    </font>
    <font>
      <b/>
      <sz val="20"/>
      <color theme="1"/>
      <name val="Times New Roman"/>
      <family val="1"/>
      <charset val="204"/>
    </font>
    <font>
      <b/>
      <sz val="11"/>
      <color theme="1"/>
      <name val="Calibri"/>
      <family val="2"/>
      <scheme val="minor"/>
    </font>
    <font>
      <b/>
      <sz val="14"/>
      <name val="Calibri"/>
      <family val="2"/>
      <charset val="204"/>
      <scheme val="minor"/>
    </font>
    <font>
      <b/>
      <sz val="14"/>
      <name val="Times New Roman"/>
      <family val="1"/>
      <charset val="204"/>
    </font>
    <font>
      <b/>
      <sz val="22"/>
      <color theme="1"/>
      <name val="Times New Roman"/>
      <family val="1"/>
      <charset val="204"/>
    </font>
    <font>
      <b/>
      <sz val="14"/>
      <color theme="0"/>
      <name val="Times New Roman"/>
      <family val="1"/>
      <charset val="204"/>
    </font>
    <font>
      <b/>
      <sz val="18"/>
      <color theme="0"/>
      <name val="Times New Roman"/>
      <family val="1"/>
      <charset val="204"/>
    </font>
    <font>
      <b/>
      <sz val="14"/>
      <color rgb="FFFFFFFF"/>
      <name val="Times New Roman"/>
      <family val="1"/>
      <charset val="204"/>
    </font>
    <font>
      <sz val="14"/>
      <name val="Times New Roman"/>
      <family val="1"/>
      <charset val="204"/>
    </font>
    <font>
      <sz val="22"/>
      <name val="Calibri"/>
      <family val="2"/>
      <scheme val="minor"/>
    </font>
    <font>
      <b/>
      <sz val="36"/>
      <color theme="1"/>
      <name val="Calibri"/>
      <family val="2"/>
      <charset val="204"/>
      <scheme val="minor"/>
    </font>
    <font>
      <sz val="12"/>
      <color theme="0" tint="-4.9989318521683403E-2"/>
      <name val="Calibri"/>
      <family val="2"/>
      <scheme val="minor"/>
    </font>
    <font>
      <sz val="1"/>
      <color theme="0" tint="-4.9989318521683403E-2"/>
      <name val="Calibri"/>
      <family val="2"/>
      <scheme val="minor"/>
    </font>
    <font>
      <b/>
      <sz val="16"/>
      <color rgb="FF000000"/>
      <name val="Times New Roman"/>
      <family val="1"/>
      <charset val="204"/>
    </font>
    <font>
      <b/>
      <sz val="16"/>
      <name val="Times New Roman"/>
      <family val="1"/>
      <charset val="204"/>
    </font>
    <font>
      <b/>
      <sz val="22"/>
      <color rgb="FFFFFFFF"/>
      <name val="Times New Roman"/>
      <family val="1"/>
      <charset val="204"/>
    </font>
    <font>
      <b/>
      <sz val="18"/>
      <color rgb="FFFFFFFF"/>
      <name val="Times New Roman"/>
      <family val="1"/>
      <charset val="204"/>
    </font>
    <font>
      <b/>
      <sz val="12"/>
      <name val="Times New Roman"/>
      <family val="1"/>
      <charset val="204"/>
    </font>
    <font>
      <sz val="14"/>
      <color theme="0"/>
      <name val="Times New Roman"/>
      <family val="1"/>
      <charset val="204"/>
    </font>
    <font>
      <sz val="16"/>
      <color theme="0"/>
      <name val="Times New Roman"/>
      <family val="1"/>
      <charset val="204"/>
    </font>
    <font>
      <sz val="18"/>
      <color theme="0"/>
      <name val="Times New Roman"/>
      <family val="1"/>
      <charset val="204"/>
    </font>
    <font>
      <b/>
      <sz val="18"/>
      <name val="Times New Roman"/>
      <family val="1"/>
      <charset val="204"/>
    </font>
    <font>
      <b/>
      <sz val="18"/>
      <color theme="1"/>
      <name val="Times New Roman"/>
      <family val="1"/>
      <charset val="204"/>
    </font>
    <font>
      <sz val="10"/>
      <name val="Times New Roman"/>
      <family val="1"/>
      <charset val="204"/>
    </font>
    <font>
      <b/>
      <sz val="14"/>
      <color rgb="FF000000"/>
      <name val="Times New Roman"/>
      <family val="1"/>
      <charset val="204"/>
    </font>
    <font>
      <b/>
      <sz val="16"/>
      <color rgb="FFFFFFFF"/>
      <name val="Times New Roman"/>
      <family val="1"/>
      <charset val="204"/>
    </font>
    <font>
      <sz val="16"/>
      <name val="Times New Roman"/>
      <family val="1"/>
      <charset val="204"/>
    </font>
    <font>
      <sz val="18"/>
      <name val="Times New Roman"/>
      <family val="1"/>
      <charset val="204"/>
    </font>
    <font>
      <b/>
      <sz val="24"/>
      <color theme="1"/>
      <name val="Times New Roman"/>
      <family val="1"/>
      <charset val="204"/>
    </font>
    <font>
      <sz val="11"/>
      <color theme="0" tint="-4.9989318521683403E-2"/>
      <name val="Calibri"/>
      <family val="2"/>
      <scheme val="minor"/>
    </font>
    <font>
      <sz val="72"/>
      <color theme="0" tint="-4.9989318521683403E-2"/>
      <name val="Segoe Print"/>
      <charset val="204"/>
    </font>
    <font>
      <b/>
      <sz val="36"/>
      <color theme="1"/>
      <name val="Times New Roman"/>
      <family val="1"/>
      <charset val="204"/>
    </font>
    <font>
      <sz val="9"/>
      <color indexed="81"/>
      <name val="Tahoma"/>
      <charset val="1"/>
    </font>
    <font>
      <sz val="18"/>
      <color indexed="81"/>
      <name val="Times New Roman"/>
      <family val="1"/>
      <charset val="204"/>
    </font>
    <font>
      <sz val="20"/>
      <color indexed="81"/>
      <name val="Times New Roman"/>
      <family val="1"/>
      <charset val="204"/>
    </font>
    <font>
      <sz val="11"/>
      <color theme="1"/>
      <name val="Calibri"/>
      <family val="2"/>
      <scheme val="minor"/>
    </font>
    <font>
      <b/>
      <sz val="18"/>
      <color rgb="FF000000"/>
      <name val="Times New Roman"/>
      <family val="1"/>
      <charset val="204"/>
    </font>
    <font>
      <sz val="1"/>
      <color theme="0" tint="-4.9989318521683403E-2"/>
      <name val="Times New Roman"/>
      <family val="1"/>
      <charset val="204"/>
    </font>
    <font>
      <sz val="1"/>
      <color theme="0" tint="-4.9989318521683403E-2"/>
      <name val="Segoe Print"/>
      <charset val="204"/>
    </font>
    <font>
      <b/>
      <sz val="14"/>
      <color indexed="81"/>
      <name val="Times New Roman"/>
      <family val="1"/>
      <charset val="204"/>
    </font>
    <font>
      <b/>
      <sz val="14"/>
      <name val="Arial"/>
      <family val="2"/>
      <charset val="204"/>
    </font>
    <font>
      <b/>
      <sz val="14"/>
      <color rgb="FF000000"/>
      <name val="Arial"/>
      <family val="2"/>
      <charset val="204"/>
    </font>
    <font>
      <b/>
      <sz val="16"/>
      <color theme="0" tint="-4.9989318521683403E-2"/>
      <name val="Times New Roman"/>
      <family val="1"/>
      <charset val="204"/>
    </font>
    <font>
      <sz val="8"/>
      <name val="Calibri"/>
      <family val="2"/>
      <scheme val="minor"/>
    </font>
    <font>
      <b/>
      <sz val="16"/>
      <color indexed="81"/>
      <name val="Times New Roman"/>
      <family val="1"/>
      <charset val="204"/>
    </font>
    <font>
      <b/>
      <sz val="18"/>
      <color indexed="81"/>
      <name val="Times New Roman"/>
      <family val="1"/>
      <charset val="204"/>
    </font>
    <font>
      <b/>
      <sz val="20"/>
      <color indexed="81"/>
      <name val="Times New Roman"/>
      <family val="1"/>
      <charset val="204"/>
    </font>
    <font>
      <sz val="16"/>
      <color indexed="81"/>
      <name val="Times New Roman"/>
      <family val="1"/>
      <charset val="204"/>
    </font>
    <font>
      <sz val="24"/>
      <color theme="1"/>
      <name val="Webdings"/>
      <family val="1"/>
      <charset val="2"/>
    </font>
    <font>
      <sz val="11"/>
      <color theme="1"/>
      <name val="Wingdings"/>
      <charset val="2"/>
    </font>
    <font>
      <sz val="20"/>
      <color theme="1"/>
      <name val="Wingdings"/>
      <charset val="2"/>
    </font>
    <font>
      <sz val="11"/>
      <color theme="1" tint="0.14999847407452621"/>
      <name val="Wingdings"/>
      <charset val="2"/>
    </font>
    <font>
      <b/>
      <sz val="16"/>
      <color theme="1" tint="0.14999847407452621"/>
      <name val="Times New Roman"/>
      <family val="1"/>
      <charset val="204"/>
    </font>
    <font>
      <b/>
      <sz val="20"/>
      <color theme="1" tint="0.14999847407452621"/>
      <name val="Times New Roman"/>
      <family val="1"/>
      <charset val="204"/>
    </font>
    <font>
      <sz val="32"/>
      <color theme="1" tint="0.14999847407452621"/>
      <name val="Wingdings"/>
      <charset val="2"/>
    </font>
    <font>
      <sz val="10"/>
      <color theme="1"/>
      <name val="Calibri"/>
      <family val="2"/>
      <scheme val="minor"/>
    </font>
  </fonts>
  <fills count="55">
    <fill>
      <patternFill patternType="none"/>
    </fill>
    <fill>
      <patternFill patternType="gray125"/>
    </fill>
    <fill>
      <patternFill patternType="solid">
        <fgColor rgb="FFFFFFFF"/>
        <bgColor indexed="64"/>
      </patternFill>
    </fill>
    <fill>
      <patternFill patternType="solid">
        <fgColor rgb="FF000000"/>
        <bgColor indexed="64"/>
      </patternFill>
    </fill>
    <fill>
      <patternFill patternType="solid">
        <fgColor rgb="FFDDDDDD"/>
        <bgColor indexed="64"/>
      </patternFill>
    </fill>
    <fill>
      <patternFill patternType="solid">
        <fgColor rgb="FFC0C0C0"/>
        <bgColor indexed="64"/>
      </patternFill>
    </fill>
    <fill>
      <patternFill patternType="solid">
        <fgColor rgb="FFDDDDDD"/>
        <bgColor rgb="FFDDDDDD"/>
      </patternFill>
    </fill>
    <fill>
      <patternFill patternType="solid">
        <fgColor rgb="FF969696"/>
        <bgColor rgb="FF969696"/>
      </patternFill>
    </fill>
    <fill>
      <patternFill patternType="solid">
        <fgColor rgb="FFC0C0C0"/>
        <bgColor rgb="FFC0C0C0"/>
      </patternFill>
    </fill>
    <fill>
      <patternFill patternType="solid">
        <fgColor rgb="FF000000"/>
        <bgColor rgb="FF000000"/>
      </patternFill>
    </fill>
    <fill>
      <patternFill patternType="solid">
        <fgColor rgb="FFFFFFFF"/>
        <bgColor rgb="FFFFFFFF"/>
      </patternFill>
    </fill>
    <fill>
      <patternFill patternType="solid">
        <fgColor theme="1"/>
        <bgColor indexed="64"/>
      </patternFill>
    </fill>
    <fill>
      <patternFill patternType="solid">
        <fgColor theme="2" tint="-9.9948118533890809E-2"/>
        <bgColor indexed="64"/>
      </patternFill>
    </fill>
    <fill>
      <patternFill patternType="solid">
        <fgColor theme="2"/>
        <bgColor rgb="FFDDDDDD"/>
      </patternFill>
    </fill>
    <fill>
      <patternFill patternType="solid">
        <fgColor theme="2"/>
        <bgColor indexed="64"/>
      </patternFill>
    </fill>
    <fill>
      <patternFill patternType="solid">
        <fgColor theme="0"/>
        <bgColor indexed="64"/>
      </patternFill>
    </fill>
    <fill>
      <patternFill patternType="solid">
        <fgColor theme="0" tint="-0.14999847407452621"/>
        <bgColor indexed="64"/>
      </patternFill>
    </fill>
    <fill>
      <patternFill patternType="solid">
        <fgColor theme="7"/>
        <bgColor indexed="64"/>
      </patternFill>
    </fill>
    <fill>
      <patternFill patternType="solid">
        <fgColor rgb="FF92D050"/>
        <bgColor indexed="64"/>
      </patternFill>
    </fill>
    <fill>
      <patternFill patternType="solid">
        <fgColor rgb="FF00B0F0"/>
        <bgColor indexed="64"/>
      </patternFill>
    </fill>
    <fill>
      <patternFill patternType="solid">
        <fgColor theme="7" tint="0.59999389629810485"/>
        <bgColor indexed="64"/>
      </patternFill>
    </fill>
    <fill>
      <patternFill patternType="solid">
        <fgColor rgb="FF7030A0"/>
        <bgColor indexed="64"/>
      </patternFill>
    </fill>
    <fill>
      <patternFill patternType="solid">
        <fgColor theme="3"/>
        <bgColor indexed="64"/>
      </patternFill>
    </fill>
    <fill>
      <patternFill patternType="solid">
        <fgColor theme="8" tint="0.39997558519241921"/>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8" tint="-0.249977111117893"/>
        <bgColor indexed="64"/>
      </patternFill>
    </fill>
    <fill>
      <patternFill patternType="solid">
        <fgColor rgb="FFB17ED8"/>
        <bgColor indexed="64"/>
      </patternFill>
    </fill>
    <fill>
      <patternFill patternType="solid">
        <fgColor theme="9"/>
        <bgColor indexed="64"/>
      </patternFill>
    </fill>
    <fill>
      <patternFill patternType="solid">
        <fgColor theme="9" tint="-0.249977111117893"/>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rgb="FFCE7878"/>
        <bgColor indexed="64"/>
      </patternFill>
    </fill>
    <fill>
      <patternFill patternType="solid">
        <fgColor rgb="FFE2A58A"/>
        <bgColor indexed="64"/>
      </patternFill>
    </fill>
    <fill>
      <patternFill patternType="solid">
        <fgColor theme="7" tint="0.59996337778862885"/>
        <bgColor indexed="64"/>
      </patternFill>
    </fill>
    <fill>
      <patternFill patternType="solid">
        <fgColor theme="6" tint="0.39997558519241921"/>
        <bgColor indexed="64"/>
      </patternFill>
    </fill>
    <fill>
      <patternFill patternType="solid">
        <fgColor theme="9" tint="0.59996337778862885"/>
        <bgColor indexed="64"/>
      </patternFill>
    </fill>
    <fill>
      <patternFill patternType="solid">
        <fgColor theme="3" tint="0.39997558519241921"/>
        <bgColor indexed="64"/>
      </patternFill>
    </fill>
    <fill>
      <patternFill patternType="solid">
        <fgColor rgb="FFD99795"/>
        <bgColor indexed="64"/>
      </patternFill>
    </fill>
    <fill>
      <patternFill patternType="solid">
        <fgColor theme="0" tint="-4.9989318521683403E-2"/>
        <bgColor indexed="64"/>
      </patternFill>
    </fill>
    <fill>
      <patternFill patternType="solid">
        <fgColor theme="2" tint="-9.9978637043366805E-2"/>
        <bgColor rgb="FFC0C0C0"/>
      </patternFill>
    </fill>
    <fill>
      <patternFill patternType="solid">
        <fgColor theme="2"/>
        <bgColor rgb="FFFFFFFF"/>
      </patternFill>
    </fill>
    <fill>
      <patternFill patternType="solid">
        <fgColor theme="2"/>
        <bgColor rgb="FFC0C0C0"/>
      </patternFill>
    </fill>
    <fill>
      <patternFill patternType="solid">
        <fgColor theme="2" tint="-9.9978637043366805E-2"/>
        <bgColor rgb="FFDDDDDD"/>
      </patternFill>
    </fill>
    <fill>
      <patternFill patternType="solid">
        <fgColor theme="1" tint="0.14999847407452621"/>
        <bgColor indexed="64"/>
      </patternFill>
    </fill>
    <fill>
      <patternFill patternType="solid">
        <fgColor theme="1" tint="0.14999847407452621"/>
        <bgColor rgb="FF000000"/>
      </patternFill>
    </fill>
    <fill>
      <patternFill patternType="solid">
        <fgColor theme="2" tint="-9.9978637043366805E-2"/>
        <bgColor rgb="FF969696"/>
      </patternFill>
    </fill>
    <fill>
      <patternFill patternType="solid">
        <fgColor rgb="FFC4B768"/>
        <bgColor indexed="64"/>
      </patternFill>
    </fill>
    <fill>
      <patternFill patternType="solid">
        <fgColor theme="0" tint="-0.34998626667073579"/>
        <bgColor indexed="64"/>
      </patternFill>
    </fill>
    <fill>
      <patternFill patternType="solid">
        <fgColor theme="6" tint="0.39997558519241921"/>
        <bgColor rgb="FFFFFFFF"/>
      </patternFill>
    </fill>
  </fills>
  <borders count="269">
    <border>
      <left/>
      <right/>
      <top/>
      <bottom/>
      <diagonal/>
    </border>
    <border>
      <left/>
      <right style="medium">
        <color rgb="FF000000"/>
      </right>
      <top/>
      <bottom style="medium">
        <color rgb="FF000000"/>
      </bottom>
      <diagonal/>
    </border>
    <border>
      <left/>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top style="medium">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ck">
        <color auto="1"/>
      </bottom>
      <diagonal/>
    </border>
    <border>
      <left/>
      <right style="thick">
        <color auto="1"/>
      </right>
      <top/>
      <bottom style="thick">
        <color auto="1"/>
      </bottom>
      <diagonal/>
    </border>
    <border>
      <left style="thick">
        <color auto="1"/>
      </left>
      <right/>
      <top/>
      <bottom style="thick">
        <color auto="1"/>
      </bottom>
      <diagonal/>
    </border>
    <border>
      <left/>
      <right style="thick">
        <color theme="0"/>
      </right>
      <top/>
      <bottom/>
      <diagonal/>
    </border>
    <border>
      <left style="thick">
        <color theme="0"/>
      </left>
      <right style="thick">
        <color theme="0"/>
      </right>
      <top style="thick">
        <color theme="0"/>
      </top>
      <bottom style="thick">
        <color theme="0"/>
      </bottom>
      <diagonal/>
    </border>
    <border>
      <left style="thick">
        <color theme="0"/>
      </left>
      <right style="thick">
        <color theme="0"/>
      </right>
      <top/>
      <bottom style="thick">
        <color theme="0"/>
      </bottom>
      <diagonal/>
    </border>
    <border>
      <left/>
      <right style="medium">
        <color rgb="FF000000"/>
      </right>
      <top/>
      <bottom/>
      <diagonal/>
    </border>
    <border>
      <left style="thick">
        <color theme="2"/>
      </left>
      <right style="thick">
        <color theme="2"/>
      </right>
      <top style="thick">
        <color theme="2"/>
      </top>
      <bottom style="thick">
        <color theme="2"/>
      </bottom>
      <diagonal/>
    </border>
    <border>
      <left style="thick">
        <color theme="0"/>
      </left>
      <right/>
      <top style="thick">
        <color theme="0"/>
      </top>
      <bottom style="thick">
        <color theme="0"/>
      </bottom>
      <diagonal/>
    </border>
    <border>
      <left style="thick">
        <color theme="2"/>
      </left>
      <right style="thick">
        <color theme="2"/>
      </right>
      <top/>
      <bottom style="thick">
        <color theme="2"/>
      </bottom>
      <diagonal/>
    </border>
    <border>
      <left style="thick">
        <color rgb="FF000000"/>
      </left>
      <right style="thick">
        <color rgb="FF000000"/>
      </right>
      <top style="thick">
        <color rgb="FF000000"/>
      </top>
      <bottom style="thick">
        <color rgb="FF000000"/>
      </bottom>
      <diagonal/>
    </border>
    <border>
      <left style="thick">
        <color auto="1"/>
      </left>
      <right style="thick">
        <color auto="1"/>
      </right>
      <top style="thick">
        <color auto="1"/>
      </top>
      <bottom style="thick">
        <color auto="1"/>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style="thick">
        <color theme="1"/>
      </left>
      <right style="thick">
        <color theme="1"/>
      </right>
      <top style="thick">
        <color theme="1"/>
      </top>
      <bottom style="thick">
        <color theme="1"/>
      </bottom>
      <diagonal/>
    </border>
    <border>
      <left style="thick">
        <color theme="0"/>
      </left>
      <right/>
      <top/>
      <bottom/>
      <diagonal/>
    </border>
    <border>
      <left/>
      <right/>
      <top style="thick">
        <color auto="1"/>
      </top>
      <bottom style="thick">
        <color auto="1"/>
      </bottom>
      <diagonal/>
    </border>
    <border>
      <left style="thick">
        <color theme="0"/>
      </left>
      <right/>
      <top/>
      <bottom style="thick">
        <color auto="1"/>
      </bottom>
      <diagonal/>
    </border>
    <border>
      <left style="thick">
        <color theme="0"/>
      </left>
      <right/>
      <top style="thick">
        <color auto="1"/>
      </top>
      <bottom style="thick">
        <color auto="1"/>
      </bottom>
      <diagonal/>
    </border>
    <border>
      <left/>
      <right style="thick">
        <color theme="0"/>
      </right>
      <top/>
      <bottom style="thick">
        <color auto="1"/>
      </bottom>
      <diagonal/>
    </border>
    <border>
      <left style="thin">
        <color rgb="FF000000"/>
      </left>
      <right/>
      <top style="medium">
        <color rgb="FF000000"/>
      </top>
      <bottom/>
      <diagonal/>
    </border>
    <border>
      <left/>
      <right style="thin">
        <color rgb="FF000000"/>
      </right>
      <top style="medium">
        <color rgb="FF000000"/>
      </top>
      <bottom/>
      <diagonal/>
    </border>
    <border>
      <left style="medium">
        <color rgb="FF000000"/>
      </left>
      <right/>
      <top/>
      <bottom/>
      <diagonal/>
    </border>
    <border>
      <left/>
      <right/>
      <top style="thick">
        <color auto="1"/>
      </top>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top/>
      <bottom style="medium">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medium">
        <color rgb="FF000000"/>
      </left>
      <right/>
      <top/>
      <bottom style="medium">
        <color rgb="FF000000"/>
      </bottom>
      <diagonal/>
    </border>
    <border>
      <left style="thick">
        <color auto="1"/>
      </left>
      <right/>
      <top/>
      <bottom/>
      <diagonal/>
    </border>
    <border>
      <left/>
      <right style="thick">
        <color auto="1"/>
      </right>
      <top/>
      <bottom/>
      <diagonal/>
    </border>
    <border>
      <left style="thick">
        <color auto="1"/>
      </left>
      <right style="thick">
        <color theme="0"/>
      </right>
      <top/>
      <bottom style="thick">
        <color auto="1"/>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right style="thick">
        <color auto="1"/>
      </right>
      <top style="thick">
        <color auto="1"/>
      </top>
      <bottom/>
      <diagonal/>
    </border>
    <border>
      <left/>
      <right style="thick">
        <color theme="1"/>
      </right>
      <top style="thick">
        <color theme="1"/>
      </top>
      <bottom style="thick">
        <color theme="1"/>
      </bottom>
      <diagonal/>
    </border>
    <border>
      <left/>
      <right/>
      <top/>
      <bottom style="thick">
        <color theme="1"/>
      </bottom>
      <diagonal/>
    </border>
    <border>
      <left/>
      <right/>
      <top/>
      <bottom style="thick">
        <color rgb="FF000000"/>
      </bottom>
      <diagonal/>
    </border>
    <border>
      <left style="medium">
        <color rgb="FF000000"/>
      </left>
      <right/>
      <top/>
      <bottom style="thin">
        <color rgb="FF000000"/>
      </bottom>
      <diagonal/>
    </border>
    <border>
      <left style="medium">
        <color auto="1"/>
      </left>
      <right/>
      <top/>
      <bottom/>
      <diagonal/>
    </border>
    <border>
      <left style="thick">
        <color auto="1"/>
      </left>
      <right/>
      <top style="thick">
        <color auto="1"/>
      </top>
      <bottom/>
      <diagonal/>
    </border>
    <border>
      <left style="thin">
        <color auto="1"/>
      </left>
      <right style="thick">
        <color auto="1"/>
      </right>
      <top style="thick">
        <color auto="1"/>
      </top>
      <bottom style="thin">
        <color auto="1"/>
      </bottom>
      <diagonal/>
    </border>
    <border>
      <left style="thick">
        <color auto="1"/>
      </left>
      <right style="thick">
        <color theme="2"/>
      </right>
      <top/>
      <bottom style="thick">
        <color theme="2"/>
      </bottom>
      <diagonal/>
    </border>
    <border>
      <left style="thin">
        <color theme="0"/>
      </left>
      <right style="thick">
        <color auto="1"/>
      </right>
      <top/>
      <bottom style="thin">
        <color theme="0"/>
      </bottom>
      <diagonal/>
    </border>
    <border>
      <left style="thin">
        <color theme="0"/>
      </left>
      <right style="thick">
        <color auto="1"/>
      </right>
      <top style="thin">
        <color theme="0"/>
      </top>
      <bottom style="thin">
        <color theme="0"/>
      </bottom>
      <diagonal/>
    </border>
    <border>
      <left style="thick">
        <color auto="1"/>
      </left>
      <right style="thick">
        <color theme="2"/>
      </right>
      <top/>
      <bottom style="thick">
        <color auto="1"/>
      </bottom>
      <diagonal/>
    </border>
    <border>
      <left style="thin">
        <color theme="0"/>
      </left>
      <right style="thick">
        <color auto="1"/>
      </right>
      <top style="thin">
        <color theme="0"/>
      </top>
      <bottom style="thick">
        <color auto="1"/>
      </bottom>
      <diagonal/>
    </border>
    <border>
      <left style="thick">
        <color theme="0"/>
      </left>
      <right/>
      <top/>
      <bottom style="thick">
        <color theme="0"/>
      </bottom>
      <diagonal/>
    </border>
    <border>
      <left style="thick">
        <color rgb="FF000000"/>
      </left>
      <right style="thick">
        <color rgb="FF000000"/>
      </right>
      <top style="thick">
        <color rgb="FF000000"/>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auto="1"/>
      </left>
      <right style="thin">
        <color auto="1"/>
      </right>
      <top style="thin">
        <color auto="1"/>
      </top>
      <bottom style="thin">
        <color auto="1"/>
      </bottom>
      <diagonal/>
    </border>
    <border>
      <left/>
      <right style="thin">
        <color auto="1"/>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medium">
        <color indexed="64"/>
      </left>
      <right style="medium">
        <color indexed="64"/>
      </right>
      <top style="medium">
        <color indexed="64"/>
      </top>
      <bottom/>
      <diagonal/>
    </border>
    <border>
      <left style="thick">
        <color auto="1"/>
      </left>
      <right style="thick">
        <color auto="1"/>
      </right>
      <top/>
      <bottom style="thick">
        <color auto="1"/>
      </bottom>
      <diagonal/>
    </border>
    <border>
      <left style="thick">
        <color auto="1"/>
      </left>
      <right style="thick">
        <color auto="1"/>
      </right>
      <top style="thick">
        <color auto="1"/>
      </top>
      <bottom/>
      <diagonal/>
    </border>
    <border>
      <left style="thick">
        <color auto="1"/>
      </left>
      <right style="thick">
        <color auto="1"/>
      </right>
      <top style="thick">
        <color auto="1"/>
      </top>
      <bottom style="thin">
        <color auto="1"/>
      </bottom>
      <diagonal/>
    </border>
    <border>
      <left style="thin">
        <color auto="1"/>
      </left>
      <right/>
      <top/>
      <bottom/>
      <diagonal/>
    </border>
    <border>
      <left/>
      <right/>
      <top/>
      <bottom style="thin">
        <color auto="1"/>
      </bottom>
      <diagonal/>
    </border>
    <border>
      <left style="thin">
        <color auto="1"/>
      </left>
      <right/>
      <top/>
      <bottom style="medium">
        <color indexed="64"/>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ck">
        <color auto="1"/>
      </left>
      <right style="thick">
        <color auto="1"/>
      </right>
      <top style="thin">
        <color auto="1"/>
      </top>
      <bottom style="thick">
        <color auto="1"/>
      </bottom>
      <diagonal/>
    </border>
    <border>
      <left style="thick">
        <color auto="1"/>
      </left>
      <right style="thin">
        <color auto="1"/>
      </right>
      <top style="thick">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n">
        <color auto="1"/>
      </right>
      <top style="thick">
        <color auto="1"/>
      </top>
      <bottom style="thick">
        <color auto="1"/>
      </bottom>
      <diagonal/>
    </border>
    <border>
      <left style="thin">
        <color auto="1"/>
      </left>
      <right style="thin">
        <color auto="1"/>
      </right>
      <top style="thick">
        <color auto="1"/>
      </top>
      <bottom style="thick">
        <color auto="1"/>
      </bottom>
      <diagonal/>
    </border>
    <border>
      <left style="thin">
        <color auto="1"/>
      </left>
      <right style="thick">
        <color auto="1"/>
      </right>
      <top style="thick">
        <color auto="1"/>
      </top>
      <bottom style="thick">
        <color auto="1"/>
      </bottom>
      <diagonal/>
    </border>
    <border>
      <left style="medium">
        <color indexed="64"/>
      </left>
      <right/>
      <top/>
      <bottom style="thick">
        <color auto="1"/>
      </bottom>
      <diagonal/>
    </border>
    <border>
      <left style="thin">
        <color auto="1"/>
      </left>
      <right/>
      <top style="thin">
        <color auto="1"/>
      </top>
      <bottom/>
      <diagonal/>
    </border>
    <border>
      <left/>
      <right style="medium">
        <color rgb="FF000000"/>
      </right>
      <top style="thin">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thick">
        <color theme="0" tint="-4.9989318521683403E-2"/>
      </left>
      <right style="thick">
        <color theme="0" tint="-4.9989318521683403E-2"/>
      </right>
      <top style="thick">
        <color theme="0" tint="-4.9989318521683403E-2"/>
      </top>
      <bottom style="thick">
        <color theme="0" tint="-4.9989318521683403E-2"/>
      </bottom>
      <diagonal/>
    </border>
    <border>
      <left style="thick">
        <color theme="0"/>
      </left>
      <right style="thick">
        <color theme="0" tint="-4.9989318521683403E-2"/>
      </right>
      <top style="thick">
        <color theme="0" tint="-4.9989318521683403E-2"/>
      </top>
      <bottom style="thick">
        <color theme="0" tint="-4.9989318521683403E-2"/>
      </bottom>
      <diagonal/>
    </border>
    <border>
      <left style="thick">
        <color theme="0"/>
      </left>
      <right style="thick">
        <color theme="0" tint="-4.9989318521683403E-2"/>
      </right>
      <top/>
      <bottom style="thick">
        <color theme="0" tint="-4.9989318521683403E-2"/>
      </bottom>
      <diagonal/>
    </border>
    <border>
      <left style="thick">
        <color theme="0" tint="-4.9989318521683403E-2"/>
      </left>
      <right style="thick">
        <color theme="0" tint="-4.9989318521683403E-2"/>
      </right>
      <top/>
      <bottom style="thick">
        <color theme="0" tint="-4.9989318521683403E-2"/>
      </bottom>
      <diagonal/>
    </border>
    <border>
      <left style="thick">
        <color theme="1" tint="0.14996795556505021"/>
      </left>
      <right style="thick">
        <color theme="1" tint="0.14996795556505021"/>
      </right>
      <top style="thick">
        <color theme="1" tint="0.14996795556505021"/>
      </top>
      <bottom style="thick">
        <color theme="1" tint="0.14996795556505021"/>
      </bottom>
      <diagonal/>
    </border>
    <border>
      <left style="thick">
        <color theme="0"/>
      </left>
      <right style="thick">
        <color theme="0" tint="-4.9989318521683403E-2"/>
      </right>
      <top style="thick">
        <color theme="0" tint="-4.9989318521683403E-2"/>
      </top>
      <bottom style="thick">
        <color theme="1" tint="0.14996795556505021"/>
      </bottom>
      <diagonal/>
    </border>
    <border>
      <left style="thick">
        <color theme="0" tint="-4.9989318521683403E-2"/>
      </left>
      <right style="thick">
        <color theme="0" tint="-4.9989318521683403E-2"/>
      </right>
      <top style="thick">
        <color theme="0" tint="-4.9989318521683403E-2"/>
      </top>
      <bottom style="thick">
        <color theme="1" tint="0.14996795556505021"/>
      </bottom>
      <diagonal/>
    </border>
    <border>
      <left style="thick">
        <color theme="0" tint="-4.9989318521683403E-2"/>
      </left>
      <right style="thick">
        <color theme="1" tint="0.14996795556505021"/>
      </right>
      <top style="thick">
        <color theme="0" tint="-4.9989318521683403E-2"/>
      </top>
      <bottom style="thick">
        <color theme="1" tint="0.14996795556505021"/>
      </bottom>
      <diagonal/>
    </border>
    <border>
      <left style="thick">
        <color theme="0" tint="-4.9989318521683403E-2"/>
      </left>
      <right style="thick">
        <color theme="1" tint="0.14996795556505021"/>
      </right>
      <top style="thick">
        <color theme="1" tint="0.14996795556505021"/>
      </top>
      <bottom style="thick">
        <color theme="0" tint="-4.9989318521683403E-2"/>
      </bottom>
      <diagonal/>
    </border>
    <border>
      <left style="thick">
        <color theme="0" tint="-4.9989318521683403E-2"/>
      </left>
      <right style="thick">
        <color theme="1" tint="0.14996795556505021"/>
      </right>
      <top style="thick">
        <color theme="0" tint="-4.9989318521683403E-2"/>
      </top>
      <bottom style="thick">
        <color theme="0" tint="-4.9989318521683403E-2"/>
      </bottom>
      <diagonal/>
    </border>
    <border>
      <left style="thick">
        <color theme="1" tint="0.14996795556505021"/>
      </left>
      <right style="thick">
        <color theme="1" tint="0.14996795556505021"/>
      </right>
      <top style="thick">
        <color theme="1" tint="0.14996795556505021"/>
      </top>
      <bottom/>
      <diagonal/>
    </border>
    <border>
      <left style="thick">
        <color theme="1" tint="0.14996795556505021"/>
      </left>
      <right style="thick">
        <color theme="1" tint="0.14996795556505021"/>
      </right>
      <top/>
      <bottom/>
      <diagonal/>
    </border>
    <border>
      <left style="thick">
        <color theme="1" tint="0.14996795556505021"/>
      </left>
      <right style="thick">
        <color theme="1" tint="0.14996795556505021"/>
      </right>
      <top/>
      <bottom style="thick">
        <color theme="1" tint="0.14996795556505021"/>
      </bottom>
      <diagonal/>
    </border>
    <border>
      <left style="thick">
        <color auto="1"/>
      </left>
      <right style="thick">
        <color auto="1"/>
      </right>
      <top style="thick">
        <color theme="1" tint="0.14996795556505021"/>
      </top>
      <bottom style="thick">
        <color theme="1" tint="0.14996795556505021"/>
      </bottom>
      <diagonal/>
    </border>
    <border>
      <left style="thick">
        <color theme="0" tint="-4.9989318521683403E-2"/>
      </left>
      <right/>
      <top/>
      <bottom style="thick">
        <color theme="0" tint="-4.9989318521683403E-2"/>
      </bottom>
      <diagonal/>
    </border>
    <border>
      <left style="thick">
        <color theme="0" tint="-4.9989318521683403E-2"/>
      </left>
      <right/>
      <top style="thick">
        <color theme="0" tint="-4.9989318521683403E-2"/>
      </top>
      <bottom style="thick">
        <color theme="0" tint="-4.9989318521683403E-2"/>
      </bottom>
      <diagonal/>
    </border>
    <border>
      <left style="medium">
        <color theme="0" tint="-4.9989318521683403E-2"/>
      </left>
      <right style="thick">
        <color theme="0" tint="-4.9989318521683403E-2"/>
      </right>
      <top style="thick">
        <color theme="1" tint="0.14996795556505021"/>
      </top>
      <bottom style="thick">
        <color theme="1" tint="0.14996795556505021"/>
      </bottom>
      <diagonal/>
    </border>
    <border>
      <left style="thick">
        <color theme="1" tint="0.14996795556505021"/>
      </left>
      <right style="medium">
        <color theme="0" tint="-4.9989318521683403E-2"/>
      </right>
      <top style="thick">
        <color theme="1" tint="0.14996795556505021"/>
      </top>
      <bottom style="medium">
        <color theme="0" tint="-4.9989318521683403E-2"/>
      </bottom>
      <diagonal/>
    </border>
    <border>
      <left style="thick">
        <color theme="1" tint="0.14996795556505021"/>
      </left>
      <right style="medium">
        <color theme="0" tint="-4.9989318521683403E-2"/>
      </right>
      <top style="medium">
        <color theme="0" tint="-4.9989318521683403E-2"/>
      </top>
      <bottom style="medium">
        <color theme="0" tint="-4.9989318521683403E-2"/>
      </bottom>
      <diagonal/>
    </border>
    <border>
      <left style="thick">
        <color theme="1" tint="0.14996795556505021"/>
      </left>
      <right style="medium">
        <color theme="0" tint="-4.9989318521683403E-2"/>
      </right>
      <top style="medium">
        <color theme="0" tint="-4.9989318521683403E-2"/>
      </top>
      <bottom style="thick">
        <color theme="1" tint="0.14996795556505021"/>
      </bottom>
      <diagonal/>
    </border>
    <border>
      <left style="thick">
        <color theme="1" tint="0.14996795556505021"/>
      </left>
      <right/>
      <top style="thick">
        <color theme="1" tint="0.14996795556505021"/>
      </top>
      <bottom style="thick">
        <color theme="1" tint="0.14996795556505021"/>
      </bottom>
      <diagonal/>
    </border>
    <border>
      <left/>
      <right style="thick">
        <color theme="1" tint="0.14996795556505021"/>
      </right>
      <top style="thick">
        <color theme="1" tint="0.14996795556505021"/>
      </top>
      <bottom style="thick">
        <color theme="1" tint="0.14996795556505021"/>
      </bottom>
      <diagonal/>
    </border>
    <border>
      <left style="thick">
        <color theme="1" tint="0.14993743705557422"/>
      </left>
      <right style="thick">
        <color theme="1" tint="0.14993743705557422"/>
      </right>
      <top style="thick">
        <color theme="1" tint="0.14993743705557422"/>
      </top>
      <bottom style="thick">
        <color theme="1" tint="0.14993743705557422"/>
      </bottom>
      <diagonal/>
    </border>
    <border>
      <left/>
      <right style="thick">
        <color theme="1" tint="0.14996795556505021"/>
      </right>
      <top/>
      <bottom/>
      <diagonal/>
    </border>
    <border>
      <left style="thick">
        <color theme="1" tint="0.14996795556505021"/>
      </left>
      <right style="thick">
        <color theme="1" tint="0.14993743705557422"/>
      </right>
      <top/>
      <bottom/>
      <diagonal/>
    </border>
    <border>
      <left/>
      <right style="medium">
        <color theme="1" tint="0.14996795556505021"/>
      </right>
      <top/>
      <bottom/>
      <diagonal/>
    </border>
    <border>
      <left style="medium">
        <color theme="1" tint="0.14996795556505021"/>
      </left>
      <right/>
      <top/>
      <bottom/>
      <diagonal/>
    </border>
    <border>
      <left/>
      <right style="medium">
        <color theme="1" tint="0.14993743705557422"/>
      </right>
      <top/>
      <bottom/>
      <diagonal/>
    </border>
    <border>
      <left style="medium">
        <color theme="1" tint="0.14993743705557422"/>
      </left>
      <right/>
      <top/>
      <bottom/>
      <diagonal/>
    </border>
    <border>
      <left/>
      <right style="medium">
        <color theme="1" tint="0.14993743705557422"/>
      </right>
      <top style="medium">
        <color theme="1" tint="0.14993743705557422"/>
      </top>
      <bottom style="thick">
        <color theme="1" tint="0.14996795556505021"/>
      </bottom>
      <diagonal/>
    </border>
    <border>
      <left style="thick">
        <color auto="1"/>
      </left>
      <right style="thick">
        <color theme="1" tint="0.14993743705557422"/>
      </right>
      <top style="thick">
        <color theme="1" tint="0.14996795556505021"/>
      </top>
      <bottom style="thick">
        <color theme="1" tint="0.14996795556505021"/>
      </bottom>
      <diagonal/>
    </border>
    <border>
      <left style="thick">
        <color theme="1" tint="0.14996795556505021"/>
      </left>
      <right style="thick">
        <color theme="1" tint="0.14993743705557422"/>
      </right>
      <top style="thick">
        <color theme="1" tint="0.14996795556505021"/>
      </top>
      <bottom style="thick">
        <color auto="1"/>
      </bottom>
      <diagonal/>
    </border>
    <border>
      <left style="thick">
        <color theme="1" tint="0.14996795556505021"/>
      </left>
      <right style="thick">
        <color theme="1" tint="0.14993743705557422"/>
      </right>
      <top style="thick">
        <color auto="1"/>
      </top>
      <bottom style="thick">
        <color auto="1"/>
      </bottom>
      <diagonal/>
    </border>
    <border>
      <left style="thick">
        <color theme="1" tint="0.14996795556505021"/>
      </left>
      <right style="thick">
        <color theme="1" tint="0.14993743705557422"/>
      </right>
      <top style="thick">
        <color auto="1"/>
      </top>
      <bottom style="thick">
        <color theme="1" tint="0.14996795556505021"/>
      </bottom>
      <diagonal/>
    </border>
    <border>
      <left/>
      <right style="thick">
        <color auto="1"/>
      </right>
      <top style="thick">
        <color theme="1" tint="0.14996795556505021"/>
      </top>
      <bottom style="thick">
        <color theme="1" tint="0.14996795556505021"/>
      </bottom>
      <diagonal/>
    </border>
    <border>
      <left/>
      <right style="medium">
        <color auto="1"/>
      </right>
      <top style="medium">
        <color auto="1"/>
      </top>
      <bottom/>
      <diagonal/>
    </border>
    <border>
      <left style="medium">
        <color theme="1" tint="0.14996795556505021"/>
      </left>
      <right/>
      <top style="medium">
        <color theme="1" tint="0.14996795556505021"/>
      </top>
      <bottom/>
      <diagonal/>
    </border>
    <border>
      <left/>
      <right style="medium">
        <color theme="1" tint="0.14996795556505021"/>
      </right>
      <top style="medium">
        <color theme="1" tint="0.14996795556505021"/>
      </top>
      <bottom/>
      <diagonal/>
    </border>
    <border>
      <left style="medium">
        <color theme="1" tint="0.14996795556505021"/>
      </left>
      <right/>
      <top/>
      <bottom style="medium">
        <color theme="1" tint="0.14996795556505021"/>
      </bottom>
      <diagonal/>
    </border>
    <border>
      <left/>
      <right style="medium">
        <color theme="1" tint="0.14996795556505021"/>
      </right>
      <top/>
      <bottom style="medium">
        <color theme="1" tint="0.14996795556505021"/>
      </bottom>
      <diagonal/>
    </border>
    <border>
      <left style="medium">
        <color theme="1" tint="0.14996795556505021"/>
      </left>
      <right/>
      <top style="medium">
        <color theme="1" tint="0.14996795556505021"/>
      </top>
      <bottom style="medium">
        <color theme="1" tint="0.14996795556505021"/>
      </bottom>
      <diagonal/>
    </border>
    <border>
      <left/>
      <right style="medium">
        <color theme="1" tint="0.14996795556505021"/>
      </right>
      <top style="medium">
        <color theme="1" tint="0.14996795556505021"/>
      </top>
      <bottom style="medium">
        <color theme="1" tint="0.14996795556505021"/>
      </bottom>
      <diagonal/>
    </border>
    <border>
      <left style="medium">
        <color theme="1" tint="0.14993743705557422"/>
      </left>
      <right style="medium">
        <color theme="1" tint="0.14996795556505021"/>
      </right>
      <top style="medium">
        <color theme="1" tint="0.14993743705557422"/>
      </top>
      <bottom style="medium">
        <color theme="1" tint="0.14993743705557422"/>
      </bottom>
      <diagonal/>
    </border>
    <border>
      <left style="medium">
        <color theme="1" tint="0.14996795556505021"/>
      </left>
      <right style="medium">
        <color theme="1" tint="0.14996795556505021"/>
      </right>
      <top style="medium">
        <color theme="1" tint="0.14993743705557422"/>
      </top>
      <bottom style="medium">
        <color theme="1" tint="0.14993743705557422"/>
      </bottom>
      <diagonal/>
    </border>
    <border>
      <left style="medium">
        <color theme="1" tint="0.14990691854609822"/>
      </left>
      <right style="medium">
        <color theme="1" tint="0.14993743705557422"/>
      </right>
      <top style="medium">
        <color theme="1" tint="0.14990691854609822"/>
      </top>
      <bottom style="medium">
        <color theme="1" tint="0.14990691854609822"/>
      </bottom>
      <diagonal/>
    </border>
    <border>
      <left style="medium">
        <color theme="1" tint="0.14993743705557422"/>
      </left>
      <right style="medium">
        <color theme="1" tint="0.14993743705557422"/>
      </right>
      <top style="medium">
        <color theme="1" tint="0.14990691854609822"/>
      </top>
      <bottom style="medium">
        <color theme="1" tint="0.14990691854609822"/>
      </bottom>
      <diagonal/>
    </border>
    <border>
      <left/>
      <right style="medium">
        <color auto="1"/>
      </right>
      <top style="thick">
        <color auto="1"/>
      </top>
      <bottom/>
      <diagonal/>
    </border>
    <border>
      <left/>
      <right style="medium">
        <color auto="1"/>
      </right>
      <top/>
      <bottom/>
      <diagonal/>
    </border>
    <border>
      <left style="medium">
        <color theme="1" tint="0.14996795556505021"/>
      </left>
      <right style="medium">
        <color theme="1" tint="0.14996795556505021"/>
      </right>
      <top style="medium">
        <color theme="1" tint="0.14993743705557422"/>
      </top>
      <bottom/>
      <diagonal/>
    </border>
    <border>
      <left style="medium">
        <color theme="1" tint="0.14996795556505021"/>
      </left>
      <right style="medium">
        <color theme="1" tint="0.14993743705557422"/>
      </right>
      <top style="medium">
        <color theme="1" tint="0.14993743705557422"/>
      </top>
      <bottom/>
      <diagonal/>
    </border>
    <border>
      <left style="medium">
        <color theme="1" tint="0.14990691854609822"/>
      </left>
      <right/>
      <top style="medium">
        <color theme="1" tint="0.14990691854609822"/>
      </top>
      <bottom style="medium">
        <color theme="1" tint="0.14990691854609822"/>
      </bottom>
      <diagonal/>
    </border>
    <border>
      <left/>
      <right/>
      <top style="medium">
        <color theme="1" tint="0.14990691854609822"/>
      </top>
      <bottom style="medium">
        <color theme="1" tint="0.14990691854609822"/>
      </bottom>
      <diagonal/>
    </border>
    <border>
      <left/>
      <right style="medium">
        <color theme="1" tint="0.14990691854609822"/>
      </right>
      <top style="medium">
        <color theme="1" tint="0.14990691854609822"/>
      </top>
      <bottom style="medium">
        <color theme="1" tint="0.14990691854609822"/>
      </bottom>
      <diagonal/>
    </border>
    <border>
      <left style="medium">
        <color theme="1" tint="0.14993743705557422"/>
      </left>
      <right style="medium">
        <color theme="1" tint="0.14993743705557422"/>
      </right>
      <top style="medium">
        <color theme="1" tint="0.14990691854609822"/>
      </top>
      <bottom/>
      <diagonal/>
    </border>
    <border>
      <left style="medium">
        <color theme="1" tint="0.14993743705557422"/>
      </left>
      <right style="medium">
        <color theme="1" tint="0.14990691854609822"/>
      </right>
      <top style="medium">
        <color theme="1" tint="0.14990691854609822"/>
      </top>
      <bottom/>
      <diagonal/>
    </border>
    <border>
      <left style="medium">
        <color theme="1" tint="0.1498764000366222"/>
      </left>
      <right/>
      <top style="medium">
        <color theme="1" tint="0.1498764000366222"/>
      </top>
      <bottom style="medium">
        <color theme="1" tint="0.1498764000366222"/>
      </bottom>
      <diagonal/>
    </border>
    <border>
      <left/>
      <right style="medium">
        <color theme="1" tint="0.1498764000366222"/>
      </right>
      <top style="medium">
        <color theme="1" tint="0.1498764000366222"/>
      </top>
      <bottom style="medium">
        <color theme="1" tint="0.1498764000366222"/>
      </bottom>
      <diagonal/>
    </border>
    <border>
      <left style="medium">
        <color theme="1" tint="0.14993743705557422"/>
      </left>
      <right/>
      <top style="medium">
        <color theme="1" tint="0.14993743705557422"/>
      </top>
      <bottom/>
      <diagonal/>
    </border>
    <border>
      <left/>
      <right/>
      <top style="medium">
        <color theme="1" tint="0.14993743705557422"/>
      </top>
      <bottom/>
      <diagonal/>
    </border>
    <border>
      <left/>
      <right style="medium">
        <color theme="1" tint="0.14993743705557422"/>
      </right>
      <top style="medium">
        <color theme="1" tint="0.14993743705557422"/>
      </top>
      <bottom/>
      <diagonal/>
    </border>
    <border>
      <left style="medium">
        <color indexed="64"/>
      </left>
      <right style="medium">
        <color indexed="64"/>
      </right>
      <top/>
      <bottom/>
      <diagonal/>
    </border>
    <border>
      <left style="medium">
        <color theme="1" tint="0.14996795556505021"/>
      </left>
      <right/>
      <top style="thick">
        <color theme="1" tint="0.14996795556505021"/>
      </top>
      <bottom style="medium">
        <color theme="1" tint="0.14996795556505021"/>
      </bottom>
      <diagonal/>
    </border>
    <border>
      <left/>
      <right/>
      <top style="thick">
        <color theme="1" tint="0.14996795556505021"/>
      </top>
      <bottom style="medium">
        <color theme="1" tint="0.14996795556505021"/>
      </bottom>
      <diagonal/>
    </border>
    <border>
      <left/>
      <right style="medium">
        <color theme="1" tint="0.14996795556505021"/>
      </right>
      <top style="thick">
        <color theme="1" tint="0.14996795556505021"/>
      </top>
      <bottom style="medium">
        <color theme="1" tint="0.14996795556505021"/>
      </bottom>
      <diagonal/>
    </border>
    <border>
      <left style="thick">
        <color theme="1" tint="0.14996795556505021"/>
      </left>
      <right style="thick">
        <color theme="0" tint="-4.9989318521683403E-2"/>
      </right>
      <top style="thick">
        <color theme="1" tint="0.14996795556505021"/>
      </top>
      <bottom style="thick">
        <color theme="0" tint="-4.9989318521683403E-2"/>
      </bottom>
      <diagonal/>
    </border>
    <border>
      <left style="thick">
        <color theme="0" tint="-4.9989318521683403E-2"/>
      </left>
      <right style="thick">
        <color theme="0" tint="-4.9989318521683403E-2"/>
      </right>
      <top style="thick">
        <color theme="1" tint="0.14996795556505021"/>
      </top>
      <bottom style="thick">
        <color theme="0" tint="-4.9989318521683403E-2"/>
      </bottom>
      <diagonal/>
    </border>
    <border>
      <left style="thick">
        <color theme="1" tint="0.14996795556505021"/>
      </left>
      <right style="thick">
        <color theme="0" tint="-4.9989318521683403E-2"/>
      </right>
      <top style="thick">
        <color theme="0" tint="-4.9989318521683403E-2"/>
      </top>
      <bottom style="thick">
        <color theme="0" tint="-4.9989318521683403E-2"/>
      </bottom>
      <diagonal/>
    </border>
    <border>
      <left style="thick">
        <color theme="1" tint="0.14996795556505021"/>
      </left>
      <right style="thick">
        <color theme="0" tint="-4.9989318521683403E-2"/>
      </right>
      <top style="thick">
        <color theme="0" tint="-4.9989318521683403E-2"/>
      </top>
      <bottom style="thick">
        <color theme="1" tint="0.14996795556505021"/>
      </bottom>
      <diagonal/>
    </border>
    <border>
      <left style="medium">
        <color rgb="FF000000"/>
      </left>
      <right style="medium">
        <color rgb="FF000000"/>
      </right>
      <top style="medium">
        <color rgb="FF000000"/>
      </top>
      <bottom/>
      <diagonal/>
    </border>
    <border>
      <left style="thick">
        <color theme="0" tint="-4.9989318521683403E-2"/>
      </left>
      <right/>
      <top style="thick">
        <color theme="1" tint="0.14996795556505021"/>
      </top>
      <bottom style="thick">
        <color theme="0" tint="-4.9989318521683403E-2"/>
      </bottom>
      <diagonal/>
    </border>
    <border>
      <left style="thick">
        <color theme="0" tint="-4.9989318521683403E-2"/>
      </left>
      <right/>
      <top style="thick">
        <color theme="0" tint="-4.9989318521683403E-2"/>
      </top>
      <bottom style="thick">
        <color theme="1" tint="0.14996795556505021"/>
      </bottom>
      <diagonal/>
    </border>
    <border>
      <left style="thick">
        <color theme="1" tint="0.14993743705557422"/>
      </left>
      <right/>
      <top style="thick">
        <color theme="1" tint="0.14993743705557422"/>
      </top>
      <bottom/>
      <diagonal/>
    </border>
    <border>
      <left/>
      <right style="thick">
        <color theme="1" tint="0.14993743705557422"/>
      </right>
      <top style="thick">
        <color theme="1" tint="0.14993743705557422"/>
      </top>
      <bottom/>
      <diagonal/>
    </border>
    <border>
      <left style="thick">
        <color theme="1" tint="0.14993743705557422"/>
      </left>
      <right/>
      <top/>
      <bottom/>
      <diagonal/>
    </border>
    <border>
      <left/>
      <right style="thick">
        <color theme="1" tint="0.14993743705557422"/>
      </right>
      <top/>
      <bottom/>
      <diagonal/>
    </border>
    <border>
      <left style="thick">
        <color theme="1" tint="0.14993743705557422"/>
      </left>
      <right/>
      <top/>
      <bottom style="thick">
        <color theme="1" tint="0.14993743705557422"/>
      </bottom>
      <diagonal/>
    </border>
    <border>
      <left/>
      <right style="thick">
        <color theme="1" tint="0.14993743705557422"/>
      </right>
      <top/>
      <bottom style="thick">
        <color theme="1" tint="0.14993743705557422"/>
      </bottom>
      <diagonal/>
    </border>
    <border>
      <left/>
      <right style="thick">
        <color theme="0" tint="-4.9989318521683403E-2"/>
      </right>
      <top style="thick">
        <color theme="1" tint="0.14996795556505021"/>
      </top>
      <bottom style="thick">
        <color theme="0" tint="-4.9989318521683403E-2"/>
      </bottom>
      <diagonal/>
    </border>
    <border>
      <left/>
      <right style="thick">
        <color theme="0" tint="-4.9989318521683403E-2"/>
      </right>
      <top style="thick">
        <color theme="0" tint="-4.9989318521683403E-2"/>
      </top>
      <bottom style="thick">
        <color theme="0" tint="-4.9989318521683403E-2"/>
      </bottom>
      <diagonal/>
    </border>
    <border>
      <left/>
      <right style="thick">
        <color theme="0" tint="-4.9989318521683403E-2"/>
      </right>
      <top style="thick">
        <color theme="0" tint="-4.9989318521683403E-2"/>
      </top>
      <bottom style="thick">
        <color theme="1" tint="0.14996795556505021"/>
      </bottom>
      <diagonal/>
    </border>
    <border>
      <left style="medium">
        <color theme="1" tint="0.14996795556505021"/>
      </left>
      <right/>
      <top style="medium">
        <color theme="1" tint="0.14996795556505021"/>
      </top>
      <bottom style="medium">
        <color rgb="FF000000"/>
      </bottom>
      <diagonal/>
    </border>
    <border>
      <left/>
      <right style="medium">
        <color theme="1" tint="0.14996795556505021"/>
      </right>
      <top style="medium">
        <color theme="1" tint="0.14996795556505021"/>
      </top>
      <bottom style="medium">
        <color rgb="FF000000"/>
      </bottom>
      <diagonal/>
    </border>
    <border>
      <left style="medium">
        <color theme="1" tint="0.14996795556505021"/>
      </left>
      <right/>
      <top style="medium">
        <color rgb="FF000000"/>
      </top>
      <bottom style="medium">
        <color rgb="FF000000"/>
      </bottom>
      <diagonal/>
    </border>
    <border>
      <left/>
      <right/>
      <top/>
      <bottom style="medium">
        <color theme="1" tint="0.14996795556505021"/>
      </bottom>
      <diagonal/>
    </border>
    <border>
      <left style="thick">
        <color theme="1" tint="0.14990691854609822"/>
      </left>
      <right style="thick">
        <color theme="0" tint="-4.9989318521683403E-2"/>
      </right>
      <top style="thick">
        <color theme="1" tint="0.14996795556505021"/>
      </top>
      <bottom style="thick">
        <color theme="0" tint="-4.9989318521683403E-2"/>
      </bottom>
      <diagonal/>
    </border>
    <border>
      <left style="thick">
        <color theme="1" tint="0.14990691854609822"/>
      </left>
      <right style="thick">
        <color theme="0" tint="-4.9989318521683403E-2"/>
      </right>
      <top style="thick">
        <color theme="0" tint="-4.9989318521683403E-2"/>
      </top>
      <bottom style="thick">
        <color theme="0" tint="-4.9989318521683403E-2"/>
      </bottom>
      <diagonal/>
    </border>
    <border>
      <left style="thick">
        <color theme="1" tint="0.14990691854609822"/>
      </left>
      <right style="thick">
        <color theme="0" tint="-4.9989318521683403E-2"/>
      </right>
      <top style="thick">
        <color theme="0" tint="-4.9989318521683403E-2"/>
      </top>
      <bottom style="thick">
        <color theme="1" tint="0.14996795556505021"/>
      </bottom>
      <diagonal/>
    </border>
    <border>
      <left/>
      <right/>
      <top style="thick">
        <color theme="1" tint="0.14996795556505021"/>
      </top>
      <bottom style="thick">
        <color theme="1" tint="0.14996795556505021"/>
      </bottom>
      <diagonal/>
    </border>
    <border>
      <left style="thick">
        <color theme="1" tint="0.14993743705557422"/>
      </left>
      <right style="thick">
        <color theme="1" tint="0.14993743705557422"/>
      </right>
      <top/>
      <bottom/>
      <diagonal/>
    </border>
    <border>
      <left style="thick">
        <color theme="1" tint="0.14993743705557422"/>
      </left>
      <right style="thick">
        <color theme="1" tint="0.14993743705557422"/>
      </right>
      <top/>
      <bottom style="thick">
        <color auto="1"/>
      </bottom>
      <diagonal/>
    </border>
    <border>
      <left style="thick">
        <color theme="1" tint="0.14996795556505021"/>
      </left>
      <right style="thick">
        <color theme="1" tint="0.14993743705557422"/>
      </right>
      <top/>
      <bottom style="thick">
        <color auto="1"/>
      </bottom>
      <diagonal/>
    </border>
    <border>
      <left style="medium">
        <color theme="1" tint="0.14993743705557422"/>
      </left>
      <right/>
      <top/>
      <bottom style="medium">
        <color theme="1" tint="0.14993743705557422"/>
      </bottom>
      <diagonal/>
    </border>
    <border>
      <left/>
      <right/>
      <top/>
      <bottom style="medium">
        <color theme="1" tint="0.14993743705557422"/>
      </bottom>
      <diagonal/>
    </border>
    <border>
      <left/>
      <right style="medium">
        <color theme="1" tint="0.14993743705557422"/>
      </right>
      <top/>
      <bottom style="medium">
        <color theme="1" tint="0.14993743705557422"/>
      </bottom>
      <diagonal/>
    </border>
    <border>
      <left style="medium">
        <color theme="0" tint="-4.9989318521683403E-2"/>
      </left>
      <right style="medium">
        <color theme="0" tint="-4.9989318521683403E-2"/>
      </right>
      <top style="thick">
        <color theme="1" tint="0.14996795556505021"/>
      </top>
      <bottom style="medium">
        <color theme="0" tint="-4.9989318521683403E-2"/>
      </bottom>
      <diagonal/>
    </border>
    <border>
      <left style="medium">
        <color theme="0" tint="-4.9989318521683403E-2"/>
      </left>
      <right style="medium">
        <color theme="0" tint="-4.9989318521683403E-2"/>
      </right>
      <top style="medium">
        <color theme="0" tint="-4.9989318521683403E-2"/>
      </top>
      <bottom style="medium">
        <color theme="0" tint="-4.9989318521683403E-2"/>
      </bottom>
      <diagonal/>
    </border>
    <border>
      <left style="medium">
        <color theme="0" tint="-4.9989318521683403E-2"/>
      </left>
      <right style="medium">
        <color theme="0" tint="-4.9989318521683403E-2"/>
      </right>
      <top style="medium">
        <color theme="0" tint="-4.9989318521683403E-2"/>
      </top>
      <bottom style="thick">
        <color theme="1" tint="0.14996795556505021"/>
      </bottom>
      <diagonal/>
    </border>
    <border>
      <left/>
      <right/>
      <top style="thick">
        <color theme="1" tint="0.14996795556505021"/>
      </top>
      <bottom style="medium">
        <color theme="1" tint="0.14993743705557422"/>
      </bottom>
      <diagonal/>
    </border>
    <border>
      <left/>
      <right style="thick">
        <color theme="0"/>
      </right>
      <top style="thick">
        <color theme="1" tint="0.14996795556505021"/>
      </top>
      <bottom style="thick">
        <color theme="0" tint="-4.9989318521683403E-2"/>
      </bottom>
      <diagonal/>
    </border>
    <border>
      <left/>
      <right style="thick">
        <color theme="0"/>
      </right>
      <top style="thick">
        <color theme="0" tint="-4.9989318521683403E-2"/>
      </top>
      <bottom style="thick">
        <color theme="0" tint="-4.9989318521683403E-2"/>
      </bottom>
      <diagonal/>
    </border>
    <border>
      <left/>
      <right style="thick">
        <color theme="0"/>
      </right>
      <top style="thick">
        <color theme="0" tint="-4.9989318521683403E-2"/>
      </top>
      <bottom style="thick">
        <color theme="1" tint="0.14996795556505021"/>
      </bottom>
      <diagonal/>
    </border>
    <border>
      <left/>
      <right/>
      <top style="medium">
        <color theme="1" tint="0.14996795556505021"/>
      </top>
      <bottom style="medium">
        <color theme="1" tint="0.14996795556505021"/>
      </bottom>
      <diagonal/>
    </border>
    <border>
      <left style="medium">
        <color theme="1" tint="0.14996795556505021"/>
      </left>
      <right/>
      <top style="thick">
        <color theme="1" tint="0.1498764000366222"/>
      </top>
      <bottom style="medium">
        <color theme="1" tint="0.14996795556505021"/>
      </bottom>
      <diagonal/>
    </border>
    <border>
      <left/>
      <right/>
      <top style="thick">
        <color theme="1" tint="0.1498764000366222"/>
      </top>
      <bottom style="medium">
        <color theme="1" tint="0.14996795556505021"/>
      </bottom>
      <diagonal/>
    </border>
    <border>
      <left style="medium">
        <color theme="1" tint="0.14993743705557422"/>
      </left>
      <right/>
      <top style="thick">
        <color theme="1" tint="0.14996795556505021"/>
      </top>
      <bottom style="medium">
        <color theme="1" tint="0.14993743705557422"/>
      </bottom>
      <diagonal/>
    </border>
    <border>
      <left/>
      <right style="medium">
        <color theme="1" tint="0.14993743705557422"/>
      </right>
      <top style="thick">
        <color theme="1" tint="0.14996795556505021"/>
      </top>
      <bottom style="medium">
        <color theme="1" tint="0.14993743705557422"/>
      </bottom>
      <diagonal/>
    </border>
    <border>
      <left style="medium">
        <color theme="1" tint="0.14996795556505021"/>
      </left>
      <right/>
      <top/>
      <bottom style="medium">
        <color theme="1" tint="0.14993743705557422"/>
      </bottom>
      <diagonal/>
    </border>
    <border>
      <left/>
      <right style="medium">
        <color theme="1" tint="0.14996795556505021"/>
      </right>
      <top/>
      <bottom style="medium">
        <color theme="1" tint="0.14993743705557422"/>
      </bottom>
      <diagonal/>
    </border>
    <border>
      <left style="thick">
        <color theme="1" tint="0.14993743705557422"/>
      </left>
      <right style="thick">
        <color theme="1" tint="0.14996795556505021"/>
      </right>
      <top/>
      <bottom/>
      <diagonal/>
    </border>
    <border>
      <left/>
      <right style="thick">
        <color theme="1" tint="0.14996795556505021"/>
      </right>
      <top style="thick">
        <color auto="1"/>
      </top>
      <bottom style="thick">
        <color auto="1"/>
      </bottom>
      <diagonal/>
    </border>
    <border>
      <left style="thick">
        <color theme="0" tint="-4.9989318521683403E-2"/>
      </left>
      <right style="thick">
        <color theme="1" tint="0.14996795556505021"/>
      </right>
      <top style="thick">
        <color theme="0" tint="-4.9989318521683403E-2"/>
      </top>
      <bottom style="thick">
        <color theme="1" tint="4.9989318521683403E-2"/>
      </bottom>
      <diagonal/>
    </border>
    <border>
      <left style="medium">
        <color theme="1" tint="0.14993743705557422"/>
      </left>
      <right/>
      <top/>
      <bottom style="thick">
        <color theme="1" tint="0.14996795556505021"/>
      </bottom>
      <diagonal/>
    </border>
    <border>
      <left style="thick">
        <color theme="1" tint="0.14996795556505021"/>
      </left>
      <right/>
      <top style="medium">
        <color theme="1" tint="0.1498764000366222"/>
      </top>
      <bottom style="thick">
        <color theme="1" tint="0.14996795556505021"/>
      </bottom>
      <diagonal/>
    </border>
    <border>
      <left/>
      <right style="medium">
        <color theme="1" tint="0.14993743705557422"/>
      </right>
      <top style="medium">
        <color theme="1" tint="0.1498764000366222"/>
      </top>
      <bottom style="thick">
        <color theme="1" tint="0.14996795556505021"/>
      </bottom>
      <diagonal/>
    </border>
    <border>
      <left style="medium">
        <color theme="1" tint="0.14990691854609822"/>
      </left>
      <right/>
      <top style="medium">
        <color theme="1" tint="0.14993743705557422"/>
      </top>
      <bottom style="thick">
        <color theme="1" tint="0.1498764000366222"/>
      </bottom>
      <diagonal/>
    </border>
    <border>
      <left/>
      <right style="medium">
        <color theme="1" tint="0.14990691854609822"/>
      </right>
      <top style="medium">
        <color theme="1" tint="0.14993743705557422"/>
      </top>
      <bottom style="thick">
        <color theme="1" tint="0.1498764000366222"/>
      </bottom>
      <diagonal/>
    </border>
    <border>
      <left style="medium">
        <color theme="1" tint="0.14990691854609822"/>
      </left>
      <right/>
      <top style="medium">
        <color theme="1" tint="0.14993743705557422"/>
      </top>
      <bottom style="thick">
        <color theme="1" tint="0.14996795556505021"/>
      </bottom>
      <diagonal/>
    </border>
    <border>
      <left/>
      <right/>
      <top style="medium">
        <color theme="1" tint="0.14993743705557422"/>
      </top>
      <bottom style="thick">
        <color theme="1" tint="0.14996795556505021"/>
      </bottom>
      <diagonal/>
    </border>
    <border>
      <left style="thick">
        <color auto="1"/>
      </left>
      <right/>
      <top style="medium">
        <color theme="1" tint="0.1498764000366222"/>
      </top>
      <bottom style="thick">
        <color theme="1" tint="0.14996795556505021"/>
      </bottom>
      <diagonal/>
    </border>
    <border>
      <left/>
      <right style="thick">
        <color theme="1" tint="0.14996795556505021"/>
      </right>
      <top style="medium">
        <color theme="1" tint="0.1498764000366222"/>
      </top>
      <bottom style="thick">
        <color theme="1" tint="0.14996795556505021"/>
      </bottom>
      <diagonal/>
    </border>
    <border>
      <left/>
      <right/>
      <top/>
      <bottom style="medium">
        <color theme="1" tint="0.1498764000366222"/>
      </bottom>
      <diagonal/>
    </border>
    <border>
      <left style="medium">
        <color theme="1" tint="0.1498764000366222"/>
      </left>
      <right/>
      <top/>
      <bottom style="medium">
        <color theme="1" tint="0.1498764000366222"/>
      </bottom>
      <diagonal/>
    </border>
    <border>
      <left/>
      <right style="medium">
        <color theme="1" tint="0.1498764000366222"/>
      </right>
      <top/>
      <bottom style="medium">
        <color theme="1" tint="0.1498764000366222"/>
      </bottom>
      <diagonal/>
    </border>
    <border>
      <left style="medium">
        <color theme="1" tint="0.14996795556505021"/>
      </left>
      <right style="medium">
        <color theme="1" tint="0.14993743705557422"/>
      </right>
      <top style="medium">
        <color theme="1" tint="0.14993743705557422"/>
      </top>
      <bottom style="medium">
        <color theme="1" tint="0.14996795556505021"/>
      </bottom>
      <diagonal/>
    </border>
    <border>
      <left style="thick">
        <color theme="1" tint="0.14996795556505021"/>
      </left>
      <right/>
      <top/>
      <bottom/>
      <diagonal/>
    </border>
    <border>
      <left style="thick">
        <color theme="1" tint="0.14993743705557422"/>
      </left>
      <right/>
      <top/>
      <bottom style="thick">
        <color auto="1"/>
      </bottom>
      <diagonal/>
    </border>
    <border>
      <left/>
      <right style="thick">
        <color theme="1" tint="0.14996795556505021"/>
      </right>
      <top/>
      <bottom style="thick">
        <color auto="1"/>
      </bottom>
      <diagonal/>
    </border>
    <border>
      <left/>
      <right style="thick">
        <color theme="1" tint="0.14993743705557422"/>
      </right>
      <top/>
      <bottom style="thick">
        <color auto="1"/>
      </bottom>
      <diagonal/>
    </border>
    <border>
      <left style="thick">
        <color theme="1" tint="0.14996795556505021"/>
      </left>
      <right/>
      <top/>
      <bottom style="thick">
        <color auto="1"/>
      </bottom>
      <diagonal/>
    </border>
    <border>
      <left style="thick">
        <color theme="0"/>
      </left>
      <right/>
      <top style="thick">
        <color auto="1"/>
      </top>
      <bottom/>
      <diagonal/>
    </border>
    <border>
      <left style="thick">
        <color auto="1"/>
      </left>
      <right/>
      <top style="thick">
        <color auto="1"/>
      </top>
      <bottom style="thick">
        <color theme="1" tint="0.14996795556505021"/>
      </bottom>
      <diagonal/>
    </border>
    <border>
      <left/>
      <right/>
      <top style="thick">
        <color auto="1"/>
      </top>
      <bottom style="thick">
        <color theme="1" tint="0.14996795556505021"/>
      </bottom>
      <diagonal/>
    </border>
    <border>
      <left/>
      <right style="thick">
        <color theme="1" tint="0.14996795556505021"/>
      </right>
      <top style="thick">
        <color auto="1"/>
      </top>
      <bottom style="thick">
        <color theme="1" tint="0.14996795556505021"/>
      </bottom>
      <diagonal/>
    </border>
    <border>
      <left/>
      <right style="thick">
        <color auto="1"/>
      </right>
      <top style="thick">
        <color auto="1"/>
      </top>
      <bottom style="thick">
        <color theme="1" tint="0.14996795556505021"/>
      </bottom>
      <diagonal/>
    </border>
    <border>
      <left style="thick">
        <color theme="1" tint="0.14996795556505021"/>
      </left>
      <right/>
      <top style="thick">
        <color auto="1"/>
      </top>
      <bottom/>
      <diagonal/>
    </border>
    <border>
      <left style="thin">
        <color rgb="FF000000"/>
      </left>
      <right/>
      <top style="medium">
        <color theme="1" tint="0.14996795556505021"/>
      </top>
      <bottom style="medium">
        <color rgb="FF000000"/>
      </bottom>
      <diagonal/>
    </border>
    <border>
      <left/>
      <right style="medium">
        <color rgb="FF000000"/>
      </right>
      <top style="medium">
        <color theme="1" tint="0.14996795556505021"/>
      </top>
      <bottom style="medium">
        <color rgb="FF000000"/>
      </bottom>
      <diagonal/>
    </border>
    <border>
      <left style="thin">
        <color rgb="FF000000"/>
      </left>
      <right/>
      <top style="medium">
        <color rgb="FF000000"/>
      </top>
      <bottom style="medium">
        <color theme="1" tint="0.14996795556505021"/>
      </bottom>
      <diagonal/>
    </border>
    <border>
      <left/>
      <right/>
      <top style="medium">
        <color rgb="FF000000"/>
      </top>
      <bottom style="medium">
        <color theme="1" tint="0.14996795556505021"/>
      </bottom>
      <diagonal/>
    </border>
    <border>
      <left/>
      <right style="thin">
        <color rgb="FF000000"/>
      </right>
      <top style="medium">
        <color rgb="FF000000"/>
      </top>
      <bottom style="medium">
        <color theme="1" tint="0.14996795556505021"/>
      </bottom>
      <diagonal/>
    </border>
    <border>
      <left style="medium">
        <color theme="1" tint="0.14981536301767021"/>
      </left>
      <right style="medium">
        <color theme="1" tint="0.14996795556505021"/>
      </right>
      <top style="medium">
        <color theme="1" tint="0.1498458815271462"/>
      </top>
      <bottom style="medium">
        <color theme="1" tint="0.14996795556505021"/>
      </bottom>
      <diagonal/>
    </border>
    <border>
      <left style="medium">
        <color indexed="64"/>
      </left>
      <right/>
      <top style="medium">
        <color indexed="64"/>
      </top>
      <bottom/>
      <diagonal/>
    </border>
    <border>
      <left style="medium">
        <color theme="1" tint="0.14990691854609822"/>
      </left>
      <right style="medium">
        <color theme="1" tint="0.14990691854609822"/>
      </right>
      <top style="medium">
        <color theme="1" tint="0.14990691854609822"/>
      </top>
      <bottom style="medium">
        <color theme="1" tint="0.14990691854609822"/>
      </bottom>
      <diagonal/>
    </border>
    <border>
      <left style="medium">
        <color theme="1" tint="0.1498764000366222"/>
      </left>
      <right style="medium">
        <color theme="1" tint="0.1498764000366222"/>
      </right>
      <top style="medium">
        <color theme="1" tint="0.1498764000366222"/>
      </top>
      <bottom style="medium">
        <color theme="1" tint="0.1498764000366222"/>
      </bottom>
      <diagonal/>
    </border>
    <border>
      <left style="thin">
        <color auto="1"/>
      </left>
      <right/>
      <top/>
      <bottom style="thin">
        <color auto="1"/>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ck">
        <color theme="1" tint="0.14993743705557422"/>
      </left>
      <right style="thick">
        <color theme="1" tint="0.14993743705557422"/>
      </right>
      <top style="thick">
        <color theme="1" tint="0.14990691854609822"/>
      </top>
      <bottom style="thick">
        <color theme="1" tint="0.14993743705557422"/>
      </bottom>
      <diagonal/>
    </border>
    <border>
      <left style="medium">
        <color theme="1" tint="0.14996795556505021"/>
      </left>
      <right style="medium">
        <color theme="1" tint="0.14996795556505021"/>
      </right>
      <top style="medium">
        <color theme="1" tint="0.14996795556505021"/>
      </top>
      <bottom style="medium">
        <color theme="1" tint="0.14996795556505021"/>
      </bottom>
      <diagonal/>
    </border>
  </borders>
  <cellStyleXfs count="3">
    <xf numFmtId="0" fontId="0" fillId="0" borderId="0"/>
    <xf numFmtId="0" fontId="56" fillId="21" borderId="34">
      <alignment horizontal="center" vertical="center"/>
    </xf>
    <xf numFmtId="9" fontId="99" fillId="0" borderId="0" applyFont="0" applyFill="0" applyBorder="0" applyAlignment="0" applyProtection="0"/>
  </cellStyleXfs>
  <cellXfs count="1027">
    <xf numFmtId="0" fontId="0" fillId="0" borderId="0" xfId="0"/>
    <xf numFmtId="0" fontId="4" fillId="4" borderId="1" xfId="0" applyFont="1" applyFill="1" applyBorder="1" applyAlignment="1">
      <alignment horizontal="left" wrapText="1" readingOrder="1"/>
    </xf>
    <xf numFmtId="0" fontId="3" fillId="3" borderId="1" xfId="0" applyFont="1" applyFill="1" applyBorder="1" applyAlignment="1">
      <alignment horizontal="left" wrapText="1" readingOrder="1"/>
    </xf>
    <xf numFmtId="0" fontId="0" fillId="0" borderId="0" xfId="0" applyAlignment="1">
      <alignment wrapText="1"/>
    </xf>
    <xf numFmtId="0" fontId="10" fillId="11" borderId="27" xfId="0" applyFont="1" applyFill="1" applyBorder="1" applyAlignment="1">
      <alignment horizontal="center" vertical="center" wrapText="1"/>
    </xf>
    <xf numFmtId="0" fontId="10" fillId="11" borderId="27" xfId="0" applyFont="1" applyFill="1" applyBorder="1" applyAlignment="1">
      <alignment horizontal="center" vertical="center"/>
    </xf>
    <xf numFmtId="0" fontId="10" fillId="11" borderId="28" xfId="0" applyFont="1" applyFill="1" applyBorder="1" applyAlignment="1">
      <alignment horizontal="center" vertical="center" wrapText="1"/>
    </xf>
    <xf numFmtId="0" fontId="7" fillId="0" borderId="33" xfId="0" applyFont="1" applyBorder="1" applyAlignment="1">
      <alignment wrapText="1"/>
    </xf>
    <xf numFmtId="0" fontId="4" fillId="5" borderId="33" xfId="0" applyFont="1" applyFill="1" applyBorder="1" applyAlignment="1">
      <alignment horizontal="center" wrapText="1" readingOrder="1"/>
    </xf>
    <xf numFmtId="0" fontId="2" fillId="2" borderId="33" xfId="0" applyFont="1" applyFill="1" applyBorder="1" applyAlignment="1">
      <alignment horizontal="center" wrapText="1" readingOrder="1"/>
    </xf>
    <xf numFmtId="0" fontId="15" fillId="0" borderId="37" xfId="0" applyFont="1" applyBorder="1" applyAlignment="1">
      <alignment horizontal="center" vertical="center" wrapText="1"/>
    </xf>
    <xf numFmtId="0" fontId="16" fillId="0" borderId="9" xfId="0" applyFont="1" applyBorder="1" applyAlignment="1">
      <alignment horizontal="center" vertical="center" wrapText="1"/>
    </xf>
    <xf numFmtId="0" fontId="16" fillId="7" borderId="9" xfId="0" applyFont="1" applyFill="1" applyBorder="1" applyAlignment="1">
      <alignment horizontal="center" vertical="center"/>
    </xf>
    <xf numFmtId="0" fontId="7" fillId="8" borderId="21" xfId="0" applyFont="1" applyFill="1" applyBorder="1" applyAlignment="1">
      <alignment wrapText="1"/>
    </xf>
    <xf numFmtId="0" fontId="4" fillId="5" borderId="6" xfId="0" applyFont="1" applyFill="1" applyBorder="1" applyAlignment="1">
      <alignment horizontal="center" vertical="center" wrapText="1" readingOrder="1"/>
    </xf>
    <xf numFmtId="0" fontId="5" fillId="0" borderId="15" xfId="0" applyFont="1" applyBorder="1" applyAlignment="1">
      <alignment wrapText="1"/>
    </xf>
    <xf numFmtId="0" fontId="7" fillId="0" borderId="18" xfId="0" applyFont="1" applyBorder="1" applyAlignment="1">
      <alignment wrapText="1"/>
    </xf>
    <xf numFmtId="0" fontId="7" fillId="0" borderId="22" xfId="0" applyFont="1" applyBorder="1" applyAlignment="1">
      <alignment wrapText="1"/>
    </xf>
    <xf numFmtId="0" fontId="8" fillId="6" borderId="17" xfId="0" applyFont="1" applyFill="1" applyBorder="1" applyAlignment="1">
      <alignment wrapText="1"/>
    </xf>
    <xf numFmtId="0" fontId="25" fillId="6" borderId="20" xfId="0" applyFont="1" applyFill="1" applyBorder="1" applyAlignment="1">
      <alignment wrapText="1"/>
    </xf>
    <xf numFmtId="0" fontId="7" fillId="10" borderId="13" xfId="0" applyFont="1" applyFill="1" applyBorder="1" applyAlignment="1">
      <alignment horizontal="center" wrapText="1"/>
    </xf>
    <xf numFmtId="0" fontId="7" fillId="10" borderId="11" xfId="0" applyFont="1" applyFill="1" applyBorder="1" applyAlignment="1">
      <alignment horizontal="center" wrapText="1"/>
    </xf>
    <xf numFmtId="0" fontId="7" fillId="6" borderId="10" xfId="0" applyFont="1" applyFill="1" applyBorder="1" applyAlignment="1">
      <alignment wrapText="1"/>
    </xf>
    <xf numFmtId="0" fontId="7" fillId="6" borderId="11" xfId="0" applyFont="1" applyFill="1" applyBorder="1" applyAlignment="1">
      <alignment wrapText="1"/>
    </xf>
    <xf numFmtId="0" fontId="0" fillId="0" borderId="0" xfId="0" applyAlignment="1">
      <alignment wrapText="1"/>
    </xf>
    <xf numFmtId="0" fontId="4" fillId="2" borderId="6" xfId="0" applyFont="1" applyFill="1" applyBorder="1" applyAlignment="1">
      <alignment horizontal="center" vertical="center" wrapText="1" readingOrder="1"/>
    </xf>
    <xf numFmtId="0" fontId="17" fillId="0" borderId="0" xfId="0" applyFont="1" applyBorder="1" applyAlignment="1">
      <alignment horizontal="center" vertical="center" wrapText="1"/>
    </xf>
    <xf numFmtId="0" fontId="7" fillId="6" borderId="0" xfId="0" applyFont="1" applyFill="1" applyBorder="1" applyAlignment="1">
      <alignment horizontal="center" wrapText="1"/>
    </xf>
    <xf numFmtId="0" fontId="0" fillId="0" borderId="0" xfId="0" applyBorder="1" applyAlignment="1">
      <alignment wrapText="1"/>
    </xf>
    <xf numFmtId="0" fontId="7" fillId="10" borderId="0" xfId="0" applyFont="1" applyFill="1" applyBorder="1" applyAlignment="1">
      <alignment horizontal="center" wrapText="1"/>
    </xf>
    <xf numFmtId="0" fontId="8" fillId="6" borderId="8" xfId="0" applyFont="1" applyFill="1" applyBorder="1" applyAlignment="1">
      <alignment horizontal="center" vertical="center" wrapText="1"/>
    </xf>
    <xf numFmtId="0" fontId="8" fillId="10" borderId="21" xfId="0" applyFont="1" applyFill="1" applyBorder="1" applyAlignment="1">
      <alignment horizontal="center" vertical="center" wrapText="1"/>
    </xf>
    <xf numFmtId="0" fontId="10" fillId="11" borderId="58" xfId="0" applyFont="1" applyFill="1" applyBorder="1" applyAlignment="1">
      <alignment horizontal="center" vertical="center"/>
    </xf>
    <xf numFmtId="0" fontId="0" fillId="0" borderId="56" xfId="0" applyBorder="1" applyAlignment="1">
      <alignment wrapText="1"/>
    </xf>
    <xf numFmtId="0" fontId="9" fillId="0" borderId="0" xfId="0" applyFont="1" applyBorder="1" applyAlignment="1">
      <alignment vertical="center" wrapText="1"/>
    </xf>
    <xf numFmtId="0" fontId="0" fillId="0" borderId="57" xfId="0" applyBorder="1" applyAlignment="1">
      <alignment wrapText="1"/>
    </xf>
    <xf numFmtId="0" fontId="14" fillId="0" borderId="0" xfId="0" applyFont="1" applyBorder="1" applyAlignment="1">
      <alignment horizontal="center" vertical="center" wrapText="1"/>
    </xf>
    <xf numFmtId="0" fontId="15" fillId="0" borderId="0" xfId="0" applyFont="1" applyBorder="1" applyAlignment="1">
      <alignment horizontal="center" vertical="center" wrapText="1"/>
    </xf>
    <xf numFmtId="0" fontId="19" fillId="0" borderId="0" xfId="0" applyFont="1" applyBorder="1" applyAlignment="1">
      <alignment wrapText="1"/>
    </xf>
    <xf numFmtId="0" fontId="8" fillId="6" borderId="0" xfId="0" applyFont="1" applyFill="1" applyBorder="1" applyAlignment="1">
      <alignment horizontal="center" vertical="center" wrapText="1"/>
    </xf>
    <xf numFmtId="0" fontId="16" fillId="8" borderId="0" xfId="0" applyFont="1" applyFill="1" applyBorder="1" applyAlignment="1">
      <alignment horizontal="center" vertical="center"/>
    </xf>
    <xf numFmtId="0" fontId="8" fillId="7" borderId="0" xfId="0" applyFont="1" applyFill="1" applyBorder="1" applyAlignment="1">
      <alignment horizontal="center" vertical="center"/>
    </xf>
    <xf numFmtId="0" fontId="16" fillId="7" borderId="0" xfId="0" applyFont="1" applyFill="1" applyBorder="1" applyAlignment="1">
      <alignment horizontal="center" vertical="center"/>
    </xf>
    <xf numFmtId="0" fontId="16" fillId="8" borderId="0" xfId="0" applyFont="1" applyFill="1" applyBorder="1" applyAlignment="1">
      <alignment horizontal="center" vertical="center" wrapText="1"/>
    </xf>
    <xf numFmtId="0" fontId="7" fillId="7" borderId="0" xfId="0" applyFont="1" applyFill="1" applyBorder="1"/>
    <xf numFmtId="0" fontId="8" fillId="7" borderId="45" xfId="0" applyFont="1" applyFill="1" applyBorder="1" applyAlignment="1">
      <alignment horizontal="center" vertical="center"/>
    </xf>
    <xf numFmtId="0" fontId="7" fillId="7" borderId="45" xfId="0" applyFont="1" applyFill="1" applyBorder="1"/>
    <xf numFmtId="0" fontId="15" fillId="0" borderId="65" xfId="0" applyFont="1" applyBorder="1" applyAlignment="1">
      <alignment horizontal="center" vertical="center" wrapText="1"/>
    </xf>
    <xf numFmtId="0" fontId="13" fillId="11" borderId="34" xfId="0" applyFont="1" applyFill="1" applyBorder="1" applyAlignment="1">
      <alignment horizontal="center" vertical="center" wrapText="1"/>
    </xf>
    <xf numFmtId="0" fontId="10" fillId="11" borderId="34" xfId="0" applyFont="1" applyFill="1" applyBorder="1" applyAlignment="1">
      <alignment horizontal="center" vertical="center" wrapText="1"/>
    </xf>
    <xf numFmtId="0" fontId="13" fillId="11" borderId="37" xfId="0" applyFont="1" applyFill="1" applyBorder="1" applyAlignment="1">
      <alignment horizontal="center" vertical="center" wrapText="1"/>
    </xf>
    <xf numFmtId="0" fontId="0" fillId="11" borderId="25" xfId="0" applyFill="1" applyBorder="1" applyAlignment="1">
      <alignment wrapText="1"/>
    </xf>
    <xf numFmtId="0" fontId="0" fillId="11" borderId="23" xfId="0" applyFill="1" applyBorder="1" applyAlignment="1">
      <alignment wrapText="1"/>
    </xf>
    <xf numFmtId="0" fontId="0" fillId="11" borderId="24" xfId="0" applyFill="1" applyBorder="1" applyAlignment="1">
      <alignment wrapText="1"/>
    </xf>
    <xf numFmtId="0" fontId="0" fillId="11" borderId="0" xfId="0" applyFill="1" applyAlignment="1">
      <alignment wrapText="1"/>
    </xf>
    <xf numFmtId="0" fontId="22" fillId="0" borderId="0" xfId="0" applyFont="1" applyFill="1" applyBorder="1" applyAlignment="1">
      <alignment wrapText="1"/>
    </xf>
    <xf numFmtId="0" fontId="0" fillId="11" borderId="46" xfId="0" applyFill="1" applyBorder="1" applyAlignment="1">
      <alignment wrapText="1"/>
    </xf>
    <xf numFmtId="0" fontId="0" fillId="11" borderId="64" xfId="0" applyFill="1" applyBorder="1" applyAlignment="1">
      <alignment wrapText="1"/>
    </xf>
    <xf numFmtId="0" fontId="27" fillId="11" borderId="0" xfId="0" applyFont="1" applyFill="1" applyBorder="1" applyAlignment="1">
      <alignment horizontal="center" vertical="center" wrapText="1"/>
    </xf>
    <xf numFmtId="0" fontId="28" fillId="11" borderId="0" xfId="0" applyFont="1" applyFill="1" applyBorder="1" applyAlignment="1">
      <alignment horizontal="center" vertical="center" wrapText="1"/>
    </xf>
    <xf numFmtId="0" fontId="30" fillId="14" borderId="0" xfId="0" applyFont="1" applyFill="1" applyBorder="1" applyAlignment="1">
      <alignment vertical="center" wrapText="1"/>
    </xf>
    <xf numFmtId="0" fontId="6" fillId="12" borderId="0" xfId="0" applyFont="1" applyFill="1" applyBorder="1" applyAlignment="1">
      <alignment horizontal="center" vertical="center" wrapText="1"/>
    </xf>
    <xf numFmtId="0" fontId="31" fillId="10" borderId="13" xfId="0" applyFont="1" applyFill="1" applyBorder="1" applyAlignment="1">
      <alignment horizontal="center" vertical="center" wrapText="1"/>
    </xf>
    <xf numFmtId="0" fontId="32" fillId="10" borderId="14" xfId="0" applyFont="1" applyFill="1" applyBorder="1" applyAlignment="1">
      <alignment horizontal="center" vertical="center" wrapText="1"/>
    </xf>
    <xf numFmtId="0" fontId="32" fillId="6" borderId="9" xfId="0" applyFont="1" applyFill="1" applyBorder="1" applyAlignment="1">
      <alignment horizontal="center" vertical="center" wrapText="1"/>
    </xf>
    <xf numFmtId="0" fontId="32" fillId="10" borderId="9" xfId="0" applyFont="1" applyFill="1" applyBorder="1" applyAlignment="1">
      <alignment horizontal="center" vertical="center" wrapText="1"/>
    </xf>
    <xf numFmtId="0" fontId="31" fillId="10" borderId="11" xfId="0" applyFont="1" applyFill="1" applyBorder="1" applyAlignment="1">
      <alignment horizontal="center" vertical="center" wrapText="1"/>
    </xf>
    <xf numFmtId="0" fontId="32" fillId="10" borderId="12" xfId="0" applyFont="1" applyFill="1" applyBorder="1" applyAlignment="1">
      <alignment horizontal="center" vertical="center" wrapText="1"/>
    </xf>
    <xf numFmtId="0" fontId="7" fillId="8" borderId="20" xfId="0" applyFont="1" applyFill="1" applyBorder="1" applyAlignment="1">
      <alignment vertical="center" wrapText="1"/>
    </xf>
    <xf numFmtId="0" fontId="7" fillId="8" borderId="21" xfId="0" applyFont="1" applyFill="1" applyBorder="1" applyAlignment="1">
      <alignment vertical="center" wrapText="1"/>
    </xf>
    <xf numFmtId="0" fontId="7" fillId="8" borderId="48" xfId="0" applyFont="1" applyFill="1" applyBorder="1" applyAlignment="1">
      <alignment vertical="center" wrapText="1"/>
    </xf>
    <xf numFmtId="0" fontId="31" fillId="8" borderId="21" xfId="0" applyFont="1" applyFill="1" applyBorder="1" applyAlignment="1">
      <alignment vertical="center" wrapText="1"/>
    </xf>
    <xf numFmtId="0" fontId="17" fillId="0" borderId="23" xfId="0" applyFont="1" applyBorder="1" applyAlignment="1">
      <alignment wrapText="1"/>
    </xf>
    <xf numFmtId="0" fontId="35" fillId="0" borderId="23" xfId="0" applyFont="1" applyBorder="1" applyAlignment="1">
      <alignment wrapText="1"/>
    </xf>
    <xf numFmtId="0" fontId="14" fillId="15" borderId="34" xfId="0" applyFont="1" applyFill="1" applyBorder="1" applyAlignment="1">
      <alignment horizontal="center" vertical="center" wrapText="1"/>
    </xf>
    <xf numFmtId="0" fontId="15" fillId="15" borderId="34" xfId="0" applyFont="1" applyFill="1" applyBorder="1" applyAlignment="1">
      <alignment horizontal="center" vertical="center" wrapText="1"/>
    </xf>
    <xf numFmtId="0" fontId="21" fillId="3" borderId="69" xfId="0" applyFont="1" applyFill="1" applyBorder="1" applyAlignment="1">
      <alignment vertical="top" wrapText="1" readingOrder="1"/>
    </xf>
    <xf numFmtId="0" fontId="21" fillId="3" borderId="0" xfId="0" applyFont="1" applyFill="1" applyBorder="1" applyAlignment="1">
      <alignment vertical="top" wrapText="1" readingOrder="1"/>
    </xf>
    <xf numFmtId="0" fontId="36" fillId="3" borderId="0" xfId="0" applyFont="1" applyFill="1" applyBorder="1" applyAlignment="1">
      <alignment horizontal="center" vertical="center" wrapText="1" readingOrder="1"/>
    </xf>
    <xf numFmtId="0" fontId="37" fillId="3" borderId="0" xfId="0" applyFont="1" applyFill="1" applyBorder="1" applyAlignment="1">
      <alignment horizontal="center" vertical="center" wrapText="1" readingOrder="1"/>
    </xf>
    <xf numFmtId="0" fontId="14" fillId="15" borderId="21" xfId="0" applyFont="1" applyFill="1" applyBorder="1" applyAlignment="1">
      <alignment horizontal="center" vertical="center" wrapText="1"/>
    </xf>
    <xf numFmtId="0" fontId="11" fillId="8" borderId="21" xfId="0" applyFont="1" applyFill="1" applyBorder="1" applyAlignment="1">
      <alignment horizontal="center" vertical="center" wrapText="1"/>
    </xf>
    <xf numFmtId="1" fontId="11" fillId="8" borderId="21" xfId="0" applyNumberFormat="1" applyFont="1" applyFill="1" applyBorder="1" applyAlignment="1">
      <alignment horizontal="center" vertical="center" wrapText="1"/>
    </xf>
    <xf numFmtId="0" fontId="11" fillId="10" borderId="21" xfId="0" applyFont="1" applyFill="1" applyBorder="1" applyAlignment="1">
      <alignment horizontal="center" vertical="center" wrapText="1"/>
    </xf>
    <xf numFmtId="0" fontId="11" fillId="10" borderId="21" xfId="0" applyFont="1" applyFill="1" applyBorder="1" applyAlignment="1">
      <alignment horizontal="center" vertical="center"/>
    </xf>
    <xf numFmtId="1" fontId="11" fillId="8" borderId="21" xfId="0" applyNumberFormat="1" applyFont="1" applyFill="1" applyBorder="1" applyAlignment="1" applyProtection="1">
      <alignment horizontal="center" vertical="center" wrapText="1"/>
      <protection locked="0" hidden="1"/>
    </xf>
    <xf numFmtId="0" fontId="11" fillId="10" borderId="21" xfId="0" applyFont="1" applyFill="1" applyBorder="1" applyAlignment="1" applyProtection="1">
      <alignment horizontal="center" vertical="center" wrapText="1"/>
      <protection locked="0"/>
    </xf>
    <xf numFmtId="0" fontId="9" fillId="0" borderId="66" xfId="0" applyFont="1" applyBorder="1" applyAlignment="1">
      <alignment vertical="center" wrapText="1"/>
    </xf>
    <xf numFmtId="0" fontId="38" fillId="0" borderId="71" xfId="0" applyFont="1" applyBorder="1" applyAlignment="1">
      <alignment vertical="center" wrapText="1"/>
    </xf>
    <xf numFmtId="0" fontId="17" fillId="0" borderId="72" xfId="0" applyFont="1" applyBorder="1" applyAlignment="1">
      <alignment horizontal="center" wrapText="1"/>
    </xf>
    <xf numFmtId="0" fontId="17" fillId="14" borderId="73" xfId="0" applyFont="1" applyFill="1" applyBorder="1" applyAlignment="1">
      <alignment horizontal="center" vertical="center" wrapText="1"/>
    </xf>
    <xf numFmtId="0" fontId="17" fillId="14" borderId="74" xfId="0" applyFont="1" applyFill="1" applyBorder="1" applyAlignment="1">
      <alignment horizontal="center" vertical="center" wrapText="1"/>
    </xf>
    <xf numFmtId="0" fontId="17" fillId="0" borderId="75" xfId="0" applyFont="1" applyBorder="1" applyAlignment="1">
      <alignment horizontal="center" wrapText="1"/>
    </xf>
    <xf numFmtId="0" fontId="17" fillId="14" borderId="76" xfId="0" applyFont="1" applyFill="1" applyBorder="1" applyAlignment="1">
      <alignment horizontal="center" vertical="center" wrapText="1"/>
    </xf>
    <xf numFmtId="0" fontId="3" fillId="9" borderId="19" xfId="0" applyFont="1" applyFill="1" applyBorder="1" applyAlignment="1">
      <alignment wrapText="1"/>
    </xf>
    <xf numFmtId="0" fontId="3" fillId="9" borderId="13" xfId="0" applyFont="1" applyFill="1" applyBorder="1" applyAlignment="1">
      <alignment wrapText="1"/>
    </xf>
    <xf numFmtId="0" fontId="31" fillId="10" borderId="55" xfId="0" applyFont="1" applyFill="1" applyBorder="1" applyAlignment="1">
      <alignment horizontal="center" vertical="center" wrapText="1"/>
    </xf>
    <xf numFmtId="0" fontId="2" fillId="4" borderId="49" xfId="0" applyFont="1" applyFill="1" applyBorder="1" applyAlignment="1">
      <alignment horizontal="left" wrapText="1" readingOrder="1"/>
    </xf>
    <xf numFmtId="0" fontId="2" fillId="4" borderId="4" xfId="0" applyFont="1" applyFill="1" applyBorder="1" applyAlignment="1">
      <alignment horizontal="left" wrapText="1" readingOrder="1"/>
    </xf>
    <xf numFmtId="0" fontId="2" fillId="4" borderId="5" xfId="0" applyFont="1" applyFill="1" applyBorder="1" applyAlignment="1">
      <alignment horizontal="left" wrapText="1" readingOrder="1"/>
    </xf>
    <xf numFmtId="0" fontId="2" fillId="4" borderId="3" xfId="0" applyFont="1" applyFill="1" applyBorder="1" applyAlignment="1">
      <alignment horizontal="left" wrapText="1" readingOrder="1"/>
    </xf>
    <xf numFmtId="0" fontId="31" fillId="10" borderId="49" xfId="0" applyFont="1" applyFill="1" applyBorder="1" applyAlignment="1">
      <alignment horizontal="center" vertical="center" wrapText="1"/>
    </xf>
    <xf numFmtId="0" fontId="31" fillId="10" borderId="3" xfId="0" applyFont="1" applyFill="1" applyBorder="1" applyAlignment="1">
      <alignment horizontal="center" vertical="center" wrapText="1"/>
    </xf>
    <xf numFmtId="0" fontId="31" fillId="10" borderId="54" xfId="0" applyFont="1" applyFill="1" applyBorder="1" applyAlignment="1">
      <alignment horizontal="center" vertical="center" wrapText="1"/>
    </xf>
    <xf numFmtId="0" fontId="2" fillId="2" borderId="49" xfId="0" applyFont="1" applyFill="1" applyBorder="1" applyAlignment="1">
      <alignment horizontal="center" wrapText="1" readingOrder="1"/>
    </xf>
    <xf numFmtId="0" fontId="2" fillId="2" borderId="4" xfId="0" applyFont="1" applyFill="1" applyBorder="1" applyAlignment="1">
      <alignment horizontal="center" wrapText="1" readingOrder="1"/>
    </xf>
    <xf numFmtId="0" fontId="2" fillId="2" borderId="5" xfId="0" applyFont="1" applyFill="1" applyBorder="1" applyAlignment="1">
      <alignment horizontal="center" wrapText="1" readingOrder="1"/>
    </xf>
    <xf numFmtId="0" fontId="7" fillId="6" borderId="49" xfId="0" applyFont="1" applyFill="1" applyBorder="1" applyAlignment="1">
      <alignment horizontal="center" wrapText="1"/>
    </xf>
    <xf numFmtId="0" fontId="7" fillId="6" borderId="3" xfId="0" applyFont="1" applyFill="1" applyBorder="1" applyAlignment="1">
      <alignment horizontal="center" wrapText="1"/>
    </xf>
    <xf numFmtId="0" fontId="7" fillId="6" borderId="54" xfId="0" applyFont="1" applyFill="1" applyBorder="1" applyAlignment="1">
      <alignment horizontal="center" wrapText="1"/>
    </xf>
    <xf numFmtId="0" fontId="31" fillId="6" borderId="7" xfId="0" applyFont="1" applyFill="1" applyBorder="1" applyAlignment="1">
      <alignment horizontal="center" vertical="center" wrapText="1"/>
    </xf>
    <xf numFmtId="0" fontId="31" fillId="6" borderId="44" xfId="0" applyFont="1" applyFill="1" applyBorder="1" applyAlignment="1">
      <alignment horizontal="center" vertical="center" wrapText="1"/>
    </xf>
    <xf numFmtId="0" fontId="2" fillId="2" borderId="49" xfId="0" applyFont="1" applyFill="1" applyBorder="1" applyAlignment="1">
      <alignment horizontal="left" wrapText="1" readingOrder="1"/>
    </xf>
    <xf numFmtId="0" fontId="2" fillId="2" borderId="4" xfId="0" applyFont="1" applyFill="1" applyBorder="1" applyAlignment="1">
      <alignment horizontal="left" wrapText="1" readingOrder="1"/>
    </xf>
    <xf numFmtId="0" fontId="2" fillId="2" borderId="5" xfId="0" applyFont="1" applyFill="1" applyBorder="1" applyAlignment="1">
      <alignment horizontal="left" wrapText="1" readingOrder="1"/>
    </xf>
    <xf numFmtId="0" fontId="7" fillId="10" borderId="45" xfId="0" applyFont="1" applyFill="1" applyBorder="1" applyAlignment="1">
      <alignment wrapText="1"/>
    </xf>
    <xf numFmtId="0" fontId="7" fillId="10" borderId="9" xfId="0" applyFont="1" applyFill="1" applyBorder="1" applyAlignment="1">
      <alignment wrapText="1"/>
    </xf>
    <xf numFmtId="0" fontId="31" fillId="6" borderId="43" xfId="0" applyFont="1" applyFill="1" applyBorder="1" applyAlignment="1">
      <alignment horizontal="center" vertical="center" wrapText="1"/>
    </xf>
    <xf numFmtId="0" fontId="7" fillId="10" borderId="50" xfId="0" applyFont="1" applyFill="1" applyBorder="1" applyAlignment="1">
      <alignment wrapText="1"/>
    </xf>
    <xf numFmtId="0" fontId="7" fillId="10" borderId="2" xfId="0" applyFont="1" applyFill="1" applyBorder="1" applyAlignment="1">
      <alignment wrapText="1"/>
    </xf>
    <xf numFmtId="0" fontId="7" fillId="10" borderId="0" xfId="0" applyFont="1" applyFill="1" applyBorder="1" applyAlignment="1">
      <alignment wrapText="1"/>
    </xf>
    <xf numFmtId="0" fontId="7" fillId="6" borderId="45" xfId="0" applyFont="1" applyFill="1" applyBorder="1" applyAlignment="1">
      <alignment wrapText="1"/>
    </xf>
    <xf numFmtId="0" fontId="7" fillId="6" borderId="0" xfId="0" applyFont="1" applyFill="1" applyBorder="1" applyAlignment="1">
      <alignment wrapText="1"/>
    </xf>
    <xf numFmtId="0" fontId="7" fillId="6" borderId="9" xfId="0" applyFont="1" applyFill="1" applyBorder="1" applyAlignment="1">
      <alignment wrapText="1"/>
    </xf>
    <xf numFmtId="0" fontId="16" fillId="0" borderId="30" xfId="0" applyFont="1" applyBorder="1" applyAlignment="1">
      <alignment horizontal="center" vertical="center" wrapText="1"/>
    </xf>
    <xf numFmtId="0" fontId="39" fillId="0" borderId="32" xfId="0" applyFont="1" applyBorder="1" applyAlignment="1">
      <alignment horizontal="center" vertical="center" wrapText="1"/>
    </xf>
    <xf numFmtId="0" fontId="39" fillId="0" borderId="30" xfId="0" applyFont="1" applyBorder="1" applyAlignment="1">
      <alignment horizontal="center" vertical="center" wrapText="1"/>
    </xf>
    <xf numFmtId="0" fontId="16" fillId="8" borderId="31" xfId="0" applyFont="1" applyFill="1" applyBorder="1" applyAlignment="1">
      <alignment horizontal="center" vertical="center" wrapText="1"/>
    </xf>
    <xf numFmtId="0" fontId="4" fillId="5" borderId="78" xfId="0" applyFont="1" applyFill="1" applyBorder="1" applyAlignment="1">
      <alignment horizontal="center" vertical="center" wrapText="1" readingOrder="1"/>
    </xf>
    <xf numFmtId="0" fontId="16" fillId="8" borderId="27" xfId="0" applyFont="1" applyFill="1" applyBorder="1" applyAlignment="1">
      <alignment horizontal="center" vertical="center" wrapText="1"/>
    </xf>
    <xf numFmtId="0" fontId="16" fillId="8" borderId="77" xfId="0" applyFont="1" applyFill="1" applyBorder="1" applyAlignment="1">
      <alignment horizontal="left" vertical="center" wrapText="1"/>
    </xf>
    <xf numFmtId="0" fontId="16" fillId="8" borderId="31" xfId="0" applyFont="1" applyFill="1" applyBorder="1" applyAlignment="1">
      <alignment horizontal="left" vertical="center" wrapText="1"/>
    </xf>
    <xf numFmtId="0" fontId="16" fillId="8" borderId="0" xfId="0" applyFont="1" applyFill="1" applyBorder="1" applyAlignment="1">
      <alignment horizontal="left" vertical="center" wrapText="1"/>
    </xf>
    <xf numFmtId="0" fontId="6" fillId="0" borderId="34" xfId="0" applyFont="1" applyBorder="1" applyAlignment="1">
      <alignment horizontal="center" vertical="center" wrapText="1"/>
    </xf>
    <xf numFmtId="0" fontId="30" fillId="16" borderId="0" xfId="0" applyFont="1" applyFill="1" applyBorder="1" applyAlignment="1">
      <alignment horizontal="center" vertical="center" wrapText="1"/>
    </xf>
    <xf numFmtId="0" fontId="15" fillId="15" borderId="37" xfId="0" applyFont="1" applyFill="1" applyBorder="1" applyAlignment="1">
      <alignment horizontal="center" vertical="center" wrapText="1"/>
    </xf>
    <xf numFmtId="0" fontId="41" fillId="0" borderId="0" xfId="0" applyFont="1" applyAlignment="1">
      <alignment vertical="center"/>
    </xf>
    <xf numFmtId="0" fontId="0" fillId="16" borderId="0" xfId="0" applyFill="1" applyBorder="1" applyAlignment="1">
      <alignment horizontal="center" vertical="center" wrapText="1"/>
    </xf>
    <xf numFmtId="0" fontId="10" fillId="11" borderId="25" xfId="0" applyFont="1" applyFill="1" applyBorder="1" applyAlignment="1">
      <alignment horizontal="center" vertical="center"/>
    </xf>
    <xf numFmtId="0" fontId="15" fillId="15" borderId="0" xfId="0" applyFont="1" applyFill="1" applyBorder="1" applyAlignment="1">
      <alignment horizontal="center" vertical="center" wrapText="1"/>
    </xf>
    <xf numFmtId="0" fontId="42" fillId="0" borderId="0" xfId="0" applyFont="1"/>
    <xf numFmtId="0" fontId="0" fillId="0" borderId="0" xfId="0" applyAlignment="1"/>
    <xf numFmtId="0" fontId="0" fillId="0" borderId="0" xfId="0" applyFill="1"/>
    <xf numFmtId="0" fontId="40" fillId="0" borderId="0" xfId="0" applyFont="1" applyAlignment="1">
      <alignment vertical="top" wrapText="1"/>
    </xf>
    <xf numFmtId="0" fontId="40" fillId="0" borderId="84" xfId="0" applyFont="1" applyBorder="1" applyAlignment="1">
      <alignment vertical="top" wrapText="1"/>
    </xf>
    <xf numFmtId="0" fontId="52" fillId="0" borderId="0" xfId="0" applyFont="1" applyAlignment="1">
      <alignment horizontal="center" vertical="center"/>
    </xf>
    <xf numFmtId="0" fontId="56" fillId="14" borderId="34" xfId="0" applyFont="1" applyFill="1" applyBorder="1" applyAlignment="1">
      <alignment horizontal="center" vertical="center" wrapText="1"/>
    </xf>
    <xf numFmtId="0" fontId="52" fillId="14" borderId="34" xfId="0" applyFont="1" applyFill="1" applyBorder="1" applyAlignment="1">
      <alignment horizontal="center" vertical="center" wrapText="1"/>
    </xf>
    <xf numFmtId="0" fontId="0" fillId="0" borderId="103" xfId="0" applyBorder="1" applyAlignment="1"/>
    <xf numFmtId="0" fontId="52" fillId="24" borderId="34" xfId="0" applyFont="1" applyFill="1" applyBorder="1" applyAlignment="1">
      <alignment horizontal="left" vertical="center" wrapText="1"/>
    </xf>
    <xf numFmtId="0" fontId="52" fillId="0" borderId="0" xfId="0" applyFont="1" applyFill="1" applyAlignment="1">
      <alignment horizontal="center" vertical="center"/>
    </xf>
    <xf numFmtId="0" fontId="52" fillId="27" borderId="34" xfId="0" applyFont="1" applyFill="1" applyBorder="1" applyAlignment="1">
      <alignment horizontal="center" vertical="center" wrapText="1"/>
    </xf>
    <xf numFmtId="0" fontId="52" fillId="27" borderId="34" xfId="0" applyFont="1" applyFill="1" applyBorder="1" applyAlignment="1">
      <alignment horizontal="center" vertical="center"/>
    </xf>
    <xf numFmtId="0" fontId="62" fillId="27" borderId="82" xfId="0" applyFont="1" applyFill="1" applyBorder="1" applyAlignment="1">
      <alignment horizontal="center" vertical="center" wrapText="1"/>
    </xf>
    <xf numFmtId="0" fontId="59" fillId="19" borderId="34" xfId="0" applyFont="1" applyFill="1" applyBorder="1" applyAlignment="1">
      <alignment horizontal="center" vertical="center" wrapText="1"/>
    </xf>
    <xf numFmtId="0" fontId="59" fillId="17" borderId="85" xfId="0" applyFont="1" applyFill="1" applyBorder="1" applyAlignment="1">
      <alignment horizontal="center" vertical="center" wrapText="1"/>
    </xf>
    <xf numFmtId="0" fontId="62" fillId="17" borderId="85" xfId="0" applyFont="1" applyFill="1" applyBorder="1" applyAlignment="1">
      <alignment horizontal="center" vertical="center" wrapText="1"/>
    </xf>
    <xf numFmtId="0" fontId="59" fillId="20" borderId="85" xfId="0" applyFont="1" applyFill="1" applyBorder="1" applyAlignment="1">
      <alignment horizontal="center" vertical="center" wrapText="1"/>
    </xf>
    <xf numFmtId="0" fontId="53" fillId="27" borderId="34" xfId="0" applyFont="1" applyFill="1" applyBorder="1" applyAlignment="1">
      <alignment horizontal="center" vertical="center" wrapText="1"/>
    </xf>
    <xf numFmtId="0" fontId="53" fillId="27" borderId="79" xfId="0" applyFont="1" applyFill="1" applyBorder="1" applyAlignment="1">
      <alignment horizontal="center" vertical="center" wrapText="1"/>
    </xf>
    <xf numFmtId="0" fontId="52" fillId="27" borderId="79" xfId="0" applyFont="1" applyFill="1" applyBorder="1" applyAlignment="1">
      <alignment horizontal="center" vertical="center"/>
    </xf>
    <xf numFmtId="0" fontId="56" fillId="27" borderId="79" xfId="0" applyFont="1" applyFill="1" applyBorder="1" applyAlignment="1">
      <alignment horizontal="center" vertical="center"/>
    </xf>
    <xf numFmtId="0" fontId="56" fillId="27" borderId="79" xfId="0" applyFont="1" applyFill="1" applyBorder="1" applyAlignment="1">
      <alignment horizontal="center" vertical="center" wrapText="1"/>
    </xf>
    <xf numFmtId="0" fontId="56" fillId="27" borderId="34" xfId="0" applyFont="1" applyFill="1" applyBorder="1" applyAlignment="1">
      <alignment horizontal="center" vertical="center" wrapText="1"/>
    </xf>
    <xf numFmtId="0" fontId="0" fillId="0" borderId="0" xfId="0" applyFill="1" applyAlignment="1">
      <alignment wrapText="1"/>
    </xf>
    <xf numFmtId="0" fontId="45" fillId="28" borderId="79" xfId="0" applyFont="1" applyFill="1" applyBorder="1" applyAlignment="1">
      <alignment vertical="center" wrapText="1"/>
    </xf>
    <xf numFmtId="0" fontId="45" fillId="28" borderId="80" xfId="0" applyFont="1" applyFill="1" applyBorder="1" applyAlignment="1">
      <alignment vertical="center" wrapText="1"/>
    </xf>
    <xf numFmtId="0" fontId="46" fillId="15" borderId="81" xfId="0" applyFont="1" applyFill="1" applyBorder="1" applyAlignment="1">
      <alignment vertical="center" wrapText="1"/>
    </xf>
    <xf numFmtId="0" fontId="46" fillId="15" borderId="82" xfId="0" applyFont="1" applyFill="1" applyBorder="1" applyAlignment="1">
      <alignment vertical="center" wrapText="1"/>
    </xf>
    <xf numFmtId="0" fontId="46" fillId="31" borderId="81" xfId="0" applyFont="1" applyFill="1" applyBorder="1" applyAlignment="1">
      <alignment vertical="center" wrapText="1"/>
    </xf>
    <xf numFmtId="0" fontId="46" fillId="31" borderId="82" xfId="0" applyFont="1" applyFill="1" applyBorder="1" applyAlignment="1">
      <alignment vertical="center" wrapText="1"/>
    </xf>
    <xf numFmtId="0" fontId="46" fillId="32" borderId="81" xfId="0" applyFont="1" applyFill="1" applyBorder="1" applyAlignment="1">
      <alignment vertical="center" wrapText="1"/>
    </xf>
    <xf numFmtId="0" fontId="46" fillId="32" borderId="82" xfId="0" applyFont="1" applyFill="1" applyBorder="1" applyAlignment="1">
      <alignment vertical="center" wrapText="1"/>
    </xf>
    <xf numFmtId="0" fontId="46" fillId="33" borderId="82" xfId="0" applyFont="1" applyFill="1" applyBorder="1" applyAlignment="1">
      <alignment vertical="center" wrapText="1"/>
    </xf>
    <xf numFmtId="0" fontId="46" fillId="33" borderId="81" xfId="0" applyFont="1" applyFill="1" applyBorder="1" applyAlignment="1">
      <alignment vertical="center" wrapText="1"/>
    </xf>
    <xf numFmtId="0" fontId="45" fillId="23" borderId="81" xfId="0" applyFont="1" applyFill="1" applyBorder="1" applyAlignment="1">
      <alignment vertical="center" wrapText="1"/>
    </xf>
    <xf numFmtId="0" fontId="45" fillId="23" borderId="82" xfId="0" applyFont="1" applyFill="1" applyBorder="1" applyAlignment="1">
      <alignment vertical="center" wrapText="1"/>
    </xf>
    <xf numFmtId="0" fontId="46" fillId="20" borderId="81" xfId="0" applyFont="1" applyFill="1" applyBorder="1" applyAlignment="1">
      <alignment vertical="center" wrapText="1"/>
    </xf>
    <xf numFmtId="0" fontId="46" fillId="20" borderId="82" xfId="0" applyFont="1" applyFill="1" applyBorder="1" applyAlignment="1">
      <alignment vertical="center" wrapText="1"/>
    </xf>
    <xf numFmtId="0" fontId="45" fillId="34" borderId="81" xfId="0" applyFont="1" applyFill="1" applyBorder="1" applyAlignment="1">
      <alignment vertical="center" wrapText="1"/>
    </xf>
    <xf numFmtId="0" fontId="45" fillId="34" borderId="82" xfId="0" applyFont="1" applyFill="1" applyBorder="1" applyAlignment="1">
      <alignment vertical="center" wrapText="1"/>
    </xf>
    <xf numFmtId="0" fontId="17" fillId="35" borderId="34" xfId="0" applyFont="1" applyFill="1" applyBorder="1" applyAlignment="1">
      <alignment horizontal="center" vertical="center" wrapText="1"/>
    </xf>
    <xf numFmtId="0" fontId="52" fillId="31" borderId="36" xfId="0" applyFont="1" applyFill="1" applyBorder="1" applyAlignment="1">
      <alignment horizontal="center" vertical="center"/>
    </xf>
    <xf numFmtId="0" fontId="52" fillId="31" borderId="34" xfId="0" applyFont="1" applyFill="1" applyBorder="1" applyAlignment="1">
      <alignment horizontal="center" vertical="center"/>
    </xf>
    <xf numFmtId="0" fontId="49" fillId="31" borderId="34" xfId="0" applyFont="1" applyFill="1" applyBorder="1" applyAlignment="1">
      <alignment horizontal="center" vertical="center" wrapText="1"/>
    </xf>
    <xf numFmtId="0" fontId="50" fillId="31" borderId="34" xfId="0" applyFont="1" applyFill="1" applyBorder="1" applyAlignment="1">
      <alignment horizontal="center" vertical="center" wrapText="1"/>
    </xf>
    <xf numFmtId="0" fontId="52" fillId="32" borderId="36" xfId="0" applyFont="1" applyFill="1" applyBorder="1" applyAlignment="1">
      <alignment horizontal="center" vertical="center"/>
    </xf>
    <xf numFmtId="0" fontId="52" fillId="32" borderId="34" xfId="0" applyFont="1" applyFill="1" applyBorder="1" applyAlignment="1">
      <alignment horizontal="center" vertical="center"/>
    </xf>
    <xf numFmtId="0" fontId="50" fillId="32" borderId="34" xfId="0" applyFont="1" applyFill="1" applyBorder="1" applyAlignment="1">
      <alignment horizontal="center" vertical="center" wrapText="1"/>
    </xf>
    <xf numFmtId="0" fontId="56" fillId="20" borderId="79" xfId="0" applyFont="1" applyFill="1" applyBorder="1" applyAlignment="1">
      <alignment horizontal="center" vertical="center"/>
    </xf>
    <xf numFmtId="0" fontId="55" fillId="20" borderId="79" xfId="0" applyFont="1" applyFill="1" applyBorder="1" applyAlignment="1">
      <alignment horizontal="center" vertical="center" wrapText="1"/>
    </xf>
    <xf numFmtId="0" fontId="56" fillId="20" borderId="79" xfId="0" applyFont="1" applyFill="1" applyBorder="1" applyAlignment="1">
      <alignment horizontal="center" vertical="center" wrapText="1"/>
    </xf>
    <xf numFmtId="0" fontId="53" fillId="20" borderId="79" xfId="0" applyFont="1" applyFill="1" applyBorder="1" applyAlignment="1">
      <alignment horizontal="center" vertical="center" wrapText="1"/>
    </xf>
    <xf numFmtId="0" fontId="52" fillId="20" borderId="79" xfId="0" applyFont="1" applyFill="1" applyBorder="1" applyAlignment="1">
      <alignment horizontal="center" vertical="center"/>
    </xf>
    <xf numFmtId="0" fontId="56" fillId="31" borderId="79" xfId="0" applyFont="1" applyFill="1" applyBorder="1" applyAlignment="1">
      <alignment horizontal="center" vertical="center" wrapText="1"/>
    </xf>
    <xf numFmtId="0" fontId="56" fillId="31" borderId="79" xfId="0" applyFont="1" applyFill="1" applyBorder="1" applyAlignment="1">
      <alignment horizontal="center" vertical="center"/>
    </xf>
    <xf numFmtId="0" fontId="0" fillId="31" borderId="0" xfId="0" applyFill="1"/>
    <xf numFmtId="0" fontId="56" fillId="31" borderId="34" xfId="0" applyFont="1" applyFill="1" applyBorder="1" applyAlignment="1">
      <alignment vertical="center" wrapText="1"/>
    </xf>
    <xf numFmtId="0" fontId="56" fillId="31" borderId="34" xfId="0" applyFont="1" applyFill="1" applyBorder="1" applyAlignment="1">
      <alignment vertical="center"/>
    </xf>
    <xf numFmtId="0" fontId="56" fillId="31" borderId="34" xfId="0" applyFont="1" applyFill="1" applyBorder="1" applyAlignment="1">
      <alignment horizontal="center" vertical="center"/>
    </xf>
    <xf numFmtId="0" fontId="62" fillId="31" borderId="82" xfId="0" applyFont="1" applyFill="1" applyBorder="1" applyAlignment="1">
      <alignment horizontal="center" vertical="center" wrapText="1"/>
    </xf>
    <xf numFmtId="0" fontId="62" fillId="31" borderId="81" xfId="0" applyFont="1" applyFill="1" applyBorder="1" applyAlignment="1">
      <alignment horizontal="center" vertical="center" wrapText="1"/>
    </xf>
    <xf numFmtId="0" fontId="43" fillId="31" borderId="106" xfId="0" applyFont="1" applyFill="1" applyBorder="1" applyAlignment="1">
      <alignment horizontal="center" vertical="center" wrapText="1"/>
    </xf>
    <xf numFmtId="0" fontId="43" fillId="31" borderId="85" xfId="0" applyFont="1" applyFill="1" applyBorder="1" applyAlignment="1">
      <alignment horizontal="center" vertical="center" wrapText="1"/>
    </xf>
    <xf numFmtId="0" fontId="6" fillId="31" borderId="80" xfId="0" applyFont="1" applyFill="1" applyBorder="1" applyAlignment="1">
      <alignment horizontal="center" vertical="center" wrapText="1"/>
    </xf>
    <xf numFmtId="0" fontId="52" fillId="31" borderId="82" xfId="0" applyNumberFormat="1" applyFont="1" applyFill="1" applyBorder="1" applyAlignment="1">
      <alignment horizontal="center" vertical="center" wrapText="1"/>
    </xf>
    <xf numFmtId="0" fontId="52" fillId="31" borderId="81" xfId="0" applyFont="1" applyFill="1" applyBorder="1" applyAlignment="1">
      <alignment horizontal="center" vertical="center" wrapText="1"/>
    </xf>
    <xf numFmtId="0" fontId="52" fillId="31" borderId="82" xfId="0" applyFont="1" applyFill="1" applyBorder="1" applyAlignment="1">
      <alignment horizontal="center" vertical="center" wrapText="1"/>
    </xf>
    <xf numFmtId="0" fontId="52" fillId="31" borderId="81" xfId="0" applyNumberFormat="1" applyFont="1" applyFill="1" applyBorder="1" applyAlignment="1">
      <alignment horizontal="center" vertical="center" wrapText="1"/>
    </xf>
    <xf numFmtId="0" fontId="53" fillId="39" borderId="34" xfId="0" applyFont="1" applyFill="1" applyBorder="1" applyAlignment="1">
      <alignment horizontal="center" vertical="center" wrapText="1"/>
    </xf>
    <xf numFmtId="0" fontId="52" fillId="39" borderId="34" xfId="0" applyFont="1" applyFill="1" applyBorder="1" applyAlignment="1">
      <alignment horizontal="center" vertical="center" wrapText="1"/>
    </xf>
    <xf numFmtId="0" fontId="62" fillId="39" borderId="80" xfId="0" applyFont="1" applyFill="1" applyBorder="1" applyAlignment="1">
      <alignment horizontal="center" vertical="center" wrapText="1"/>
    </xf>
    <xf numFmtId="0" fontId="62" fillId="39" borderId="82" xfId="0" applyFont="1" applyFill="1" applyBorder="1" applyAlignment="1">
      <alignment horizontal="center" vertical="center" wrapText="1"/>
    </xf>
    <xf numFmtId="0" fontId="56" fillId="39" borderId="34" xfId="0" applyFont="1" applyFill="1" applyBorder="1" applyAlignment="1">
      <alignment horizontal="center" vertical="top" wrapText="1"/>
    </xf>
    <xf numFmtId="0" fontId="52" fillId="39" borderId="34" xfId="0" applyFont="1" applyFill="1" applyBorder="1" applyAlignment="1">
      <alignment horizontal="center" vertical="center"/>
    </xf>
    <xf numFmtId="0" fontId="52" fillId="32" borderId="34" xfId="0" applyFont="1" applyFill="1" applyBorder="1" applyAlignment="1">
      <alignment horizontal="center" vertical="center" wrapText="1"/>
    </xf>
    <xf numFmtId="0" fontId="56" fillId="41" borderId="79" xfId="0" applyFont="1" applyFill="1" applyBorder="1" applyAlignment="1">
      <alignment horizontal="center" vertical="center" wrapText="1"/>
    </xf>
    <xf numFmtId="0" fontId="56" fillId="41" borderId="79" xfId="0" applyFont="1" applyFill="1" applyBorder="1" applyAlignment="1">
      <alignment horizontal="center" vertical="center"/>
    </xf>
    <xf numFmtId="0" fontId="52" fillId="41" borderId="34" xfId="0" applyFont="1" applyFill="1" applyBorder="1" applyAlignment="1">
      <alignment horizontal="center" vertical="center" wrapText="1"/>
    </xf>
    <xf numFmtId="0" fontId="52" fillId="41" borderId="34" xfId="0" applyFont="1" applyFill="1" applyBorder="1" applyAlignment="1">
      <alignment horizontal="center" vertical="center"/>
    </xf>
    <xf numFmtId="0" fontId="52" fillId="41" borderId="99" xfId="0" applyFont="1" applyFill="1" applyBorder="1" applyAlignment="1">
      <alignment horizontal="center" vertical="center" wrapText="1"/>
    </xf>
    <xf numFmtId="0" fontId="62" fillId="41" borderId="82" xfId="0" applyFont="1" applyFill="1" applyBorder="1" applyAlignment="1">
      <alignment horizontal="center" vertical="center" wrapText="1"/>
    </xf>
    <xf numFmtId="0" fontId="62" fillId="41" borderId="79" xfId="0" applyFont="1" applyFill="1" applyBorder="1" applyAlignment="1">
      <alignment horizontal="center" vertical="center" wrapText="1"/>
    </xf>
    <xf numFmtId="0" fontId="62" fillId="41" borderId="81" xfId="0" applyFont="1" applyFill="1" applyBorder="1" applyAlignment="1">
      <alignment horizontal="center" vertical="center" wrapText="1"/>
    </xf>
    <xf numFmtId="0" fontId="52" fillId="41" borderId="82" xfId="0" applyFont="1" applyFill="1" applyBorder="1" applyAlignment="1">
      <alignment horizontal="center" vertical="center" wrapText="1"/>
    </xf>
    <xf numFmtId="0" fontId="52" fillId="41" borderId="79" xfId="0" applyFont="1" applyFill="1" applyBorder="1" applyAlignment="1">
      <alignment horizontal="center" vertical="center" wrapText="1"/>
    </xf>
    <xf numFmtId="0" fontId="52" fillId="41" borderId="82" xfId="0" applyNumberFormat="1" applyFont="1" applyFill="1" applyBorder="1" applyAlignment="1">
      <alignment horizontal="center" vertical="center" wrapText="1"/>
    </xf>
    <xf numFmtId="0" fontId="52" fillId="41" borderId="81" xfId="0" applyFont="1" applyFill="1" applyBorder="1" applyAlignment="1">
      <alignment horizontal="center" vertical="center" wrapText="1"/>
    </xf>
    <xf numFmtId="0" fontId="52" fillId="41" borderId="81" xfId="0" applyNumberFormat="1" applyFont="1" applyFill="1" applyBorder="1" applyAlignment="1">
      <alignment horizontal="center" vertical="center" wrapText="1"/>
    </xf>
    <xf numFmtId="0" fontId="52" fillId="35" borderId="34" xfId="0" applyFont="1" applyFill="1" applyBorder="1" applyAlignment="1">
      <alignment horizontal="center" vertical="center"/>
    </xf>
    <xf numFmtId="0" fontId="59" fillId="35" borderId="34" xfId="0" applyFont="1" applyFill="1" applyBorder="1" applyAlignment="1">
      <alignment horizontal="center" vertical="center"/>
    </xf>
    <xf numFmtId="0" fontId="52" fillId="35" borderId="34" xfId="0" applyFont="1" applyFill="1" applyBorder="1"/>
    <xf numFmtId="0" fontId="56" fillId="35" borderId="34" xfId="0" applyFont="1" applyFill="1" applyBorder="1" applyAlignment="1">
      <alignment horizontal="center" vertical="center"/>
    </xf>
    <xf numFmtId="0" fontId="62" fillId="42" borderId="34" xfId="0" applyFont="1" applyFill="1" applyBorder="1" applyAlignment="1">
      <alignment horizontal="center" vertical="center" wrapText="1"/>
    </xf>
    <xf numFmtId="0" fontId="59" fillId="42" borderId="34" xfId="0" applyFont="1" applyFill="1" applyBorder="1" applyAlignment="1">
      <alignment horizontal="center" vertical="center" wrapText="1"/>
    </xf>
    <xf numFmtId="0" fontId="1" fillId="18" borderId="85" xfId="0" applyFont="1" applyFill="1" applyBorder="1" applyAlignment="1">
      <alignment horizontal="center" vertical="center" wrapText="1"/>
    </xf>
    <xf numFmtId="0" fontId="1" fillId="40" borderId="85" xfId="0" applyFont="1" applyFill="1" applyBorder="1" applyAlignment="1">
      <alignment horizontal="center" vertical="center" wrapText="1"/>
    </xf>
    <xf numFmtId="0" fontId="0" fillId="49" borderId="46" xfId="0" applyFill="1" applyBorder="1" applyAlignment="1">
      <alignment wrapText="1"/>
    </xf>
    <xf numFmtId="0" fontId="0" fillId="49" borderId="129" xfId="0" applyFill="1" applyBorder="1" applyAlignment="1">
      <alignment wrapText="1"/>
    </xf>
    <xf numFmtId="0" fontId="0" fillId="49" borderId="130" xfId="0" applyFill="1" applyBorder="1" applyAlignment="1">
      <alignment wrapText="1"/>
    </xf>
    <xf numFmtId="0" fontId="0" fillId="44" borderId="0" xfId="0" applyFill="1" applyBorder="1" applyAlignment="1">
      <alignment wrapText="1"/>
    </xf>
    <xf numFmtId="0" fontId="0" fillId="44" borderId="0" xfId="0" applyFill="1" applyAlignment="1">
      <alignment wrapText="1"/>
    </xf>
    <xf numFmtId="0" fontId="13" fillId="49" borderId="159" xfId="0" applyFont="1" applyFill="1" applyBorder="1" applyAlignment="1">
      <alignment horizontal="center" vertical="center" wrapText="1"/>
    </xf>
    <xf numFmtId="0" fontId="15" fillId="14" borderId="160" xfId="0" applyFont="1" applyFill="1" applyBorder="1" applyAlignment="1">
      <alignment horizontal="center" vertical="center" wrapText="1"/>
    </xf>
    <xf numFmtId="0" fontId="13" fillId="49" borderId="161" xfId="0" applyFont="1" applyFill="1" applyBorder="1" applyAlignment="1">
      <alignment horizontal="center" vertical="center" wrapText="1"/>
    </xf>
    <xf numFmtId="0" fontId="15" fillId="14" borderId="162" xfId="0" applyFont="1" applyFill="1" applyBorder="1" applyAlignment="1">
      <alignment horizontal="center" vertical="center" wrapText="1"/>
    </xf>
    <xf numFmtId="0" fontId="14" fillId="14" borderId="162" xfId="0" applyFont="1" applyFill="1" applyBorder="1" applyAlignment="1">
      <alignment horizontal="center" vertical="center" wrapText="1"/>
    </xf>
    <xf numFmtId="0" fontId="13" fillId="49" borderId="163" xfId="0" applyFont="1" applyFill="1" applyBorder="1" applyAlignment="1">
      <alignment horizontal="center" vertical="center" wrapText="1"/>
    </xf>
    <xf numFmtId="0" fontId="15" fillId="14" borderId="164" xfId="0" applyFont="1" applyFill="1" applyBorder="1" applyAlignment="1">
      <alignment horizontal="center" vertical="center" wrapText="1"/>
    </xf>
    <xf numFmtId="0" fontId="15" fillId="14" borderId="167" xfId="0" applyFont="1" applyFill="1" applyBorder="1" applyAlignment="1">
      <alignment horizontal="center" vertical="center" wrapText="1"/>
    </xf>
    <xf numFmtId="0" fontId="15" fillId="14" borderId="168" xfId="0" applyFont="1" applyFill="1" applyBorder="1" applyAlignment="1">
      <alignment horizontal="center" vertical="center" wrapText="1"/>
    </xf>
    <xf numFmtId="0" fontId="15" fillId="14" borderId="172" xfId="0" applyFont="1" applyFill="1" applyBorder="1" applyAlignment="1">
      <alignment horizontal="center" vertical="center" wrapText="1"/>
    </xf>
    <xf numFmtId="0" fontId="15" fillId="14" borderId="173" xfId="0" applyFont="1" applyFill="1" applyBorder="1" applyAlignment="1">
      <alignment horizontal="center" vertical="center" wrapText="1"/>
    </xf>
    <xf numFmtId="0" fontId="78" fillId="14" borderId="119" xfId="0" applyFont="1" applyFill="1" applyBorder="1" applyAlignment="1">
      <alignment horizontal="center" vertical="center" wrapText="1"/>
    </xf>
    <xf numFmtId="0" fontId="78" fillId="14" borderId="128" xfId="0" applyFont="1" applyFill="1" applyBorder="1" applyAlignment="1">
      <alignment horizontal="center" vertical="center" wrapText="1"/>
    </xf>
    <xf numFmtId="0" fontId="78" fillId="14" borderId="125" xfId="0" applyFont="1" applyFill="1" applyBorder="1" applyAlignment="1">
      <alignment horizontal="center" vertical="center" wrapText="1"/>
    </xf>
    <xf numFmtId="0" fontId="78" fillId="14" borderId="126" xfId="0" applyFont="1" applyFill="1" applyBorder="1" applyAlignment="1">
      <alignment horizontal="center" vertical="center" wrapText="1"/>
    </xf>
    <xf numFmtId="0" fontId="58" fillId="49" borderId="186" xfId="0" applyFont="1" applyFill="1" applyBorder="1" applyAlignment="1">
      <alignment horizontal="center" vertical="center" wrapText="1"/>
    </xf>
    <xf numFmtId="0" fontId="69" fillId="49" borderId="119" xfId="0" applyFont="1" applyFill="1" applyBorder="1" applyAlignment="1">
      <alignment horizontal="center" vertical="center" wrapText="1"/>
    </xf>
    <xf numFmtId="0" fontId="69" fillId="49" borderId="128" xfId="0" applyFont="1" applyFill="1" applyBorder="1" applyAlignment="1">
      <alignment horizontal="center" vertical="center" wrapText="1"/>
    </xf>
    <xf numFmtId="0" fontId="85" fillId="45" borderId="203" xfId="0" applyFont="1" applyFill="1" applyBorder="1" applyAlignment="1">
      <alignment horizontal="center" vertical="center"/>
    </xf>
    <xf numFmtId="0" fontId="86" fillId="14" borderId="184" xfId="0" applyFont="1" applyFill="1" applyBorder="1" applyAlignment="1">
      <alignment horizontal="center" vertical="center" wrapText="1"/>
    </xf>
    <xf numFmtId="0" fontId="85" fillId="14" borderId="188" xfId="0" applyFont="1" applyFill="1" applyBorder="1" applyAlignment="1">
      <alignment horizontal="center" vertical="center" wrapText="1"/>
    </xf>
    <xf numFmtId="0" fontId="85" fillId="51" borderId="204" xfId="0" applyFont="1" applyFill="1" applyBorder="1" applyAlignment="1">
      <alignment horizontal="center" vertical="center"/>
    </xf>
    <xf numFmtId="0" fontId="85" fillId="51" borderId="119" xfId="0" applyFont="1" applyFill="1" applyBorder="1" applyAlignment="1">
      <alignment horizontal="center" vertical="center"/>
    </xf>
    <xf numFmtId="0" fontId="85" fillId="51" borderId="134" xfId="0" applyFont="1" applyFill="1" applyBorder="1" applyAlignment="1">
      <alignment horizontal="center" vertical="center"/>
    </xf>
    <xf numFmtId="0" fontId="85" fillId="45" borderId="204" xfId="0" applyFont="1" applyFill="1" applyBorder="1" applyAlignment="1">
      <alignment horizontal="center" vertical="center" wrapText="1"/>
    </xf>
    <xf numFmtId="0" fontId="86" fillId="14" borderId="119" xfId="0" applyFont="1" applyFill="1" applyBorder="1" applyAlignment="1">
      <alignment horizontal="center" vertical="center" wrapText="1"/>
    </xf>
    <xf numFmtId="0" fontId="85" fillId="14" borderId="134" xfId="0" applyFont="1" applyFill="1" applyBorder="1" applyAlignment="1">
      <alignment horizontal="center" vertical="center" wrapText="1"/>
    </xf>
    <xf numFmtId="0" fontId="85" fillId="51" borderId="205" xfId="0" applyFont="1" applyFill="1" applyBorder="1" applyAlignment="1">
      <alignment horizontal="center" vertical="center"/>
    </xf>
    <xf numFmtId="0" fontId="85" fillId="51" borderId="125" xfId="0" applyFont="1" applyFill="1" applyBorder="1" applyAlignment="1">
      <alignment horizontal="center" vertical="center"/>
    </xf>
    <xf numFmtId="0" fontId="85" fillId="51" borderId="189" xfId="0" applyFont="1" applyFill="1" applyBorder="1" applyAlignment="1">
      <alignment horizontal="center" vertical="center"/>
    </xf>
    <xf numFmtId="0" fontId="88" fillId="30" borderId="118" xfId="0" applyFont="1" applyFill="1" applyBorder="1" applyAlignment="1">
      <alignment horizontal="center" vertical="center" wrapText="1" readingOrder="1"/>
    </xf>
    <xf numFmtId="0" fontId="88" fillId="14" borderId="187" xfId="0" applyFont="1" applyFill="1" applyBorder="1" applyAlignment="1">
      <alignment horizontal="center" vertical="center" wrapText="1" readingOrder="1"/>
    </xf>
    <xf numFmtId="0" fontId="78" fillId="51" borderId="145" xfId="0" applyFont="1" applyFill="1" applyBorder="1" applyAlignment="1">
      <alignment horizontal="center" vertical="center"/>
    </xf>
    <xf numFmtId="0" fontId="78" fillId="51" borderId="0" xfId="0" applyFont="1" applyFill="1" applyBorder="1" applyAlignment="1">
      <alignment horizontal="center" vertical="center"/>
    </xf>
    <xf numFmtId="0" fontId="90" fillId="51" borderId="157" xfId="0" applyFont="1" applyFill="1" applyBorder="1" applyAlignment="1">
      <alignment vertical="center"/>
    </xf>
    <xf numFmtId="0" fontId="90" fillId="51" borderId="202" xfId="0" applyFont="1" applyFill="1" applyBorder="1" applyAlignment="1">
      <alignment vertical="center"/>
    </xf>
    <xf numFmtId="0" fontId="64" fillId="14" borderId="131" xfId="0" applyFont="1" applyFill="1" applyBorder="1" applyAlignment="1">
      <alignment horizontal="center" vertical="center" wrapText="1"/>
    </xf>
    <xf numFmtId="0" fontId="64" fillId="14" borderId="141" xfId="0" applyFont="1" applyFill="1" applyBorder="1" applyAlignment="1">
      <alignment horizontal="center" vertical="center" wrapText="1"/>
    </xf>
    <xf numFmtId="0" fontId="92" fillId="14" borderId="141" xfId="0" applyFont="1" applyFill="1" applyBorder="1" applyAlignment="1">
      <alignment horizontal="center" vertical="center" wrapText="1"/>
    </xf>
    <xf numFmtId="0" fontId="71" fillId="50" borderId="19" xfId="0" applyFont="1" applyFill="1" applyBorder="1" applyAlignment="1">
      <alignment horizontal="center" vertical="center" wrapText="1"/>
    </xf>
    <xf numFmtId="0" fontId="71" fillId="50" borderId="13" xfId="0" applyFont="1" applyFill="1" applyBorder="1" applyAlignment="1">
      <alignment horizontal="center" vertical="center" wrapText="1"/>
    </xf>
    <xf numFmtId="0" fontId="7" fillId="45" borderId="21" xfId="0" applyFont="1" applyFill="1" applyBorder="1" applyAlignment="1">
      <alignment vertical="center" wrapText="1"/>
    </xf>
    <xf numFmtId="0" fontId="7" fillId="45" borderId="21" xfId="0" applyFont="1" applyFill="1" applyBorder="1" applyAlignment="1">
      <alignment wrapText="1"/>
    </xf>
    <xf numFmtId="0" fontId="31" fillId="45" borderId="21" xfId="0" applyFont="1" applyFill="1" applyBorder="1" applyAlignment="1">
      <alignment vertical="center" wrapText="1"/>
    </xf>
    <xf numFmtId="0" fontId="0" fillId="44" borderId="56" xfId="0" applyFill="1" applyBorder="1" applyAlignment="1">
      <alignment wrapText="1"/>
    </xf>
    <xf numFmtId="0" fontId="59" fillId="44" borderId="0" xfId="0" applyFont="1" applyFill="1" applyBorder="1" applyAlignment="1">
      <alignment wrapText="1"/>
    </xf>
    <xf numFmtId="0" fontId="53" fillId="44" borderId="0" xfId="0" applyFont="1" applyFill="1" applyBorder="1" applyAlignment="1">
      <alignment vertical="center" wrapText="1"/>
    </xf>
    <xf numFmtId="0" fontId="59" fillId="44" borderId="0" xfId="0" applyFont="1" applyFill="1" applyAlignment="1">
      <alignment wrapText="1"/>
    </xf>
    <xf numFmtId="0" fontId="9" fillId="44" borderId="0" xfId="0" applyFont="1" applyFill="1" applyBorder="1" applyAlignment="1">
      <alignment vertical="center" wrapText="1"/>
    </xf>
    <xf numFmtId="0" fontId="93" fillId="44" borderId="0" xfId="0" applyFont="1" applyFill="1" applyBorder="1" applyAlignment="1">
      <alignment wrapText="1"/>
    </xf>
    <xf numFmtId="0" fontId="94" fillId="44" borderId="0" xfId="0" applyFont="1" applyFill="1" applyBorder="1" applyAlignment="1">
      <alignment vertical="center" wrapText="1"/>
    </xf>
    <xf numFmtId="0" fontId="75" fillId="44" borderId="0" xfId="0" applyFont="1" applyFill="1" applyBorder="1" applyAlignment="1" applyProtection="1">
      <alignment wrapText="1"/>
      <protection hidden="1"/>
    </xf>
    <xf numFmtId="0" fontId="76" fillId="44" borderId="0" xfId="0" applyFont="1" applyFill="1" applyBorder="1" applyAlignment="1" applyProtection="1">
      <alignment wrapText="1"/>
      <protection hidden="1"/>
    </xf>
    <xf numFmtId="0" fontId="57" fillId="44" borderId="0" xfId="0" applyFont="1" applyFill="1" applyAlignment="1">
      <alignment wrapText="1"/>
    </xf>
    <xf numFmtId="0" fontId="0" fillId="49" borderId="142" xfId="0" applyFill="1" applyBorder="1" applyAlignment="1">
      <alignment wrapText="1"/>
    </xf>
    <xf numFmtId="0" fontId="0" fillId="44" borderId="144" xfId="0" applyFill="1" applyBorder="1" applyAlignment="1">
      <alignment wrapText="1"/>
    </xf>
    <xf numFmtId="0" fontId="0" fillId="44" borderId="142" xfId="0" applyFill="1" applyBorder="1" applyAlignment="1">
      <alignment wrapText="1"/>
    </xf>
    <xf numFmtId="0" fontId="0" fillId="44" borderId="0" xfId="0" applyFill="1"/>
    <xf numFmtId="0" fontId="78" fillId="48" borderId="22" xfId="0" applyFont="1" applyFill="1" applyBorder="1" applyAlignment="1">
      <alignment horizontal="center" vertical="center" wrapText="1"/>
    </xf>
    <xf numFmtId="0" fontId="71" fillId="49" borderId="220" xfId="0" applyFont="1" applyFill="1" applyBorder="1" applyAlignment="1">
      <alignment horizontal="center" vertical="center" wrapText="1" readingOrder="1"/>
    </xf>
    <xf numFmtId="0" fontId="80" fillId="49" borderId="220" xfId="0" applyFont="1" applyFill="1" applyBorder="1" applyAlignment="1">
      <alignment horizontal="center" vertical="center" wrapText="1" readingOrder="1"/>
    </xf>
    <xf numFmtId="0" fontId="80" fillId="49" borderId="160" xfId="0" applyFont="1" applyFill="1" applyBorder="1" applyAlignment="1">
      <alignment horizontal="center" vertical="center" wrapText="1" readingOrder="1"/>
    </xf>
    <xf numFmtId="0" fontId="45" fillId="30" borderId="174" xfId="0" applyFont="1" applyFill="1" applyBorder="1" applyAlignment="1">
      <alignment horizontal="center" vertical="center" wrapText="1"/>
    </xf>
    <xf numFmtId="0" fontId="45" fillId="30" borderId="175" xfId="0" applyFont="1" applyFill="1" applyBorder="1" applyAlignment="1">
      <alignment horizontal="center" vertical="center" wrapText="1"/>
    </xf>
    <xf numFmtId="0" fontId="56" fillId="30" borderId="169" xfId="0" applyFont="1" applyFill="1" applyBorder="1" applyAlignment="1">
      <alignment horizontal="center" vertical="center" wrapText="1"/>
    </xf>
    <xf numFmtId="0" fontId="56" fillId="30" borderId="170" xfId="0" applyFont="1" applyFill="1" applyBorder="1" applyAlignment="1">
      <alignment horizontal="center" vertical="center" wrapText="1"/>
    </xf>
    <xf numFmtId="0" fontId="56" fillId="30" borderId="171" xfId="0" applyFont="1" applyFill="1" applyBorder="1" applyAlignment="1">
      <alignment horizontal="center" vertical="center" wrapText="1"/>
    </xf>
    <xf numFmtId="0" fontId="86" fillId="14" borderId="135" xfId="0" applyFont="1" applyFill="1" applyBorder="1" applyAlignment="1">
      <alignment wrapText="1"/>
    </xf>
    <xf numFmtId="0" fontId="86" fillId="14" borderId="133" xfId="0" applyFont="1" applyFill="1" applyBorder="1" applyAlignment="1">
      <alignment horizontal="center" vertical="center" wrapText="1"/>
    </xf>
    <xf numFmtId="0" fontId="86" fillId="14" borderId="150" xfId="0" applyFont="1" applyFill="1" applyBorder="1" applyAlignment="1">
      <alignment horizontal="center" vertical="center" wrapText="1"/>
    </xf>
    <xf numFmtId="0" fontId="86" fillId="14" borderId="134" xfId="0" applyFont="1" applyFill="1" applyBorder="1" applyAlignment="1">
      <alignment horizontal="center" vertical="center" wrapText="1"/>
    </xf>
    <xf numFmtId="0" fontId="86" fillId="14" borderId="151" xfId="0" applyFont="1" applyFill="1" applyBorder="1" applyAlignment="1">
      <alignment horizontal="center" vertical="center" wrapText="1"/>
    </xf>
    <xf numFmtId="0" fontId="86" fillId="14" borderId="152" xfId="0" applyFont="1" applyFill="1" applyBorder="1" applyAlignment="1">
      <alignment horizontal="center" vertical="center" wrapText="1"/>
    </xf>
    <xf numFmtId="0" fontId="82" fillId="49" borderId="217" xfId="0" applyFont="1" applyFill="1" applyBorder="1" applyAlignment="1">
      <alignment horizontal="center" vertical="center" wrapText="1"/>
    </xf>
    <xf numFmtId="0" fontId="85" fillId="45" borderId="121" xfId="0" applyFont="1" applyFill="1" applyBorder="1" applyAlignment="1">
      <alignment horizontal="center" vertical="center" wrapText="1"/>
    </xf>
    <xf numFmtId="0" fontId="85" fillId="45" borderId="122" xfId="0" applyFont="1" applyFill="1" applyBorder="1" applyAlignment="1">
      <alignment horizontal="center" vertical="center" wrapText="1"/>
    </xf>
    <xf numFmtId="0" fontId="86" fillId="14" borderId="122" xfId="0" applyFont="1" applyFill="1" applyBorder="1" applyAlignment="1">
      <alignment horizontal="center" vertical="center" wrapText="1"/>
    </xf>
    <xf numFmtId="0" fontId="86" fillId="14" borderId="127" xfId="0" applyFont="1" applyFill="1" applyBorder="1" applyAlignment="1">
      <alignment horizontal="center" vertical="center" wrapText="1"/>
    </xf>
    <xf numFmtId="0" fontId="82" fillId="49" borderId="218" xfId="0" applyFont="1" applyFill="1" applyBorder="1" applyAlignment="1">
      <alignment horizontal="center" vertical="center" wrapText="1"/>
    </xf>
    <xf numFmtId="0" fontId="85" fillId="45" borderId="120" xfId="0" applyFont="1" applyFill="1" applyBorder="1" applyAlignment="1">
      <alignment horizontal="center" vertical="center" wrapText="1"/>
    </xf>
    <xf numFmtId="0" fontId="85" fillId="45" borderId="119" xfId="0" applyFont="1" applyFill="1" applyBorder="1" applyAlignment="1">
      <alignment horizontal="center" vertical="center" wrapText="1"/>
    </xf>
    <xf numFmtId="0" fontId="86" fillId="14" borderId="128" xfId="0" applyFont="1" applyFill="1" applyBorder="1" applyAlignment="1">
      <alignment horizontal="center" vertical="center" wrapText="1"/>
    </xf>
    <xf numFmtId="0" fontId="82" fillId="49" borderId="219" xfId="0" applyFont="1" applyFill="1" applyBorder="1" applyAlignment="1">
      <alignment horizontal="center" vertical="center"/>
    </xf>
    <xf numFmtId="0" fontId="85" fillId="45" borderId="124" xfId="0" applyFont="1" applyFill="1" applyBorder="1" applyAlignment="1">
      <alignment horizontal="center" vertical="center" wrapText="1"/>
    </xf>
    <xf numFmtId="0" fontId="85" fillId="45" borderId="125" xfId="0" applyFont="1" applyFill="1" applyBorder="1" applyAlignment="1">
      <alignment horizontal="center" vertical="center" wrapText="1"/>
    </xf>
    <xf numFmtId="0" fontId="85" fillId="14" borderId="125" xfId="0" applyFont="1" applyFill="1" applyBorder="1" applyAlignment="1">
      <alignment horizontal="center" vertical="center" wrapText="1"/>
    </xf>
    <xf numFmtId="0" fontId="85" fillId="14" borderId="126" xfId="0" applyFont="1" applyFill="1" applyBorder="1" applyAlignment="1">
      <alignment horizontal="center" vertical="center" wrapText="1"/>
    </xf>
    <xf numFmtId="0" fontId="87" fillId="30" borderId="140" xfId="0" applyFont="1" applyFill="1" applyBorder="1" applyAlignment="1">
      <alignment horizontal="center" vertical="center" wrapText="1"/>
    </xf>
    <xf numFmtId="0" fontId="88" fillId="30" borderId="123" xfId="0" applyFont="1" applyFill="1" applyBorder="1" applyAlignment="1">
      <alignment horizontal="center" vertical="center" wrapText="1" readingOrder="1"/>
    </xf>
    <xf numFmtId="0" fontId="77" fillId="30" borderId="223" xfId="0" applyFont="1" applyFill="1" applyBorder="1" applyAlignment="1">
      <alignment horizontal="center" vertical="center" wrapText="1" readingOrder="1"/>
    </xf>
    <xf numFmtId="0" fontId="86" fillId="30" borderId="132" xfId="0" applyFont="1" applyFill="1" applyBorder="1" applyAlignment="1">
      <alignment horizontal="center" vertical="center" wrapText="1"/>
    </xf>
    <xf numFmtId="0" fontId="86" fillId="30" borderId="149" xfId="0" applyFont="1" applyFill="1" applyBorder="1" applyAlignment="1">
      <alignment horizontal="center" vertical="center" wrapText="1"/>
    </xf>
    <xf numFmtId="0" fontId="83" fillId="49" borderId="141" xfId="0" applyFont="1" applyFill="1" applyBorder="1" applyAlignment="1">
      <alignment horizontal="center" vertical="center" wrapText="1"/>
    </xf>
    <xf numFmtId="0" fontId="45" fillId="30" borderId="210" xfId="0" applyFont="1" applyFill="1" applyBorder="1" applyAlignment="1">
      <alignment horizontal="center" vertical="center" wrapText="1"/>
    </xf>
    <xf numFmtId="0" fontId="45" fillId="30" borderId="211" xfId="0" applyFont="1" applyFill="1" applyBorder="1" applyAlignment="1">
      <alignment horizontal="center" vertical="center" wrapText="1"/>
    </xf>
    <xf numFmtId="0" fontId="45" fillId="30" borderId="212" xfId="0" applyFont="1" applyFill="1" applyBorder="1" applyAlignment="1">
      <alignment horizontal="center" vertical="center" wrapText="1"/>
    </xf>
    <xf numFmtId="0" fontId="70" fillId="49" borderId="25" xfId="0" applyFont="1" applyFill="1" applyBorder="1" applyAlignment="1">
      <alignment horizontal="center" vertical="center"/>
    </xf>
    <xf numFmtId="0" fontId="45" fillId="14" borderId="179" xfId="0" applyFont="1" applyFill="1" applyBorder="1" applyAlignment="1">
      <alignment horizontal="center" vertical="center" wrapText="1"/>
    </xf>
    <xf numFmtId="0" fontId="86" fillId="14" borderId="179" xfId="0" applyFont="1" applyFill="1" applyBorder="1" applyAlignment="1">
      <alignment horizontal="center" vertical="center" wrapText="1"/>
    </xf>
    <xf numFmtId="0" fontId="86" fillId="30" borderId="136" xfId="0" applyFont="1" applyFill="1" applyBorder="1" applyAlignment="1">
      <alignment horizontal="center" vertical="center" wrapText="1"/>
    </xf>
    <xf numFmtId="0" fontId="86" fillId="30" borderId="137" xfId="0" applyFont="1" applyFill="1" applyBorder="1" applyAlignment="1">
      <alignment horizontal="center" vertical="center" wrapText="1"/>
    </xf>
    <xf numFmtId="0" fontId="86" fillId="30" borderId="138" xfId="0" applyFont="1" applyFill="1" applyBorder="1" applyAlignment="1">
      <alignment horizontal="center" vertical="center" wrapText="1"/>
    </xf>
    <xf numFmtId="0" fontId="59" fillId="0" borderId="0" xfId="0" applyFont="1" applyAlignment="1">
      <alignment horizontal="center" vertical="center"/>
    </xf>
    <xf numFmtId="0" fontId="46" fillId="41" borderId="34" xfId="0" applyFont="1" applyFill="1" applyBorder="1" applyAlignment="1">
      <alignment horizontal="center" vertical="center" wrapText="1"/>
    </xf>
    <xf numFmtId="0" fontId="46" fillId="41" borderId="34" xfId="0" applyFont="1" applyFill="1" applyBorder="1" applyAlignment="1">
      <alignment horizontal="center" vertical="center"/>
    </xf>
    <xf numFmtId="0" fontId="46" fillId="31" borderId="34" xfId="0" applyFont="1" applyFill="1" applyBorder="1" applyAlignment="1">
      <alignment horizontal="center" vertical="center" wrapText="1"/>
    </xf>
    <xf numFmtId="0" fontId="46" fillId="31" borderId="34" xfId="0" applyFont="1" applyFill="1" applyBorder="1" applyAlignment="1">
      <alignment horizontal="center" vertical="center"/>
    </xf>
    <xf numFmtId="0" fontId="83" fillId="49" borderId="139" xfId="0" applyFont="1" applyFill="1" applyBorder="1" applyAlignment="1">
      <alignment horizontal="center" vertical="center" wrapText="1"/>
    </xf>
    <xf numFmtId="0" fontId="58" fillId="49" borderId="141" xfId="0" applyFont="1" applyFill="1" applyBorder="1" applyAlignment="1">
      <alignment horizontal="center" vertical="center" wrapText="1"/>
    </xf>
    <xf numFmtId="0" fontId="6" fillId="12" borderId="46" xfId="0" applyFont="1" applyFill="1" applyBorder="1" applyAlignment="1">
      <alignment horizontal="left" vertical="top" wrapText="1"/>
    </xf>
    <xf numFmtId="0" fontId="31" fillId="10" borderId="0" xfId="0" applyFont="1" applyFill="1" applyBorder="1" applyAlignment="1">
      <alignment horizontal="center" vertical="center" wrapText="1"/>
    </xf>
    <xf numFmtId="0" fontId="31" fillId="6" borderId="0" xfId="0" applyFont="1" applyFill="1" applyBorder="1" applyAlignment="1">
      <alignment horizontal="center" vertical="center" wrapText="1"/>
    </xf>
    <xf numFmtId="0" fontId="31" fillId="6" borderId="9" xfId="0" applyFont="1" applyFill="1" applyBorder="1" applyAlignment="1">
      <alignment horizontal="center" vertical="center" wrapText="1"/>
    </xf>
    <xf numFmtId="0" fontId="31" fillId="10" borderId="2" xfId="0" applyFont="1" applyFill="1" applyBorder="1" applyAlignment="1">
      <alignment horizontal="center" vertical="center" wrapText="1"/>
    </xf>
    <xf numFmtId="0" fontId="31" fillId="10" borderId="47" xfId="0" applyFont="1" applyFill="1" applyBorder="1" applyAlignment="1">
      <alignment horizontal="center" vertical="center" wrapText="1"/>
    </xf>
    <xf numFmtId="0" fontId="3" fillId="3" borderId="49" xfId="0" applyFont="1" applyFill="1" applyBorder="1" applyAlignment="1">
      <alignment horizontal="left" wrapText="1" readingOrder="1"/>
    </xf>
    <xf numFmtId="0" fontId="3" fillId="3" borderId="3" xfId="0" applyFont="1" applyFill="1" applyBorder="1" applyAlignment="1">
      <alignment horizontal="left" wrapText="1" readingOrder="1"/>
    </xf>
    <xf numFmtId="0" fontId="3" fillId="3" borderId="4" xfId="0" applyFont="1" applyFill="1" applyBorder="1" applyAlignment="1">
      <alignment horizontal="left" wrapText="1" readingOrder="1"/>
    </xf>
    <xf numFmtId="0" fontId="31" fillId="6" borderId="49" xfId="0" applyFont="1" applyFill="1" applyBorder="1" applyAlignment="1">
      <alignment horizontal="center" vertical="center" wrapText="1"/>
    </xf>
    <xf numFmtId="0" fontId="31" fillId="6" borderId="3" xfId="0" applyFont="1" applyFill="1" applyBorder="1" applyAlignment="1">
      <alignment horizontal="center" vertical="center" wrapText="1"/>
    </xf>
    <xf numFmtId="0" fontId="31" fillId="6" borderId="54" xfId="0" applyFont="1" applyFill="1" applyBorder="1" applyAlignment="1">
      <alignment horizontal="center" vertical="center" wrapText="1"/>
    </xf>
    <xf numFmtId="0" fontId="58" fillId="49" borderId="185" xfId="0" applyFont="1" applyFill="1" applyBorder="1" applyAlignment="1">
      <alignment horizontal="center" vertical="center" wrapText="1"/>
    </xf>
    <xf numFmtId="0" fontId="79" fillId="49" borderId="220" xfId="0" applyFont="1" applyFill="1" applyBorder="1" applyAlignment="1">
      <alignment horizontal="center" vertical="center" wrapText="1" readingOrder="1"/>
    </xf>
    <xf numFmtId="0" fontId="9" fillId="44" borderId="0" xfId="0" applyFont="1" applyFill="1" applyBorder="1" applyAlignment="1">
      <alignment horizontal="center" vertical="center" wrapText="1"/>
    </xf>
    <xf numFmtId="0" fontId="67" fillId="20" borderId="79" xfId="0" applyFont="1" applyFill="1" applyBorder="1" applyAlignment="1">
      <alignment horizontal="center" vertical="center"/>
    </xf>
    <xf numFmtId="0" fontId="52" fillId="23" borderId="79" xfId="0" applyFont="1" applyFill="1" applyBorder="1" applyAlignment="1">
      <alignment horizontal="center" vertical="center"/>
    </xf>
    <xf numFmtId="0" fontId="52" fillId="23" borderId="79" xfId="0" applyFont="1" applyFill="1" applyBorder="1" applyAlignment="1">
      <alignment horizontal="center" vertical="center" wrapText="1"/>
    </xf>
    <xf numFmtId="0" fontId="43" fillId="31" borderId="34" xfId="0" applyFont="1" applyFill="1" applyBorder="1" applyAlignment="1">
      <alignment horizontal="center" vertical="center" wrapText="1"/>
    </xf>
    <xf numFmtId="0" fontId="52" fillId="35" borderId="34" xfId="0" applyFont="1" applyFill="1" applyBorder="1" applyAlignment="1">
      <alignment horizontal="center" vertical="center" wrapText="1"/>
    </xf>
    <xf numFmtId="0" fontId="52" fillId="31" borderId="34" xfId="0" applyFont="1" applyFill="1" applyBorder="1" applyAlignment="1">
      <alignment horizontal="center" vertical="center" wrapText="1"/>
    </xf>
    <xf numFmtId="0" fontId="56" fillId="39" borderId="34" xfId="0" applyFont="1" applyFill="1" applyBorder="1" applyAlignment="1">
      <alignment horizontal="center" vertical="center" wrapText="1"/>
    </xf>
    <xf numFmtId="0" fontId="56" fillId="31" borderId="34" xfId="0" applyFont="1" applyFill="1" applyBorder="1" applyAlignment="1">
      <alignment horizontal="center" vertical="center" wrapText="1"/>
    </xf>
    <xf numFmtId="0" fontId="56" fillId="31" borderId="106" xfId="0" applyFont="1" applyFill="1" applyBorder="1" applyAlignment="1">
      <alignment horizontal="center" vertical="center" wrapText="1"/>
    </xf>
    <xf numFmtId="0" fontId="56" fillId="31" borderId="85" xfId="0" applyFont="1" applyFill="1" applyBorder="1" applyAlignment="1">
      <alignment horizontal="center" vertical="center" wrapText="1"/>
    </xf>
    <xf numFmtId="0" fontId="56" fillId="25" borderId="34" xfId="0" applyFont="1" applyFill="1" applyBorder="1" applyAlignment="1">
      <alignment horizontal="center" vertical="center" wrapText="1"/>
    </xf>
    <xf numFmtId="0" fontId="43" fillId="31" borderId="36" xfId="0" applyFont="1" applyFill="1" applyBorder="1" applyAlignment="1">
      <alignment horizontal="center" vertical="center" wrapText="1"/>
    </xf>
    <xf numFmtId="0" fontId="67" fillId="31" borderId="34" xfId="0" applyFont="1" applyFill="1" applyBorder="1" applyAlignment="1">
      <alignment horizontal="center" vertical="center" wrapText="1"/>
    </xf>
    <xf numFmtId="0" fontId="17" fillId="0" borderId="0" xfId="0" applyFont="1" applyAlignment="1">
      <alignment horizontal="center" vertical="center"/>
    </xf>
    <xf numFmtId="0" fontId="86" fillId="30" borderId="119" xfId="0" applyFont="1" applyFill="1" applyBorder="1" applyAlignment="1">
      <alignment horizontal="center" vertical="center" wrapText="1"/>
    </xf>
    <xf numFmtId="0" fontId="86" fillId="30" borderId="125" xfId="0" applyFont="1" applyFill="1" applyBorder="1" applyAlignment="1">
      <alignment horizontal="center" vertical="center" wrapText="1"/>
    </xf>
    <xf numFmtId="0" fontId="86" fillId="14" borderId="125" xfId="0" applyFont="1" applyFill="1" applyBorder="1" applyAlignment="1">
      <alignment horizontal="center" vertical="center" wrapText="1"/>
    </xf>
    <xf numFmtId="0" fontId="86" fillId="14" borderId="126" xfId="0" applyFont="1" applyFill="1" applyBorder="1" applyAlignment="1">
      <alignment horizontal="center" vertical="center" wrapText="1"/>
    </xf>
    <xf numFmtId="0" fontId="70" fillId="49" borderId="197" xfId="0" applyFont="1" applyFill="1" applyBorder="1" applyAlignment="1">
      <alignment horizontal="center" vertical="center" wrapText="1"/>
    </xf>
    <xf numFmtId="0" fontId="70" fillId="49" borderId="198" xfId="0" applyFont="1" applyFill="1" applyBorder="1" applyAlignment="1">
      <alignment horizontal="center" vertical="center" wrapText="1"/>
    </xf>
    <xf numFmtId="0" fontId="86" fillId="14" borderId="229" xfId="0" applyFont="1" applyFill="1" applyBorder="1" applyAlignment="1">
      <alignment horizontal="center" vertical="center" wrapText="1"/>
    </xf>
    <xf numFmtId="0" fontId="0" fillId="11" borderId="57" xfId="0" applyFill="1" applyBorder="1" applyAlignment="1">
      <alignment wrapText="1"/>
    </xf>
    <xf numFmtId="9" fontId="0" fillId="0" borderId="0" xfId="2" applyFont="1" applyAlignment="1">
      <alignment wrapText="1"/>
    </xf>
    <xf numFmtId="0" fontId="23" fillId="14" borderId="230" xfId="0" applyFont="1" applyFill="1" applyBorder="1" applyAlignment="1" applyProtection="1">
      <alignment horizontal="center" vertical="center" wrapText="1"/>
      <protection hidden="1"/>
    </xf>
    <xf numFmtId="0" fontId="101" fillId="44" borderId="0" xfId="0" applyFont="1" applyFill="1" applyAlignment="1">
      <alignment wrapText="1"/>
    </xf>
    <xf numFmtId="0" fontId="70" fillId="49" borderId="209" xfId="0" applyFont="1" applyFill="1" applyBorder="1" applyAlignment="1">
      <alignment horizontal="center" vertical="center" wrapText="1"/>
    </xf>
    <xf numFmtId="0" fontId="70" fillId="49" borderId="208" xfId="0" applyFont="1" applyFill="1" applyBorder="1" applyAlignment="1">
      <alignment horizontal="center" vertical="center" wrapText="1"/>
    </xf>
    <xf numFmtId="0" fontId="89" fillId="49" borderId="49" xfId="0" applyFont="1" applyFill="1" applyBorder="1" applyAlignment="1">
      <alignment horizontal="center" vertical="center" wrapText="1"/>
    </xf>
    <xf numFmtId="0" fontId="89" fillId="49" borderId="3" xfId="0" applyFont="1" applyFill="1" applyBorder="1" applyAlignment="1">
      <alignment horizontal="center" vertical="center" wrapText="1"/>
    </xf>
    <xf numFmtId="0" fontId="89" fillId="49" borderId="4" xfId="0" applyFont="1" applyFill="1" applyBorder="1" applyAlignment="1">
      <alignment horizontal="center" vertical="center" wrapText="1"/>
    </xf>
    <xf numFmtId="0" fontId="72" fillId="48" borderId="45" xfId="0" applyFont="1" applyFill="1" applyBorder="1" applyAlignment="1">
      <alignment horizontal="center" vertical="center" wrapText="1"/>
    </xf>
    <xf numFmtId="0" fontId="72" fillId="48" borderId="0" xfId="0" applyFont="1" applyFill="1" applyBorder="1" applyAlignment="1">
      <alignment horizontal="center" vertical="center" wrapText="1"/>
    </xf>
    <xf numFmtId="0" fontId="72" fillId="48" borderId="9" xfId="0" applyFont="1" applyFill="1" applyBorder="1" applyAlignment="1">
      <alignment horizontal="center" vertical="center" wrapText="1"/>
    </xf>
    <xf numFmtId="0" fontId="76" fillId="44" borderId="0" xfId="0" applyFont="1" applyFill="1" applyAlignment="1">
      <alignment wrapText="1"/>
    </xf>
    <xf numFmtId="0" fontId="102" fillId="44" borderId="0" xfId="0" applyFont="1" applyFill="1" applyBorder="1" applyAlignment="1">
      <alignment vertical="center" wrapText="1"/>
    </xf>
    <xf numFmtId="0" fontId="45" fillId="44" borderId="0" xfId="0" applyFont="1" applyFill="1" applyBorder="1" applyAlignment="1">
      <alignment horizontal="center" vertical="center" wrapText="1"/>
    </xf>
    <xf numFmtId="0" fontId="45" fillId="12" borderId="242" xfId="0" applyFont="1" applyFill="1" applyBorder="1" applyAlignment="1">
      <alignment horizontal="center" vertical="center" wrapText="1"/>
    </xf>
    <xf numFmtId="0" fontId="46" fillId="0" borderId="0" xfId="0" applyFont="1" applyAlignment="1">
      <alignment vertical="center" wrapText="1"/>
    </xf>
    <xf numFmtId="0" fontId="70" fillId="49" borderId="0" xfId="0" applyFont="1" applyFill="1" applyBorder="1" applyAlignment="1">
      <alignment horizontal="center" vertical="center" wrapText="1"/>
    </xf>
    <xf numFmtId="0" fontId="46" fillId="44" borderId="0" xfId="0" applyFont="1" applyFill="1" applyBorder="1" applyAlignment="1">
      <alignment horizontal="center" vertical="center" wrapText="1"/>
    </xf>
    <xf numFmtId="0" fontId="45" fillId="12" borderId="259" xfId="0" applyFont="1" applyFill="1" applyBorder="1" applyAlignment="1">
      <alignment horizontal="center" vertical="center" wrapText="1"/>
    </xf>
    <xf numFmtId="0" fontId="0" fillId="0" borderId="0" xfId="0" applyAlignment="1">
      <alignment horizontal="center" vertical="center"/>
    </xf>
    <xf numFmtId="0" fontId="14" fillId="14" borderId="0" xfId="0" applyFont="1" applyFill="1" applyBorder="1" applyAlignment="1">
      <alignment horizontal="center" vertical="center" wrapText="1"/>
    </xf>
    <xf numFmtId="0" fontId="70" fillId="49" borderId="261" xfId="0" applyFont="1" applyFill="1" applyBorder="1" applyAlignment="1">
      <alignment horizontal="center" vertical="center" wrapText="1"/>
    </xf>
    <xf numFmtId="0" fontId="14" fillId="14" borderId="261" xfId="0" applyFont="1" applyFill="1" applyBorder="1" applyAlignment="1">
      <alignment horizontal="center" vertical="center" wrapText="1"/>
    </xf>
    <xf numFmtId="0" fontId="57" fillId="44" borderId="0" xfId="0" applyFont="1" applyFill="1" applyBorder="1" applyAlignment="1">
      <alignment wrapText="1"/>
    </xf>
    <xf numFmtId="0" fontId="17" fillId="14" borderId="262" xfId="0" applyFont="1" applyFill="1" applyBorder="1" applyAlignment="1">
      <alignment horizontal="center" vertical="center" wrapText="1"/>
    </xf>
    <xf numFmtId="0" fontId="64" fillId="44" borderId="0" xfId="0" applyFont="1" applyFill="1" applyAlignment="1">
      <alignment horizontal="center" vertical="center" wrapText="1"/>
    </xf>
    <xf numFmtId="0" fontId="64" fillId="14" borderId="267" xfId="0" applyFont="1" applyFill="1" applyBorder="1" applyAlignment="1">
      <alignment horizontal="center" vertical="center" wrapText="1"/>
    </xf>
    <xf numFmtId="0" fontId="52" fillId="31" borderId="79" xfId="0" applyFont="1" applyFill="1" applyBorder="1" applyAlignment="1">
      <alignment horizontal="center" vertical="center" wrapText="1"/>
    </xf>
    <xf numFmtId="0" fontId="52" fillId="32" borderId="79" xfId="0" applyFont="1" applyFill="1" applyBorder="1" applyAlignment="1">
      <alignment horizontal="center" vertical="center" wrapText="1"/>
    </xf>
    <xf numFmtId="0" fontId="52" fillId="32" borderId="79" xfId="0" applyFont="1" applyFill="1" applyBorder="1" applyAlignment="1">
      <alignment horizontal="center" vertical="center"/>
    </xf>
    <xf numFmtId="0" fontId="52" fillId="31" borderId="79" xfId="0" applyFont="1" applyFill="1" applyBorder="1" applyAlignment="1">
      <alignment horizontal="center" vertical="center"/>
    </xf>
    <xf numFmtId="0" fontId="58" fillId="49" borderId="268" xfId="0" applyFont="1" applyFill="1" applyBorder="1" applyAlignment="1">
      <alignment horizontal="center" vertical="center" wrapText="1"/>
    </xf>
    <xf numFmtId="0" fontId="45" fillId="14" borderId="268" xfId="0" applyFont="1" applyFill="1" applyBorder="1" applyAlignment="1">
      <alignment horizontal="center" vertical="center" wrapText="1"/>
    </xf>
    <xf numFmtId="0" fontId="52" fillId="31" borderId="79" xfId="0" applyNumberFormat="1" applyFont="1" applyFill="1" applyBorder="1" applyAlignment="1">
      <alignment horizontal="center" vertical="center" wrapText="1"/>
    </xf>
    <xf numFmtId="0" fontId="52" fillId="41" borderId="79" xfId="0" applyNumberFormat="1" applyFont="1" applyFill="1" applyBorder="1" applyAlignment="1">
      <alignment horizontal="center" vertical="center" wrapText="1"/>
    </xf>
    <xf numFmtId="0" fontId="106" fillId="49" borderId="261" xfId="0" applyFont="1" applyFill="1" applyBorder="1" applyAlignment="1">
      <alignment horizontal="center" vertical="center" wrapText="1"/>
    </xf>
    <xf numFmtId="0" fontId="45" fillId="14" borderId="261" xfId="0" applyFont="1" applyFill="1" applyBorder="1" applyAlignment="1">
      <alignment horizontal="center" vertical="center" wrapText="1"/>
    </xf>
    <xf numFmtId="0" fontId="112" fillId="44" borderId="0" xfId="0" applyFont="1" applyFill="1" applyAlignment="1">
      <alignment horizontal="center" vertical="center" wrapText="1"/>
    </xf>
    <xf numFmtId="0" fontId="113" fillId="44" borderId="0" xfId="0" applyFont="1" applyFill="1" applyAlignment="1">
      <alignment wrapText="1"/>
    </xf>
    <xf numFmtId="0" fontId="114" fillId="44" borderId="0" xfId="0" applyFont="1" applyFill="1" applyAlignment="1">
      <alignment horizontal="center" vertical="center" wrapText="1"/>
    </xf>
    <xf numFmtId="0" fontId="115" fillId="44" borderId="0" xfId="0" applyFont="1" applyFill="1" applyAlignment="1">
      <alignment wrapText="1"/>
    </xf>
    <xf numFmtId="0" fontId="117" fillId="14" borderId="21" xfId="0" applyFont="1" applyFill="1" applyBorder="1" applyAlignment="1">
      <alignment horizontal="center" vertical="center" wrapText="1"/>
    </xf>
    <xf numFmtId="0" fontId="116" fillId="46" borderId="21" xfId="0" applyFont="1" applyFill="1" applyBorder="1" applyAlignment="1">
      <alignment horizontal="center" vertical="center" wrapText="1"/>
    </xf>
    <xf numFmtId="0" fontId="118" fillId="45" borderId="21" xfId="0" applyFont="1" applyFill="1" applyBorder="1" applyAlignment="1">
      <alignment horizontal="center" vertical="center" wrapText="1"/>
    </xf>
    <xf numFmtId="0" fontId="116" fillId="47" borderId="21" xfId="0" applyFont="1" applyFill="1" applyBorder="1" applyAlignment="1">
      <alignment horizontal="center" vertical="center" wrapText="1"/>
    </xf>
    <xf numFmtId="0" fontId="116" fillId="46" borderId="21" xfId="0" applyFont="1" applyFill="1" applyBorder="1" applyAlignment="1" applyProtection="1">
      <alignment horizontal="center" vertical="center" wrapText="1"/>
      <protection locked="0"/>
    </xf>
    <xf numFmtId="0" fontId="116" fillId="46" borderId="21" xfId="0" applyFont="1" applyFill="1" applyBorder="1" applyAlignment="1">
      <alignment horizontal="center" vertical="center"/>
    </xf>
    <xf numFmtId="1" fontId="78" fillId="45" borderId="21" xfId="0" applyNumberFormat="1" applyFont="1" applyFill="1" applyBorder="1" applyAlignment="1" applyProtection="1">
      <alignment horizontal="center" vertical="center" wrapText="1"/>
      <protection locked="0" hidden="1"/>
    </xf>
    <xf numFmtId="1" fontId="78" fillId="45" borderId="21" xfId="0" applyNumberFormat="1" applyFont="1" applyFill="1" applyBorder="1" applyAlignment="1">
      <alignment horizontal="center" vertical="center" wrapText="1"/>
    </xf>
    <xf numFmtId="0" fontId="49" fillId="31" borderId="35" xfId="0" applyFont="1" applyFill="1" applyBorder="1" applyAlignment="1">
      <alignment horizontal="center" vertical="center" wrapText="1"/>
    </xf>
    <xf numFmtId="0" fontId="50" fillId="32" borderId="35" xfId="0" applyFont="1" applyFill="1" applyBorder="1" applyAlignment="1">
      <alignment horizontal="center" vertical="center" wrapText="1"/>
    </xf>
    <xf numFmtId="0" fontId="50" fillId="31" borderId="35" xfId="0" applyFont="1" applyFill="1" applyBorder="1" applyAlignment="1">
      <alignment horizontal="center" vertical="center" wrapText="1"/>
    </xf>
    <xf numFmtId="0" fontId="51" fillId="32" borderId="35" xfId="0" applyFont="1" applyFill="1" applyBorder="1" applyAlignment="1">
      <alignment horizontal="center" vertical="center" wrapText="1"/>
    </xf>
    <xf numFmtId="0" fontId="0" fillId="32" borderId="123" xfId="0" applyFill="1" applyBorder="1" applyAlignment="1">
      <alignment horizontal="center" vertical="center"/>
    </xf>
    <xf numFmtId="0" fontId="62" fillId="31" borderId="123" xfId="0" applyFont="1" applyFill="1" applyBorder="1" applyAlignment="1">
      <alignment horizontal="center" vertical="center"/>
    </xf>
    <xf numFmtId="0" fontId="0" fillId="31" borderId="123" xfId="0" applyFill="1" applyBorder="1" applyAlignment="1">
      <alignment horizontal="center" vertical="center"/>
    </xf>
    <xf numFmtId="0" fontId="53" fillId="31" borderId="123" xfId="0" applyFont="1" applyFill="1" applyBorder="1" applyAlignment="1">
      <alignment horizontal="center" vertical="center" wrapText="1"/>
    </xf>
    <xf numFmtId="0" fontId="93" fillId="44" borderId="0" xfId="0" applyFont="1" applyFill="1" applyAlignment="1">
      <alignment wrapText="1"/>
    </xf>
    <xf numFmtId="0" fontId="64" fillId="44" borderId="0" xfId="0" applyFont="1" applyFill="1" applyBorder="1" applyAlignment="1">
      <alignment horizontal="center" vertical="center" wrapText="1"/>
    </xf>
    <xf numFmtId="0" fontId="84" fillId="44" borderId="0" xfId="0" applyFont="1" applyFill="1" applyBorder="1" applyAlignment="1">
      <alignment horizontal="center" vertical="center" wrapText="1"/>
    </xf>
    <xf numFmtId="0" fontId="86" fillId="44" borderId="0" xfId="0" applyFont="1" applyFill="1" applyBorder="1" applyAlignment="1">
      <alignment vertical="center" wrapText="1"/>
    </xf>
    <xf numFmtId="0" fontId="70" fillId="44" borderId="0" xfId="0" applyFont="1" applyFill="1" applyBorder="1" applyAlignment="1">
      <alignment horizontal="center" vertical="center" wrapText="1"/>
    </xf>
    <xf numFmtId="0" fontId="70" fillId="44" borderId="0" xfId="0" applyFont="1" applyFill="1" applyBorder="1" applyAlignment="1">
      <alignment horizontal="center" vertical="center"/>
    </xf>
    <xf numFmtId="0" fontId="19" fillId="15" borderId="56" xfId="0" applyFont="1" applyFill="1" applyBorder="1" applyAlignment="1">
      <alignment horizontal="center" vertical="center" wrapText="1"/>
    </xf>
    <xf numFmtId="0" fontId="19" fillId="15" borderId="0" xfId="0" applyFont="1" applyFill="1" applyBorder="1" applyAlignment="1">
      <alignment horizontal="center" vertical="center" wrapText="1"/>
    </xf>
    <xf numFmtId="0" fontId="19" fillId="15" borderId="57" xfId="0" applyFont="1" applyFill="1" applyBorder="1" applyAlignment="1">
      <alignment horizontal="center" vertical="center" wrapText="1"/>
    </xf>
    <xf numFmtId="0" fontId="19" fillId="15" borderId="35" xfId="0" applyFont="1" applyFill="1" applyBorder="1" applyAlignment="1">
      <alignment horizontal="center" vertical="center" wrapText="1"/>
    </xf>
    <xf numFmtId="0" fontId="19" fillId="15" borderId="36" xfId="0" applyFont="1" applyFill="1" applyBorder="1" applyAlignment="1">
      <alignment horizontal="center" vertical="center" wrapText="1"/>
    </xf>
    <xf numFmtId="0" fontId="10" fillId="11" borderId="25" xfId="0" applyFont="1" applyFill="1" applyBorder="1" applyAlignment="1">
      <alignment horizontal="center" vertical="center" wrapText="1"/>
    </xf>
    <xf numFmtId="0" fontId="10" fillId="11" borderId="42" xfId="0" applyFont="1" applyFill="1" applyBorder="1" applyAlignment="1">
      <alignment horizontal="center" vertical="center" wrapText="1"/>
    </xf>
    <xf numFmtId="0" fontId="10" fillId="11" borderId="40" xfId="0" applyFont="1" applyFill="1" applyBorder="1" applyAlignment="1">
      <alignment horizontal="center" vertical="center" wrapText="1"/>
    </xf>
    <xf numFmtId="0" fontId="10" fillId="11" borderId="23" xfId="0" applyFont="1" applyFill="1" applyBorder="1" applyAlignment="1">
      <alignment horizontal="center" vertical="center" wrapText="1"/>
    </xf>
    <xf numFmtId="0" fontId="19" fillId="15" borderId="39" xfId="0" applyFont="1" applyFill="1" applyBorder="1" applyAlignment="1">
      <alignment horizontal="center" vertical="center" wrapText="1"/>
    </xf>
    <xf numFmtId="0" fontId="19" fillId="15" borderId="41" xfId="0" applyFont="1" applyFill="1" applyBorder="1" applyAlignment="1">
      <alignment wrapText="1"/>
    </xf>
    <xf numFmtId="0" fontId="19" fillId="15" borderId="39" xfId="0" applyFont="1" applyFill="1" applyBorder="1" applyAlignment="1">
      <alignment wrapText="1"/>
    </xf>
    <xf numFmtId="0" fontId="0" fillId="0" borderId="46" xfId="0" applyBorder="1" applyAlignment="1">
      <alignment horizontal="center" wrapText="1"/>
    </xf>
    <xf numFmtId="0" fontId="10" fillId="11" borderId="38" xfId="0" applyFont="1" applyFill="1" applyBorder="1" applyAlignment="1">
      <alignment horizontal="center" vertical="center" wrapText="1"/>
    </xf>
    <xf numFmtId="0" fontId="10" fillId="11" borderId="0" xfId="0" applyFont="1" applyFill="1" applyBorder="1" applyAlignment="1">
      <alignment horizontal="center" vertical="center" wrapText="1"/>
    </xf>
    <xf numFmtId="0" fontId="10" fillId="11" borderId="26" xfId="0" applyFont="1" applyFill="1" applyBorder="1" applyAlignment="1">
      <alignment horizontal="center" vertical="center" wrapText="1"/>
    </xf>
    <xf numFmtId="0" fontId="19" fillId="15" borderId="35" xfId="0" applyFont="1" applyFill="1" applyBorder="1" applyAlignment="1">
      <alignment horizontal="center" wrapText="1"/>
    </xf>
    <xf numFmtId="0" fontId="19" fillId="15" borderId="39" xfId="0" applyFont="1" applyFill="1" applyBorder="1" applyAlignment="1">
      <alignment horizontal="center" wrapText="1"/>
    </xf>
    <xf numFmtId="0" fontId="10" fillId="11" borderId="56" xfId="0" applyFont="1" applyFill="1" applyBorder="1" applyAlignment="1">
      <alignment horizontal="center" vertical="center" wrapText="1"/>
    </xf>
    <xf numFmtId="0" fontId="0" fillId="0" borderId="46" xfId="0" applyFill="1" applyBorder="1" applyAlignment="1">
      <alignment horizontal="center" wrapText="1"/>
    </xf>
    <xf numFmtId="0" fontId="33" fillId="2" borderId="5" xfId="0" applyFont="1" applyFill="1" applyBorder="1" applyAlignment="1">
      <alignment horizontal="center" vertical="center" wrapText="1" readingOrder="1"/>
    </xf>
    <xf numFmtId="0" fontId="33" fillId="2" borderId="3" xfId="0" applyFont="1" applyFill="1" applyBorder="1" applyAlignment="1">
      <alignment horizontal="center" vertical="center" wrapText="1" readingOrder="1"/>
    </xf>
    <xf numFmtId="0" fontId="33" fillId="2" borderId="51" xfId="0" applyFont="1" applyFill="1" applyBorder="1" applyAlignment="1">
      <alignment horizontal="center" vertical="center" wrapText="1" readingOrder="1"/>
    </xf>
    <xf numFmtId="0" fontId="33" fillId="2" borderId="52" xfId="0" applyFont="1" applyFill="1" applyBorder="1" applyAlignment="1">
      <alignment horizontal="center" vertical="center" wrapText="1" readingOrder="1"/>
    </xf>
    <xf numFmtId="0" fontId="33" fillId="2" borderId="53" xfId="0" applyFont="1" applyFill="1" applyBorder="1" applyAlignment="1">
      <alignment horizontal="center" vertical="center" wrapText="1" readingOrder="1"/>
    </xf>
    <xf numFmtId="0" fontId="31" fillId="14" borderId="13" xfId="0" applyFont="1" applyFill="1" applyBorder="1" applyAlignment="1">
      <alignment horizontal="center" vertical="center" wrapText="1"/>
    </xf>
    <xf numFmtId="0" fontId="31" fillId="14" borderId="14" xfId="0" applyFont="1" applyFill="1" applyBorder="1" applyAlignment="1">
      <alignment horizontal="center" vertical="center" wrapText="1"/>
    </xf>
    <xf numFmtId="0" fontId="9" fillId="0" borderId="0" xfId="0" applyFont="1" applyBorder="1" applyAlignment="1">
      <alignment horizontal="center" vertical="center" wrapText="1"/>
    </xf>
    <xf numFmtId="0" fontId="0" fillId="0" borderId="67" xfId="0" applyBorder="1" applyAlignment="1">
      <alignment horizontal="center" wrapText="1"/>
    </xf>
    <xf numFmtId="0" fontId="6" fillId="0" borderId="0" xfId="0" applyFont="1" applyBorder="1" applyAlignment="1">
      <alignment horizontal="center" wrapText="1"/>
    </xf>
    <xf numFmtId="0" fontId="14" fillId="0" borderId="0" xfId="0" applyFont="1" applyBorder="1" applyAlignment="1">
      <alignment horizontal="center" wrapText="1"/>
    </xf>
    <xf numFmtId="0" fontId="31" fillId="6" borderId="16" xfId="0" applyFont="1" applyFill="1" applyBorder="1" applyAlignment="1">
      <alignment vertical="center" wrapText="1"/>
    </xf>
    <xf numFmtId="0" fontId="31" fillId="6" borderId="17" xfId="0" applyFont="1" applyFill="1" applyBorder="1" applyAlignment="1">
      <alignment vertical="center" wrapText="1"/>
    </xf>
    <xf numFmtId="0" fontId="31" fillId="6" borderId="20" xfId="0" applyFont="1" applyFill="1" applyBorder="1" applyAlignment="1">
      <alignment vertical="center" wrapText="1"/>
    </xf>
    <xf numFmtId="0" fontId="26" fillId="0" borderId="16" xfId="0" applyFont="1" applyBorder="1" applyAlignment="1">
      <alignment horizontal="center" vertical="center" wrapText="1"/>
    </xf>
    <xf numFmtId="0" fontId="26" fillId="0" borderId="17" xfId="0" applyFont="1" applyBorder="1" applyAlignment="1">
      <alignment horizontal="center" vertical="center" wrapText="1"/>
    </xf>
    <xf numFmtId="0" fontId="26" fillId="0" borderId="20" xfId="0" applyFont="1" applyBorder="1" applyAlignment="1">
      <alignment horizontal="center" vertical="center" wrapText="1"/>
    </xf>
    <xf numFmtId="0" fontId="31" fillId="6" borderId="16" xfId="0" applyFont="1" applyFill="1" applyBorder="1" applyAlignment="1">
      <alignment horizontal="center" vertical="center" wrapText="1"/>
    </xf>
    <xf numFmtId="0" fontId="31" fillId="6" borderId="17" xfId="0" applyFont="1" applyFill="1" applyBorder="1" applyAlignment="1">
      <alignment horizontal="center" vertical="center" wrapText="1"/>
    </xf>
    <xf numFmtId="0" fontId="31" fillId="6" borderId="20" xfId="0" applyFont="1" applyFill="1" applyBorder="1" applyAlignment="1">
      <alignment horizontal="center" vertical="center" wrapText="1"/>
    </xf>
    <xf numFmtId="0" fontId="31" fillId="6" borderId="49" xfId="0" applyFont="1" applyFill="1" applyBorder="1" applyAlignment="1">
      <alignment horizontal="center" vertical="center"/>
    </xf>
    <xf numFmtId="0" fontId="31" fillId="6" borderId="3" xfId="0" applyFont="1" applyFill="1" applyBorder="1" applyAlignment="1">
      <alignment horizontal="center" vertical="center"/>
    </xf>
    <xf numFmtId="0" fontId="31" fillId="6" borderId="4" xfId="0" applyFont="1" applyFill="1" applyBorder="1" applyAlignment="1">
      <alignment horizontal="center" vertical="center"/>
    </xf>
    <xf numFmtId="0" fontId="33" fillId="2" borderId="49" xfId="0" applyFont="1" applyFill="1" applyBorder="1" applyAlignment="1">
      <alignment horizontal="center" vertical="center" wrapText="1" readingOrder="1"/>
    </xf>
    <xf numFmtId="0" fontId="33" fillId="2" borderId="4" xfId="0" applyFont="1" applyFill="1" applyBorder="1" applyAlignment="1">
      <alignment horizontal="center" vertical="center" wrapText="1" readingOrder="1"/>
    </xf>
    <xf numFmtId="0" fontId="31" fillId="6" borderId="50" xfId="0" applyFont="1" applyFill="1" applyBorder="1" applyAlignment="1">
      <alignment horizontal="center" vertical="center"/>
    </xf>
    <xf numFmtId="0" fontId="31" fillId="6" borderId="2" xfId="0" applyFont="1" applyFill="1" applyBorder="1" applyAlignment="1">
      <alignment horizontal="center" vertical="center"/>
    </xf>
    <xf numFmtId="0" fontId="31" fillId="6" borderId="1" xfId="0" applyFont="1" applyFill="1" applyBorder="1" applyAlignment="1">
      <alignment horizontal="center" vertical="center"/>
    </xf>
    <xf numFmtId="0" fontId="33" fillId="2" borderId="8" xfId="0" applyFont="1" applyFill="1" applyBorder="1" applyAlignment="1">
      <alignment horizontal="center" vertical="center" wrapText="1" readingOrder="1"/>
    </xf>
    <xf numFmtId="0" fontId="33" fillId="2" borderId="0" xfId="0" applyFont="1" applyFill="1" applyBorder="1" applyAlignment="1">
      <alignment horizontal="center" vertical="center" wrapText="1" readingOrder="1"/>
    </xf>
    <xf numFmtId="0" fontId="33" fillId="2" borderId="9" xfId="0" applyFont="1" applyFill="1" applyBorder="1" applyAlignment="1">
      <alignment horizontal="center" vertical="center" wrapText="1" readingOrder="1"/>
    </xf>
    <xf numFmtId="0" fontId="19" fillId="0" borderId="16" xfId="0" applyFont="1" applyBorder="1" applyAlignment="1">
      <alignment vertical="center" wrapText="1"/>
    </xf>
    <xf numFmtId="0" fontId="19" fillId="0" borderId="17" xfId="0" applyFont="1" applyBorder="1" applyAlignment="1">
      <alignment vertical="center" wrapText="1"/>
    </xf>
    <xf numFmtId="0" fontId="19" fillId="0" borderId="20" xfId="0" applyFont="1" applyBorder="1" applyAlignment="1">
      <alignment vertical="center" wrapText="1"/>
    </xf>
    <xf numFmtId="0" fontId="31" fillId="0" borderId="16" xfId="0" applyFont="1" applyBorder="1" applyAlignment="1">
      <alignment horizontal="center" vertical="center"/>
    </xf>
    <xf numFmtId="0" fontId="31" fillId="0" borderId="17" xfId="0" applyFont="1" applyBorder="1" applyAlignment="1">
      <alignment horizontal="center" vertical="center"/>
    </xf>
    <xf numFmtId="0" fontId="31" fillId="0" borderId="20" xfId="0" applyFont="1" applyBorder="1" applyAlignment="1">
      <alignment horizontal="center" vertical="center"/>
    </xf>
    <xf numFmtId="0" fontId="31" fillId="6" borderId="16" xfId="0" applyFont="1" applyFill="1" applyBorder="1" applyAlignment="1">
      <alignment horizontal="center" vertical="center"/>
    </xf>
    <xf numFmtId="0" fontId="31" fillId="6" borderId="17" xfId="0" applyFont="1" applyFill="1" applyBorder="1" applyAlignment="1">
      <alignment horizontal="center" vertical="center"/>
    </xf>
    <xf numFmtId="0" fontId="31" fillId="6" borderId="20" xfId="0" applyFont="1" applyFill="1" applyBorder="1" applyAlignment="1">
      <alignment horizontal="center" vertical="center"/>
    </xf>
    <xf numFmtId="0" fontId="31" fillId="0" borderId="16" xfId="0" applyFont="1" applyBorder="1" applyAlignment="1">
      <alignment vertical="center" wrapText="1"/>
    </xf>
    <xf numFmtId="0" fontId="31" fillId="0" borderId="17" xfId="0" applyFont="1" applyBorder="1" applyAlignment="1">
      <alignment vertical="center" wrapText="1"/>
    </xf>
    <xf numFmtId="0" fontId="31" fillId="0" borderId="20" xfId="0" applyFont="1" applyBorder="1" applyAlignment="1">
      <alignment vertical="center" wrapText="1"/>
    </xf>
    <xf numFmtId="0" fontId="7" fillId="0" borderId="43" xfId="0" applyFont="1" applyBorder="1" applyAlignment="1">
      <alignment horizontal="center" wrapText="1"/>
    </xf>
    <xf numFmtId="0" fontId="7" fillId="0" borderId="7" xfId="0" applyFont="1" applyBorder="1" applyAlignment="1">
      <alignment horizontal="center" wrapText="1"/>
    </xf>
    <xf numFmtId="0" fontId="7" fillId="0" borderId="44" xfId="0" applyFont="1" applyBorder="1" applyAlignment="1">
      <alignment horizontal="center" wrapText="1"/>
    </xf>
    <xf numFmtId="0" fontId="31" fillId="6" borderId="49" xfId="0" applyFont="1" applyFill="1" applyBorder="1" applyAlignment="1">
      <alignment horizontal="center" vertical="center" wrapText="1"/>
    </xf>
    <xf numFmtId="0" fontId="31" fillId="6" borderId="3" xfId="0" applyFont="1" applyFill="1" applyBorder="1" applyAlignment="1">
      <alignment horizontal="center" vertical="center" wrapText="1"/>
    </xf>
    <xf numFmtId="0" fontId="31" fillId="6" borderId="54" xfId="0" applyFont="1" applyFill="1" applyBorder="1" applyAlignment="1">
      <alignment horizontal="center" vertical="center" wrapText="1"/>
    </xf>
    <xf numFmtId="0" fontId="33" fillId="2" borderId="54" xfId="0" applyFont="1" applyFill="1" applyBorder="1" applyAlignment="1">
      <alignment horizontal="center" vertical="center" wrapText="1" readingOrder="1"/>
    </xf>
    <xf numFmtId="0" fontId="3" fillId="3" borderId="49" xfId="0" applyFont="1" applyFill="1" applyBorder="1" applyAlignment="1">
      <alignment horizontal="left" wrapText="1" readingOrder="1"/>
    </xf>
    <xf numFmtId="0" fontId="3" fillId="3" borderId="3" xfId="0" applyFont="1" applyFill="1" applyBorder="1" applyAlignment="1">
      <alignment horizontal="left" wrapText="1" readingOrder="1"/>
    </xf>
    <xf numFmtId="0" fontId="3" fillId="3" borderId="4" xfId="0" applyFont="1" applyFill="1" applyBorder="1" applyAlignment="1">
      <alignment horizontal="left" wrapText="1" readingOrder="1"/>
    </xf>
    <xf numFmtId="0" fontId="31" fillId="13" borderId="16" xfId="0" applyFont="1" applyFill="1" applyBorder="1" applyAlignment="1">
      <alignment horizontal="center" vertical="center" wrapText="1"/>
    </xf>
    <xf numFmtId="0" fontId="31" fillId="13" borderId="17" xfId="0" applyFont="1" applyFill="1" applyBorder="1" applyAlignment="1">
      <alignment horizontal="center" vertical="center" wrapText="1"/>
    </xf>
    <xf numFmtId="0" fontId="8" fillId="0" borderId="16" xfId="0" applyFont="1" applyBorder="1" applyAlignment="1">
      <alignment horizontal="center"/>
    </xf>
    <xf numFmtId="0" fontId="8" fillId="0" borderId="17" xfId="0" applyFont="1" applyBorder="1" applyAlignment="1">
      <alignment horizontal="center"/>
    </xf>
    <xf numFmtId="0" fontId="8" fillId="0" borderId="59" xfId="0" applyFont="1" applyBorder="1" applyAlignment="1">
      <alignment horizontal="center"/>
    </xf>
    <xf numFmtId="0" fontId="3" fillId="3" borderId="68" xfId="0" applyFont="1" applyFill="1" applyBorder="1" applyAlignment="1">
      <alignment horizontal="center" wrapText="1" readingOrder="1"/>
    </xf>
    <xf numFmtId="0" fontId="3" fillId="3" borderId="11" xfId="0" applyFont="1" applyFill="1" applyBorder="1" applyAlignment="1">
      <alignment horizontal="center" wrapText="1" readingOrder="1"/>
    </xf>
    <xf numFmtId="0" fontId="31" fillId="6" borderId="60" xfId="0" applyFont="1" applyFill="1" applyBorder="1" applyAlignment="1">
      <alignment horizontal="center" vertical="center"/>
    </xf>
    <xf numFmtId="0" fontId="31" fillId="6" borderId="13" xfId="0" applyFont="1" applyFill="1" applyBorder="1" applyAlignment="1">
      <alignment horizontal="center" vertical="center"/>
    </xf>
    <xf numFmtId="0" fontId="31" fillId="6" borderId="13" xfId="0" applyFont="1" applyFill="1" applyBorder="1" applyAlignment="1">
      <alignment horizontal="center" vertical="center" wrapText="1"/>
    </xf>
    <xf numFmtId="0" fontId="31" fillId="6" borderId="14" xfId="0" applyFont="1" applyFill="1" applyBorder="1" applyAlignment="1">
      <alignment horizontal="center" vertical="center" wrapText="1"/>
    </xf>
    <xf numFmtId="0" fontId="31" fillId="10" borderId="8" xfId="0" applyFont="1" applyFill="1" applyBorder="1" applyAlignment="1">
      <alignment horizontal="center" vertical="center" wrapText="1"/>
    </xf>
    <xf numFmtId="0" fontId="31" fillId="10" borderId="0" xfId="0" applyFont="1" applyFill="1" applyBorder="1" applyAlignment="1">
      <alignment horizontal="center" vertical="center" wrapText="1"/>
    </xf>
    <xf numFmtId="0" fontId="31" fillId="10" borderId="9" xfId="0" applyFont="1" applyFill="1" applyBorder="1" applyAlignment="1">
      <alignment horizontal="center" vertical="center" wrapText="1"/>
    </xf>
    <xf numFmtId="0" fontId="31" fillId="6" borderId="8" xfId="0" applyFont="1" applyFill="1" applyBorder="1" applyAlignment="1">
      <alignment horizontal="center" vertical="center" wrapText="1"/>
    </xf>
    <xf numFmtId="0" fontId="31" fillId="6" borderId="0" xfId="0" applyFont="1" applyFill="1" applyBorder="1" applyAlignment="1">
      <alignment horizontal="center" vertical="center" wrapText="1"/>
    </xf>
    <xf numFmtId="0" fontId="31" fillId="6" borderId="9" xfId="0" applyFont="1" applyFill="1" applyBorder="1" applyAlignment="1">
      <alignment horizontal="center" vertical="center" wrapText="1"/>
    </xf>
    <xf numFmtId="0" fontId="31" fillId="10" borderId="50" xfId="0" applyFont="1" applyFill="1" applyBorder="1" applyAlignment="1">
      <alignment horizontal="center" vertical="center" wrapText="1"/>
    </xf>
    <xf numFmtId="0" fontId="31" fillId="10" borderId="2" xfId="0" applyFont="1" applyFill="1" applyBorder="1" applyAlignment="1">
      <alignment horizontal="center" vertical="center" wrapText="1"/>
    </xf>
    <xf numFmtId="0" fontId="31" fillId="10" borderId="47" xfId="0" applyFont="1" applyFill="1" applyBorder="1" applyAlignment="1">
      <alignment horizontal="center" vertical="center" wrapText="1"/>
    </xf>
    <xf numFmtId="0" fontId="4" fillId="4" borderId="61" xfId="0" applyFont="1" applyFill="1" applyBorder="1" applyAlignment="1">
      <alignment horizontal="left" wrapText="1" readingOrder="1"/>
    </xf>
    <xf numFmtId="0" fontId="4" fillId="4" borderId="62" xfId="0" applyFont="1" applyFill="1" applyBorder="1" applyAlignment="1">
      <alignment horizontal="left" wrapText="1" readingOrder="1"/>
    </xf>
    <xf numFmtId="0" fontId="4" fillId="4" borderId="63" xfId="0" applyFont="1" applyFill="1" applyBorder="1" applyAlignment="1">
      <alignment horizontal="left" wrapText="1" readingOrder="1"/>
    </xf>
    <xf numFmtId="0" fontId="31" fillId="0" borderId="16"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20" xfId="0" applyFont="1" applyBorder="1" applyAlignment="1">
      <alignment horizontal="center" vertical="center" wrapText="1"/>
    </xf>
    <xf numFmtId="0" fontId="8" fillId="6" borderId="16" xfId="0" applyFont="1" applyFill="1" applyBorder="1" applyAlignment="1">
      <alignment horizontal="center" wrapText="1"/>
    </xf>
    <xf numFmtId="0" fontId="8" fillId="6" borderId="17" xfId="0" applyFont="1" applyFill="1" applyBorder="1" applyAlignment="1">
      <alignment horizontal="center" wrapText="1"/>
    </xf>
    <xf numFmtId="0" fontId="8" fillId="6" borderId="59" xfId="0" applyFont="1" applyFill="1" applyBorder="1" applyAlignment="1">
      <alignment horizontal="center" wrapText="1"/>
    </xf>
    <xf numFmtId="0" fontId="3" fillId="9" borderId="45" xfId="0" applyFont="1" applyFill="1" applyBorder="1" applyAlignment="1">
      <alignment horizontal="center" wrapText="1"/>
    </xf>
    <xf numFmtId="0" fontId="3" fillId="9" borderId="0" xfId="0" applyFont="1" applyFill="1" applyBorder="1" applyAlignment="1">
      <alignment horizontal="center" wrapText="1"/>
    </xf>
    <xf numFmtId="0" fontId="3" fillId="9" borderId="29" xfId="0" applyFont="1" applyFill="1" applyBorder="1" applyAlignment="1">
      <alignment horizontal="center" wrapText="1"/>
    </xf>
    <xf numFmtId="0" fontId="35" fillId="0" borderId="23" xfId="0" applyFont="1" applyBorder="1" applyAlignment="1">
      <alignment horizontal="center" wrapText="1"/>
    </xf>
    <xf numFmtId="0" fontId="20" fillId="11" borderId="35" xfId="0" applyFont="1" applyFill="1" applyBorder="1" applyAlignment="1">
      <alignment horizontal="center" vertical="center" wrapText="1"/>
    </xf>
    <xf numFmtId="0" fontId="20" fillId="11" borderId="39" xfId="0" applyFont="1" applyFill="1" applyBorder="1" applyAlignment="1">
      <alignment horizontal="center" vertical="center" wrapText="1"/>
    </xf>
    <xf numFmtId="0" fontId="20" fillId="11" borderId="36" xfId="0" applyFont="1" applyFill="1" applyBorder="1" applyAlignment="1">
      <alignment horizontal="center" vertical="center" wrapText="1"/>
    </xf>
    <xf numFmtId="0" fontId="6" fillId="12" borderId="46" xfId="0" applyFont="1" applyFill="1" applyBorder="1" applyAlignment="1">
      <alignment horizontal="left" vertical="top" wrapText="1"/>
    </xf>
    <xf numFmtId="0" fontId="35" fillId="0" borderId="39" xfId="0" applyFont="1" applyBorder="1" applyAlignment="1">
      <alignment horizontal="center" wrapText="1"/>
    </xf>
    <xf numFmtId="0" fontId="6" fillId="12" borderId="70" xfId="0" applyFont="1" applyFill="1" applyBorder="1" applyAlignment="1">
      <alignment horizontal="left" vertical="top" wrapText="1"/>
    </xf>
    <xf numFmtId="0" fontId="24" fillId="4" borderId="46" xfId="0" applyFont="1" applyFill="1" applyBorder="1" applyAlignment="1">
      <alignment horizontal="center" vertical="center" wrapText="1" readingOrder="1"/>
    </xf>
    <xf numFmtId="0" fontId="17" fillId="15" borderId="23" xfId="0" applyFont="1" applyFill="1" applyBorder="1" applyAlignment="1">
      <alignment horizontal="center" vertical="center" wrapText="1"/>
    </xf>
    <xf numFmtId="0" fontId="18" fillId="3" borderId="8" xfId="0" applyFont="1" applyFill="1" applyBorder="1" applyAlignment="1">
      <alignment horizontal="center" vertical="center" wrapText="1" readingOrder="1"/>
    </xf>
    <xf numFmtId="0" fontId="18" fillId="3" borderId="0" xfId="0" applyFont="1" applyFill="1" applyBorder="1" applyAlignment="1">
      <alignment horizontal="center" vertical="center" wrapText="1" readingOrder="1"/>
    </xf>
    <xf numFmtId="0" fontId="23" fillId="15" borderId="23" xfId="0" applyFont="1" applyFill="1" applyBorder="1" applyAlignment="1" applyProtection="1">
      <alignment horizontal="center" vertical="center" wrapText="1"/>
      <protection hidden="1"/>
    </xf>
    <xf numFmtId="0" fontId="35" fillId="15" borderId="23" xfId="0" applyFont="1" applyFill="1" applyBorder="1" applyAlignment="1">
      <alignment horizontal="center" wrapText="1"/>
    </xf>
    <xf numFmtId="0" fontId="14" fillId="15" borderId="35" xfId="0" applyFont="1" applyFill="1" applyBorder="1" applyAlignment="1">
      <alignment horizontal="center" vertical="center" wrapText="1"/>
    </xf>
    <xf numFmtId="0" fontId="14" fillId="15" borderId="36" xfId="0" applyFont="1" applyFill="1" applyBorder="1" applyAlignment="1">
      <alignment horizontal="center" vertical="center" wrapText="1"/>
    </xf>
    <xf numFmtId="0" fontId="29" fillId="0" borderId="23" xfId="0" applyFont="1" applyBorder="1" applyAlignment="1">
      <alignment horizontal="center" wrapText="1"/>
    </xf>
    <xf numFmtId="0" fontId="34" fillId="6" borderId="49" xfId="0" applyFont="1" applyFill="1" applyBorder="1" applyAlignment="1">
      <alignment horizontal="center" vertical="center" wrapText="1"/>
    </xf>
    <xf numFmtId="0" fontId="34" fillId="6" borderId="3" xfId="0" applyFont="1" applyFill="1" applyBorder="1" applyAlignment="1">
      <alignment horizontal="center" vertical="center" wrapText="1"/>
    </xf>
    <xf numFmtId="0" fontId="34" fillId="6" borderId="54" xfId="0" applyFont="1" applyFill="1" applyBorder="1" applyAlignment="1">
      <alignment horizontal="center" vertical="center" wrapText="1"/>
    </xf>
    <xf numFmtId="0" fontId="16" fillId="0" borderId="50" xfId="0" applyFont="1" applyBorder="1" applyAlignment="1">
      <alignment horizontal="center" wrapText="1"/>
    </xf>
    <xf numFmtId="0" fontId="16" fillId="0" borderId="2" xfId="0" applyFont="1" applyBorder="1" applyAlignment="1">
      <alignment horizontal="center" wrapText="1"/>
    </xf>
    <xf numFmtId="0" fontId="16" fillId="0" borderId="47" xfId="0" applyFont="1" applyBorder="1" applyAlignment="1">
      <alignment horizontal="center" wrapText="1"/>
    </xf>
    <xf numFmtId="0" fontId="7" fillId="6" borderId="52" xfId="0" applyFont="1" applyFill="1" applyBorder="1" applyAlignment="1">
      <alignment wrapText="1"/>
    </xf>
    <xf numFmtId="0" fontId="7" fillId="6" borderId="53" xfId="0" applyFont="1" applyFill="1" applyBorder="1" applyAlignment="1">
      <alignment wrapText="1"/>
    </xf>
    <xf numFmtId="0" fontId="4" fillId="2" borderId="61" xfId="0" applyFont="1" applyFill="1" applyBorder="1" applyAlignment="1">
      <alignment horizontal="left" wrapText="1" readingOrder="1"/>
    </xf>
    <xf numFmtId="0" fontId="4" fillId="2" borderId="62" xfId="0" applyFont="1" applyFill="1" applyBorder="1" applyAlignment="1">
      <alignment horizontal="left" wrapText="1" readingOrder="1"/>
    </xf>
    <xf numFmtId="0" fontId="4" fillId="2" borderId="63" xfId="0" applyFont="1" applyFill="1" applyBorder="1" applyAlignment="1">
      <alignment horizontal="left" wrapText="1" readingOrder="1"/>
    </xf>
    <xf numFmtId="0" fontId="8" fillId="0" borderId="16" xfId="0" applyFont="1" applyBorder="1" applyAlignment="1">
      <alignment horizontal="center" wrapText="1"/>
    </xf>
    <xf numFmtId="0" fontId="8" fillId="0" borderId="17" xfId="0" applyFont="1" applyBorder="1" applyAlignment="1">
      <alignment horizontal="center" wrapText="1"/>
    </xf>
    <xf numFmtId="0" fontId="8" fillId="0" borderId="20" xfId="0" applyFont="1" applyBorder="1" applyAlignment="1">
      <alignment horizontal="center" wrapText="1"/>
    </xf>
    <xf numFmtId="0" fontId="44" fillId="6" borderId="70" xfId="0" applyFont="1" applyFill="1" applyBorder="1" applyAlignment="1">
      <alignment horizontal="center" vertical="center" wrapText="1"/>
    </xf>
    <xf numFmtId="0" fontId="44" fillId="6" borderId="46" xfId="0" applyFont="1" applyFill="1" applyBorder="1" applyAlignment="1">
      <alignment horizontal="center" vertical="center" wrapText="1"/>
    </xf>
    <xf numFmtId="0" fontId="44" fillId="6" borderId="64" xfId="0" applyFont="1" applyFill="1" applyBorder="1" applyAlignment="1">
      <alignment horizontal="center" vertical="center" wrapText="1"/>
    </xf>
    <xf numFmtId="0" fontId="44" fillId="6" borderId="56" xfId="0" applyFont="1" applyFill="1" applyBorder="1" applyAlignment="1">
      <alignment horizontal="center" vertical="center" wrapText="1"/>
    </xf>
    <xf numFmtId="0" fontId="44" fillId="6" borderId="0" xfId="0" applyFont="1" applyFill="1" applyBorder="1" applyAlignment="1">
      <alignment horizontal="center" vertical="center" wrapText="1"/>
    </xf>
    <xf numFmtId="0" fontId="44" fillId="6" borderId="57" xfId="0" applyFont="1" applyFill="1" applyBorder="1" applyAlignment="1">
      <alignment horizontal="center" vertical="center" wrapText="1"/>
    </xf>
    <xf numFmtId="0" fontId="44" fillId="6" borderId="25" xfId="0" applyFont="1" applyFill="1" applyBorder="1" applyAlignment="1">
      <alignment horizontal="center" vertical="center" wrapText="1"/>
    </xf>
    <xf numFmtId="0" fontId="44" fillId="6" borderId="23" xfId="0" applyFont="1" applyFill="1" applyBorder="1" applyAlignment="1">
      <alignment horizontal="center" vertical="center" wrapText="1"/>
    </xf>
    <xf numFmtId="0" fontId="44" fillId="6" borderId="24" xfId="0" applyFont="1" applyFill="1" applyBorder="1" applyAlignment="1">
      <alignment horizontal="center" vertical="center" wrapText="1"/>
    </xf>
    <xf numFmtId="0" fontId="8" fillId="0" borderId="5" xfId="0" applyFont="1" applyBorder="1" applyAlignment="1">
      <alignment horizontal="center" vertical="center"/>
    </xf>
    <xf numFmtId="0" fontId="8" fillId="0" borderId="4" xfId="0" applyFont="1" applyBorder="1" applyAlignment="1">
      <alignment horizontal="center" vertical="center"/>
    </xf>
    <xf numFmtId="0" fontId="4" fillId="2" borderId="5" xfId="0" applyFont="1" applyFill="1" applyBorder="1" applyAlignment="1">
      <alignment horizontal="center" vertical="center" wrapText="1" readingOrder="1"/>
    </xf>
    <xf numFmtId="0" fontId="4" fillId="2" borderId="4" xfId="0" applyFont="1" applyFill="1" applyBorder="1" applyAlignment="1">
      <alignment horizontal="center" vertical="center" wrapText="1" readingOrder="1"/>
    </xf>
    <xf numFmtId="0" fontId="7" fillId="0" borderId="8" xfId="0" applyFont="1" applyBorder="1" applyAlignment="1">
      <alignment horizont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7" fillId="0" borderId="12" xfId="0" applyFont="1" applyBorder="1" applyAlignment="1">
      <alignment horizontal="center" wrapText="1"/>
    </xf>
    <xf numFmtId="0" fontId="18" fillId="9" borderId="2" xfId="0" applyFont="1" applyFill="1" applyBorder="1" applyAlignment="1">
      <alignment horizontal="center" wrapText="1"/>
    </xf>
    <xf numFmtId="0" fontId="4" fillId="2" borderId="5" xfId="0" applyFont="1" applyFill="1" applyBorder="1" applyAlignment="1">
      <alignment horizontal="center" vertical="center" readingOrder="1"/>
    </xf>
    <xf numFmtId="0" fontId="4" fillId="2" borderId="4" xfId="0" applyFont="1" applyFill="1" applyBorder="1" applyAlignment="1">
      <alignment horizontal="center" vertical="center" readingOrder="1"/>
    </xf>
    <xf numFmtId="0" fontId="84" fillId="49" borderId="147" xfId="0" applyFont="1" applyFill="1" applyBorder="1" applyAlignment="1">
      <alignment horizontal="center" vertical="center" wrapText="1"/>
    </xf>
    <xf numFmtId="0" fontId="84" fillId="49" borderId="0" xfId="0" applyFont="1" applyFill="1" applyBorder="1" applyAlignment="1">
      <alignment horizontal="center" vertical="center" wrapText="1"/>
    </xf>
    <xf numFmtId="9" fontId="47" fillId="14" borderId="240" xfId="2" applyFont="1" applyFill="1" applyBorder="1" applyAlignment="1">
      <alignment horizontal="center" vertical="center" wrapText="1"/>
    </xf>
    <xf numFmtId="9" fontId="47" fillId="14" borderId="239" xfId="2" applyFont="1" applyFill="1" applyBorder="1" applyAlignment="1">
      <alignment horizontal="center" vertical="center" wrapText="1"/>
    </xf>
    <xf numFmtId="9" fontId="47" fillId="14" borderId="241" xfId="2" applyFont="1" applyFill="1" applyBorder="1" applyAlignment="1">
      <alignment horizontal="center" vertical="center" wrapText="1"/>
    </xf>
    <xf numFmtId="0" fontId="17" fillId="14" borderId="231" xfId="0" applyFont="1" applyFill="1" applyBorder="1" applyAlignment="1">
      <alignment horizontal="center" vertical="center" wrapText="1"/>
    </xf>
    <xf numFmtId="0" fontId="17" fillId="14" borderId="232" xfId="0" applyFont="1" applyFill="1" applyBorder="1" applyAlignment="1">
      <alignment horizontal="center" vertical="center" wrapText="1"/>
    </xf>
    <xf numFmtId="0" fontId="17" fillId="14" borderId="237" xfId="0" applyFont="1" applyFill="1" applyBorder="1" applyAlignment="1">
      <alignment horizontal="center" vertical="center" wrapText="1"/>
    </xf>
    <xf numFmtId="0" fontId="17" fillId="14" borderId="238" xfId="0" applyFont="1" applyFill="1" applyBorder="1" applyAlignment="1">
      <alignment horizontal="center" vertical="center" wrapText="1"/>
    </xf>
    <xf numFmtId="0" fontId="45" fillId="12" borderId="221" xfId="0" applyFont="1" applyFill="1" applyBorder="1" applyAlignment="1">
      <alignment horizontal="center" vertical="center" wrapText="1"/>
    </xf>
    <xf numFmtId="0" fontId="45" fillId="12" borderId="222" xfId="0" applyFont="1" applyFill="1" applyBorder="1" applyAlignment="1">
      <alignment horizontal="center" vertical="center" wrapText="1"/>
    </xf>
    <xf numFmtId="0" fontId="45" fillId="12" borderId="181" xfId="0" applyFont="1" applyFill="1" applyBorder="1" applyAlignment="1">
      <alignment horizontal="center" vertical="center" wrapText="1"/>
    </xf>
    <xf numFmtId="0" fontId="45" fillId="12" borderId="182" xfId="0" applyFont="1" applyFill="1" applyBorder="1" applyAlignment="1">
      <alignment horizontal="center" vertical="center" wrapText="1"/>
    </xf>
    <xf numFmtId="0" fontId="86" fillId="14" borderId="233" xfId="0" applyFont="1" applyFill="1" applyBorder="1" applyAlignment="1">
      <alignment horizontal="center" vertical="center" wrapText="1"/>
    </xf>
    <xf numFmtId="0" fontId="86" fillId="14" borderId="234" xfId="0" applyFont="1" applyFill="1" applyBorder="1" applyAlignment="1">
      <alignment horizontal="center" vertical="center" wrapText="1"/>
    </xf>
    <xf numFmtId="0" fontId="86" fillId="14" borderId="235" xfId="0" applyFont="1" applyFill="1" applyBorder="1" applyAlignment="1">
      <alignment horizontal="center" vertical="center" wrapText="1"/>
    </xf>
    <xf numFmtId="0" fontId="86" fillId="14" borderId="236" xfId="0" applyFont="1" applyFill="1" applyBorder="1" applyAlignment="1">
      <alignment horizontal="center" vertical="center" wrapText="1"/>
    </xf>
    <xf numFmtId="0" fontId="86" fillId="14" borderId="148" xfId="0" applyFont="1" applyFill="1" applyBorder="1" applyAlignment="1">
      <alignment horizontal="center" vertical="center" wrapText="1"/>
    </xf>
    <xf numFmtId="0" fontId="77" fillId="30" borderId="216" xfId="0" applyFont="1" applyFill="1" applyBorder="1" applyAlignment="1">
      <alignment horizontal="center" vertical="center" wrapText="1" readingOrder="1"/>
    </xf>
    <xf numFmtId="0" fontId="77" fillId="30" borderId="224" xfId="0" applyFont="1" applyFill="1" applyBorder="1" applyAlignment="1">
      <alignment horizontal="center" vertical="center" wrapText="1" readingOrder="1"/>
    </xf>
    <xf numFmtId="4" fontId="68" fillId="14" borderId="70" xfId="0" applyNumberFormat="1" applyFont="1" applyFill="1" applyBorder="1" applyAlignment="1">
      <alignment horizontal="center" vertical="center" wrapText="1"/>
    </xf>
    <xf numFmtId="4" fontId="68" fillId="14" borderId="46" xfId="0" applyNumberFormat="1" applyFont="1" applyFill="1" applyBorder="1" applyAlignment="1">
      <alignment horizontal="center" vertical="center" wrapText="1"/>
    </xf>
    <xf numFmtId="4" fontId="68" fillId="14" borderId="64" xfId="0" applyNumberFormat="1" applyFont="1" applyFill="1" applyBorder="1" applyAlignment="1">
      <alignment horizontal="center" vertical="center" wrapText="1"/>
    </xf>
    <xf numFmtId="4" fontId="68" fillId="14" borderId="56" xfId="0" applyNumberFormat="1" applyFont="1" applyFill="1" applyBorder="1" applyAlignment="1">
      <alignment horizontal="center" vertical="center" wrapText="1"/>
    </xf>
    <xf numFmtId="4" fontId="68" fillId="14" borderId="0" xfId="0" applyNumberFormat="1" applyFont="1" applyFill="1" applyBorder="1" applyAlignment="1">
      <alignment horizontal="center" vertical="center" wrapText="1"/>
    </xf>
    <xf numFmtId="4" fontId="68" fillId="14" borderId="57" xfId="0" applyNumberFormat="1" applyFont="1" applyFill="1" applyBorder="1" applyAlignment="1">
      <alignment horizontal="center" vertical="center" wrapText="1"/>
    </xf>
    <xf numFmtId="4" fontId="68" fillId="14" borderId="25" xfId="0" applyNumberFormat="1" applyFont="1" applyFill="1" applyBorder="1" applyAlignment="1">
      <alignment horizontal="center" vertical="center" wrapText="1"/>
    </xf>
    <xf numFmtId="4" fontId="68" fillId="14" borderId="23" xfId="0" applyNumberFormat="1" applyFont="1" applyFill="1" applyBorder="1" applyAlignment="1">
      <alignment horizontal="center" vertical="center" wrapText="1"/>
    </xf>
    <xf numFmtId="4" fontId="68" fillId="14" borderId="24" xfId="0" applyNumberFormat="1" applyFont="1" applyFill="1" applyBorder="1" applyAlignment="1">
      <alignment horizontal="center" vertical="center" wrapText="1"/>
    </xf>
    <xf numFmtId="0" fontId="86" fillId="14" borderId="147" xfId="0" applyFont="1" applyFill="1" applyBorder="1" applyAlignment="1">
      <alignment horizontal="center" vertical="center" wrapText="1"/>
    </xf>
    <xf numFmtId="0" fontId="86" fillId="14" borderId="0" xfId="0" applyFont="1" applyFill="1" applyBorder="1" applyAlignment="1">
      <alignment horizontal="center" vertical="center" wrapText="1"/>
    </xf>
    <xf numFmtId="0" fontId="86" fillId="14" borderId="146" xfId="0" applyFont="1" applyFill="1" applyBorder="1" applyAlignment="1">
      <alignment horizontal="center" vertical="center" wrapText="1"/>
    </xf>
    <xf numFmtId="0" fontId="86" fillId="12" borderId="180" xfId="0" applyFont="1" applyFill="1" applyBorder="1" applyAlignment="1">
      <alignment horizontal="center" vertical="center" wrapText="1"/>
    </xf>
    <xf numFmtId="0" fontId="86" fillId="12" borderId="181" xfId="0" applyFont="1" applyFill="1" applyBorder="1" applyAlignment="1">
      <alignment horizontal="center" vertical="center" wrapText="1"/>
    </xf>
    <xf numFmtId="0" fontId="86" fillId="12" borderId="182" xfId="0" applyFont="1" applyFill="1" applyBorder="1" applyAlignment="1">
      <alignment horizontal="center" vertical="center" wrapText="1"/>
    </xf>
    <xf numFmtId="0" fontId="0" fillId="44" borderId="0" xfId="0" applyFill="1" applyBorder="1" applyAlignment="1">
      <alignment horizontal="center" wrapText="1"/>
    </xf>
    <xf numFmtId="0" fontId="100" fillId="30" borderId="169" xfId="0" applyFont="1" applyFill="1" applyBorder="1" applyAlignment="1">
      <alignment horizontal="center" vertical="center" wrapText="1" readingOrder="1"/>
    </xf>
    <xf numFmtId="0" fontId="100" fillId="30" borderId="170" xfId="0" applyFont="1" applyFill="1" applyBorder="1" applyAlignment="1">
      <alignment horizontal="center" vertical="center" wrapText="1" readingOrder="1"/>
    </xf>
    <xf numFmtId="0" fontId="100" fillId="30" borderId="171" xfId="0" applyFont="1" applyFill="1" applyBorder="1" applyAlignment="1">
      <alignment horizontal="center" vertical="center" wrapText="1" readingOrder="1"/>
    </xf>
    <xf numFmtId="0" fontId="77" fillId="30" borderId="262" xfId="0" applyFont="1" applyFill="1" applyBorder="1" applyAlignment="1">
      <alignment horizontal="center" vertical="center" wrapText="1" readingOrder="1"/>
    </xf>
    <xf numFmtId="0" fontId="18" fillId="49" borderId="83" xfId="0" applyFont="1" applyFill="1" applyBorder="1" applyAlignment="1">
      <alignment horizontal="center" vertical="center" wrapText="1" readingOrder="1"/>
    </xf>
    <xf numFmtId="0" fontId="18" fillId="49" borderId="154" xfId="0" applyFont="1" applyFill="1" applyBorder="1" applyAlignment="1">
      <alignment horizontal="center" vertical="center" wrapText="1" readingOrder="1"/>
    </xf>
    <xf numFmtId="0" fontId="91" fillId="13" borderId="46" xfId="0" applyFont="1" applyFill="1" applyBorder="1" applyAlignment="1">
      <alignment horizontal="left" vertical="top" wrapText="1"/>
    </xf>
    <xf numFmtId="0" fontId="91" fillId="13" borderId="165" xfId="0" applyFont="1" applyFill="1" applyBorder="1" applyAlignment="1">
      <alignment horizontal="left" vertical="top" wrapText="1"/>
    </xf>
    <xf numFmtId="0" fontId="91" fillId="13" borderId="0" xfId="0" applyFont="1" applyFill="1" applyAlignment="1">
      <alignment horizontal="left" vertical="top" wrapText="1"/>
    </xf>
    <xf numFmtId="0" fontId="91" fillId="13" borderId="166" xfId="0" applyFont="1" applyFill="1" applyBorder="1" applyAlignment="1">
      <alignment horizontal="left" vertical="top" wrapText="1"/>
    </xf>
    <xf numFmtId="0" fontId="91" fillId="13" borderId="84" xfId="0" applyFont="1" applyFill="1" applyBorder="1" applyAlignment="1">
      <alignment horizontal="left" vertical="top" wrapText="1"/>
    </xf>
    <xf numFmtId="0" fontId="91" fillId="13" borderId="82" xfId="0" applyFont="1" applyFill="1" applyBorder="1" applyAlignment="1">
      <alignment horizontal="left" vertical="top" wrapText="1"/>
    </xf>
    <xf numFmtId="0" fontId="86" fillId="12" borderId="139" xfId="0" applyFont="1" applyFill="1" applyBorder="1" applyAlignment="1">
      <alignment horizontal="center" vertical="center" wrapText="1"/>
    </xf>
    <xf numFmtId="0" fontId="86" fillId="12" borderId="153" xfId="0" applyFont="1" applyFill="1" applyBorder="1" applyAlignment="1">
      <alignment horizontal="center" vertical="center" wrapText="1"/>
    </xf>
    <xf numFmtId="0" fontId="86" fillId="14" borderId="176" xfId="0" applyFont="1" applyFill="1" applyBorder="1" applyAlignment="1">
      <alignment horizontal="center" vertical="center" wrapText="1"/>
    </xf>
    <xf numFmtId="0" fontId="86" fillId="14" borderId="177" xfId="0" applyFont="1" applyFill="1" applyBorder="1" applyAlignment="1">
      <alignment horizontal="center" vertical="center" wrapText="1"/>
    </xf>
    <xf numFmtId="0" fontId="86" fillId="14" borderId="178" xfId="0" applyFont="1" applyFill="1" applyBorder="1" applyAlignment="1">
      <alignment horizontal="center" vertical="center" wrapText="1"/>
    </xf>
    <xf numFmtId="0" fontId="78" fillId="48" borderId="10" xfId="0" applyFont="1" applyFill="1" applyBorder="1" applyAlignment="1">
      <alignment horizontal="center" vertical="center" wrapText="1"/>
    </xf>
    <xf numFmtId="0" fontId="78" fillId="48" borderId="12" xfId="0" applyFont="1" applyFill="1" applyBorder="1" applyAlignment="1">
      <alignment horizontal="center" vertical="center" wrapText="1"/>
    </xf>
    <xf numFmtId="0" fontId="116" fillId="54" borderId="16" xfId="0" applyFont="1" applyFill="1" applyBorder="1" applyAlignment="1">
      <alignment horizontal="center" vertical="center" wrapText="1"/>
    </xf>
    <xf numFmtId="0" fontId="116" fillId="54" borderId="20" xfId="0" applyFont="1" applyFill="1" applyBorder="1" applyAlignment="1">
      <alignment horizontal="center" vertical="center" wrapText="1"/>
    </xf>
    <xf numFmtId="0" fontId="116" fillId="46" borderId="16" xfId="0" applyFont="1" applyFill="1" applyBorder="1" applyAlignment="1">
      <alignment horizontal="center" vertical="center" wrapText="1"/>
    </xf>
    <xf numFmtId="0" fontId="116" fillId="46" borderId="20" xfId="0" applyFont="1" applyFill="1" applyBorder="1" applyAlignment="1">
      <alignment horizontal="center" vertical="center" wrapText="1"/>
    </xf>
    <xf numFmtId="0" fontId="79" fillId="49" borderId="159" xfId="0" applyFont="1" applyFill="1" applyBorder="1" applyAlignment="1">
      <alignment horizontal="center" vertical="center" wrapText="1" readingOrder="1"/>
    </xf>
    <xf numFmtId="0" fontId="79" fillId="49" borderId="220" xfId="0" applyFont="1" applyFill="1" applyBorder="1" applyAlignment="1">
      <alignment horizontal="center" vertical="center" wrapText="1" readingOrder="1"/>
    </xf>
    <xf numFmtId="0" fontId="14" fillId="14" borderId="225" xfId="0" applyFont="1" applyFill="1" applyBorder="1" applyAlignment="1">
      <alignment horizontal="center" vertical="center" wrapText="1"/>
    </xf>
    <xf numFmtId="0" fontId="14" fillId="14" borderId="226" xfId="0" applyFont="1" applyFill="1" applyBorder="1" applyAlignment="1">
      <alignment horizontal="center" vertical="center" wrapText="1"/>
    </xf>
    <xf numFmtId="0" fontId="86" fillId="14" borderId="129" xfId="0" applyFont="1" applyFill="1" applyBorder="1" applyAlignment="1">
      <alignment horizontal="center" vertical="center" wrapText="1"/>
    </xf>
    <xf numFmtId="0" fontId="86" fillId="14" borderId="130" xfId="0" applyFont="1" applyFill="1" applyBorder="1" applyAlignment="1">
      <alignment horizontal="center" vertical="center" wrapText="1"/>
    </xf>
    <xf numFmtId="0" fontId="86" fillId="14" borderId="131" xfId="0" applyFont="1" applyFill="1" applyBorder="1" applyAlignment="1">
      <alignment horizontal="center" vertical="center" wrapText="1"/>
    </xf>
    <xf numFmtId="0" fontId="84" fillId="49" borderId="155" xfId="0" applyFont="1" applyFill="1" applyBorder="1" applyAlignment="1">
      <alignment horizontal="center" vertical="center" wrapText="1"/>
    </xf>
    <xf numFmtId="0" fontId="84" fillId="49" borderId="156" xfId="0" applyFont="1" applyFill="1" applyBorder="1" applyAlignment="1">
      <alignment horizontal="center" vertical="center" wrapText="1"/>
    </xf>
    <xf numFmtId="0" fontId="14" fillId="14" borderId="157" xfId="0" applyFont="1" applyFill="1" applyBorder="1" applyAlignment="1">
      <alignment horizontal="center" vertical="center" wrapText="1"/>
    </xf>
    <xf numFmtId="0" fontId="14" fillId="14" borderId="158" xfId="0" applyFont="1" applyFill="1" applyBorder="1" applyAlignment="1">
      <alignment horizontal="center" vertical="center" wrapText="1"/>
    </xf>
    <xf numFmtId="0" fontId="70" fillId="49" borderId="184" xfId="0" applyFont="1" applyFill="1" applyBorder="1" applyAlignment="1">
      <alignment horizontal="center" vertical="center" wrapText="1"/>
    </xf>
    <xf numFmtId="0" fontId="70" fillId="49" borderId="127" xfId="0" applyFont="1" applyFill="1" applyBorder="1" applyAlignment="1">
      <alignment horizontal="center" vertical="center" wrapText="1"/>
    </xf>
    <xf numFmtId="0" fontId="58" fillId="49" borderId="184" xfId="0" applyFont="1" applyFill="1" applyBorder="1" applyAlignment="1">
      <alignment horizontal="center" vertical="center" wrapText="1"/>
    </xf>
    <xf numFmtId="0" fontId="58" fillId="49" borderId="119" xfId="0" applyFont="1" applyFill="1" applyBorder="1" applyAlignment="1">
      <alignment horizontal="center" vertical="center" wrapText="1"/>
    </xf>
    <xf numFmtId="0" fontId="58" fillId="49" borderId="183" xfId="0" applyFont="1" applyFill="1" applyBorder="1" applyAlignment="1">
      <alignment horizontal="center" vertical="center" wrapText="1"/>
    </xf>
    <xf numFmtId="0" fontId="58" fillId="49" borderId="185" xfId="0" applyFont="1" applyFill="1" applyBorder="1" applyAlignment="1">
      <alignment horizontal="center" vertical="center" wrapText="1"/>
    </xf>
    <xf numFmtId="0" fontId="58" fillId="49" borderId="127" xfId="0" applyFont="1" applyFill="1" applyBorder="1" applyAlignment="1">
      <alignment horizontal="center" vertical="center" wrapText="1"/>
    </xf>
    <xf numFmtId="0" fontId="58" fillId="49" borderId="128" xfId="0" applyFont="1" applyFill="1" applyBorder="1" applyAlignment="1">
      <alignment horizontal="center" vertical="center" wrapText="1"/>
    </xf>
    <xf numFmtId="0" fontId="73" fillId="14" borderId="214" xfId="0" applyFont="1" applyFill="1" applyBorder="1" applyAlignment="1">
      <alignment horizontal="center" wrapText="1"/>
    </xf>
    <xf numFmtId="0" fontId="29" fillId="30" borderId="215" xfId="0" applyFont="1" applyFill="1" applyBorder="1" applyAlignment="1">
      <alignment horizontal="center" wrapText="1"/>
    </xf>
    <xf numFmtId="0" fontId="29" fillId="30" borderId="214" xfId="0" applyFont="1" applyFill="1" applyBorder="1" applyAlignment="1">
      <alignment horizontal="center" wrapText="1"/>
    </xf>
    <xf numFmtId="0" fontId="72" fillId="48" borderId="3" xfId="0" applyFont="1" applyFill="1" applyBorder="1" applyAlignment="1">
      <alignment horizontal="center" vertical="center" wrapText="1"/>
    </xf>
    <xf numFmtId="0" fontId="72" fillId="48" borderId="54" xfId="0" applyFont="1" applyFill="1" applyBorder="1" applyAlignment="1">
      <alignment horizontal="center" vertical="center" wrapText="1"/>
    </xf>
    <xf numFmtId="0" fontId="72" fillId="48" borderId="49" xfId="0" applyFont="1" applyFill="1" applyBorder="1" applyAlignment="1">
      <alignment horizontal="center" vertical="center" wrapText="1"/>
    </xf>
    <xf numFmtId="0" fontId="89" fillId="49" borderId="49" xfId="0" applyFont="1" applyFill="1" applyBorder="1" applyAlignment="1">
      <alignment horizontal="center" vertical="center" wrapText="1"/>
    </xf>
    <xf numFmtId="0" fontId="89" fillId="49" borderId="3" xfId="0" applyFont="1" applyFill="1" applyBorder="1" applyAlignment="1">
      <alignment horizontal="center" vertical="center" wrapText="1"/>
    </xf>
    <xf numFmtId="0" fontId="89" fillId="49" borderId="4" xfId="0" applyFont="1" applyFill="1" applyBorder="1" applyAlignment="1">
      <alignment horizontal="center" vertical="center" wrapText="1"/>
    </xf>
    <xf numFmtId="0" fontId="70" fillId="49" borderId="244" xfId="0" applyFont="1" applyFill="1" applyBorder="1" applyAlignment="1">
      <alignment horizontal="center" vertical="center" wrapText="1"/>
    </xf>
    <xf numFmtId="0" fontId="70" fillId="49" borderId="245" xfId="0" applyFont="1" applyFill="1" applyBorder="1" applyAlignment="1">
      <alignment horizontal="center" vertical="center" wrapText="1"/>
    </xf>
    <xf numFmtId="0" fontId="70" fillId="49" borderId="243" xfId="0" applyFont="1" applyFill="1" applyBorder="1" applyAlignment="1">
      <alignment horizontal="center" vertical="center" wrapText="1"/>
    </xf>
    <xf numFmtId="0" fontId="70" fillId="49" borderId="0" xfId="0" applyFont="1" applyFill="1" applyBorder="1" applyAlignment="1">
      <alignment horizontal="center" vertical="center" wrapText="1"/>
    </xf>
    <xf numFmtId="0" fontId="70" fillId="49" borderId="193" xfId="0" applyFont="1" applyFill="1" applyBorder="1" applyAlignment="1">
      <alignment horizontal="center" vertical="center" wrapText="1"/>
    </xf>
    <xf numFmtId="0" fontId="70" fillId="49" borderId="192" xfId="0" applyFont="1" applyFill="1" applyBorder="1" applyAlignment="1">
      <alignment horizontal="center" vertical="center" wrapText="1"/>
    </xf>
    <xf numFmtId="0" fontId="70" fillId="49" borderId="247" xfId="0" applyFont="1" applyFill="1" applyBorder="1" applyAlignment="1">
      <alignment horizontal="center" vertical="center" wrapText="1"/>
    </xf>
    <xf numFmtId="0" fontId="70" fillId="49" borderId="246" xfId="0" applyFont="1" applyFill="1" applyBorder="1" applyAlignment="1">
      <alignment horizontal="center" vertical="center" wrapText="1"/>
    </xf>
    <xf numFmtId="0" fontId="70" fillId="49" borderId="23" xfId="0" applyFont="1" applyFill="1" applyBorder="1" applyAlignment="1">
      <alignment horizontal="center" vertical="center" wrapText="1"/>
    </xf>
    <xf numFmtId="0" fontId="70" fillId="49" borderId="213" xfId="0" applyFont="1" applyFill="1" applyBorder="1" applyAlignment="1">
      <alignment horizontal="center" vertical="center" wrapText="1"/>
    </xf>
    <xf numFmtId="0" fontId="70" fillId="49" borderId="214" xfId="0" applyFont="1" applyFill="1" applyBorder="1" applyAlignment="1">
      <alignment horizontal="center" vertical="center" wrapText="1"/>
    </xf>
    <xf numFmtId="0" fontId="70" fillId="49" borderId="196" xfId="0" applyFont="1" applyFill="1" applyBorder="1" applyAlignment="1">
      <alignment horizontal="center" vertical="center" wrapText="1"/>
    </xf>
    <xf numFmtId="0" fontId="70" fillId="49" borderId="197" xfId="0" applyFont="1" applyFill="1" applyBorder="1" applyAlignment="1">
      <alignment horizontal="center" vertical="center" wrapText="1"/>
    </xf>
    <xf numFmtId="0" fontId="83" fillId="49" borderId="123" xfId="0" applyFont="1" applyFill="1" applyBorder="1" applyAlignment="1">
      <alignment horizontal="center" vertical="center" wrapText="1"/>
    </xf>
    <xf numFmtId="0" fontId="80" fillId="50" borderId="0" xfId="0" applyFont="1" applyFill="1" applyBorder="1" applyAlignment="1">
      <alignment horizontal="center" vertical="center" wrapText="1"/>
    </xf>
    <xf numFmtId="0" fontId="80" fillId="50" borderId="2" xfId="0" applyFont="1" applyFill="1" applyBorder="1" applyAlignment="1">
      <alignment horizontal="center" vertical="center" wrapText="1"/>
    </xf>
    <xf numFmtId="0" fontId="70" fillId="49" borderId="207" xfId="0" applyFont="1" applyFill="1" applyBorder="1" applyAlignment="1">
      <alignment horizontal="center" vertical="center" wrapText="1"/>
    </xf>
    <xf numFmtId="0" fontId="70" fillId="49" borderId="227" xfId="0" applyFont="1" applyFill="1" applyBorder="1" applyAlignment="1">
      <alignment horizontal="center" vertical="center" wrapText="1"/>
    </xf>
    <xf numFmtId="0" fontId="81" fillId="14" borderId="199" xfId="0" applyFont="1" applyFill="1" applyBorder="1" applyAlignment="1">
      <alignment horizontal="center" vertical="center"/>
    </xf>
    <xf numFmtId="0" fontId="81" fillId="14" borderId="200" xfId="0" applyFont="1" applyFill="1" applyBorder="1" applyAlignment="1">
      <alignment horizontal="center" vertical="center"/>
    </xf>
    <xf numFmtId="0" fontId="88" fillId="14" borderId="117" xfId="0" applyFont="1" applyFill="1" applyBorder="1" applyAlignment="1">
      <alignment horizontal="center" vertical="center" wrapText="1" readingOrder="1"/>
    </xf>
    <xf numFmtId="0" fontId="88" fillId="14" borderId="118" xfId="0" applyFont="1" applyFill="1" applyBorder="1" applyAlignment="1">
      <alignment horizontal="center" vertical="center" wrapText="1" readingOrder="1"/>
    </xf>
    <xf numFmtId="0" fontId="77" fillId="14" borderId="201" xfId="0" applyFont="1" applyFill="1" applyBorder="1" applyAlignment="1">
      <alignment horizontal="center" vertical="center" wrapText="1" readingOrder="1"/>
    </xf>
    <xf numFmtId="0" fontId="77" fillId="14" borderId="3" xfId="0" applyFont="1" applyFill="1" applyBorder="1" applyAlignment="1">
      <alignment horizontal="center" vertical="center" wrapText="1" readingOrder="1"/>
    </xf>
    <xf numFmtId="0" fontId="91" fillId="14" borderId="190" xfId="0" applyFont="1" applyFill="1" applyBorder="1" applyAlignment="1">
      <alignment horizontal="center" vertical="center" wrapText="1"/>
    </xf>
    <xf numFmtId="0" fontId="91" fillId="14" borderId="191" xfId="0" applyFont="1" applyFill="1" applyBorder="1" applyAlignment="1">
      <alignment horizontal="center" vertical="center" wrapText="1"/>
    </xf>
    <xf numFmtId="0" fontId="91" fillId="14" borderId="192" xfId="0" applyFont="1" applyFill="1" applyBorder="1" applyAlignment="1">
      <alignment horizontal="center" vertical="center" wrapText="1"/>
    </xf>
    <xf numFmtId="0" fontId="91" fillId="14" borderId="193" xfId="0" applyFont="1" applyFill="1" applyBorder="1" applyAlignment="1">
      <alignment horizontal="center" vertical="center" wrapText="1"/>
    </xf>
    <xf numFmtId="0" fontId="91" fillId="14" borderId="194" xfId="0" applyFont="1" applyFill="1" applyBorder="1" applyAlignment="1">
      <alignment horizontal="center" vertical="center" wrapText="1"/>
    </xf>
    <xf numFmtId="0" fontId="91" fillId="14" borderId="195" xfId="0" applyFont="1" applyFill="1" applyBorder="1" applyAlignment="1">
      <alignment horizontal="center" vertical="center" wrapText="1"/>
    </xf>
    <xf numFmtId="0" fontId="77" fillId="14" borderId="201" xfId="0" applyFont="1" applyFill="1" applyBorder="1" applyAlignment="1">
      <alignment horizontal="center" vertical="center" readingOrder="1"/>
    </xf>
    <xf numFmtId="0" fontId="77" fillId="14" borderId="3" xfId="0" applyFont="1" applyFill="1" applyBorder="1" applyAlignment="1">
      <alignment horizontal="center" vertical="center" readingOrder="1"/>
    </xf>
    <xf numFmtId="0" fontId="70" fillId="49" borderId="143" xfId="0" applyFont="1" applyFill="1" applyBorder="1" applyAlignment="1">
      <alignment horizontal="center" vertical="center" wrapText="1"/>
    </xf>
    <xf numFmtId="0" fontId="86" fillId="14" borderId="207" xfId="0" applyFont="1" applyFill="1" applyBorder="1" applyAlignment="1">
      <alignment horizontal="center" vertical="center" wrapText="1"/>
    </xf>
    <xf numFmtId="0" fontId="86" fillId="14" borderId="227" xfId="0" applyFont="1" applyFill="1" applyBorder="1" applyAlignment="1">
      <alignment horizontal="center" vertical="center" wrapText="1"/>
    </xf>
    <xf numFmtId="0" fontId="47" fillId="14" borderId="143" xfId="0" applyFont="1" applyFill="1" applyBorder="1" applyAlignment="1">
      <alignment horizontal="center" vertical="center" wrapText="1"/>
    </xf>
    <xf numFmtId="0" fontId="47" fillId="14" borderId="207" xfId="0" applyFont="1" applyFill="1" applyBorder="1" applyAlignment="1">
      <alignment horizontal="center" vertical="center" wrapText="1"/>
    </xf>
    <xf numFmtId="0" fontId="86" fillId="14" borderId="56" xfId="0" applyFont="1" applyFill="1" applyBorder="1" applyAlignment="1">
      <alignment horizontal="center" vertical="center" wrapText="1"/>
    </xf>
    <xf numFmtId="0" fontId="86" fillId="14" borderId="57" xfId="0" applyFont="1" applyFill="1" applyBorder="1" applyAlignment="1">
      <alignment horizontal="center" vertical="center" wrapText="1"/>
    </xf>
    <xf numFmtId="0" fontId="86" fillId="14" borderId="35" xfId="0" applyFont="1" applyFill="1" applyBorder="1" applyAlignment="1">
      <alignment horizontal="center" vertical="center" wrapText="1"/>
    </xf>
    <xf numFmtId="0" fontId="86" fillId="14" borderId="228" xfId="0" applyFont="1" applyFill="1" applyBorder="1" applyAlignment="1">
      <alignment horizontal="center" vertical="center" wrapText="1"/>
    </xf>
    <xf numFmtId="0" fontId="53" fillId="44" borderId="2" xfId="0" applyFont="1" applyFill="1" applyBorder="1" applyAlignment="1">
      <alignment horizontal="center" vertical="center" wrapText="1"/>
    </xf>
    <xf numFmtId="0" fontId="86" fillId="14" borderId="0" xfId="0" applyFont="1" applyFill="1" applyAlignment="1">
      <alignment horizontal="center" vertical="center" wrapText="1"/>
    </xf>
    <xf numFmtId="0" fontId="58" fillId="49" borderId="159" xfId="0" applyFont="1" applyFill="1" applyBorder="1" applyAlignment="1">
      <alignment horizontal="center" vertical="center" wrapText="1"/>
    </xf>
    <xf numFmtId="0" fontId="58" fillId="49" borderId="160" xfId="0" applyFont="1" applyFill="1" applyBorder="1" applyAlignment="1">
      <alignment horizontal="center" vertical="center" wrapText="1"/>
    </xf>
    <xf numFmtId="0" fontId="45" fillId="14" borderId="159" xfId="0" applyFont="1" applyFill="1" applyBorder="1" applyAlignment="1">
      <alignment horizontal="center" vertical="center" wrapText="1"/>
    </xf>
    <xf numFmtId="0" fontId="45" fillId="14" borderId="160" xfId="0" applyFont="1" applyFill="1" applyBorder="1" applyAlignment="1">
      <alignment horizontal="center" vertical="center" wrapText="1"/>
    </xf>
    <xf numFmtId="0" fontId="106" fillId="49" borderId="155" xfId="0" applyFont="1" applyFill="1" applyBorder="1" applyAlignment="1">
      <alignment horizontal="center" vertical="center" wrapText="1"/>
    </xf>
    <xf numFmtId="0" fontId="106" fillId="49" borderId="157" xfId="0" applyFont="1" applyFill="1" applyBorder="1" applyAlignment="1">
      <alignment horizontal="center" vertical="center" wrapText="1"/>
    </xf>
    <xf numFmtId="0" fontId="47" fillId="14" borderId="248" xfId="0" applyFont="1" applyFill="1" applyBorder="1" applyAlignment="1">
      <alignment horizontal="center" wrapText="1"/>
    </xf>
    <xf numFmtId="0" fontId="47" fillId="14" borderId="46" xfId="0" applyFont="1" applyFill="1" applyBorder="1" applyAlignment="1">
      <alignment horizontal="center" wrapText="1"/>
    </xf>
    <xf numFmtId="0" fontId="47" fillId="14" borderId="139" xfId="0" applyFont="1" applyFill="1" applyBorder="1" applyAlignment="1">
      <alignment horizontal="center" wrapText="1"/>
    </xf>
    <xf numFmtId="0" fontId="47" fillId="14" borderId="206" xfId="0" applyFont="1" applyFill="1" applyBorder="1" applyAlignment="1">
      <alignment horizontal="center" wrapText="1"/>
    </xf>
    <xf numFmtId="0" fontId="47" fillId="14" borderId="249" xfId="0" applyFont="1" applyFill="1" applyBorder="1" applyAlignment="1">
      <alignment horizontal="center" vertical="center" wrapText="1"/>
    </xf>
    <xf numFmtId="0" fontId="47" fillId="14" borderId="250" xfId="0" applyFont="1" applyFill="1" applyBorder="1" applyAlignment="1">
      <alignment horizontal="center" vertical="center" wrapText="1"/>
    </xf>
    <xf numFmtId="0" fontId="47" fillId="14" borderId="251" xfId="0" applyFont="1" applyFill="1" applyBorder="1" applyAlignment="1">
      <alignment horizontal="center" vertical="center" wrapText="1"/>
    </xf>
    <xf numFmtId="0" fontId="47" fillId="14" borderId="252" xfId="0" applyFont="1" applyFill="1" applyBorder="1" applyAlignment="1">
      <alignment horizontal="center" vertical="center" wrapText="1"/>
    </xf>
    <xf numFmtId="0" fontId="47" fillId="14" borderId="253" xfId="0" applyFont="1" applyFill="1" applyBorder="1" applyAlignment="1">
      <alignment horizontal="center" vertical="center" wrapText="1"/>
    </xf>
    <xf numFmtId="0" fontId="47" fillId="14" borderId="64" xfId="0" applyFont="1" applyFill="1" applyBorder="1" applyAlignment="1">
      <alignment horizontal="center" vertical="center" wrapText="1"/>
    </xf>
    <xf numFmtId="0" fontId="47" fillId="14" borderId="35" xfId="0" applyFont="1" applyFill="1" applyBorder="1" applyAlignment="1">
      <alignment horizontal="center" vertical="center" wrapText="1"/>
    </xf>
    <xf numFmtId="0" fontId="47" fillId="14" borderId="36" xfId="0" applyFont="1" applyFill="1" applyBorder="1" applyAlignment="1">
      <alignment horizontal="center" vertical="center" wrapText="1"/>
    </xf>
    <xf numFmtId="0" fontId="47" fillId="14" borderId="39" xfId="0" applyFont="1" applyFill="1" applyBorder="1" applyAlignment="1">
      <alignment horizontal="center" vertical="center" wrapText="1"/>
    </xf>
    <xf numFmtId="0" fontId="47" fillId="14" borderId="228" xfId="0" applyFont="1" applyFill="1" applyBorder="1" applyAlignment="1">
      <alignment horizontal="center" vertical="center" wrapText="1"/>
    </xf>
    <xf numFmtId="0" fontId="47" fillId="14" borderId="56" xfId="0" applyFont="1" applyFill="1" applyBorder="1" applyAlignment="1">
      <alignment horizontal="center" vertical="center" wrapText="1"/>
    </xf>
    <xf numFmtId="0" fontId="47" fillId="14" borderId="0" xfId="0" applyFont="1" applyFill="1" applyBorder="1" applyAlignment="1">
      <alignment horizontal="center" vertical="center" wrapText="1"/>
    </xf>
    <xf numFmtId="0" fontId="47" fillId="14" borderId="57" xfId="0" applyFont="1" applyFill="1" applyBorder="1" applyAlignment="1">
      <alignment horizontal="center" vertical="center" wrapText="1"/>
    </xf>
    <xf numFmtId="0" fontId="47" fillId="14" borderId="0" xfId="0" applyFont="1" applyFill="1" applyAlignment="1">
      <alignment horizontal="center" vertical="center" wrapText="1"/>
    </xf>
    <xf numFmtId="0" fontId="77" fillId="30" borderId="254" xfId="0" applyFont="1" applyFill="1" applyBorder="1" applyAlignment="1">
      <alignment horizontal="center" vertical="center" wrapText="1"/>
    </xf>
    <xf numFmtId="0" fontId="77" fillId="30" borderId="255" xfId="0" applyFont="1" applyFill="1" applyBorder="1" applyAlignment="1">
      <alignment horizontal="center" vertical="center" wrapText="1"/>
    </xf>
    <xf numFmtId="0" fontId="78" fillId="46" borderId="159" xfId="0" applyFont="1" applyFill="1" applyBorder="1" applyAlignment="1">
      <alignment horizontal="center" vertical="center" wrapText="1"/>
    </xf>
    <xf numFmtId="0" fontId="78" fillId="46" borderId="220" xfId="0" applyFont="1" applyFill="1" applyBorder="1" applyAlignment="1">
      <alignment horizontal="center" vertical="center" wrapText="1"/>
    </xf>
    <xf numFmtId="0" fontId="78" fillId="46" borderId="160" xfId="0" applyFont="1" applyFill="1" applyBorder="1" applyAlignment="1">
      <alignment horizontal="center" vertical="center" wrapText="1"/>
    </xf>
    <xf numFmtId="0" fontId="72" fillId="48" borderId="256" xfId="0" applyFont="1" applyFill="1" applyBorder="1" applyAlignment="1">
      <alignment horizontal="center" vertical="center" wrapText="1"/>
    </xf>
    <xf numFmtId="0" fontId="72" fillId="48" borderId="257" xfId="0" applyFont="1" applyFill="1" applyBorder="1" applyAlignment="1">
      <alignment horizontal="center" vertical="center" wrapText="1"/>
    </xf>
    <xf numFmtId="0" fontId="72" fillId="48" borderId="258" xfId="0" applyFont="1" applyFill="1" applyBorder="1" applyAlignment="1">
      <alignment horizontal="center" vertical="center" wrapText="1"/>
    </xf>
    <xf numFmtId="0" fontId="67" fillId="46" borderId="5" xfId="0" applyFont="1" applyFill="1" applyBorder="1" applyAlignment="1">
      <alignment horizontal="center" vertical="center" wrapText="1"/>
    </xf>
    <xf numFmtId="0" fontId="67" fillId="46" borderId="4" xfId="0" applyFont="1" applyFill="1" applyBorder="1" applyAlignment="1">
      <alignment horizontal="center" vertical="center" wrapText="1"/>
    </xf>
    <xf numFmtId="0" fontId="88" fillId="14" borderId="5" xfId="0" applyFont="1" applyFill="1" applyBorder="1" applyAlignment="1">
      <alignment horizontal="center" vertical="center" wrapText="1"/>
    </xf>
    <xf numFmtId="0" fontId="88" fillId="14" borderId="4" xfId="0" applyFont="1" applyFill="1" applyBorder="1" applyAlignment="1">
      <alignment horizontal="center" vertical="center" wrapText="1"/>
    </xf>
    <xf numFmtId="0" fontId="88" fillId="14" borderId="49" xfId="0" applyFont="1" applyFill="1" applyBorder="1" applyAlignment="1">
      <alignment horizontal="center" vertical="center" wrapText="1"/>
    </xf>
    <xf numFmtId="0" fontId="77" fillId="14" borderId="49" xfId="0" applyFont="1" applyFill="1" applyBorder="1" applyAlignment="1">
      <alignment horizontal="center" vertical="center" wrapText="1"/>
    </xf>
    <xf numFmtId="0" fontId="77" fillId="14" borderId="4" xfId="0" applyFont="1" applyFill="1" applyBorder="1" applyAlignment="1">
      <alignment horizontal="center" vertical="center" wrapText="1"/>
    </xf>
    <xf numFmtId="0" fontId="77" fillId="14" borderId="5" xfId="0" applyFont="1" applyFill="1" applyBorder="1" applyAlignment="1">
      <alignment horizontal="center" vertical="center" wrapText="1"/>
    </xf>
    <xf numFmtId="0" fontId="77" fillId="30" borderId="49" xfId="0" applyFont="1" applyFill="1" applyBorder="1" applyAlignment="1">
      <alignment horizontal="center" vertical="center" wrapText="1"/>
    </xf>
    <xf numFmtId="0" fontId="77" fillId="30" borderId="4" xfId="0" applyFont="1" applyFill="1" applyBorder="1" applyAlignment="1">
      <alignment horizontal="center" vertical="center" wrapText="1"/>
    </xf>
    <xf numFmtId="0" fontId="77" fillId="30" borderId="5" xfId="0" applyFont="1" applyFill="1" applyBorder="1" applyAlignment="1">
      <alignment horizontal="center" vertical="center" wrapText="1"/>
    </xf>
    <xf numFmtId="0" fontId="77" fillId="30" borderId="3" xfId="0" applyFont="1" applyFill="1" applyBorder="1" applyAlignment="1">
      <alignment horizontal="center" vertical="center" wrapText="1"/>
    </xf>
    <xf numFmtId="0" fontId="72" fillId="46" borderId="49" xfId="0" applyFont="1" applyFill="1" applyBorder="1" applyAlignment="1">
      <alignment horizontal="center" vertical="center" wrapText="1"/>
    </xf>
    <xf numFmtId="0" fontId="72" fillId="46" borderId="3" xfId="0" applyFont="1" applyFill="1" applyBorder="1" applyAlignment="1">
      <alignment horizontal="center" vertical="center" wrapText="1"/>
    </xf>
    <xf numFmtId="0" fontId="72" fillId="46" borderId="54" xfId="0" applyFont="1" applyFill="1" applyBorder="1" applyAlignment="1">
      <alignment horizontal="center" vertical="center" wrapText="1"/>
    </xf>
    <xf numFmtId="0" fontId="46" fillId="44" borderId="0" xfId="0" applyFont="1" applyFill="1" applyBorder="1" applyAlignment="1">
      <alignment horizontal="center" vertical="center" wrapText="1"/>
    </xf>
    <xf numFmtId="0" fontId="47" fillId="44" borderId="0" xfId="0" applyFont="1" applyFill="1" applyBorder="1" applyAlignment="1">
      <alignment horizontal="center" vertical="center" wrapText="1"/>
    </xf>
    <xf numFmtId="0" fontId="47" fillId="44" borderId="0" xfId="0" applyFont="1" applyFill="1" applyBorder="1" applyAlignment="1">
      <alignment horizontal="center" wrapText="1"/>
    </xf>
    <xf numFmtId="0" fontId="70" fillId="44" borderId="0" xfId="0" applyFont="1" applyFill="1" applyBorder="1" applyAlignment="1">
      <alignment horizontal="center" vertical="center" wrapText="1"/>
    </xf>
    <xf numFmtId="0" fontId="86" fillId="44" borderId="0" xfId="0" applyFont="1" applyFill="1" applyBorder="1" applyAlignment="1">
      <alignment horizontal="center" vertical="center" wrapText="1"/>
    </xf>
    <xf numFmtId="0" fontId="7" fillId="14" borderId="16" xfId="0" applyFont="1" applyFill="1" applyBorder="1" applyAlignment="1">
      <alignment horizontal="center" vertical="center" wrapText="1"/>
    </xf>
    <xf numFmtId="0" fontId="7" fillId="14" borderId="17" xfId="0" applyFont="1" applyFill="1" applyBorder="1" applyAlignment="1">
      <alignment horizontal="center" vertical="center" wrapText="1"/>
    </xf>
    <xf numFmtId="0" fontId="7" fillId="14" borderId="20" xfId="0" applyFont="1" applyFill="1" applyBorder="1" applyAlignment="1">
      <alignment horizontal="center" vertical="center" wrapText="1"/>
    </xf>
    <xf numFmtId="0" fontId="80" fillId="49" borderId="68" xfId="0" applyFont="1" applyFill="1" applyBorder="1" applyAlignment="1">
      <alignment horizontal="center" vertical="center" wrapText="1"/>
    </xf>
    <xf numFmtId="0" fontId="80" fillId="49" borderId="11" xfId="0" applyFont="1" applyFill="1" applyBorder="1" applyAlignment="1">
      <alignment horizontal="center" vertical="center" wrapText="1"/>
    </xf>
    <xf numFmtId="0" fontId="72" fillId="48" borderId="60" xfId="0" applyFont="1" applyFill="1" applyBorder="1" applyAlignment="1">
      <alignment horizontal="center" vertical="center"/>
    </xf>
    <xf numFmtId="0" fontId="72" fillId="48" borderId="13" xfId="0" applyFont="1" applyFill="1" applyBorder="1" applyAlignment="1">
      <alignment horizontal="center" vertical="center"/>
    </xf>
    <xf numFmtId="0" fontId="72" fillId="48" borderId="13" xfId="0" applyFont="1" applyFill="1" applyBorder="1" applyAlignment="1">
      <alignment horizontal="center" vertical="center" wrapText="1"/>
    </xf>
    <xf numFmtId="0" fontId="72" fillId="48" borderId="14" xfId="0" applyFont="1" applyFill="1" applyBorder="1" applyAlignment="1">
      <alignment horizontal="center" vertical="center" wrapText="1"/>
    </xf>
    <xf numFmtId="0" fontId="72" fillId="10" borderId="50" xfId="0" applyFont="1" applyFill="1" applyBorder="1" applyAlignment="1">
      <alignment horizontal="center" vertical="center" wrapText="1"/>
    </xf>
    <xf numFmtId="0" fontId="72" fillId="10" borderId="2" xfId="0" applyFont="1" applyFill="1" applyBorder="1" applyAlignment="1">
      <alignment horizontal="center" vertical="center" wrapText="1"/>
    </xf>
    <xf numFmtId="0" fontId="72" fillId="10" borderId="47" xfId="0" applyFont="1" applyFill="1" applyBorder="1" applyAlignment="1">
      <alignment horizontal="center" vertical="center" wrapText="1"/>
    </xf>
    <xf numFmtId="0" fontId="72" fillId="10" borderId="8" xfId="0" applyFont="1" applyFill="1" applyBorder="1" applyAlignment="1">
      <alignment horizontal="center" vertical="center" wrapText="1"/>
    </xf>
    <xf numFmtId="0" fontId="72" fillId="10" borderId="0" xfId="0" applyFont="1" applyFill="1" applyAlignment="1">
      <alignment horizontal="center" vertical="center" wrapText="1"/>
    </xf>
    <xf numFmtId="0" fontId="72" fillId="10" borderId="9" xfId="0" applyFont="1" applyFill="1" applyBorder="1" applyAlignment="1">
      <alignment horizontal="center" vertical="center" wrapText="1"/>
    </xf>
    <xf numFmtId="0" fontId="72" fillId="13" borderId="8" xfId="0" applyFont="1" applyFill="1" applyBorder="1" applyAlignment="1">
      <alignment horizontal="center" vertical="center" wrapText="1"/>
    </xf>
    <xf numFmtId="0" fontId="72" fillId="13" borderId="0" xfId="0" applyFont="1" applyFill="1" applyAlignment="1">
      <alignment horizontal="center" vertical="center" wrapText="1"/>
    </xf>
    <xf numFmtId="0" fontId="72" fillId="13" borderId="9" xfId="0" applyFont="1" applyFill="1" applyBorder="1" applyAlignment="1">
      <alignment horizontal="center" vertical="center" wrapText="1"/>
    </xf>
    <xf numFmtId="0" fontId="34" fillId="13" borderId="16" xfId="0" applyFont="1" applyFill="1" applyBorder="1" applyAlignment="1">
      <alignment horizontal="center" vertical="center" wrapText="1"/>
    </xf>
    <xf numFmtId="0" fontId="34" fillId="13" borderId="17" xfId="0" applyFont="1" applyFill="1" applyBorder="1" applyAlignment="1">
      <alignment horizontal="center" vertical="center" wrapText="1"/>
    </xf>
    <xf numFmtId="0" fontId="34" fillId="13" borderId="20" xfId="0" applyFont="1" applyFill="1" applyBorder="1" applyAlignment="1">
      <alignment horizontal="center" vertical="center" wrapText="1"/>
    </xf>
    <xf numFmtId="0" fontId="7" fillId="14" borderId="21" xfId="0" applyFont="1" applyFill="1" applyBorder="1" applyAlignment="1">
      <alignment horizontal="center" wrapText="1"/>
    </xf>
    <xf numFmtId="0" fontId="16" fillId="0" borderId="21" xfId="0" applyFont="1" applyBorder="1" applyAlignment="1">
      <alignment horizontal="center" wrapText="1"/>
    </xf>
    <xf numFmtId="0" fontId="26" fillId="13" borderId="21" xfId="0" applyFont="1" applyFill="1" applyBorder="1" applyAlignment="1">
      <alignment horizontal="center" vertical="center"/>
    </xf>
    <xf numFmtId="0" fontId="105" fillId="15" borderId="21" xfId="0" applyFont="1" applyFill="1" applyBorder="1" applyAlignment="1">
      <alignment horizontal="center" vertical="center" wrapText="1" readingOrder="1"/>
    </xf>
    <xf numFmtId="0" fontId="7" fillId="14" borderId="21" xfId="0" applyFont="1" applyFill="1" applyBorder="1" applyAlignment="1">
      <alignment horizontal="center" vertical="center" wrapText="1"/>
    </xf>
    <xf numFmtId="0" fontId="31" fillId="0" borderId="21" xfId="0" applyFont="1" applyBorder="1" applyAlignment="1">
      <alignment vertical="center" wrapText="1"/>
    </xf>
    <xf numFmtId="0" fontId="31" fillId="0" borderId="21" xfId="0" applyFont="1" applyBorder="1" applyAlignment="1">
      <alignment horizontal="center" vertical="center" wrapText="1"/>
    </xf>
    <xf numFmtId="0" fontId="31" fillId="14" borderId="21" xfId="0" applyFont="1" applyFill="1" applyBorder="1" applyAlignment="1">
      <alignment horizontal="center" vertical="center" wrapText="1"/>
    </xf>
    <xf numFmtId="0" fontId="19" fillId="14" borderId="21" xfId="0" applyFont="1" applyFill="1" applyBorder="1" applyAlignment="1">
      <alignment horizontal="center" vertical="center" wrapText="1"/>
    </xf>
    <xf numFmtId="0" fontId="31" fillId="0" borderId="21" xfId="0" applyFont="1" applyFill="1" applyBorder="1" applyAlignment="1">
      <alignment vertical="center" wrapText="1"/>
    </xf>
    <xf numFmtId="0" fontId="31" fillId="14" borderId="21" xfId="0" applyFont="1" applyFill="1" applyBorder="1" applyAlignment="1">
      <alignment vertical="center" wrapText="1"/>
    </xf>
    <xf numFmtId="0" fontId="31" fillId="13" borderId="21" xfId="0" applyFont="1" applyFill="1" applyBorder="1" applyAlignment="1">
      <alignment vertical="center" wrapText="1"/>
    </xf>
    <xf numFmtId="0" fontId="7" fillId="0" borderId="21" xfId="0" applyFont="1" applyBorder="1" applyAlignment="1">
      <alignment horizontal="center" vertical="center" wrapText="1"/>
    </xf>
    <xf numFmtId="0" fontId="80" fillId="50" borderId="0" xfId="0" applyFont="1" applyFill="1" applyBorder="1" applyAlignment="1">
      <alignment horizontal="center" vertical="center" wrapText="1" readingOrder="1"/>
    </xf>
    <xf numFmtId="0" fontId="80" fillId="50" borderId="29" xfId="0" applyFont="1" applyFill="1" applyBorder="1" applyAlignment="1">
      <alignment horizontal="center" vertical="center" wrapText="1" readingOrder="1"/>
    </xf>
    <xf numFmtId="0" fontId="8" fillId="48" borderId="19" xfId="0" applyFont="1" applyFill="1" applyBorder="1" applyAlignment="1">
      <alignment horizontal="center" vertical="center" wrapText="1"/>
    </xf>
    <xf numFmtId="0" fontId="8" fillId="48" borderId="13" xfId="0" applyFont="1" applyFill="1" applyBorder="1" applyAlignment="1">
      <alignment horizontal="center" vertical="center" wrapText="1"/>
    </xf>
    <xf numFmtId="0" fontId="8" fillId="48" borderId="116" xfId="0" applyFont="1" applyFill="1" applyBorder="1" applyAlignment="1">
      <alignment horizontal="center" vertical="center" wrapText="1"/>
    </xf>
    <xf numFmtId="0" fontId="4" fillId="30" borderId="117" xfId="0" applyFont="1" applyFill="1" applyBorder="1" applyAlignment="1">
      <alignment horizontal="center" vertical="center" wrapText="1" readingOrder="1"/>
    </xf>
    <xf numFmtId="0" fontId="4" fillId="30" borderId="7" xfId="0" applyFont="1" applyFill="1" applyBorder="1" applyAlignment="1">
      <alignment horizontal="center" vertical="center" wrapText="1" readingOrder="1"/>
    </xf>
    <xf numFmtId="0" fontId="4" fillId="30" borderId="118" xfId="0" applyFont="1" applyFill="1" applyBorder="1" applyAlignment="1">
      <alignment horizontal="center" vertical="center" wrapText="1" readingOrder="1"/>
    </xf>
    <xf numFmtId="0" fontId="31" fillId="13" borderId="21" xfId="0" applyFont="1" applyFill="1" applyBorder="1" applyAlignment="1">
      <alignment horizontal="center" vertical="center" wrapText="1"/>
    </xf>
    <xf numFmtId="0" fontId="105" fillId="2" borderId="21" xfId="0" applyFont="1" applyFill="1" applyBorder="1" applyAlignment="1">
      <alignment horizontal="center" vertical="center" wrapText="1" readingOrder="1"/>
    </xf>
    <xf numFmtId="0" fontId="119" fillId="0" borderId="21" xfId="0" applyFont="1" applyBorder="1" applyAlignment="1">
      <alignment horizontal="center" vertical="center" wrapText="1"/>
    </xf>
    <xf numFmtId="0" fontId="8" fillId="30" borderId="19" xfId="0" applyFont="1" applyFill="1" applyBorder="1" applyAlignment="1">
      <alignment horizontal="center" wrapText="1"/>
    </xf>
    <xf numFmtId="0" fontId="8" fillId="30" borderId="13" xfId="0" applyFont="1" applyFill="1" applyBorder="1" applyAlignment="1">
      <alignment horizontal="center" wrapText="1"/>
    </xf>
    <xf numFmtId="0" fontId="8" fillId="30" borderId="14" xfId="0" applyFont="1" applyFill="1" applyBorder="1" applyAlignment="1">
      <alignment horizontal="center" wrapText="1"/>
    </xf>
    <xf numFmtId="0" fontId="104" fillId="0" borderId="21" xfId="0" applyFont="1" applyBorder="1" applyAlignment="1">
      <alignment horizontal="center" vertical="center" wrapText="1"/>
    </xf>
    <xf numFmtId="0" fontId="26" fillId="14" borderId="21" xfId="0" applyFont="1" applyFill="1" applyBorder="1" applyAlignment="1">
      <alignment horizontal="center" vertical="center" wrapText="1"/>
    </xf>
    <xf numFmtId="0" fontId="16" fillId="0" borderId="21" xfId="0" applyFont="1" applyBorder="1" applyAlignment="1">
      <alignment horizontal="center" vertical="center" wrapText="1"/>
    </xf>
    <xf numFmtId="0" fontId="42" fillId="14" borderId="87" xfId="0" applyFont="1" applyFill="1" applyBorder="1" applyAlignment="1">
      <alignment horizontal="center" vertical="center"/>
    </xf>
    <xf numFmtId="0" fontId="42" fillId="14" borderId="88" xfId="0" applyFont="1" applyFill="1" applyBorder="1" applyAlignment="1">
      <alignment horizontal="center" vertical="center"/>
    </xf>
    <xf numFmtId="0" fontId="42" fillId="14" borderId="80" xfId="0" applyFont="1" applyFill="1" applyBorder="1" applyAlignment="1">
      <alignment horizontal="center" vertical="center"/>
    </xf>
    <xf numFmtId="0" fontId="42" fillId="14" borderId="87" xfId="0" applyFont="1" applyFill="1" applyBorder="1" applyAlignment="1">
      <alignment horizontal="center" vertical="center" wrapText="1"/>
    </xf>
    <xf numFmtId="0" fontId="41" fillId="35" borderId="34" xfId="0" applyFont="1" applyFill="1" applyBorder="1" applyAlignment="1">
      <alignment horizontal="center" vertical="center" wrapText="1"/>
    </xf>
    <xf numFmtId="0" fontId="0" fillId="36" borderId="101" xfId="0" applyFill="1" applyBorder="1" applyAlignment="1">
      <alignment horizontal="center" vertical="center" wrapText="1"/>
    </xf>
    <xf numFmtId="0" fontId="0" fillId="36" borderId="107" xfId="0" applyFill="1" applyBorder="1" applyAlignment="1">
      <alignment horizontal="center" vertical="center" wrapText="1"/>
    </xf>
    <xf numFmtId="0" fontId="42" fillId="36" borderId="100" xfId="0" applyFont="1" applyFill="1" applyBorder="1" applyAlignment="1">
      <alignment horizontal="center" vertical="center" wrapText="1"/>
    </xf>
    <xf numFmtId="0" fontId="42" fillId="36" borderId="99" xfId="0" applyFont="1" applyFill="1" applyBorder="1" applyAlignment="1">
      <alignment horizontal="center" vertical="center" wrapText="1"/>
    </xf>
    <xf numFmtId="0" fontId="74" fillId="31" borderId="34" xfId="0" applyFont="1" applyFill="1" applyBorder="1" applyAlignment="1">
      <alignment horizontal="center" vertical="center" wrapText="1"/>
    </xf>
    <xf numFmtId="0" fontId="40" fillId="31" borderId="34" xfId="0" applyFont="1" applyFill="1" applyBorder="1" applyAlignment="1">
      <alignment horizontal="center" vertical="center" wrapText="1"/>
    </xf>
    <xf numFmtId="0" fontId="14" fillId="35" borderId="34" xfId="0" applyFont="1" applyFill="1" applyBorder="1" applyAlignment="1">
      <alignment horizontal="center" wrapText="1"/>
    </xf>
    <xf numFmtId="0" fontId="43" fillId="31" borderId="56" xfId="0" applyFont="1" applyFill="1" applyBorder="1" applyAlignment="1">
      <alignment horizontal="center" vertical="center" wrapText="1"/>
    </xf>
    <xf numFmtId="0" fontId="43" fillId="31" borderId="0" xfId="0" applyFont="1" applyFill="1" applyBorder="1" applyAlignment="1">
      <alignment horizontal="center" vertical="center" wrapText="1"/>
    </xf>
    <xf numFmtId="0" fontId="65" fillId="27" borderId="83" xfId="0" applyFont="1" applyFill="1" applyBorder="1" applyAlignment="1">
      <alignment horizontal="center" wrapText="1"/>
    </xf>
    <xf numFmtId="0" fontId="65" fillId="27" borderId="83" xfId="0" applyFont="1" applyFill="1" applyBorder="1" applyAlignment="1">
      <alignment horizontal="center"/>
    </xf>
    <xf numFmtId="0" fontId="65" fillId="27" borderId="0" xfId="0" applyFont="1" applyFill="1" applyAlignment="1">
      <alignment horizontal="center"/>
    </xf>
    <xf numFmtId="0" fontId="52" fillId="23" borderId="79" xfId="0" applyFont="1" applyFill="1" applyBorder="1" applyAlignment="1">
      <alignment horizontal="center" vertical="center"/>
    </xf>
    <xf numFmtId="0" fontId="52" fillId="23" borderId="79" xfId="0" applyFont="1" applyFill="1" applyBorder="1" applyAlignment="1">
      <alignment horizontal="center" vertical="center" wrapText="1"/>
    </xf>
    <xf numFmtId="0" fontId="52" fillId="23" borderId="87" xfId="0" applyFont="1" applyFill="1" applyBorder="1" applyAlignment="1">
      <alignment horizontal="center" vertical="center" wrapText="1"/>
    </xf>
    <xf numFmtId="0" fontId="52" fillId="23" borderId="88" xfId="0" applyFont="1" applyFill="1" applyBorder="1" applyAlignment="1">
      <alignment horizontal="center" vertical="center" wrapText="1"/>
    </xf>
    <xf numFmtId="0" fontId="52" fillId="23" borderId="80" xfId="0" applyFont="1" applyFill="1" applyBorder="1" applyAlignment="1">
      <alignment horizontal="center" vertical="center" wrapText="1"/>
    </xf>
    <xf numFmtId="0" fontId="55" fillId="31" borderId="79" xfId="0" applyFont="1" applyFill="1" applyBorder="1" applyAlignment="1">
      <alignment horizontal="center" vertical="center" wrapText="1"/>
    </xf>
    <xf numFmtId="0" fontId="52" fillId="23" borderId="87" xfId="0" applyFont="1" applyFill="1" applyBorder="1" applyAlignment="1">
      <alignment horizontal="center" vertical="center"/>
    </xf>
    <xf numFmtId="0" fontId="52" fillId="23" borderId="88" xfId="0" applyFont="1" applyFill="1" applyBorder="1" applyAlignment="1">
      <alignment horizontal="center" vertical="center"/>
    </xf>
    <xf numFmtId="0" fontId="52" fillId="23" borderId="80" xfId="0" applyFont="1" applyFill="1" applyBorder="1" applyAlignment="1">
      <alignment horizontal="center" vertical="center"/>
    </xf>
    <xf numFmtId="0" fontId="67" fillId="20" borderId="79" xfId="0" applyFont="1" applyFill="1" applyBorder="1" applyAlignment="1">
      <alignment horizontal="center" vertical="center" wrapText="1"/>
    </xf>
    <xf numFmtId="0" fontId="67" fillId="20" borderId="79" xfId="0" applyFont="1" applyFill="1" applyBorder="1" applyAlignment="1">
      <alignment horizontal="center" vertical="center"/>
    </xf>
    <xf numFmtId="0" fontId="52" fillId="20" borderId="87" xfId="0" applyFont="1" applyFill="1" applyBorder="1" applyAlignment="1">
      <alignment horizontal="center" vertical="center"/>
    </xf>
    <xf numFmtId="0" fontId="52" fillId="20" borderId="88" xfId="0" applyFont="1" applyFill="1" applyBorder="1" applyAlignment="1">
      <alignment horizontal="center" vertical="center"/>
    </xf>
    <xf numFmtId="0" fontId="52" fillId="20" borderId="80" xfId="0" applyFont="1" applyFill="1" applyBorder="1" applyAlignment="1">
      <alignment horizontal="center" vertical="center"/>
    </xf>
    <xf numFmtId="0" fontId="55" fillId="31" borderId="98" xfId="0" applyFont="1" applyFill="1" applyBorder="1" applyAlignment="1">
      <alignment horizontal="center" vertical="center" wrapText="1"/>
    </xf>
    <xf numFmtId="0" fontId="55" fillId="31" borderId="81" xfId="0" applyFont="1" applyFill="1" applyBorder="1" applyAlignment="1">
      <alignment horizontal="center" vertical="center" wrapText="1"/>
    </xf>
    <xf numFmtId="0" fontId="56" fillId="36" borderId="85" xfId="0" applyFont="1" applyFill="1" applyBorder="1" applyAlignment="1">
      <alignment horizontal="center" vertical="center" wrapText="1"/>
    </xf>
    <xf numFmtId="0" fontId="74" fillId="37" borderId="0" xfId="0" applyFont="1" applyFill="1" applyAlignment="1">
      <alignment horizontal="center" vertical="center" wrapText="1"/>
    </xf>
    <xf numFmtId="0" fontId="40" fillId="37" borderId="0" xfId="0" applyFont="1" applyFill="1" applyAlignment="1">
      <alignment horizontal="center" vertical="center" wrapText="1"/>
    </xf>
    <xf numFmtId="0" fontId="40" fillId="37" borderId="86" xfId="0" applyFont="1" applyFill="1" applyBorder="1" applyAlignment="1">
      <alignment horizontal="center" vertical="center" wrapText="1"/>
    </xf>
    <xf numFmtId="0" fontId="56" fillId="35" borderId="79" xfId="0" applyFont="1" applyFill="1" applyBorder="1" applyAlignment="1">
      <alignment horizontal="center" vertical="center"/>
    </xf>
    <xf numFmtId="0" fontId="95" fillId="38" borderId="79" xfId="0" applyFont="1" applyFill="1" applyBorder="1" applyAlignment="1">
      <alignment horizontal="center" vertical="center" wrapText="1"/>
    </xf>
    <xf numFmtId="0" fontId="63" fillId="38" borderId="79" xfId="0" applyFont="1" applyFill="1" applyBorder="1" applyAlignment="1">
      <alignment horizontal="center" vertical="center" wrapText="1"/>
    </xf>
    <xf numFmtId="0" fontId="56" fillId="43" borderId="79" xfId="0" applyFont="1" applyFill="1" applyBorder="1" applyAlignment="1">
      <alignment horizontal="center" vertical="center" wrapText="1"/>
    </xf>
    <xf numFmtId="0" fontId="86" fillId="43" borderId="79" xfId="0" applyFont="1" applyFill="1" applyBorder="1" applyAlignment="1">
      <alignment horizontal="center" vertical="center" wrapText="1"/>
    </xf>
    <xf numFmtId="0" fontId="64" fillId="35" borderId="79" xfId="0" applyFont="1" applyFill="1" applyBorder="1" applyAlignment="1">
      <alignment horizontal="center" vertical="center" wrapText="1"/>
    </xf>
    <xf numFmtId="0" fontId="64" fillId="35" borderId="87" xfId="0" applyFont="1" applyFill="1" applyBorder="1" applyAlignment="1">
      <alignment horizontal="center" vertical="center" wrapText="1"/>
    </xf>
    <xf numFmtId="0" fontId="56" fillId="31" borderId="69" xfId="0" applyFont="1" applyFill="1" applyBorder="1" applyAlignment="1">
      <alignment horizontal="center" vertical="center" wrapText="1"/>
    </xf>
    <xf numFmtId="0" fontId="56" fillId="31" borderId="0" xfId="0" applyFont="1" applyFill="1" applyBorder="1" applyAlignment="1">
      <alignment horizontal="center" vertical="center" wrapText="1"/>
    </xf>
    <xf numFmtId="0" fontId="56" fillId="31" borderId="114" xfId="0" applyFont="1" applyFill="1" applyBorder="1" applyAlignment="1">
      <alignment horizontal="center" vertical="center" wrapText="1"/>
    </xf>
    <xf numFmtId="0" fontId="56" fillId="31" borderId="23" xfId="0" applyFont="1" applyFill="1" applyBorder="1" applyAlignment="1">
      <alignment horizontal="center" vertical="center" wrapText="1"/>
    </xf>
    <xf numFmtId="0" fontId="56" fillId="35" borderId="87" xfId="0" applyFont="1" applyFill="1" applyBorder="1" applyAlignment="1">
      <alignment horizontal="center" vertical="center"/>
    </xf>
    <xf numFmtId="0" fontId="52" fillId="35" borderId="79" xfId="0" applyFont="1" applyFill="1" applyBorder="1" applyAlignment="1">
      <alignment horizontal="center" vertical="center" wrapText="1"/>
    </xf>
    <xf numFmtId="0" fontId="52" fillId="35" borderId="87" xfId="0" applyFont="1" applyFill="1" applyBorder="1" applyAlignment="1">
      <alignment horizontal="center" vertical="center" wrapText="1"/>
    </xf>
    <xf numFmtId="0" fontId="61" fillId="22" borderId="90" xfId="0" applyFont="1" applyFill="1" applyBorder="1" applyAlignment="1">
      <alignment horizontal="center" vertical="center" wrapText="1"/>
    </xf>
    <xf numFmtId="0" fontId="61" fillId="22" borderId="91" xfId="0" applyFont="1" applyFill="1" applyBorder="1" applyAlignment="1">
      <alignment horizontal="center" vertical="center" wrapText="1"/>
    </xf>
    <xf numFmtId="0" fontId="61" fillId="22" borderId="92" xfId="0" applyFont="1" applyFill="1" applyBorder="1" applyAlignment="1">
      <alignment horizontal="center" vertical="center" wrapText="1"/>
    </xf>
    <xf numFmtId="0" fontId="61" fillId="22" borderId="93" xfId="0" applyFont="1" applyFill="1" applyBorder="1" applyAlignment="1">
      <alignment horizontal="center" vertical="center" wrapText="1"/>
    </xf>
    <xf numFmtId="0" fontId="61" fillId="22" borderId="79" xfId="0" applyFont="1" applyFill="1" applyBorder="1" applyAlignment="1">
      <alignment horizontal="center" vertical="center" wrapText="1"/>
    </xf>
    <xf numFmtId="0" fontId="61" fillId="22" borderId="94" xfId="0" applyFont="1" applyFill="1" applyBorder="1" applyAlignment="1">
      <alignment horizontal="center" vertical="center" wrapText="1"/>
    </xf>
    <xf numFmtId="0" fontId="61" fillId="22" borderId="95" xfId="0" applyFont="1" applyFill="1" applyBorder="1" applyAlignment="1">
      <alignment horizontal="center" vertical="center" wrapText="1"/>
    </xf>
    <xf numFmtId="0" fontId="61" fillId="22" borderId="96" xfId="0" applyFont="1" applyFill="1" applyBorder="1" applyAlignment="1">
      <alignment horizontal="center" vertical="center" wrapText="1"/>
    </xf>
    <xf numFmtId="0" fontId="61" fillId="22" borderId="97" xfId="0" applyFont="1" applyFill="1" applyBorder="1" applyAlignment="1">
      <alignment horizontal="center" vertical="center" wrapText="1"/>
    </xf>
    <xf numFmtId="0" fontId="0" fillId="43" borderId="34" xfId="0" applyFill="1" applyBorder="1" applyAlignment="1">
      <alignment horizontal="center" vertical="center" wrapText="1"/>
    </xf>
    <xf numFmtId="0" fontId="0" fillId="43" borderId="100" xfId="0" applyFill="1" applyBorder="1" applyAlignment="1">
      <alignment horizontal="center" vertical="center" wrapText="1"/>
    </xf>
    <xf numFmtId="0" fontId="42" fillId="43" borderId="34" xfId="0" applyFont="1" applyFill="1" applyBorder="1" applyAlignment="1">
      <alignment horizontal="center" vertical="center" wrapText="1"/>
    </xf>
    <xf numFmtId="0" fontId="42" fillId="43" borderId="100" xfId="0" applyFont="1" applyFill="1" applyBorder="1" applyAlignment="1">
      <alignment horizontal="center" vertical="center" wrapText="1"/>
    </xf>
    <xf numFmtId="0" fontId="14" fillId="35" borderId="81" xfId="0" applyFont="1" applyFill="1" applyBorder="1" applyAlignment="1">
      <alignment horizontal="center" wrapText="1"/>
    </xf>
    <xf numFmtId="0" fontId="14" fillId="35" borderId="89" xfId="0" applyFont="1" applyFill="1" applyBorder="1" applyAlignment="1">
      <alignment horizontal="center" wrapText="1"/>
    </xf>
    <xf numFmtId="0" fontId="14" fillId="35" borderId="79" xfId="0" applyFont="1" applyFill="1" applyBorder="1" applyAlignment="1">
      <alignment horizontal="center" wrapText="1"/>
    </xf>
    <xf numFmtId="0" fontId="14" fillId="35" borderId="87" xfId="0" applyFont="1" applyFill="1" applyBorder="1" applyAlignment="1">
      <alignment horizontal="center" wrapText="1"/>
    </xf>
    <xf numFmtId="0" fontId="43" fillId="31" borderId="34" xfId="0" applyFont="1" applyFill="1" applyBorder="1" applyAlignment="1">
      <alignment horizontal="center" vertical="center" wrapText="1"/>
    </xf>
    <xf numFmtId="0" fontId="0" fillId="0" borderId="46" xfId="0" applyBorder="1" applyAlignment="1">
      <alignment horizontal="center" vertical="center"/>
    </xf>
    <xf numFmtId="0" fontId="0" fillId="0" borderId="103" xfId="0" applyBorder="1" applyAlignment="1">
      <alignment horizontal="center" vertical="center"/>
    </xf>
    <xf numFmtId="0" fontId="52" fillId="31" borderId="34" xfId="0" applyFont="1" applyFill="1" applyBorder="1" applyAlignment="1">
      <alignment horizontal="center" vertical="center" wrapText="1"/>
    </xf>
    <xf numFmtId="0" fontId="56" fillId="39" borderId="34" xfId="0" applyFont="1" applyFill="1" applyBorder="1" applyAlignment="1">
      <alignment horizontal="center" vertical="center" wrapText="1"/>
    </xf>
    <xf numFmtId="0" fontId="56" fillId="21" borderId="34" xfId="0" applyFont="1" applyFill="1" applyBorder="1" applyAlignment="1">
      <alignment horizontal="center" vertical="center" wrapText="1"/>
    </xf>
    <xf numFmtId="0" fontId="65" fillId="39" borderId="34" xfId="0" applyFont="1" applyFill="1" applyBorder="1" applyAlignment="1">
      <alignment horizontal="center" vertical="center"/>
    </xf>
    <xf numFmtId="0" fontId="65" fillId="21" borderId="34" xfId="0" applyFont="1" applyFill="1" applyBorder="1" applyAlignment="1">
      <alignment horizontal="center" vertical="center"/>
    </xf>
    <xf numFmtId="0" fontId="52" fillId="35" borderId="34" xfId="0" applyFont="1" applyFill="1" applyBorder="1" applyAlignment="1">
      <alignment horizontal="center" vertical="center" wrapText="1"/>
    </xf>
    <xf numFmtId="0" fontId="52" fillId="35" borderId="35" xfId="0" applyFont="1" applyFill="1" applyBorder="1" applyAlignment="1">
      <alignment horizontal="center" vertical="center" wrapText="1"/>
    </xf>
    <xf numFmtId="0" fontId="40" fillId="29" borderId="34" xfId="0" applyFont="1" applyFill="1" applyBorder="1" applyAlignment="1">
      <alignment horizontal="center" vertical="center" wrapText="1"/>
    </xf>
    <xf numFmtId="0" fontId="43" fillId="31" borderId="100" xfId="0" applyFont="1" applyFill="1" applyBorder="1" applyAlignment="1">
      <alignment horizontal="center" vertical="center" wrapText="1"/>
    </xf>
    <xf numFmtId="0" fontId="14" fillId="35" borderId="100" xfId="0" applyFont="1" applyFill="1" applyBorder="1" applyAlignment="1">
      <alignment horizontal="center" wrapText="1"/>
    </xf>
    <xf numFmtId="0" fontId="14" fillId="35" borderId="70" xfId="0" applyFont="1" applyFill="1" applyBorder="1" applyAlignment="1">
      <alignment horizontal="center" wrapText="1"/>
    </xf>
    <xf numFmtId="0" fontId="62" fillId="17" borderId="115" xfId="0" applyFont="1" applyFill="1" applyBorder="1" applyAlignment="1">
      <alignment horizontal="center" vertical="center" wrapText="1"/>
    </xf>
    <xf numFmtId="0" fontId="62" fillId="17" borderId="264" xfId="0" applyFont="1" applyFill="1" applyBorder="1" applyAlignment="1">
      <alignment horizontal="center" vertical="center" wrapText="1"/>
    </xf>
    <xf numFmtId="0" fontId="62" fillId="17" borderId="265" xfId="0" applyFont="1" applyFill="1" applyBorder="1" applyAlignment="1">
      <alignment horizontal="center" vertical="center" wrapText="1"/>
    </xf>
    <xf numFmtId="0" fontId="62" fillId="17" borderId="266" xfId="0" applyFont="1" applyFill="1" applyBorder="1" applyAlignment="1">
      <alignment horizontal="center" vertical="center" wrapText="1"/>
    </xf>
    <xf numFmtId="0" fontId="62" fillId="17" borderId="106" xfId="0" applyFont="1" applyFill="1" applyBorder="1" applyAlignment="1">
      <alignment horizontal="center" vertical="center" wrapText="1"/>
    </xf>
    <xf numFmtId="0" fontId="62" fillId="17" borderId="85" xfId="0" applyFont="1" applyFill="1" applyBorder="1" applyAlignment="1">
      <alignment horizontal="center" wrapText="1"/>
    </xf>
    <xf numFmtId="0" fontId="55" fillId="17" borderId="0" xfId="0" applyFont="1" applyFill="1" applyAlignment="1">
      <alignment horizontal="center" vertical="center"/>
    </xf>
    <xf numFmtId="0" fontId="55" fillId="17" borderId="103" xfId="0" applyFont="1" applyFill="1" applyBorder="1" applyAlignment="1">
      <alignment horizontal="center" vertical="center"/>
    </xf>
    <xf numFmtId="0" fontId="62" fillId="17" borderId="102" xfId="0" applyFont="1" applyFill="1" applyBorder="1" applyAlignment="1">
      <alignment horizontal="center" vertical="center"/>
    </xf>
    <xf numFmtId="0" fontId="62" fillId="17" borderId="0" xfId="0" applyFont="1" applyFill="1" applyBorder="1" applyAlignment="1">
      <alignment horizontal="center" vertical="center"/>
    </xf>
    <xf numFmtId="0" fontId="62" fillId="17" borderId="263" xfId="0" applyFont="1" applyFill="1" applyBorder="1" applyAlignment="1">
      <alignment horizontal="center" vertical="center"/>
    </xf>
    <xf numFmtId="0" fontId="62" fillId="17" borderId="103" xfId="0" applyFont="1" applyFill="1" applyBorder="1" applyAlignment="1">
      <alignment horizontal="center" vertical="center"/>
    </xf>
    <xf numFmtId="0" fontId="52" fillId="31" borderId="36" xfId="0" applyFont="1" applyFill="1" applyBorder="1" applyAlignment="1">
      <alignment horizontal="center" vertical="center" wrapText="1"/>
    </xf>
    <xf numFmtId="0" fontId="56" fillId="31" borderId="34" xfId="0" applyFont="1" applyFill="1" applyBorder="1" applyAlignment="1">
      <alignment horizontal="center" vertical="center" wrapText="1"/>
    </xf>
    <xf numFmtId="0" fontId="56" fillId="39" borderId="34" xfId="0" applyFont="1" applyFill="1" applyBorder="1" applyAlignment="1">
      <alignment horizontal="center" vertical="center"/>
    </xf>
    <xf numFmtId="0" fontId="56" fillId="21" borderId="34" xfId="0" applyFont="1" applyFill="1" applyBorder="1" applyAlignment="1">
      <alignment horizontal="center" vertical="center"/>
    </xf>
    <xf numFmtId="0" fontId="40" fillId="20" borderId="34" xfId="0" applyFont="1" applyFill="1" applyBorder="1" applyAlignment="1">
      <alignment horizontal="center" vertical="center" wrapText="1"/>
    </xf>
    <xf numFmtId="0" fontId="52" fillId="43" borderId="34" xfId="0" applyFont="1" applyFill="1" applyBorder="1" applyAlignment="1">
      <alignment horizontal="center" vertical="center" wrapText="1"/>
    </xf>
    <xf numFmtId="0" fontId="46" fillId="43" borderId="34" xfId="0" applyFont="1" applyFill="1" applyBorder="1" applyAlignment="1">
      <alignment horizontal="center" vertical="center" wrapText="1"/>
    </xf>
    <xf numFmtId="0" fontId="59" fillId="35" borderId="34" xfId="0" applyFont="1" applyFill="1" applyBorder="1" applyAlignment="1">
      <alignment horizontal="center" vertical="center" wrapText="1"/>
    </xf>
    <xf numFmtId="0" fontId="59" fillId="42" borderId="34" xfId="0" applyFont="1" applyFill="1" applyBorder="1" applyAlignment="1">
      <alignment horizontal="center" wrapText="1"/>
    </xf>
    <xf numFmtId="0" fontId="59" fillId="42" borderId="34" xfId="0" applyFont="1" applyFill="1" applyBorder="1" applyAlignment="1">
      <alignment horizontal="center"/>
    </xf>
    <xf numFmtId="0" fontId="62" fillId="31" borderId="102" xfId="0" applyFont="1" applyFill="1" applyBorder="1" applyAlignment="1">
      <alignment horizontal="center" vertical="center" wrapText="1"/>
    </xf>
    <xf numFmtId="0" fontId="62" fillId="31" borderId="104" xfId="0" applyFont="1" applyFill="1" applyBorder="1" applyAlignment="1">
      <alignment horizontal="center" vertical="center" wrapText="1"/>
    </xf>
    <xf numFmtId="0" fontId="62" fillId="31" borderId="0" xfId="0" applyFont="1" applyFill="1" applyBorder="1" applyAlignment="1">
      <alignment horizontal="center" vertical="center" wrapText="1"/>
    </xf>
    <xf numFmtId="0" fontId="62" fillId="31" borderId="84" xfId="0" applyFont="1" applyFill="1" applyBorder="1" applyAlignment="1">
      <alignment horizontal="center" vertical="center" wrapText="1"/>
    </xf>
    <xf numFmtId="0" fontId="62" fillId="39" borderId="0" xfId="0" applyFont="1" applyFill="1" applyAlignment="1">
      <alignment horizontal="center" vertical="center"/>
    </xf>
    <xf numFmtId="0" fontId="62" fillId="21" borderId="0" xfId="0" applyFont="1" applyFill="1" applyAlignment="1">
      <alignment horizontal="center" vertical="center"/>
    </xf>
    <xf numFmtId="0" fontId="62" fillId="21" borderId="84" xfId="0" applyFont="1" applyFill="1" applyBorder="1" applyAlignment="1">
      <alignment horizontal="center" vertical="center"/>
    </xf>
    <xf numFmtId="0" fontId="63" fillId="35" borderId="34" xfId="0" applyFont="1" applyFill="1" applyBorder="1" applyAlignment="1">
      <alignment horizontal="center" vertical="center" wrapText="1"/>
    </xf>
    <xf numFmtId="0" fontId="0" fillId="43" borderId="106" xfId="0" applyFill="1" applyBorder="1" applyAlignment="1">
      <alignment horizontal="center" vertical="center" wrapText="1"/>
    </xf>
    <xf numFmtId="0" fontId="42" fillId="43" borderId="85" xfId="0" applyFont="1" applyFill="1" applyBorder="1" applyAlignment="1">
      <alignment horizontal="center" vertical="center" wrapText="1"/>
    </xf>
    <xf numFmtId="0" fontId="56" fillId="31" borderId="106" xfId="0" applyFont="1" applyFill="1" applyBorder="1" applyAlignment="1">
      <alignment horizontal="center" vertical="center" wrapText="1"/>
    </xf>
    <xf numFmtId="0" fontId="56" fillId="31" borderId="85" xfId="0" applyFont="1" applyFill="1" applyBorder="1" applyAlignment="1">
      <alignment horizontal="center" vertical="center" wrapText="1"/>
    </xf>
    <xf numFmtId="0" fontId="64" fillId="35" borderId="34" xfId="0" applyFont="1" applyFill="1" applyBorder="1" applyAlignment="1">
      <alignment horizontal="center" vertical="center" wrapText="1"/>
    </xf>
    <xf numFmtId="0" fontId="6" fillId="31" borderId="87" xfId="0" applyFont="1" applyFill="1" applyBorder="1" applyAlignment="1">
      <alignment horizontal="center" vertical="center" wrapText="1"/>
    </xf>
    <xf numFmtId="0" fontId="6" fillId="31" borderId="88" xfId="0" applyFont="1" applyFill="1" applyBorder="1" applyAlignment="1">
      <alignment horizontal="center" vertical="center" wrapText="1"/>
    </xf>
    <xf numFmtId="0" fontId="6" fillId="31" borderId="80" xfId="0" applyFont="1" applyFill="1" applyBorder="1" applyAlignment="1">
      <alignment horizontal="center" vertical="center" wrapText="1"/>
    </xf>
    <xf numFmtId="0" fontId="63" fillId="23" borderId="34" xfId="0" applyFont="1" applyFill="1" applyBorder="1" applyAlignment="1">
      <alignment horizontal="center" vertical="center" wrapText="1"/>
    </xf>
    <xf numFmtId="0" fontId="60" fillId="14" borderId="34" xfId="0" applyFont="1" applyFill="1" applyBorder="1" applyAlignment="1">
      <alignment horizontal="center" vertical="center"/>
    </xf>
    <xf numFmtId="0" fontId="52" fillId="35" borderId="34" xfId="0" applyFont="1" applyFill="1" applyBorder="1" applyAlignment="1">
      <alignment vertical="center" wrapText="1"/>
    </xf>
    <xf numFmtId="0" fontId="40" fillId="26" borderId="111" xfId="0" applyFont="1" applyFill="1" applyBorder="1" applyAlignment="1">
      <alignment horizontal="center" vertical="center" wrapText="1"/>
    </xf>
    <xf numFmtId="0" fontId="40" fillId="26" borderId="112" xfId="0" applyFont="1" applyFill="1" applyBorder="1" applyAlignment="1">
      <alignment horizontal="center" vertical="center" wrapText="1"/>
    </xf>
    <xf numFmtId="0" fontId="40" fillId="26" borderId="113" xfId="0" applyFont="1" applyFill="1" applyBorder="1" applyAlignment="1">
      <alignment horizontal="center" vertical="center" wrapText="1"/>
    </xf>
    <xf numFmtId="0" fontId="0" fillId="43" borderId="108" xfId="0" applyFill="1" applyBorder="1" applyAlignment="1">
      <alignment horizontal="center" vertical="center" wrapText="1"/>
    </xf>
    <xf numFmtId="0" fontId="0" fillId="43" borderId="109" xfId="0" applyFill="1" applyBorder="1" applyAlignment="1">
      <alignment horizontal="center" vertical="center" wrapText="1"/>
    </xf>
    <xf numFmtId="0" fontId="42" fillId="43" borderId="71" xfId="0" applyFont="1" applyFill="1" applyBorder="1" applyAlignment="1">
      <alignment horizontal="center" vertical="center" wrapText="1"/>
    </xf>
    <xf numFmtId="0" fontId="42" fillId="43" borderId="110" xfId="0" applyFont="1" applyFill="1" applyBorder="1" applyAlignment="1">
      <alignment horizontal="center" vertical="center" wrapText="1"/>
    </xf>
    <xf numFmtId="0" fontId="14" fillId="35" borderId="111" xfId="0" applyFont="1" applyFill="1" applyBorder="1" applyAlignment="1">
      <alignment horizontal="center" vertical="center" wrapText="1"/>
    </xf>
    <xf numFmtId="0" fontId="14" fillId="35" borderId="112" xfId="0" applyFont="1" applyFill="1" applyBorder="1" applyAlignment="1">
      <alignment horizontal="center" vertical="center" wrapText="1"/>
    </xf>
    <xf numFmtId="0" fontId="14" fillId="35" borderId="113" xfId="0" applyFont="1" applyFill="1" applyBorder="1" applyAlignment="1">
      <alignment horizontal="center" vertical="center" wrapText="1"/>
    </xf>
    <xf numFmtId="0" fontId="56" fillId="25" borderId="34" xfId="0" applyFont="1" applyFill="1" applyBorder="1" applyAlignment="1">
      <alignment horizontal="center" vertical="center" wrapText="1"/>
    </xf>
    <xf numFmtId="0" fontId="40" fillId="18" borderId="111" xfId="0" applyFont="1" applyFill="1" applyBorder="1" applyAlignment="1">
      <alignment horizontal="center" vertical="center" wrapText="1"/>
    </xf>
    <xf numFmtId="0" fontId="40" fillId="18" borderId="112" xfId="0" applyFont="1" applyFill="1" applyBorder="1" applyAlignment="1">
      <alignment horizontal="center" vertical="center" wrapText="1"/>
    </xf>
    <xf numFmtId="0" fontId="40" fillId="18" borderId="113" xfId="0" applyFont="1" applyFill="1" applyBorder="1" applyAlignment="1">
      <alignment horizontal="center" vertical="center" wrapText="1"/>
    </xf>
    <xf numFmtId="0" fontId="0" fillId="43" borderId="101" xfId="0" applyFill="1" applyBorder="1" applyAlignment="1">
      <alignment horizontal="center" vertical="center" wrapText="1"/>
    </xf>
    <xf numFmtId="0" fontId="0" fillId="43" borderId="107" xfId="0" applyFill="1" applyBorder="1" applyAlignment="1">
      <alignment horizontal="center" vertical="center" wrapText="1"/>
    </xf>
    <xf numFmtId="0" fontId="42" fillId="43" borderId="101" xfId="0" applyFont="1" applyFill="1" applyBorder="1" applyAlignment="1">
      <alignment horizontal="center" vertical="center" wrapText="1"/>
    </xf>
    <xf numFmtId="0" fontId="42" fillId="43" borderId="107" xfId="0" applyFont="1" applyFill="1" applyBorder="1" applyAlignment="1">
      <alignment horizontal="center" vertical="center" wrapText="1"/>
    </xf>
    <xf numFmtId="0" fontId="43" fillId="31" borderId="36" xfId="0" applyFont="1" applyFill="1" applyBorder="1" applyAlignment="1">
      <alignment horizontal="center" vertical="center" wrapText="1"/>
    </xf>
    <xf numFmtId="0" fontId="56" fillId="35" borderId="34" xfId="0" applyFont="1" applyFill="1" applyBorder="1" applyAlignment="1">
      <alignment horizontal="center" vertical="center" wrapText="1"/>
    </xf>
    <xf numFmtId="0" fontId="67" fillId="31" borderId="34" xfId="0" applyFont="1" applyFill="1" applyBorder="1" applyAlignment="1">
      <alignment horizontal="center" vertical="center" wrapText="1"/>
    </xf>
    <xf numFmtId="0" fontId="40" fillId="27" borderId="85" xfId="0" applyFont="1" applyFill="1" applyBorder="1" applyAlignment="1">
      <alignment horizontal="center" vertical="center" wrapText="1"/>
    </xf>
    <xf numFmtId="0" fontId="40" fillId="27" borderId="105" xfId="0" applyFont="1" applyFill="1" applyBorder="1" applyAlignment="1">
      <alignment horizontal="center" vertical="center" wrapText="1"/>
    </xf>
    <xf numFmtId="0" fontId="40" fillId="27" borderId="115" xfId="0" applyFont="1" applyFill="1" applyBorder="1" applyAlignment="1">
      <alignment horizontal="center" vertical="center" wrapText="1"/>
    </xf>
    <xf numFmtId="0" fontId="0" fillId="43" borderId="85" xfId="0" applyFill="1" applyBorder="1" applyAlignment="1">
      <alignment horizontal="center" vertical="center" wrapText="1"/>
    </xf>
    <xf numFmtId="0" fontId="0" fillId="43" borderId="105" xfId="0" applyFill="1" applyBorder="1" applyAlignment="1">
      <alignment horizontal="center" vertical="center" wrapText="1"/>
    </xf>
    <xf numFmtId="0" fontId="42" fillId="43" borderId="105" xfId="0" applyFont="1" applyFill="1" applyBorder="1" applyAlignment="1">
      <alignment horizontal="center" vertical="center" wrapText="1"/>
    </xf>
    <xf numFmtId="0" fontId="66" fillId="31" borderId="34" xfId="0" applyFont="1" applyFill="1" applyBorder="1" applyAlignment="1">
      <alignment horizontal="center" vertical="center" wrapText="1"/>
    </xf>
    <xf numFmtId="0" fontId="64" fillId="53" borderId="87" xfId="0" applyFont="1" applyFill="1" applyBorder="1" applyAlignment="1">
      <alignment horizontal="center" vertical="center"/>
    </xf>
    <xf numFmtId="0" fontId="64" fillId="53" borderId="88" xfId="0" applyFont="1" applyFill="1" applyBorder="1" applyAlignment="1">
      <alignment horizontal="center" vertical="center"/>
    </xf>
    <xf numFmtId="0" fontId="64" fillId="53" borderId="80" xfId="0" applyFont="1" applyFill="1" applyBorder="1" applyAlignment="1">
      <alignment horizontal="center" vertical="center"/>
    </xf>
    <xf numFmtId="0" fontId="86" fillId="30" borderId="87" xfId="0" applyFont="1" applyFill="1" applyBorder="1" applyAlignment="1">
      <alignment horizontal="center" vertical="center"/>
    </xf>
    <xf numFmtId="0" fontId="86" fillId="30" borderId="88" xfId="0" applyFont="1" applyFill="1" applyBorder="1" applyAlignment="1">
      <alignment horizontal="center" vertical="center"/>
    </xf>
    <xf numFmtId="0" fontId="86" fillId="30" borderId="80" xfId="0" applyFont="1" applyFill="1" applyBorder="1" applyAlignment="1">
      <alignment horizontal="center" vertical="center"/>
    </xf>
    <xf numFmtId="0" fontId="46" fillId="14" borderId="87" xfId="0" applyFont="1" applyFill="1" applyBorder="1" applyAlignment="1">
      <alignment horizontal="center" vertical="center" wrapText="1"/>
    </xf>
    <xf numFmtId="0" fontId="46" fillId="14" borderId="88" xfId="0" applyFont="1" applyFill="1" applyBorder="1" applyAlignment="1">
      <alignment horizontal="center" vertical="center" wrapText="1"/>
    </xf>
    <xf numFmtId="0" fontId="46" fillId="14" borderId="80" xfId="0" applyFont="1" applyFill="1" applyBorder="1" applyAlignment="1">
      <alignment horizontal="center" vertical="center" wrapText="1"/>
    </xf>
    <xf numFmtId="0" fontId="64" fillId="52" borderId="87" xfId="0" applyFont="1" applyFill="1" applyBorder="1" applyAlignment="1">
      <alignment horizontal="center" vertical="center"/>
    </xf>
    <xf numFmtId="0" fontId="64" fillId="52" borderId="88" xfId="0" applyFont="1" applyFill="1" applyBorder="1" applyAlignment="1">
      <alignment horizontal="center" vertical="center"/>
    </xf>
    <xf numFmtId="0" fontId="64" fillId="52" borderId="80" xfId="0" applyFont="1" applyFill="1" applyBorder="1" applyAlignment="1">
      <alignment horizontal="center" vertical="center"/>
    </xf>
    <xf numFmtId="0" fontId="64" fillId="37" borderId="87" xfId="0" applyFont="1" applyFill="1" applyBorder="1" applyAlignment="1">
      <alignment horizontal="center" vertical="center"/>
    </xf>
    <xf numFmtId="0" fontId="64" fillId="37" borderId="88" xfId="0" applyFont="1" applyFill="1" applyBorder="1" applyAlignment="1">
      <alignment horizontal="center" vertical="center"/>
    </xf>
    <xf numFmtId="0" fontId="86" fillId="30" borderId="89" xfId="0" applyFont="1" applyFill="1" applyBorder="1" applyAlignment="1">
      <alignment horizontal="center" vertical="center"/>
    </xf>
    <xf numFmtId="0" fontId="86" fillId="30" borderId="84" xfId="0" applyFont="1" applyFill="1" applyBorder="1" applyAlignment="1">
      <alignment horizontal="center" vertical="center"/>
    </xf>
    <xf numFmtId="0" fontId="64" fillId="26" borderId="260" xfId="0" applyFont="1" applyFill="1" applyBorder="1" applyAlignment="1">
      <alignment horizontal="center" vertical="center"/>
    </xf>
    <xf numFmtId="0" fontId="64" fillId="26" borderId="83" xfId="0" applyFont="1" applyFill="1" applyBorder="1" applyAlignment="1">
      <alignment horizontal="center" vertical="center"/>
    </xf>
    <xf numFmtId="0" fontId="64" fillId="26" borderId="154" xfId="0" applyFont="1" applyFill="1" applyBorder="1" applyAlignment="1">
      <alignment horizontal="center" vertical="center"/>
    </xf>
    <xf numFmtId="0" fontId="64" fillId="26" borderId="89" xfId="0" applyFont="1" applyFill="1" applyBorder="1" applyAlignment="1">
      <alignment horizontal="center" vertical="center"/>
    </xf>
    <xf numFmtId="0" fontId="64" fillId="26" borderId="84" xfId="0" applyFont="1" applyFill="1" applyBorder="1" applyAlignment="1">
      <alignment horizontal="center" vertical="center"/>
    </xf>
    <xf numFmtId="0" fontId="64" fillId="26" borderId="82" xfId="0" applyFont="1" applyFill="1" applyBorder="1" applyAlignment="1">
      <alignment horizontal="center" vertical="center"/>
    </xf>
    <xf numFmtId="0" fontId="64" fillId="30" borderId="87" xfId="0" applyFont="1" applyFill="1" applyBorder="1" applyAlignment="1">
      <alignment horizontal="center" vertical="center"/>
    </xf>
    <xf numFmtId="0" fontId="64" fillId="30" borderId="88" xfId="0" applyFont="1" applyFill="1" applyBorder="1" applyAlignment="1">
      <alignment horizontal="center" vertical="center"/>
    </xf>
    <xf numFmtId="0" fontId="64" fillId="30" borderId="80" xfId="0" applyFont="1" applyFill="1" applyBorder="1" applyAlignment="1">
      <alignment horizontal="center" vertical="center"/>
    </xf>
    <xf numFmtId="0" fontId="46" fillId="14" borderId="83" xfId="0" applyFont="1" applyFill="1" applyBorder="1" applyAlignment="1">
      <alignment horizontal="center" vertical="center" wrapText="1"/>
    </xf>
    <xf numFmtId="0" fontId="46" fillId="14" borderId="154" xfId="0" applyFont="1" applyFill="1" applyBorder="1" applyAlignment="1">
      <alignment horizontal="center" vertical="center" wrapText="1"/>
    </xf>
    <xf numFmtId="0" fontId="46" fillId="14" borderId="0" xfId="0" applyFont="1" applyFill="1" applyBorder="1" applyAlignment="1">
      <alignment horizontal="center" vertical="center" wrapText="1"/>
    </xf>
    <xf numFmtId="0" fontId="46" fillId="14" borderId="166" xfId="0" applyFont="1" applyFill="1" applyBorder="1" applyAlignment="1">
      <alignment horizontal="center" vertical="center" wrapText="1"/>
    </xf>
    <xf numFmtId="0" fontId="46" fillId="14" borderId="84" xfId="0" applyFont="1" applyFill="1" applyBorder="1" applyAlignment="1">
      <alignment horizontal="center" vertical="center" wrapText="1"/>
    </xf>
    <xf numFmtId="0" fontId="46" fillId="14" borderId="82" xfId="0" applyFont="1" applyFill="1" applyBorder="1" applyAlignment="1">
      <alignment horizontal="center" vertical="center" wrapText="1"/>
    </xf>
    <xf numFmtId="0" fontId="46" fillId="14" borderId="88" xfId="0" applyFont="1" applyFill="1" applyBorder="1" applyAlignment="1">
      <alignment horizontal="center" vertical="center"/>
    </xf>
    <xf numFmtId="0" fontId="46" fillId="14" borderId="80" xfId="0" applyFont="1" applyFill="1" applyBorder="1" applyAlignment="1">
      <alignment horizontal="center" vertical="center"/>
    </xf>
    <xf numFmtId="0" fontId="46" fillId="14" borderId="87" xfId="0" applyFont="1" applyFill="1" applyBorder="1" applyAlignment="1">
      <alignment horizontal="center" vertical="center"/>
    </xf>
    <xf numFmtId="0" fontId="45" fillId="14" borderId="87" xfId="0" applyFont="1" applyFill="1" applyBorder="1" applyAlignment="1">
      <alignment horizontal="center" vertical="center" wrapText="1"/>
    </xf>
    <xf numFmtId="0" fontId="45" fillId="14" borderId="88" xfId="0" applyFont="1" applyFill="1" applyBorder="1" applyAlignment="1">
      <alignment horizontal="center" vertical="center" wrapText="1"/>
    </xf>
    <xf numFmtId="0" fontId="45" fillId="14" borderId="80" xfId="0" applyFont="1" applyFill="1" applyBorder="1" applyAlignment="1">
      <alignment horizontal="center" vertical="center" wrapText="1"/>
    </xf>
  </cellXfs>
  <cellStyles count="3">
    <cellStyle name="Магия" xfId="1" xr:uid="{00000000-0005-0000-0000-000000000000}"/>
    <cellStyle name="Обычный" xfId="0" builtinId="0"/>
    <cellStyle name="Процентный" xfId="2" builtinId="5"/>
  </cellStyles>
  <dxfs count="1432">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fgColor theme="1" tint="0.14993743705557422"/>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1" tint="0.14996795556505021"/>
      </font>
      <fill>
        <patternFill patternType="solid">
          <fgColor theme="1" tint="0.14996795556505021"/>
          <bgColor theme="2" tint="-9.9948118533890809E-2"/>
        </patternFill>
      </fill>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fgColor theme="1" tint="0.14993743705557422"/>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1" tint="0.14996795556505021"/>
      </font>
      <fill>
        <patternFill patternType="solid">
          <fgColor theme="1" tint="0.14996795556505021"/>
          <bgColor theme="2" tint="-9.9948118533890809E-2"/>
        </patternFill>
      </fill>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fgColor theme="1" tint="0.14993743705557422"/>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1" tint="0.14996795556505021"/>
      </font>
      <fill>
        <patternFill patternType="solid">
          <fgColor theme="1" tint="0.14996795556505021"/>
          <bgColor theme="2" tint="-9.9948118533890809E-2"/>
        </patternFill>
      </fill>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fgColor theme="1" tint="0.14993743705557422"/>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1" tint="0.14996795556505021"/>
      </font>
      <fill>
        <patternFill patternType="solid">
          <fgColor theme="1" tint="0.14996795556505021"/>
          <bgColor theme="2" tint="-9.9948118533890809E-2"/>
        </patternFill>
      </fill>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fgColor theme="1" tint="0.14993743705557422"/>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1" tint="0.14996795556505021"/>
      </font>
      <fill>
        <patternFill patternType="solid">
          <fgColor theme="1" tint="0.14996795556505021"/>
          <bgColor theme="2" tint="-9.9948118533890809E-2"/>
        </patternFill>
      </fill>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fgColor theme="1" tint="0.14993743705557422"/>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1" tint="0.14996795556505021"/>
      </font>
      <fill>
        <patternFill patternType="solid">
          <fgColor theme="1" tint="0.14996795556505021"/>
          <bgColor theme="2" tint="-9.9948118533890809E-2"/>
        </patternFill>
      </fill>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fgColor theme="1" tint="0.14993743705557422"/>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1" tint="0.14996795556505021"/>
      </font>
      <fill>
        <patternFill patternType="solid">
          <fgColor theme="1" tint="0.14996795556505021"/>
          <bgColor theme="2" tint="-9.9948118533890809E-2"/>
        </patternFill>
      </fill>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fgColor theme="1" tint="0.14993743705557422"/>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1" tint="0.14996795556505021"/>
      </font>
      <fill>
        <patternFill patternType="solid">
          <fgColor theme="1" tint="0.14996795556505021"/>
          <bgColor theme="2" tint="-9.9948118533890809E-2"/>
        </patternFill>
      </fill>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fgColor theme="1" tint="0.14993743705557422"/>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1" tint="0.14996795556505021"/>
      </font>
      <fill>
        <patternFill patternType="solid">
          <fgColor theme="1" tint="0.14996795556505021"/>
          <bgColor theme="2" tint="-9.9948118533890809E-2"/>
        </patternFill>
      </fill>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fgColor theme="1" tint="0.14993743705557422"/>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1" tint="0.14996795556505021"/>
      </font>
      <fill>
        <patternFill patternType="solid">
          <fgColor theme="1" tint="0.14996795556505021"/>
          <bgColor theme="2" tint="-9.9948118533890809E-2"/>
        </patternFill>
      </fill>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fgColor theme="1" tint="0.14993743705557422"/>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1" tint="0.14996795556505021"/>
      </font>
      <fill>
        <patternFill patternType="solid">
          <fgColor theme="1" tint="0.14996795556505021"/>
          <bgColor theme="2" tint="-9.9948118533890809E-2"/>
        </patternFill>
      </fill>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fgColor theme="1" tint="0.14993743705557422"/>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1" tint="0.14996795556505021"/>
      </font>
      <fill>
        <patternFill patternType="solid">
          <fgColor theme="1" tint="0.14996795556505021"/>
          <bgColor theme="2" tint="-9.9948118533890809E-2"/>
        </patternFill>
      </fill>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fgColor theme="1" tint="0.14993743705557422"/>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1" tint="0.14996795556505021"/>
      </font>
      <fill>
        <patternFill patternType="solid">
          <fgColor theme="1" tint="0.14996795556505021"/>
          <bgColor theme="2" tint="-9.9948118533890809E-2"/>
        </patternFill>
      </fill>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fgColor theme="1" tint="0.14993743705557422"/>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1" tint="0.14996795556505021"/>
      </font>
      <fill>
        <patternFill patternType="solid">
          <fgColor theme="1" tint="0.14996795556505021"/>
          <bgColor theme="2" tint="-9.9948118533890809E-2"/>
        </patternFill>
      </fill>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fgColor theme="1" tint="0.14993743705557422"/>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1" tint="0.14996795556505021"/>
      </font>
      <fill>
        <patternFill patternType="solid">
          <fgColor theme="1" tint="0.14996795556505021"/>
          <bgColor theme="2" tint="-9.9948118533890809E-2"/>
        </patternFill>
      </fill>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fgColor theme="1" tint="0.14993743705557422"/>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1" tint="0.14996795556505021"/>
      </font>
      <fill>
        <patternFill patternType="solid">
          <fgColor theme="1" tint="0.14996795556505021"/>
          <bgColor theme="2" tint="-9.9948118533890809E-2"/>
        </patternFill>
      </fill>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fgColor theme="1" tint="0.14993743705557422"/>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1" tint="0.14996795556505021"/>
      </font>
      <fill>
        <patternFill patternType="solid">
          <fgColor theme="1" tint="0.14996795556505021"/>
          <bgColor theme="2" tint="-9.9948118533890809E-2"/>
        </patternFill>
      </fill>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fgColor theme="1" tint="0.14993743705557422"/>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1" tint="0.14996795556505021"/>
      </font>
      <fill>
        <patternFill patternType="solid">
          <fgColor theme="1" tint="0.14996795556505021"/>
          <bgColor theme="2" tint="-9.9948118533890809E-2"/>
        </patternFill>
      </fill>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fgColor theme="1" tint="0.14993743705557422"/>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1" tint="0.14996795556505021"/>
      </font>
      <fill>
        <patternFill patternType="solid">
          <fgColor theme="1" tint="0.14996795556505021"/>
          <bgColor theme="2" tint="-9.9948118533890809E-2"/>
        </patternFill>
      </fill>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fgColor theme="1" tint="0.14993743705557422"/>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1" tint="0.14996795556505021"/>
      </font>
      <fill>
        <patternFill patternType="solid">
          <fgColor theme="1" tint="0.14996795556505021"/>
          <bgColor theme="2" tint="-9.9948118533890809E-2"/>
        </patternFill>
      </fill>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fgColor theme="1" tint="0.14993743705557422"/>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1" tint="0.14996795556505021"/>
      </font>
      <fill>
        <patternFill patternType="solid">
          <fgColor theme="1" tint="0.14996795556505021"/>
          <bgColor theme="2" tint="-9.9948118533890809E-2"/>
        </patternFill>
      </fill>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fgColor theme="1" tint="0.14993743705557422"/>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1" tint="0.14996795556505021"/>
      </font>
      <fill>
        <patternFill patternType="solid">
          <fgColor theme="1" tint="0.14996795556505021"/>
          <bgColor theme="2" tint="-9.9948118533890809E-2"/>
        </patternFill>
      </fill>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fgColor theme="1" tint="0.14993743705557422"/>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1" tint="0.14996795556505021"/>
      </font>
      <fill>
        <patternFill patternType="solid">
          <fgColor theme="1" tint="0.14996795556505021"/>
          <bgColor theme="2" tint="-9.9948118533890809E-2"/>
        </patternFill>
      </fill>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fgColor theme="1" tint="0.14993743705557422"/>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1" tint="0.14996795556505021"/>
      </font>
      <fill>
        <patternFill patternType="solid">
          <fgColor theme="1" tint="0.14996795556505021"/>
          <bgColor theme="2" tint="-9.9948118533890809E-2"/>
        </patternFill>
      </fill>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fgColor theme="1" tint="0.14993743705557422"/>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1" tint="0.14996795556505021"/>
      </font>
      <fill>
        <patternFill patternType="solid">
          <fgColor theme="1" tint="0.14996795556505021"/>
          <bgColor theme="2" tint="-9.9948118533890809E-2"/>
        </patternFill>
      </fill>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fgColor theme="1" tint="0.14993743705557422"/>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1" tint="0.14996795556505021"/>
      </font>
      <fill>
        <patternFill patternType="solid">
          <fgColor theme="1" tint="0.14996795556505021"/>
          <bgColor theme="2" tint="-9.9948118533890809E-2"/>
        </patternFill>
      </fill>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fgColor theme="1" tint="0.14993743705557422"/>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1" tint="0.14996795556505021"/>
      </font>
      <fill>
        <patternFill patternType="solid">
          <fgColor theme="1" tint="0.14996795556505021"/>
          <bgColor theme="2" tint="-9.9948118533890809E-2"/>
        </patternFill>
      </fill>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fgColor theme="1" tint="0.14993743705557422"/>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1" tint="0.14996795556505021"/>
      </font>
      <fill>
        <patternFill patternType="solid">
          <fgColor theme="1" tint="0.14996795556505021"/>
          <bgColor theme="2" tint="-9.9948118533890809E-2"/>
        </patternFill>
      </fill>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fgColor theme="1" tint="0.14993743705557422"/>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1" tint="0.14996795556505021"/>
      </font>
      <fill>
        <patternFill patternType="solid">
          <fgColor theme="1" tint="0.14996795556505021"/>
          <bgColor theme="2" tint="-9.9948118533890809E-2"/>
        </patternFill>
      </fill>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fgColor theme="1" tint="0.14993743705557422"/>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1" tint="0.14996795556505021"/>
      </font>
      <fill>
        <patternFill patternType="solid">
          <fgColor theme="1" tint="0.14996795556505021"/>
          <bgColor theme="2" tint="-9.9948118533890809E-2"/>
        </patternFill>
      </fill>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fgColor theme="1" tint="0.14993743705557422"/>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1" tint="0.14996795556505021"/>
      </font>
      <fill>
        <patternFill patternType="solid">
          <fgColor theme="1" tint="0.14996795556505021"/>
          <bgColor theme="2" tint="-9.9948118533890809E-2"/>
        </patternFill>
      </fill>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fgColor theme="1" tint="0.14993743705557422"/>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1" tint="0.14996795556505021"/>
      </font>
      <fill>
        <patternFill patternType="solid">
          <fgColor theme="1" tint="0.14996795556505021"/>
          <bgColor theme="2" tint="-9.9948118533890809E-2"/>
        </patternFill>
      </fill>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fgColor theme="1" tint="0.14993743705557422"/>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1" tint="0.14996795556505021"/>
      </font>
      <fill>
        <patternFill patternType="solid">
          <fgColor theme="1" tint="0.14996795556505021"/>
          <bgColor theme="2" tint="-9.9948118533890809E-2"/>
        </patternFill>
      </fill>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fgColor theme="1" tint="0.14993743705557422"/>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1" tint="0.14996795556505021"/>
      </font>
      <fill>
        <patternFill patternType="solid">
          <fgColor theme="1" tint="0.14996795556505021"/>
          <bgColor theme="2" tint="-9.9948118533890809E-2"/>
        </patternFill>
      </fill>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fgColor theme="1" tint="0.14993743705557422"/>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1" tint="0.14996795556505021"/>
      </font>
      <fill>
        <patternFill patternType="solid">
          <fgColor theme="1" tint="0.14996795556505021"/>
          <bgColor theme="2" tint="-9.9948118533890809E-2"/>
        </patternFill>
      </fill>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fgColor theme="1" tint="0.14993743705557422"/>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1" tint="0.14996795556505021"/>
      </font>
      <fill>
        <patternFill patternType="solid">
          <fgColor theme="1" tint="0.14996795556505021"/>
          <bgColor theme="2" tint="-9.9948118533890809E-2"/>
        </patternFill>
      </fill>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fgColor theme="1" tint="0.14993743705557422"/>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1" tint="0.14996795556505021"/>
      </font>
      <fill>
        <patternFill patternType="solid">
          <fgColor theme="1" tint="0.14996795556505021"/>
          <bgColor theme="2" tint="-9.9948118533890809E-2"/>
        </patternFill>
      </fill>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fgColor theme="1" tint="0.14993743705557422"/>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1" tint="0.14996795556505021"/>
      </font>
      <fill>
        <patternFill patternType="solid">
          <fgColor theme="1" tint="0.14996795556505021"/>
          <bgColor theme="2" tint="-9.9948118533890809E-2"/>
        </patternFill>
      </fill>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fgColor theme="1" tint="0.14993743705557422"/>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1" tint="0.14996795556505021"/>
      </font>
      <fill>
        <patternFill patternType="solid">
          <fgColor theme="1" tint="0.14996795556505021"/>
          <bgColor theme="2" tint="-9.9948118533890809E-2"/>
        </patternFill>
      </fill>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fgColor theme="1" tint="0.14993743705557422"/>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1" tint="0.14996795556505021"/>
      </font>
      <fill>
        <patternFill patternType="solid">
          <fgColor theme="1" tint="0.14996795556505021"/>
          <bgColor theme="2" tint="-9.9948118533890809E-2"/>
        </patternFill>
      </fill>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fgColor theme="1" tint="0.14993743705557422"/>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1" tint="0.14996795556505021"/>
      </font>
      <fill>
        <patternFill patternType="solid">
          <fgColor theme="1" tint="0.14996795556505021"/>
          <bgColor theme="2" tint="-9.9948118533890809E-2"/>
        </patternFill>
      </fill>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fill>
        <patternFill>
          <bgColor theme="6" tint="-0.24994659260841701"/>
        </patternFill>
      </fill>
    </dxf>
    <dxf>
      <fill>
        <patternFill>
          <bgColor theme="6" tint="-0.24994659260841701"/>
        </patternFill>
      </fill>
    </dxf>
    <dxf>
      <fill>
        <patternFill>
          <fgColor theme="1" tint="0.14993743705557422"/>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1" tint="0.14996795556505021"/>
      </font>
      <fill>
        <patternFill patternType="solid">
          <fgColor theme="1" tint="0.14996795556505021"/>
          <bgColor theme="2" tint="-9.9948118533890809E-2"/>
        </patternFill>
      </fill>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fill>
        <patternFill>
          <bgColor theme="6" tint="-0.24994659260841701"/>
        </patternFill>
      </fill>
    </dxf>
    <dxf>
      <fill>
        <patternFill>
          <bgColor theme="6" tint="-0.24994659260841701"/>
        </patternFill>
      </fill>
    </dxf>
    <dxf>
      <fill>
        <patternFill>
          <fgColor theme="1" tint="0.14993743705557422"/>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1" tint="0.14996795556505021"/>
      </font>
      <fill>
        <patternFill patternType="solid">
          <fgColor theme="1" tint="0.14996795556505021"/>
          <bgColor theme="2" tint="-9.9948118533890809E-2"/>
        </patternFill>
      </fill>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fill>
        <patternFill>
          <bgColor theme="6" tint="-0.24994659260841701"/>
        </patternFill>
      </fill>
    </dxf>
    <dxf>
      <fill>
        <patternFill>
          <bgColor theme="6" tint="-0.24994659260841701"/>
        </patternFill>
      </fill>
    </dxf>
    <dxf>
      <fill>
        <patternFill>
          <fgColor theme="1" tint="0.14993743705557422"/>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1" tint="0.14996795556505021"/>
      </font>
      <fill>
        <patternFill patternType="solid">
          <fgColor theme="1" tint="0.14996795556505021"/>
          <bgColor theme="2" tint="-9.9948118533890809E-2"/>
        </patternFill>
      </fill>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fill>
        <patternFill>
          <bgColor theme="6" tint="-0.24994659260841701"/>
        </patternFill>
      </fill>
    </dxf>
    <dxf>
      <fill>
        <patternFill>
          <bgColor theme="6" tint="-0.24994659260841701"/>
        </patternFill>
      </fill>
    </dxf>
    <dxf>
      <fill>
        <patternFill>
          <fgColor theme="1" tint="0.14993743705557422"/>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1" tint="0.14996795556505021"/>
      </font>
      <fill>
        <patternFill patternType="solid">
          <fgColor theme="1" tint="0.14996795556505021"/>
          <bgColor theme="2" tint="-9.9948118533890809E-2"/>
        </patternFill>
      </fill>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fill>
        <patternFill>
          <bgColor theme="6" tint="-0.24994659260841701"/>
        </patternFill>
      </fill>
    </dxf>
    <dxf>
      <fill>
        <patternFill>
          <fgColor theme="1" tint="0.14993743705557422"/>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1" tint="0.14996795556505021"/>
      </font>
      <fill>
        <patternFill patternType="solid">
          <fgColor theme="1" tint="0.14996795556505021"/>
          <bgColor theme="2" tint="-9.9948118533890809E-2"/>
        </patternFill>
      </fill>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fill>
        <patternFill>
          <fgColor theme="1" tint="0.14993743705557422"/>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1" tint="0.14996795556505021"/>
      </font>
      <fill>
        <patternFill patternType="solid">
          <fgColor theme="1" tint="0.14996795556505021"/>
          <bgColor theme="2" tint="-9.9948118533890809E-2"/>
        </patternFill>
      </fill>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fill>
        <patternFill>
          <bgColor theme="2"/>
        </patternFill>
      </fill>
      <border>
        <left style="thin">
          <color theme="1" tint="0.14996795556505021"/>
        </left>
        <right style="thin">
          <color theme="1" tint="0.14996795556505021"/>
        </right>
        <top style="thin">
          <color theme="1" tint="0.14996795556505021"/>
        </top>
        <vertical/>
        <horizontal/>
      </border>
    </dxf>
    <dxf>
      <font>
        <color theme="0" tint="-4.9989318521683403E-2"/>
      </font>
    </dxf>
    <dxf>
      <font>
        <color theme="0" tint="-4.9989318521683403E-2"/>
      </font>
    </dxf>
    <dxf>
      <font>
        <color theme="1" tint="0.14996795556505021"/>
      </font>
      <fill>
        <patternFill>
          <bgColor theme="2"/>
        </patternFill>
      </fill>
      <border>
        <left style="thin">
          <color auto="1"/>
        </left>
        <right style="thin">
          <color auto="1"/>
        </right>
        <top style="thin">
          <color auto="1"/>
        </top>
        <vertical/>
        <horizontal/>
      </border>
    </dxf>
    <dxf>
      <font>
        <b/>
        <i val="0"/>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1" tint="0.14996795556505021"/>
      </font>
      <fill>
        <patternFill>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b/>
        <i val="0"/>
        <color theme="1" tint="0.14996795556505021"/>
      </font>
      <fill>
        <patternFill>
          <bgColor theme="2"/>
        </patternFill>
      </fill>
      <border>
        <left style="thin">
          <color auto="1"/>
        </left>
        <right style="thin">
          <color auto="1"/>
        </right>
        <top style="thin">
          <color auto="1"/>
        </top>
        <bottom style="thin">
          <color auto="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0" tint="-4.9989318521683403E-2"/>
      </font>
      <fill>
        <patternFill patternType="solid">
          <fgColor theme="1" tint="0.14990691854609822"/>
          <bgColor theme="1" tint="0.14996795556505021"/>
        </patternFill>
      </fill>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border>
        <left/>
        <right/>
        <top/>
        <bottom/>
        <vertical/>
        <horizontal/>
      </border>
    </dxf>
    <dxf>
      <font>
        <b/>
        <i val="0"/>
        <color theme="1" tint="0.14996795556505021"/>
      </font>
      <fill>
        <patternFill>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0" tint="-4.9989318521683403E-2"/>
      </font>
      <fill>
        <patternFill>
          <fgColor auto="1"/>
          <bgColor theme="0" tint="-4.9989318521683403E-2"/>
        </patternFill>
      </fill>
      <border>
        <left/>
        <right/>
        <top/>
        <bottom/>
        <vertical/>
        <horizontal/>
      </border>
    </dxf>
    <dxf>
      <font>
        <b/>
        <i val="0"/>
        <color theme="1" tint="0.14996795556505021"/>
      </font>
      <fill>
        <patternFill>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0" tint="-4.9989318521683403E-2"/>
      </font>
      <fill>
        <patternFill>
          <bgColor theme="0" tint="-4.9989318521683403E-2"/>
        </patternFill>
      </fill>
      <border>
        <left/>
        <right/>
        <top/>
        <bottom/>
        <vertical/>
        <horizontal/>
      </border>
    </dxf>
    <dxf>
      <font>
        <b/>
        <i val="0"/>
        <color theme="1" tint="0.14996795556505021"/>
      </font>
      <fill>
        <patternFill>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b/>
        <i val="0"/>
        <color theme="1" tint="0.14996795556505021"/>
      </font>
      <fill>
        <patternFill>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b/>
        <i val="0"/>
        <color theme="1" tint="0.14996795556505021"/>
      </font>
      <fill>
        <patternFill>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0" tint="-4.9989318521683403E-2"/>
      </font>
      <fill>
        <patternFill>
          <bgColor theme="1" tint="0.14996795556505021"/>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0" tint="-4.9989318521683403E-2"/>
      </font>
      <fill>
        <patternFill>
          <bgColor theme="0" tint="-4.9989318521683403E-2"/>
        </patternFill>
      </fill>
      <border>
        <left/>
        <right/>
        <top/>
        <bottom/>
        <vertical/>
        <horizontal/>
      </border>
    </dxf>
    <dxf>
      <font>
        <color theme="0" tint="-4.9989318521683403E-2"/>
      </font>
      <fill>
        <patternFill>
          <bgColor theme="1" tint="0.14996795556505021"/>
        </patternFill>
      </fill>
      <border>
        <left style="thin">
          <color auto="1"/>
        </left>
        <right style="thin">
          <color auto="1"/>
        </right>
        <top style="thin">
          <color auto="1"/>
        </top>
        <bottom style="thin">
          <color auto="1"/>
        </bottom>
        <vertical/>
        <horizontal/>
      </border>
    </dxf>
    <dxf>
      <font>
        <b/>
        <i val="0"/>
        <color theme="0" tint="-4.9989318521683403E-2"/>
      </font>
      <fill>
        <patternFill>
          <bgColor theme="1" tint="0.14996795556505021"/>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0" tint="-4.9989318521683403E-2"/>
      </font>
      <fill>
        <patternFill>
          <bgColor theme="1" tint="0.14996795556505021"/>
        </patternFill>
      </fill>
      <border>
        <left style="thin">
          <color auto="1"/>
        </left>
        <right style="thin">
          <color auto="1"/>
        </right>
        <top style="thin">
          <color auto="1"/>
        </top>
        <bottom style="thin">
          <color auto="1"/>
        </bottom>
        <vertical/>
        <horizontal/>
      </border>
    </dxf>
    <dxf>
      <font>
        <b/>
        <i val="0"/>
        <color theme="1" tint="0.14996795556505021"/>
      </font>
      <fill>
        <patternFill patternType="solid">
          <fgColor auto="1"/>
          <bgColor theme="2"/>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colors>
    <mruColors>
      <color rgb="FFFF3300"/>
      <color rgb="FFFFCC66"/>
      <color rgb="FFC4B768"/>
      <color rgb="FFCE7878"/>
      <color rgb="FFD99795"/>
      <color rgb="FFE2A58A"/>
      <color rgb="FFB17ED8"/>
      <color rgb="FFD8949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Spin" dx="22" fmlaLink="$O$22" max="30000" page="10" val="0"/>
</file>

<file path=xl/ctrlProps/ctrlProp32.xml><?xml version="1.0" encoding="utf-8"?>
<formControlPr xmlns="http://schemas.microsoft.com/office/spreadsheetml/2009/9/main" objectType="Spin" dx="22" fmlaLink="$O$23" max="30000" page="10" val="0"/>
</file>

<file path=xl/ctrlProps/ctrlProp33.xml><?xml version="1.0" encoding="utf-8"?>
<formControlPr xmlns="http://schemas.microsoft.com/office/spreadsheetml/2009/9/main" objectType="Spin" dx="22" fmlaLink="$O$24" max="30000" page="10" val="0"/>
</file>

<file path=xl/ctrlProps/ctrlProp34.xml><?xml version="1.0" encoding="utf-8"?>
<formControlPr xmlns="http://schemas.microsoft.com/office/spreadsheetml/2009/9/main" objectType="Spin" dx="22" fmlaLink="$O$25" max="30000" page="10" val="0"/>
</file>

<file path=xl/ctrlProps/ctrlProp35.xml><?xml version="1.0" encoding="utf-8"?>
<formControlPr xmlns="http://schemas.microsoft.com/office/spreadsheetml/2009/9/main" objectType="Spin" dx="22" fmlaLink="$O$26" max="30000" page="10" val="0"/>
</file>

<file path=xl/ctrlProps/ctrlProp36.xml><?xml version="1.0" encoding="utf-8"?>
<formControlPr xmlns="http://schemas.microsoft.com/office/spreadsheetml/2009/9/main" objectType="Spin" dx="22" fmlaLink="$O$27" max="30000" page="10" val="0"/>
</file>

<file path=xl/ctrlProps/ctrlProp37.xml><?xml version="1.0" encoding="utf-8"?>
<formControlPr xmlns="http://schemas.microsoft.com/office/spreadsheetml/2009/9/main" objectType="Spin" dx="22" fmlaLink="$O$28" max="30000" page="10" val="0"/>
</file>

<file path=xl/ctrlProps/ctrlProp38.xml><?xml version="1.0" encoding="utf-8"?>
<formControlPr xmlns="http://schemas.microsoft.com/office/spreadsheetml/2009/9/main" objectType="Spin" dx="22" fmlaLink="$O$29" max="30000" page="10" val="0"/>
</file>

<file path=xl/ctrlProps/ctrlProp39.xml><?xml version="1.0" encoding="utf-8"?>
<formControlPr xmlns="http://schemas.microsoft.com/office/spreadsheetml/2009/9/main" objectType="Spin" dx="22" fmlaLink="$O$30" max="30000" page="10" val="0"/>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Spin" dx="22" fmlaLink="$O$31" max="30000" page="10" val="0"/>
</file>

<file path=xl/ctrlProps/ctrlProp41.xml><?xml version="1.0" encoding="utf-8"?>
<formControlPr xmlns="http://schemas.microsoft.com/office/spreadsheetml/2009/9/main" objectType="Spin" dx="22" fmlaLink="$O$32" max="30000" page="10" val="0"/>
</file>

<file path=xl/ctrlProps/ctrlProp42.xml><?xml version="1.0" encoding="utf-8"?>
<formControlPr xmlns="http://schemas.microsoft.com/office/spreadsheetml/2009/9/main" objectType="Spin" dx="22" fmlaLink="$O$33" max="30000" page="10" val="0"/>
</file>

<file path=xl/ctrlProps/ctrlProp43.xml><?xml version="1.0" encoding="utf-8"?>
<formControlPr xmlns="http://schemas.microsoft.com/office/spreadsheetml/2009/9/main" objectType="Spin" dx="22" fmlaLink="$O$34" max="30000" page="10" val="0"/>
</file>

<file path=xl/ctrlProps/ctrlProp44.xml><?xml version="1.0" encoding="utf-8"?>
<formControlPr xmlns="http://schemas.microsoft.com/office/spreadsheetml/2009/9/main" objectType="Spin" dx="22" fmlaLink="$O$35" max="30000" page="10" val="0"/>
</file>

<file path=xl/ctrlProps/ctrlProp45.xml><?xml version="1.0" encoding="utf-8"?>
<formControlPr xmlns="http://schemas.microsoft.com/office/spreadsheetml/2009/9/main" objectType="Spin" dx="22" fmlaLink="$O$37" max="30000" page="10" val="0"/>
</file>

<file path=xl/ctrlProps/ctrlProp46.xml><?xml version="1.0" encoding="utf-8"?>
<formControlPr xmlns="http://schemas.microsoft.com/office/spreadsheetml/2009/9/main" objectType="Spin" dx="22" fmlaLink="$O$38" max="30000" page="10" val="0"/>
</file>

<file path=xl/ctrlProps/ctrlProp47.xml><?xml version="1.0" encoding="utf-8"?>
<formControlPr xmlns="http://schemas.microsoft.com/office/spreadsheetml/2009/9/main" objectType="Spin" dx="22" fmlaLink="$O$39" max="30000" page="10" val="0"/>
</file>

<file path=xl/ctrlProps/ctrlProp48.xml><?xml version="1.0" encoding="utf-8"?>
<formControlPr xmlns="http://schemas.microsoft.com/office/spreadsheetml/2009/9/main" objectType="Spin" dx="22" fmlaLink="$O$40" max="30000" page="10" val="0"/>
</file>

<file path=xl/ctrlProps/ctrlProp49.xml><?xml version="1.0" encoding="utf-8"?>
<formControlPr xmlns="http://schemas.microsoft.com/office/spreadsheetml/2009/9/main" objectType="Spin" dx="22" fmlaLink="$O$41" max="30000" page="10" val="0"/>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Spin" dx="22" fmlaLink="$O$42" max="30000" page="10" val="0"/>
</file>

<file path=xl/ctrlProps/ctrlProp51.xml><?xml version="1.0" encoding="utf-8"?>
<formControlPr xmlns="http://schemas.microsoft.com/office/spreadsheetml/2009/9/main" objectType="Spin" dx="22" fmlaLink="$O$43" max="30000" page="10" val="0"/>
</file>

<file path=xl/ctrlProps/ctrlProp52.xml><?xml version="1.0" encoding="utf-8"?>
<formControlPr xmlns="http://schemas.microsoft.com/office/spreadsheetml/2009/9/main" objectType="Spin" dx="22" fmlaLink="$O$44" max="30000" page="10" val="0"/>
</file>

<file path=xl/ctrlProps/ctrlProp53.xml><?xml version="1.0" encoding="utf-8"?>
<formControlPr xmlns="http://schemas.microsoft.com/office/spreadsheetml/2009/9/main" objectType="Spin" dx="22" fmlaLink="$O$45" max="30000" page="10" val="0"/>
</file>

<file path=xl/ctrlProps/ctrlProp54.xml><?xml version="1.0" encoding="utf-8"?>
<formControlPr xmlns="http://schemas.microsoft.com/office/spreadsheetml/2009/9/main" objectType="Spin" dx="22" fmlaLink="$O$46" max="30000" page="10" val="0"/>
</file>

<file path=xl/ctrlProps/ctrlProp55.xml><?xml version="1.0" encoding="utf-8"?>
<formControlPr xmlns="http://schemas.microsoft.com/office/spreadsheetml/2009/9/main" objectType="Spin" dx="22" fmlaLink="$O$47" max="30000" page="10" val="0"/>
</file>

<file path=xl/ctrlProps/ctrlProp56.xml><?xml version="1.0" encoding="utf-8"?>
<formControlPr xmlns="http://schemas.microsoft.com/office/spreadsheetml/2009/9/main" objectType="Spin" dx="22" fmlaLink="$O$48" max="30000" page="10" val="0"/>
</file>

<file path=xl/ctrlProps/ctrlProp57.xml><?xml version="1.0" encoding="utf-8"?>
<formControlPr xmlns="http://schemas.microsoft.com/office/spreadsheetml/2009/9/main" objectType="Spin" dx="22" fmlaLink="$O$49" max="30000" page="10" val="0"/>
</file>

<file path=xl/ctrlProps/ctrlProp58.xml><?xml version="1.0" encoding="utf-8"?>
<formControlPr xmlns="http://schemas.microsoft.com/office/spreadsheetml/2009/9/main" objectType="Spin" dx="22" fmlaLink="$O$50" max="30000" page="10" val="0"/>
</file>

<file path=xl/ctrlProps/ctrlProp59.xml><?xml version="1.0" encoding="utf-8"?>
<formControlPr xmlns="http://schemas.microsoft.com/office/spreadsheetml/2009/9/main" objectType="Spin" dx="22" fmlaLink="$O$51" max="30000" page="10" val="0"/>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Spin" dx="22" fmlaLink="$O$52" max="30000" page="10" val="0"/>
</file>

<file path=xl/ctrlProps/ctrlProp61.xml><?xml version="1.0" encoding="utf-8"?>
<formControlPr xmlns="http://schemas.microsoft.com/office/spreadsheetml/2009/9/main" objectType="Spin" dx="22" fmlaLink="$O$53" max="30000" page="10" val="0"/>
</file>

<file path=xl/ctrlProps/ctrlProp62.xml><?xml version="1.0" encoding="utf-8"?>
<formControlPr xmlns="http://schemas.microsoft.com/office/spreadsheetml/2009/9/main" objectType="Spin" dx="22" fmlaLink="$O$54" max="30000" page="10" val="0"/>
</file>

<file path=xl/ctrlProps/ctrlProp63.xml><?xml version="1.0" encoding="utf-8"?>
<formControlPr xmlns="http://schemas.microsoft.com/office/spreadsheetml/2009/9/main" objectType="Spin" dx="22" fmlaLink="$O$55" max="30000" page="10" val="0"/>
</file>

<file path=xl/ctrlProps/ctrlProp64.xml><?xml version="1.0" encoding="utf-8"?>
<formControlPr xmlns="http://schemas.microsoft.com/office/spreadsheetml/2009/9/main" objectType="Spin" dx="22" fmlaLink="$O$56" max="30000" page="10" val="0"/>
</file>

<file path=xl/ctrlProps/ctrlProp65.xml><?xml version="1.0" encoding="utf-8"?>
<formControlPr xmlns="http://schemas.microsoft.com/office/spreadsheetml/2009/9/main" objectType="Spin" dx="22" fmlaLink="$O$57" max="30000" page="10" val="0"/>
</file>

<file path=xl/ctrlProps/ctrlProp66.xml><?xml version="1.0" encoding="utf-8"?>
<formControlPr xmlns="http://schemas.microsoft.com/office/spreadsheetml/2009/9/main" objectType="Spin" dx="22" fmlaLink="$O$58" max="30000" page="10" val="0"/>
</file>

<file path=xl/ctrlProps/ctrlProp67.xml><?xml version="1.0" encoding="utf-8"?>
<formControlPr xmlns="http://schemas.microsoft.com/office/spreadsheetml/2009/9/main" objectType="Spin" dx="22" fmlaLink="$O$59" max="30000" page="10" val="0"/>
</file>

<file path=xl/ctrlProps/ctrlProp68.xml><?xml version="1.0" encoding="utf-8"?>
<formControlPr xmlns="http://schemas.microsoft.com/office/spreadsheetml/2009/9/main" objectType="Spin" dx="22" fmlaLink="$O$60" max="30000" page="10" val="0"/>
</file>

<file path=xl/ctrlProps/ctrlProp69.xml><?xml version="1.0" encoding="utf-8"?>
<formControlPr xmlns="http://schemas.microsoft.com/office/spreadsheetml/2009/9/main" objectType="Spin" dx="22" fmlaLink="$O$61" max="30000" page="10" val="0"/>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Spin" dx="22" fmlaLink="$O$62" max="30000" page="10" val="0"/>
</file>

<file path=xl/ctrlProps/ctrlProp71.xml><?xml version="1.0" encoding="utf-8"?>
<formControlPr xmlns="http://schemas.microsoft.com/office/spreadsheetml/2009/9/main" objectType="Spin" dx="22" fmlaLink="$O$63" max="30000" page="10" val="0"/>
</file>

<file path=xl/ctrlProps/ctrlProp72.xml><?xml version="1.0" encoding="utf-8"?>
<formControlPr xmlns="http://schemas.microsoft.com/office/spreadsheetml/2009/9/main" objectType="Spin" dx="22" fmlaLink="$O$64" max="30000" page="10" val="0"/>
</file>

<file path=xl/ctrlProps/ctrlProp73.xml><?xml version="1.0" encoding="utf-8"?>
<formControlPr xmlns="http://schemas.microsoft.com/office/spreadsheetml/2009/9/main" objectType="Spin" dx="22" fmlaLink="$O$65" max="30000" page="10" val="0"/>
</file>

<file path=xl/ctrlProps/ctrlProp74.xml><?xml version="1.0" encoding="utf-8"?>
<formControlPr xmlns="http://schemas.microsoft.com/office/spreadsheetml/2009/9/main" objectType="Spin" dx="22" fmlaLink="$D$14" max="30000" page="10" val="13"/>
</file>

<file path=xl/ctrlProps/ctrlProp75.xml><?xml version="1.0" encoding="utf-8"?>
<formControlPr xmlns="http://schemas.microsoft.com/office/spreadsheetml/2009/9/main" objectType="Spin" dx="22" fmlaLink="$D$13" max="30000" page="10" val="12"/>
</file>

<file path=xl/ctrlProps/ctrlProp76.xml><?xml version="1.0" encoding="utf-8"?>
<formControlPr xmlns="http://schemas.microsoft.com/office/spreadsheetml/2009/9/main" objectType="Spin" dx="22" fmlaLink="$D$12" max="30000" page="10" val="15"/>
</file>

<file path=xl/ctrlProps/ctrlProp77.xml><?xml version="1.0" encoding="utf-8"?>
<formControlPr xmlns="http://schemas.microsoft.com/office/spreadsheetml/2009/9/main" objectType="Spin" dx="22" fmlaLink="$D$15" max="30000" page="10" val="9"/>
</file>

<file path=xl/ctrlProps/ctrlProp78.xml><?xml version="1.0" encoding="utf-8"?>
<formControlPr xmlns="http://schemas.microsoft.com/office/spreadsheetml/2009/9/main" objectType="Spin" dx="22" fmlaLink="$D$16" max="30000" page="10" val="8"/>
</file>

<file path=xl/ctrlProps/ctrlProp79.xml><?xml version="1.0" encoding="utf-8"?>
<formControlPr xmlns="http://schemas.microsoft.com/office/spreadsheetml/2009/9/main" objectType="Spin" dx="22" fmlaLink="$D$17" max="30000" page="10" val="12"/>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Spin" dx="22" fmlaLink="$O$36" max="30000" page="10" val="0"/>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hyperlink" Target="https://en.wikifur.com/wiki/Dungeons_&amp;_Dragons" TargetMode="External"/><Relationship Id="rId1"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3.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en.wikifur.com/wiki/Dungeons_&amp;_Dragons"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hyperlink" Target="https://en.wikifur.com/wiki/Dungeons_&amp;_Dragons" TargetMode="Externa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21</xdr:col>
      <xdr:colOff>19673</xdr:colOff>
      <xdr:row>1</xdr:row>
      <xdr:rowOff>190500</xdr:rowOff>
    </xdr:from>
    <xdr:to>
      <xdr:col>26</xdr:col>
      <xdr:colOff>919845</xdr:colOff>
      <xdr:row>5</xdr:row>
      <xdr:rowOff>273843</xdr:rowOff>
    </xdr:to>
    <xdr:pic>
      <xdr:nvPicPr>
        <xdr:cNvPr id="2" name="Рисунок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22784423" y="500063"/>
          <a:ext cx="5960328" cy="1678780"/>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20</xdr:col>
          <xdr:colOff>533400</xdr:colOff>
          <xdr:row>83</xdr:row>
          <xdr:rowOff>314325</xdr:rowOff>
        </xdr:from>
        <xdr:to>
          <xdr:col>20</xdr:col>
          <xdr:colOff>800100</xdr:colOff>
          <xdr:row>85</xdr:row>
          <xdr:rowOff>85725</xdr:rowOff>
        </xdr:to>
        <xdr:sp macro="" textlink="">
          <xdr:nvSpPr>
            <xdr:cNvPr id="1537" name="Check Box 513" hidden="1">
              <a:extLst>
                <a:ext uri="{63B3BB69-23CF-44E3-9099-C40C66FF867C}">
                  <a14:compatExt spid="_x0000_s1537"/>
                </a:ext>
                <a:ext uri="{FF2B5EF4-FFF2-40B4-BE49-F238E27FC236}">
                  <a16:creationId xmlns:a16="http://schemas.microsoft.com/office/drawing/2014/main" id="{00000000-0008-0000-0000-00000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1104900</xdr:colOff>
          <xdr:row>83</xdr:row>
          <xdr:rowOff>314325</xdr:rowOff>
        </xdr:from>
        <xdr:to>
          <xdr:col>20</xdr:col>
          <xdr:colOff>1371600</xdr:colOff>
          <xdr:row>85</xdr:row>
          <xdr:rowOff>85725</xdr:rowOff>
        </xdr:to>
        <xdr:sp macro="" textlink="">
          <xdr:nvSpPr>
            <xdr:cNvPr id="1538" name="Check Box 514" hidden="1">
              <a:extLst>
                <a:ext uri="{63B3BB69-23CF-44E3-9099-C40C66FF867C}">
                  <a14:compatExt spid="_x0000_s1538"/>
                </a:ext>
                <a:ext uri="{FF2B5EF4-FFF2-40B4-BE49-F238E27FC236}">
                  <a16:creationId xmlns:a16="http://schemas.microsoft.com/office/drawing/2014/main" id="{00000000-0008-0000-0000-00000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723900</xdr:colOff>
          <xdr:row>83</xdr:row>
          <xdr:rowOff>314325</xdr:rowOff>
        </xdr:from>
        <xdr:to>
          <xdr:col>20</xdr:col>
          <xdr:colOff>990600</xdr:colOff>
          <xdr:row>85</xdr:row>
          <xdr:rowOff>85725</xdr:rowOff>
        </xdr:to>
        <xdr:sp macro="" textlink="">
          <xdr:nvSpPr>
            <xdr:cNvPr id="1539" name="Check Box 515" hidden="1">
              <a:extLst>
                <a:ext uri="{63B3BB69-23CF-44E3-9099-C40C66FF867C}">
                  <a14:compatExt spid="_x0000_s1539"/>
                </a:ext>
                <a:ext uri="{FF2B5EF4-FFF2-40B4-BE49-F238E27FC236}">
                  <a16:creationId xmlns:a16="http://schemas.microsoft.com/office/drawing/2014/main" id="{00000000-0008-0000-0000-00000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914400</xdr:colOff>
          <xdr:row>83</xdr:row>
          <xdr:rowOff>314325</xdr:rowOff>
        </xdr:from>
        <xdr:to>
          <xdr:col>20</xdr:col>
          <xdr:colOff>1181100</xdr:colOff>
          <xdr:row>85</xdr:row>
          <xdr:rowOff>85725</xdr:rowOff>
        </xdr:to>
        <xdr:sp macro="" textlink="">
          <xdr:nvSpPr>
            <xdr:cNvPr id="1540" name="Check Box 516" hidden="1">
              <a:extLst>
                <a:ext uri="{63B3BB69-23CF-44E3-9099-C40C66FF867C}">
                  <a14:compatExt spid="_x0000_s1540"/>
                </a:ext>
                <a:ext uri="{FF2B5EF4-FFF2-40B4-BE49-F238E27FC236}">
                  <a16:creationId xmlns:a16="http://schemas.microsoft.com/office/drawing/2014/main" id="{00000000-0008-0000-0000-00000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1285875</xdr:colOff>
          <xdr:row>83</xdr:row>
          <xdr:rowOff>314325</xdr:rowOff>
        </xdr:from>
        <xdr:to>
          <xdr:col>21</xdr:col>
          <xdr:colOff>28575</xdr:colOff>
          <xdr:row>85</xdr:row>
          <xdr:rowOff>85725</xdr:rowOff>
        </xdr:to>
        <xdr:sp macro="" textlink="">
          <xdr:nvSpPr>
            <xdr:cNvPr id="1541" name="Check Box 517" hidden="1">
              <a:extLst>
                <a:ext uri="{63B3BB69-23CF-44E3-9099-C40C66FF867C}">
                  <a14:compatExt spid="_x0000_s1541"/>
                </a:ext>
                <a:ext uri="{FF2B5EF4-FFF2-40B4-BE49-F238E27FC236}">
                  <a16:creationId xmlns:a16="http://schemas.microsoft.com/office/drawing/2014/main" id="{00000000-0008-0000-0000-00000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47625</xdr:colOff>
          <xdr:row>83</xdr:row>
          <xdr:rowOff>314325</xdr:rowOff>
        </xdr:from>
        <xdr:to>
          <xdr:col>21</xdr:col>
          <xdr:colOff>314325</xdr:colOff>
          <xdr:row>85</xdr:row>
          <xdr:rowOff>85725</xdr:rowOff>
        </xdr:to>
        <xdr:sp macro="" textlink="">
          <xdr:nvSpPr>
            <xdr:cNvPr id="1542" name="Check Box 518" hidden="1">
              <a:extLst>
                <a:ext uri="{63B3BB69-23CF-44E3-9099-C40C66FF867C}">
                  <a14:compatExt spid="_x0000_s1542"/>
                </a:ext>
                <a:ext uri="{FF2B5EF4-FFF2-40B4-BE49-F238E27FC236}">
                  <a16:creationId xmlns:a16="http://schemas.microsoft.com/office/drawing/2014/main" id="{00000000-0008-0000-0000-00000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600075</xdr:colOff>
          <xdr:row>83</xdr:row>
          <xdr:rowOff>314325</xdr:rowOff>
        </xdr:from>
        <xdr:to>
          <xdr:col>21</xdr:col>
          <xdr:colOff>866775</xdr:colOff>
          <xdr:row>85</xdr:row>
          <xdr:rowOff>85725</xdr:rowOff>
        </xdr:to>
        <xdr:sp macro="" textlink="">
          <xdr:nvSpPr>
            <xdr:cNvPr id="1543" name="Check Box 519" hidden="1">
              <a:extLst>
                <a:ext uri="{63B3BB69-23CF-44E3-9099-C40C66FF867C}">
                  <a14:compatExt spid="_x0000_s1543"/>
                </a:ext>
                <a:ext uri="{FF2B5EF4-FFF2-40B4-BE49-F238E27FC236}">
                  <a16:creationId xmlns:a16="http://schemas.microsoft.com/office/drawing/2014/main" id="{00000000-0008-0000-0000-00000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238125</xdr:colOff>
          <xdr:row>83</xdr:row>
          <xdr:rowOff>314325</xdr:rowOff>
        </xdr:from>
        <xdr:to>
          <xdr:col>21</xdr:col>
          <xdr:colOff>504825</xdr:colOff>
          <xdr:row>85</xdr:row>
          <xdr:rowOff>85725</xdr:rowOff>
        </xdr:to>
        <xdr:sp macro="" textlink="">
          <xdr:nvSpPr>
            <xdr:cNvPr id="1544" name="Check Box 520" hidden="1">
              <a:extLst>
                <a:ext uri="{63B3BB69-23CF-44E3-9099-C40C66FF867C}">
                  <a14:compatExt spid="_x0000_s1544"/>
                </a:ext>
                <a:ext uri="{FF2B5EF4-FFF2-40B4-BE49-F238E27FC236}">
                  <a16:creationId xmlns:a16="http://schemas.microsoft.com/office/drawing/2014/main" id="{00000000-0008-0000-0000-00000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428625</xdr:colOff>
          <xdr:row>83</xdr:row>
          <xdr:rowOff>314325</xdr:rowOff>
        </xdr:from>
        <xdr:to>
          <xdr:col>21</xdr:col>
          <xdr:colOff>695325</xdr:colOff>
          <xdr:row>85</xdr:row>
          <xdr:rowOff>85725</xdr:rowOff>
        </xdr:to>
        <xdr:sp macro="" textlink="">
          <xdr:nvSpPr>
            <xdr:cNvPr id="1545" name="Check Box 521" hidden="1">
              <a:extLst>
                <a:ext uri="{63B3BB69-23CF-44E3-9099-C40C66FF867C}">
                  <a14:compatExt spid="_x0000_s1545"/>
                </a:ext>
                <a:ext uri="{FF2B5EF4-FFF2-40B4-BE49-F238E27FC236}">
                  <a16:creationId xmlns:a16="http://schemas.microsoft.com/office/drawing/2014/main" id="{00000000-0008-0000-0000-00000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47625</xdr:colOff>
          <xdr:row>83</xdr:row>
          <xdr:rowOff>314325</xdr:rowOff>
        </xdr:from>
        <xdr:to>
          <xdr:col>22</xdr:col>
          <xdr:colOff>314325</xdr:colOff>
          <xdr:row>85</xdr:row>
          <xdr:rowOff>85725</xdr:rowOff>
        </xdr:to>
        <xdr:sp macro="" textlink="">
          <xdr:nvSpPr>
            <xdr:cNvPr id="1546" name="Check Box 522" hidden="1">
              <a:extLst>
                <a:ext uri="{63B3BB69-23CF-44E3-9099-C40C66FF867C}">
                  <a14:compatExt spid="_x0000_s1546"/>
                </a:ext>
                <a:ext uri="{FF2B5EF4-FFF2-40B4-BE49-F238E27FC236}">
                  <a16:creationId xmlns:a16="http://schemas.microsoft.com/office/drawing/2014/main" id="{00000000-0008-0000-0000-00000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619125</xdr:colOff>
          <xdr:row>83</xdr:row>
          <xdr:rowOff>314325</xdr:rowOff>
        </xdr:from>
        <xdr:to>
          <xdr:col>22</xdr:col>
          <xdr:colOff>885825</xdr:colOff>
          <xdr:row>85</xdr:row>
          <xdr:rowOff>85725</xdr:rowOff>
        </xdr:to>
        <xdr:sp macro="" textlink="">
          <xdr:nvSpPr>
            <xdr:cNvPr id="1547" name="Check Box 523" hidden="1">
              <a:extLst>
                <a:ext uri="{63B3BB69-23CF-44E3-9099-C40C66FF867C}">
                  <a14:compatExt spid="_x0000_s1547"/>
                </a:ext>
                <a:ext uri="{FF2B5EF4-FFF2-40B4-BE49-F238E27FC236}">
                  <a16:creationId xmlns:a16="http://schemas.microsoft.com/office/drawing/2014/main" id="{00000000-0008-0000-0000-00000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238125</xdr:colOff>
          <xdr:row>83</xdr:row>
          <xdr:rowOff>314325</xdr:rowOff>
        </xdr:from>
        <xdr:to>
          <xdr:col>22</xdr:col>
          <xdr:colOff>504825</xdr:colOff>
          <xdr:row>85</xdr:row>
          <xdr:rowOff>85725</xdr:rowOff>
        </xdr:to>
        <xdr:sp macro="" textlink="">
          <xdr:nvSpPr>
            <xdr:cNvPr id="1548" name="Check Box 524" hidden="1">
              <a:extLst>
                <a:ext uri="{63B3BB69-23CF-44E3-9099-C40C66FF867C}">
                  <a14:compatExt spid="_x0000_s1548"/>
                </a:ext>
                <a:ext uri="{FF2B5EF4-FFF2-40B4-BE49-F238E27FC236}">
                  <a16:creationId xmlns:a16="http://schemas.microsoft.com/office/drawing/2014/main" id="{00000000-0008-0000-0000-00000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428625</xdr:colOff>
          <xdr:row>83</xdr:row>
          <xdr:rowOff>314325</xdr:rowOff>
        </xdr:from>
        <xdr:to>
          <xdr:col>22</xdr:col>
          <xdr:colOff>695325</xdr:colOff>
          <xdr:row>85</xdr:row>
          <xdr:rowOff>85725</xdr:rowOff>
        </xdr:to>
        <xdr:sp macro="" textlink="">
          <xdr:nvSpPr>
            <xdr:cNvPr id="1549" name="Check Box 525" hidden="1">
              <a:extLst>
                <a:ext uri="{63B3BB69-23CF-44E3-9099-C40C66FF867C}">
                  <a14:compatExt spid="_x0000_s1549"/>
                </a:ext>
                <a:ext uri="{FF2B5EF4-FFF2-40B4-BE49-F238E27FC236}">
                  <a16:creationId xmlns:a16="http://schemas.microsoft.com/office/drawing/2014/main" id="{00000000-0008-0000-0000-00000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47625</xdr:colOff>
          <xdr:row>83</xdr:row>
          <xdr:rowOff>314325</xdr:rowOff>
        </xdr:from>
        <xdr:to>
          <xdr:col>23</xdr:col>
          <xdr:colOff>314325</xdr:colOff>
          <xdr:row>85</xdr:row>
          <xdr:rowOff>85725</xdr:rowOff>
        </xdr:to>
        <xdr:sp macro="" textlink="">
          <xdr:nvSpPr>
            <xdr:cNvPr id="1550" name="Check Box 526" hidden="1">
              <a:extLst>
                <a:ext uri="{63B3BB69-23CF-44E3-9099-C40C66FF867C}">
                  <a14:compatExt spid="_x0000_s1550"/>
                </a:ext>
                <a:ext uri="{FF2B5EF4-FFF2-40B4-BE49-F238E27FC236}">
                  <a16:creationId xmlns:a16="http://schemas.microsoft.com/office/drawing/2014/main" id="{00000000-0008-0000-0000-00000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619125</xdr:colOff>
          <xdr:row>83</xdr:row>
          <xdr:rowOff>314325</xdr:rowOff>
        </xdr:from>
        <xdr:to>
          <xdr:col>23</xdr:col>
          <xdr:colOff>885825</xdr:colOff>
          <xdr:row>85</xdr:row>
          <xdr:rowOff>85725</xdr:rowOff>
        </xdr:to>
        <xdr:sp macro="" textlink="">
          <xdr:nvSpPr>
            <xdr:cNvPr id="1551" name="Check Box 527" hidden="1">
              <a:extLst>
                <a:ext uri="{63B3BB69-23CF-44E3-9099-C40C66FF867C}">
                  <a14:compatExt spid="_x0000_s1551"/>
                </a:ext>
                <a:ext uri="{FF2B5EF4-FFF2-40B4-BE49-F238E27FC236}">
                  <a16:creationId xmlns:a16="http://schemas.microsoft.com/office/drawing/2014/main" id="{00000000-0008-0000-0000-00000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238125</xdr:colOff>
          <xdr:row>83</xdr:row>
          <xdr:rowOff>314325</xdr:rowOff>
        </xdr:from>
        <xdr:to>
          <xdr:col>23</xdr:col>
          <xdr:colOff>504825</xdr:colOff>
          <xdr:row>85</xdr:row>
          <xdr:rowOff>85725</xdr:rowOff>
        </xdr:to>
        <xdr:sp macro="" textlink="">
          <xdr:nvSpPr>
            <xdr:cNvPr id="1552" name="Check Box 528" hidden="1">
              <a:extLst>
                <a:ext uri="{63B3BB69-23CF-44E3-9099-C40C66FF867C}">
                  <a14:compatExt spid="_x0000_s1552"/>
                </a:ext>
                <a:ext uri="{FF2B5EF4-FFF2-40B4-BE49-F238E27FC236}">
                  <a16:creationId xmlns:a16="http://schemas.microsoft.com/office/drawing/2014/main" id="{00000000-0008-0000-0000-00001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428625</xdr:colOff>
          <xdr:row>83</xdr:row>
          <xdr:rowOff>314325</xdr:rowOff>
        </xdr:from>
        <xdr:to>
          <xdr:col>23</xdr:col>
          <xdr:colOff>695325</xdr:colOff>
          <xdr:row>85</xdr:row>
          <xdr:rowOff>85725</xdr:rowOff>
        </xdr:to>
        <xdr:sp macro="" textlink="">
          <xdr:nvSpPr>
            <xdr:cNvPr id="1553" name="Check Box 529" hidden="1">
              <a:extLst>
                <a:ext uri="{63B3BB69-23CF-44E3-9099-C40C66FF867C}">
                  <a14:compatExt spid="_x0000_s1553"/>
                </a:ext>
                <a:ext uri="{FF2B5EF4-FFF2-40B4-BE49-F238E27FC236}">
                  <a16:creationId xmlns:a16="http://schemas.microsoft.com/office/drawing/2014/main" id="{00000000-0008-0000-0000-00001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800100</xdr:colOff>
          <xdr:row>83</xdr:row>
          <xdr:rowOff>314325</xdr:rowOff>
        </xdr:from>
        <xdr:to>
          <xdr:col>23</xdr:col>
          <xdr:colOff>981075</xdr:colOff>
          <xdr:row>85</xdr:row>
          <xdr:rowOff>85725</xdr:rowOff>
        </xdr:to>
        <xdr:sp macro="" textlink="">
          <xdr:nvSpPr>
            <xdr:cNvPr id="1554" name="Check Box 530" hidden="1">
              <a:extLst>
                <a:ext uri="{63B3BB69-23CF-44E3-9099-C40C66FF867C}">
                  <a14:compatExt spid="_x0000_s1554"/>
                </a:ext>
                <a:ext uri="{FF2B5EF4-FFF2-40B4-BE49-F238E27FC236}">
                  <a16:creationId xmlns:a16="http://schemas.microsoft.com/office/drawing/2014/main" id="{00000000-0008-0000-0000-00001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47625</xdr:colOff>
          <xdr:row>83</xdr:row>
          <xdr:rowOff>314325</xdr:rowOff>
        </xdr:from>
        <xdr:to>
          <xdr:col>24</xdr:col>
          <xdr:colOff>314325</xdr:colOff>
          <xdr:row>85</xdr:row>
          <xdr:rowOff>85725</xdr:rowOff>
        </xdr:to>
        <xdr:sp macro="" textlink="">
          <xdr:nvSpPr>
            <xdr:cNvPr id="1555" name="Check Box 531" hidden="1">
              <a:extLst>
                <a:ext uri="{63B3BB69-23CF-44E3-9099-C40C66FF867C}">
                  <a14:compatExt spid="_x0000_s1555"/>
                </a:ext>
                <a:ext uri="{FF2B5EF4-FFF2-40B4-BE49-F238E27FC236}">
                  <a16:creationId xmlns:a16="http://schemas.microsoft.com/office/drawing/2014/main" id="{00000000-0008-0000-0000-00001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619125</xdr:colOff>
          <xdr:row>83</xdr:row>
          <xdr:rowOff>314325</xdr:rowOff>
        </xdr:from>
        <xdr:to>
          <xdr:col>24</xdr:col>
          <xdr:colOff>885825</xdr:colOff>
          <xdr:row>85</xdr:row>
          <xdr:rowOff>85725</xdr:rowOff>
        </xdr:to>
        <xdr:sp macro="" textlink="">
          <xdr:nvSpPr>
            <xdr:cNvPr id="1556" name="Check Box 532" hidden="1">
              <a:extLst>
                <a:ext uri="{63B3BB69-23CF-44E3-9099-C40C66FF867C}">
                  <a14:compatExt spid="_x0000_s1556"/>
                </a:ext>
                <a:ext uri="{FF2B5EF4-FFF2-40B4-BE49-F238E27FC236}">
                  <a16:creationId xmlns:a16="http://schemas.microsoft.com/office/drawing/2014/main" id="{00000000-0008-0000-0000-00001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238125</xdr:colOff>
          <xdr:row>83</xdr:row>
          <xdr:rowOff>314325</xdr:rowOff>
        </xdr:from>
        <xdr:to>
          <xdr:col>24</xdr:col>
          <xdr:colOff>504825</xdr:colOff>
          <xdr:row>85</xdr:row>
          <xdr:rowOff>85725</xdr:rowOff>
        </xdr:to>
        <xdr:sp macro="" textlink="">
          <xdr:nvSpPr>
            <xdr:cNvPr id="1557" name="Check Box 533" hidden="1">
              <a:extLst>
                <a:ext uri="{63B3BB69-23CF-44E3-9099-C40C66FF867C}">
                  <a14:compatExt spid="_x0000_s1557"/>
                </a:ext>
                <a:ext uri="{FF2B5EF4-FFF2-40B4-BE49-F238E27FC236}">
                  <a16:creationId xmlns:a16="http://schemas.microsoft.com/office/drawing/2014/main" id="{00000000-0008-0000-0000-00001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428625</xdr:colOff>
          <xdr:row>83</xdr:row>
          <xdr:rowOff>314325</xdr:rowOff>
        </xdr:from>
        <xdr:to>
          <xdr:col>24</xdr:col>
          <xdr:colOff>695325</xdr:colOff>
          <xdr:row>85</xdr:row>
          <xdr:rowOff>85725</xdr:rowOff>
        </xdr:to>
        <xdr:sp macro="" textlink="">
          <xdr:nvSpPr>
            <xdr:cNvPr id="1558" name="Check Box 534" hidden="1">
              <a:extLst>
                <a:ext uri="{63B3BB69-23CF-44E3-9099-C40C66FF867C}">
                  <a14:compatExt spid="_x0000_s1558"/>
                </a:ext>
                <a:ext uri="{FF2B5EF4-FFF2-40B4-BE49-F238E27FC236}">
                  <a16:creationId xmlns:a16="http://schemas.microsoft.com/office/drawing/2014/main" id="{00000000-0008-0000-0000-00001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800100</xdr:colOff>
          <xdr:row>83</xdr:row>
          <xdr:rowOff>314325</xdr:rowOff>
        </xdr:from>
        <xdr:to>
          <xdr:col>24</xdr:col>
          <xdr:colOff>981075</xdr:colOff>
          <xdr:row>85</xdr:row>
          <xdr:rowOff>85725</xdr:rowOff>
        </xdr:to>
        <xdr:sp macro="" textlink="">
          <xdr:nvSpPr>
            <xdr:cNvPr id="1559" name="Check Box 535" hidden="1">
              <a:extLst>
                <a:ext uri="{63B3BB69-23CF-44E3-9099-C40C66FF867C}">
                  <a14:compatExt spid="_x0000_s1559"/>
                </a:ext>
                <a:ext uri="{FF2B5EF4-FFF2-40B4-BE49-F238E27FC236}">
                  <a16:creationId xmlns:a16="http://schemas.microsoft.com/office/drawing/2014/main" id="{00000000-0008-0000-0000-00001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47625</xdr:colOff>
          <xdr:row>83</xdr:row>
          <xdr:rowOff>314325</xdr:rowOff>
        </xdr:from>
        <xdr:to>
          <xdr:col>25</xdr:col>
          <xdr:colOff>314325</xdr:colOff>
          <xdr:row>85</xdr:row>
          <xdr:rowOff>85725</xdr:rowOff>
        </xdr:to>
        <xdr:sp macro="" textlink="">
          <xdr:nvSpPr>
            <xdr:cNvPr id="1560" name="Check Box 536" hidden="1">
              <a:extLst>
                <a:ext uri="{63B3BB69-23CF-44E3-9099-C40C66FF867C}">
                  <a14:compatExt spid="_x0000_s1560"/>
                </a:ext>
                <a:ext uri="{FF2B5EF4-FFF2-40B4-BE49-F238E27FC236}">
                  <a16:creationId xmlns:a16="http://schemas.microsoft.com/office/drawing/2014/main" id="{00000000-0008-0000-0000-00001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619125</xdr:colOff>
          <xdr:row>83</xdr:row>
          <xdr:rowOff>314325</xdr:rowOff>
        </xdr:from>
        <xdr:to>
          <xdr:col>25</xdr:col>
          <xdr:colOff>885825</xdr:colOff>
          <xdr:row>85</xdr:row>
          <xdr:rowOff>85725</xdr:rowOff>
        </xdr:to>
        <xdr:sp macro="" textlink="">
          <xdr:nvSpPr>
            <xdr:cNvPr id="1561" name="Check Box 537" hidden="1">
              <a:extLst>
                <a:ext uri="{63B3BB69-23CF-44E3-9099-C40C66FF867C}">
                  <a14:compatExt spid="_x0000_s1561"/>
                </a:ext>
                <a:ext uri="{FF2B5EF4-FFF2-40B4-BE49-F238E27FC236}">
                  <a16:creationId xmlns:a16="http://schemas.microsoft.com/office/drawing/2014/main" id="{00000000-0008-0000-0000-00001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238125</xdr:colOff>
          <xdr:row>83</xdr:row>
          <xdr:rowOff>314325</xdr:rowOff>
        </xdr:from>
        <xdr:to>
          <xdr:col>25</xdr:col>
          <xdr:colOff>504825</xdr:colOff>
          <xdr:row>85</xdr:row>
          <xdr:rowOff>85725</xdr:rowOff>
        </xdr:to>
        <xdr:sp macro="" textlink="">
          <xdr:nvSpPr>
            <xdr:cNvPr id="1562" name="Check Box 538" hidden="1">
              <a:extLst>
                <a:ext uri="{63B3BB69-23CF-44E3-9099-C40C66FF867C}">
                  <a14:compatExt spid="_x0000_s1562"/>
                </a:ext>
                <a:ext uri="{FF2B5EF4-FFF2-40B4-BE49-F238E27FC236}">
                  <a16:creationId xmlns:a16="http://schemas.microsoft.com/office/drawing/2014/main" id="{00000000-0008-0000-0000-00001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428625</xdr:colOff>
          <xdr:row>83</xdr:row>
          <xdr:rowOff>314325</xdr:rowOff>
        </xdr:from>
        <xdr:to>
          <xdr:col>25</xdr:col>
          <xdr:colOff>695325</xdr:colOff>
          <xdr:row>85</xdr:row>
          <xdr:rowOff>85725</xdr:rowOff>
        </xdr:to>
        <xdr:sp macro="" textlink="">
          <xdr:nvSpPr>
            <xdr:cNvPr id="1563" name="Check Box 539" hidden="1">
              <a:extLst>
                <a:ext uri="{63B3BB69-23CF-44E3-9099-C40C66FF867C}">
                  <a14:compatExt spid="_x0000_s1563"/>
                </a:ext>
                <a:ext uri="{FF2B5EF4-FFF2-40B4-BE49-F238E27FC236}">
                  <a16:creationId xmlns:a16="http://schemas.microsoft.com/office/drawing/2014/main" id="{00000000-0008-0000-0000-00001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800100</xdr:colOff>
          <xdr:row>83</xdr:row>
          <xdr:rowOff>314325</xdr:rowOff>
        </xdr:from>
        <xdr:to>
          <xdr:col>25</xdr:col>
          <xdr:colOff>981075</xdr:colOff>
          <xdr:row>85</xdr:row>
          <xdr:rowOff>85725</xdr:rowOff>
        </xdr:to>
        <xdr:sp macro="" textlink="">
          <xdr:nvSpPr>
            <xdr:cNvPr id="1564" name="Check Box 540" hidden="1">
              <a:extLst>
                <a:ext uri="{63B3BB69-23CF-44E3-9099-C40C66FF867C}">
                  <a14:compatExt spid="_x0000_s1564"/>
                </a:ext>
                <a:ext uri="{FF2B5EF4-FFF2-40B4-BE49-F238E27FC236}">
                  <a16:creationId xmlns:a16="http://schemas.microsoft.com/office/drawing/2014/main" id="{00000000-0008-0000-0000-00001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800100</xdr:colOff>
          <xdr:row>83</xdr:row>
          <xdr:rowOff>314325</xdr:rowOff>
        </xdr:from>
        <xdr:to>
          <xdr:col>22</xdr:col>
          <xdr:colOff>981075</xdr:colOff>
          <xdr:row>85</xdr:row>
          <xdr:rowOff>85725</xdr:rowOff>
        </xdr:to>
        <xdr:sp macro="" textlink="">
          <xdr:nvSpPr>
            <xdr:cNvPr id="1565" name="Check Box 541" hidden="1">
              <a:extLst>
                <a:ext uri="{63B3BB69-23CF-44E3-9099-C40C66FF867C}">
                  <a14:compatExt spid="_x0000_s1565"/>
                </a:ext>
                <a:ext uri="{FF2B5EF4-FFF2-40B4-BE49-F238E27FC236}">
                  <a16:creationId xmlns:a16="http://schemas.microsoft.com/office/drawing/2014/main" id="{00000000-0008-0000-0000-00001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771525</xdr:colOff>
          <xdr:row>83</xdr:row>
          <xdr:rowOff>314325</xdr:rowOff>
        </xdr:from>
        <xdr:to>
          <xdr:col>22</xdr:col>
          <xdr:colOff>9525</xdr:colOff>
          <xdr:row>85</xdr:row>
          <xdr:rowOff>85725</xdr:rowOff>
        </xdr:to>
        <xdr:sp macro="" textlink="">
          <xdr:nvSpPr>
            <xdr:cNvPr id="1566" name="Check Box 542" hidden="1">
              <a:extLst>
                <a:ext uri="{63B3BB69-23CF-44E3-9099-C40C66FF867C}">
                  <a14:compatExt spid="_x0000_s1566"/>
                </a:ext>
                <a:ext uri="{FF2B5EF4-FFF2-40B4-BE49-F238E27FC236}">
                  <a16:creationId xmlns:a16="http://schemas.microsoft.com/office/drawing/2014/main" id="{00000000-0008-0000-0000-00001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21</xdr:row>
          <xdr:rowOff>38100</xdr:rowOff>
        </xdr:from>
        <xdr:to>
          <xdr:col>15</xdr:col>
          <xdr:colOff>0</xdr:colOff>
          <xdr:row>21</xdr:row>
          <xdr:rowOff>342900</xdr:rowOff>
        </xdr:to>
        <xdr:sp macro="" textlink="">
          <xdr:nvSpPr>
            <xdr:cNvPr id="1781" name="Spinner 757" hidden="1">
              <a:extLst>
                <a:ext uri="{63B3BB69-23CF-44E3-9099-C40C66FF867C}">
                  <a14:compatExt spid="_x0000_s1781"/>
                </a:ext>
                <a:ext uri="{FF2B5EF4-FFF2-40B4-BE49-F238E27FC236}">
                  <a16:creationId xmlns:a16="http://schemas.microsoft.com/office/drawing/2014/main" id="{00000000-0008-0000-0000-0000F506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1066800</xdr:colOff>
          <xdr:row>22</xdr:row>
          <xdr:rowOff>9525</xdr:rowOff>
        </xdr:from>
        <xdr:to>
          <xdr:col>15</xdr:col>
          <xdr:colOff>0</xdr:colOff>
          <xdr:row>22</xdr:row>
          <xdr:rowOff>342900</xdr:rowOff>
        </xdr:to>
        <xdr:sp macro="" textlink="">
          <xdr:nvSpPr>
            <xdr:cNvPr id="1825" name="Spinner 801" hidden="1">
              <a:extLst>
                <a:ext uri="{63B3BB69-23CF-44E3-9099-C40C66FF867C}">
                  <a14:compatExt spid="_x0000_s1825"/>
                </a:ext>
                <a:ext uri="{FF2B5EF4-FFF2-40B4-BE49-F238E27FC236}">
                  <a16:creationId xmlns:a16="http://schemas.microsoft.com/office/drawing/2014/main" id="{00000000-0008-0000-0000-000021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23</xdr:row>
          <xdr:rowOff>19050</xdr:rowOff>
        </xdr:from>
        <xdr:to>
          <xdr:col>15</xdr:col>
          <xdr:colOff>0</xdr:colOff>
          <xdr:row>23</xdr:row>
          <xdr:rowOff>333375</xdr:rowOff>
        </xdr:to>
        <xdr:sp macro="" textlink="">
          <xdr:nvSpPr>
            <xdr:cNvPr id="1827" name="Spinner 803" hidden="1">
              <a:extLst>
                <a:ext uri="{63B3BB69-23CF-44E3-9099-C40C66FF867C}">
                  <a14:compatExt spid="_x0000_s1827"/>
                </a:ext>
                <a:ext uri="{FF2B5EF4-FFF2-40B4-BE49-F238E27FC236}">
                  <a16:creationId xmlns:a16="http://schemas.microsoft.com/office/drawing/2014/main" id="{00000000-0008-0000-0000-000023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24</xdr:row>
          <xdr:rowOff>19050</xdr:rowOff>
        </xdr:from>
        <xdr:to>
          <xdr:col>15</xdr:col>
          <xdr:colOff>0</xdr:colOff>
          <xdr:row>24</xdr:row>
          <xdr:rowOff>333375</xdr:rowOff>
        </xdr:to>
        <xdr:sp macro="" textlink="">
          <xdr:nvSpPr>
            <xdr:cNvPr id="1828" name="Spinner 804" hidden="1">
              <a:extLst>
                <a:ext uri="{63B3BB69-23CF-44E3-9099-C40C66FF867C}">
                  <a14:compatExt spid="_x0000_s1828"/>
                </a:ext>
                <a:ext uri="{FF2B5EF4-FFF2-40B4-BE49-F238E27FC236}">
                  <a16:creationId xmlns:a16="http://schemas.microsoft.com/office/drawing/2014/main" id="{00000000-0008-0000-0000-000024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25</xdr:row>
          <xdr:rowOff>19050</xdr:rowOff>
        </xdr:from>
        <xdr:to>
          <xdr:col>15</xdr:col>
          <xdr:colOff>0</xdr:colOff>
          <xdr:row>25</xdr:row>
          <xdr:rowOff>333375</xdr:rowOff>
        </xdr:to>
        <xdr:sp macro="" textlink="">
          <xdr:nvSpPr>
            <xdr:cNvPr id="1829" name="Spinner 805" hidden="1">
              <a:extLst>
                <a:ext uri="{63B3BB69-23CF-44E3-9099-C40C66FF867C}">
                  <a14:compatExt spid="_x0000_s1829"/>
                </a:ext>
                <a:ext uri="{FF2B5EF4-FFF2-40B4-BE49-F238E27FC236}">
                  <a16:creationId xmlns:a16="http://schemas.microsoft.com/office/drawing/2014/main" id="{00000000-0008-0000-0000-000025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26</xdr:row>
          <xdr:rowOff>19050</xdr:rowOff>
        </xdr:from>
        <xdr:to>
          <xdr:col>15</xdr:col>
          <xdr:colOff>0</xdr:colOff>
          <xdr:row>26</xdr:row>
          <xdr:rowOff>333375</xdr:rowOff>
        </xdr:to>
        <xdr:sp macro="" textlink="">
          <xdr:nvSpPr>
            <xdr:cNvPr id="1830" name="Spinner 806" hidden="1">
              <a:extLst>
                <a:ext uri="{63B3BB69-23CF-44E3-9099-C40C66FF867C}">
                  <a14:compatExt spid="_x0000_s1830"/>
                </a:ext>
                <a:ext uri="{FF2B5EF4-FFF2-40B4-BE49-F238E27FC236}">
                  <a16:creationId xmlns:a16="http://schemas.microsoft.com/office/drawing/2014/main" id="{00000000-0008-0000-0000-000026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27</xdr:row>
          <xdr:rowOff>85725</xdr:rowOff>
        </xdr:from>
        <xdr:to>
          <xdr:col>15</xdr:col>
          <xdr:colOff>0</xdr:colOff>
          <xdr:row>27</xdr:row>
          <xdr:rowOff>400050</xdr:rowOff>
        </xdr:to>
        <xdr:sp macro="" textlink="">
          <xdr:nvSpPr>
            <xdr:cNvPr id="1831" name="Spinner 807" hidden="1">
              <a:extLst>
                <a:ext uri="{63B3BB69-23CF-44E3-9099-C40C66FF867C}">
                  <a14:compatExt spid="_x0000_s1831"/>
                </a:ext>
                <a:ext uri="{FF2B5EF4-FFF2-40B4-BE49-F238E27FC236}">
                  <a16:creationId xmlns:a16="http://schemas.microsoft.com/office/drawing/2014/main" id="{00000000-0008-0000-0000-000027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28</xdr:row>
          <xdr:rowOff>9525</xdr:rowOff>
        </xdr:from>
        <xdr:to>
          <xdr:col>14</xdr:col>
          <xdr:colOff>1304925</xdr:colOff>
          <xdr:row>29</xdr:row>
          <xdr:rowOff>0</xdr:rowOff>
        </xdr:to>
        <xdr:sp macro="" textlink="">
          <xdr:nvSpPr>
            <xdr:cNvPr id="1832" name="Spinner 808" hidden="1">
              <a:extLst>
                <a:ext uri="{63B3BB69-23CF-44E3-9099-C40C66FF867C}">
                  <a14:compatExt spid="_x0000_s1832"/>
                </a:ext>
                <a:ext uri="{FF2B5EF4-FFF2-40B4-BE49-F238E27FC236}">
                  <a16:creationId xmlns:a16="http://schemas.microsoft.com/office/drawing/2014/main" id="{00000000-0008-0000-0000-000028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29</xdr:row>
          <xdr:rowOff>76200</xdr:rowOff>
        </xdr:from>
        <xdr:to>
          <xdr:col>15</xdr:col>
          <xdr:colOff>0</xdr:colOff>
          <xdr:row>29</xdr:row>
          <xdr:rowOff>390525</xdr:rowOff>
        </xdr:to>
        <xdr:sp macro="" textlink="">
          <xdr:nvSpPr>
            <xdr:cNvPr id="1833" name="Spinner 809" hidden="1">
              <a:extLst>
                <a:ext uri="{63B3BB69-23CF-44E3-9099-C40C66FF867C}">
                  <a14:compatExt spid="_x0000_s1833"/>
                </a:ext>
                <a:ext uri="{FF2B5EF4-FFF2-40B4-BE49-F238E27FC236}">
                  <a16:creationId xmlns:a16="http://schemas.microsoft.com/office/drawing/2014/main" id="{00000000-0008-0000-0000-000029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30</xdr:row>
          <xdr:rowOff>95250</xdr:rowOff>
        </xdr:from>
        <xdr:to>
          <xdr:col>14</xdr:col>
          <xdr:colOff>1314450</xdr:colOff>
          <xdr:row>30</xdr:row>
          <xdr:rowOff>419100</xdr:rowOff>
        </xdr:to>
        <xdr:sp macro="" textlink="">
          <xdr:nvSpPr>
            <xdr:cNvPr id="1834" name="Spinner 810" hidden="1">
              <a:extLst>
                <a:ext uri="{63B3BB69-23CF-44E3-9099-C40C66FF867C}">
                  <a14:compatExt spid="_x0000_s1834"/>
                </a:ext>
                <a:ext uri="{FF2B5EF4-FFF2-40B4-BE49-F238E27FC236}">
                  <a16:creationId xmlns:a16="http://schemas.microsoft.com/office/drawing/2014/main" id="{00000000-0008-0000-0000-00002A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31</xdr:row>
          <xdr:rowOff>19050</xdr:rowOff>
        </xdr:from>
        <xdr:to>
          <xdr:col>15</xdr:col>
          <xdr:colOff>0</xdr:colOff>
          <xdr:row>31</xdr:row>
          <xdr:rowOff>333375</xdr:rowOff>
        </xdr:to>
        <xdr:sp macro="" textlink="">
          <xdr:nvSpPr>
            <xdr:cNvPr id="1835" name="Spinner 811" hidden="1">
              <a:extLst>
                <a:ext uri="{63B3BB69-23CF-44E3-9099-C40C66FF867C}">
                  <a14:compatExt spid="_x0000_s1835"/>
                </a:ext>
                <a:ext uri="{FF2B5EF4-FFF2-40B4-BE49-F238E27FC236}">
                  <a16:creationId xmlns:a16="http://schemas.microsoft.com/office/drawing/2014/main" id="{00000000-0008-0000-0000-00002B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32</xdr:row>
          <xdr:rowOff>19050</xdr:rowOff>
        </xdr:from>
        <xdr:to>
          <xdr:col>15</xdr:col>
          <xdr:colOff>0</xdr:colOff>
          <xdr:row>32</xdr:row>
          <xdr:rowOff>333375</xdr:rowOff>
        </xdr:to>
        <xdr:sp macro="" textlink="">
          <xdr:nvSpPr>
            <xdr:cNvPr id="1836" name="Spinner 812" hidden="1">
              <a:extLst>
                <a:ext uri="{63B3BB69-23CF-44E3-9099-C40C66FF867C}">
                  <a14:compatExt spid="_x0000_s1836"/>
                </a:ext>
                <a:ext uri="{FF2B5EF4-FFF2-40B4-BE49-F238E27FC236}">
                  <a16:creationId xmlns:a16="http://schemas.microsoft.com/office/drawing/2014/main" id="{00000000-0008-0000-0000-00002C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33</xdr:row>
          <xdr:rowOff>19050</xdr:rowOff>
        </xdr:from>
        <xdr:to>
          <xdr:col>15</xdr:col>
          <xdr:colOff>0</xdr:colOff>
          <xdr:row>33</xdr:row>
          <xdr:rowOff>333375</xdr:rowOff>
        </xdr:to>
        <xdr:sp macro="" textlink="">
          <xdr:nvSpPr>
            <xdr:cNvPr id="1837" name="Spinner 813" hidden="1">
              <a:extLst>
                <a:ext uri="{63B3BB69-23CF-44E3-9099-C40C66FF867C}">
                  <a14:compatExt spid="_x0000_s1837"/>
                </a:ext>
                <a:ext uri="{FF2B5EF4-FFF2-40B4-BE49-F238E27FC236}">
                  <a16:creationId xmlns:a16="http://schemas.microsoft.com/office/drawing/2014/main" id="{00000000-0008-0000-0000-00002D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34</xdr:row>
          <xdr:rowOff>19050</xdr:rowOff>
        </xdr:from>
        <xdr:to>
          <xdr:col>15</xdr:col>
          <xdr:colOff>0</xdr:colOff>
          <xdr:row>34</xdr:row>
          <xdr:rowOff>333375</xdr:rowOff>
        </xdr:to>
        <xdr:sp macro="" textlink="">
          <xdr:nvSpPr>
            <xdr:cNvPr id="1838" name="Spinner 814" hidden="1">
              <a:extLst>
                <a:ext uri="{63B3BB69-23CF-44E3-9099-C40C66FF867C}">
                  <a14:compatExt spid="_x0000_s1838"/>
                </a:ext>
                <a:ext uri="{FF2B5EF4-FFF2-40B4-BE49-F238E27FC236}">
                  <a16:creationId xmlns:a16="http://schemas.microsoft.com/office/drawing/2014/main" id="{00000000-0008-0000-0000-00002E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36</xdr:row>
          <xdr:rowOff>19050</xdr:rowOff>
        </xdr:from>
        <xdr:to>
          <xdr:col>15</xdr:col>
          <xdr:colOff>0</xdr:colOff>
          <xdr:row>36</xdr:row>
          <xdr:rowOff>333375</xdr:rowOff>
        </xdr:to>
        <xdr:sp macro="" textlink="">
          <xdr:nvSpPr>
            <xdr:cNvPr id="1840" name="Spinner 816" hidden="1">
              <a:extLst>
                <a:ext uri="{63B3BB69-23CF-44E3-9099-C40C66FF867C}">
                  <a14:compatExt spid="_x0000_s1840"/>
                </a:ext>
                <a:ext uri="{FF2B5EF4-FFF2-40B4-BE49-F238E27FC236}">
                  <a16:creationId xmlns:a16="http://schemas.microsoft.com/office/drawing/2014/main" id="{00000000-0008-0000-0000-000030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37</xdr:row>
          <xdr:rowOff>19050</xdr:rowOff>
        </xdr:from>
        <xdr:to>
          <xdr:col>15</xdr:col>
          <xdr:colOff>0</xdr:colOff>
          <xdr:row>37</xdr:row>
          <xdr:rowOff>333375</xdr:rowOff>
        </xdr:to>
        <xdr:sp macro="" textlink="">
          <xdr:nvSpPr>
            <xdr:cNvPr id="1841" name="Spinner 817" hidden="1">
              <a:extLst>
                <a:ext uri="{63B3BB69-23CF-44E3-9099-C40C66FF867C}">
                  <a14:compatExt spid="_x0000_s1841"/>
                </a:ext>
                <a:ext uri="{FF2B5EF4-FFF2-40B4-BE49-F238E27FC236}">
                  <a16:creationId xmlns:a16="http://schemas.microsoft.com/office/drawing/2014/main" id="{00000000-0008-0000-0000-000031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38</xdr:row>
          <xdr:rowOff>19050</xdr:rowOff>
        </xdr:from>
        <xdr:to>
          <xdr:col>15</xdr:col>
          <xdr:colOff>0</xdr:colOff>
          <xdr:row>38</xdr:row>
          <xdr:rowOff>333375</xdr:rowOff>
        </xdr:to>
        <xdr:sp macro="" textlink="">
          <xdr:nvSpPr>
            <xdr:cNvPr id="1842" name="Spinner 818" hidden="1">
              <a:extLst>
                <a:ext uri="{63B3BB69-23CF-44E3-9099-C40C66FF867C}">
                  <a14:compatExt spid="_x0000_s1842"/>
                </a:ext>
                <a:ext uri="{FF2B5EF4-FFF2-40B4-BE49-F238E27FC236}">
                  <a16:creationId xmlns:a16="http://schemas.microsoft.com/office/drawing/2014/main" id="{00000000-0008-0000-0000-000032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39</xdr:row>
          <xdr:rowOff>19050</xdr:rowOff>
        </xdr:from>
        <xdr:to>
          <xdr:col>15</xdr:col>
          <xdr:colOff>0</xdr:colOff>
          <xdr:row>39</xdr:row>
          <xdr:rowOff>333375</xdr:rowOff>
        </xdr:to>
        <xdr:sp macro="" textlink="">
          <xdr:nvSpPr>
            <xdr:cNvPr id="1843" name="Spinner 819" hidden="1">
              <a:extLst>
                <a:ext uri="{63B3BB69-23CF-44E3-9099-C40C66FF867C}">
                  <a14:compatExt spid="_x0000_s1843"/>
                </a:ext>
                <a:ext uri="{FF2B5EF4-FFF2-40B4-BE49-F238E27FC236}">
                  <a16:creationId xmlns:a16="http://schemas.microsoft.com/office/drawing/2014/main" id="{00000000-0008-0000-0000-000033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40</xdr:row>
          <xdr:rowOff>19050</xdr:rowOff>
        </xdr:from>
        <xdr:to>
          <xdr:col>15</xdr:col>
          <xdr:colOff>0</xdr:colOff>
          <xdr:row>40</xdr:row>
          <xdr:rowOff>333375</xdr:rowOff>
        </xdr:to>
        <xdr:sp macro="" textlink="">
          <xdr:nvSpPr>
            <xdr:cNvPr id="1844" name="Spinner 820" hidden="1">
              <a:extLst>
                <a:ext uri="{63B3BB69-23CF-44E3-9099-C40C66FF867C}">
                  <a14:compatExt spid="_x0000_s1844"/>
                </a:ext>
                <a:ext uri="{FF2B5EF4-FFF2-40B4-BE49-F238E27FC236}">
                  <a16:creationId xmlns:a16="http://schemas.microsoft.com/office/drawing/2014/main" id="{00000000-0008-0000-0000-000034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41</xdr:row>
          <xdr:rowOff>19050</xdr:rowOff>
        </xdr:from>
        <xdr:to>
          <xdr:col>15</xdr:col>
          <xdr:colOff>0</xdr:colOff>
          <xdr:row>41</xdr:row>
          <xdr:rowOff>333375</xdr:rowOff>
        </xdr:to>
        <xdr:sp macro="" textlink="">
          <xdr:nvSpPr>
            <xdr:cNvPr id="1845" name="Spinner 821" hidden="1">
              <a:extLst>
                <a:ext uri="{63B3BB69-23CF-44E3-9099-C40C66FF867C}">
                  <a14:compatExt spid="_x0000_s1845"/>
                </a:ext>
                <a:ext uri="{FF2B5EF4-FFF2-40B4-BE49-F238E27FC236}">
                  <a16:creationId xmlns:a16="http://schemas.microsoft.com/office/drawing/2014/main" id="{00000000-0008-0000-0000-000035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42</xdr:row>
          <xdr:rowOff>19050</xdr:rowOff>
        </xdr:from>
        <xdr:to>
          <xdr:col>15</xdr:col>
          <xdr:colOff>0</xdr:colOff>
          <xdr:row>42</xdr:row>
          <xdr:rowOff>333375</xdr:rowOff>
        </xdr:to>
        <xdr:sp macro="" textlink="">
          <xdr:nvSpPr>
            <xdr:cNvPr id="1846" name="Spinner 822" hidden="1">
              <a:extLst>
                <a:ext uri="{63B3BB69-23CF-44E3-9099-C40C66FF867C}">
                  <a14:compatExt spid="_x0000_s1846"/>
                </a:ext>
                <a:ext uri="{FF2B5EF4-FFF2-40B4-BE49-F238E27FC236}">
                  <a16:creationId xmlns:a16="http://schemas.microsoft.com/office/drawing/2014/main" id="{00000000-0008-0000-0000-000036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43</xdr:row>
          <xdr:rowOff>19050</xdr:rowOff>
        </xdr:from>
        <xdr:to>
          <xdr:col>15</xdr:col>
          <xdr:colOff>0</xdr:colOff>
          <xdr:row>43</xdr:row>
          <xdr:rowOff>333375</xdr:rowOff>
        </xdr:to>
        <xdr:sp macro="" textlink="">
          <xdr:nvSpPr>
            <xdr:cNvPr id="1847" name="Spinner 823" hidden="1">
              <a:extLst>
                <a:ext uri="{63B3BB69-23CF-44E3-9099-C40C66FF867C}">
                  <a14:compatExt spid="_x0000_s1847"/>
                </a:ext>
                <a:ext uri="{FF2B5EF4-FFF2-40B4-BE49-F238E27FC236}">
                  <a16:creationId xmlns:a16="http://schemas.microsoft.com/office/drawing/2014/main" id="{00000000-0008-0000-0000-000037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44</xdr:row>
          <xdr:rowOff>19050</xdr:rowOff>
        </xdr:from>
        <xdr:to>
          <xdr:col>15</xdr:col>
          <xdr:colOff>0</xdr:colOff>
          <xdr:row>44</xdr:row>
          <xdr:rowOff>333375</xdr:rowOff>
        </xdr:to>
        <xdr:sp macro="" textlink="">
          <xdr:nvSpPr>
            <xdr:cNvPr id="1848" name="Spinner 824" hidden="1">
              <a:extLst>
                <a:ext uri="{63B3BB69-23CF-44E3-9099-C40C66FF867C}">
                  <a14:compatExt spid="_x0000_s1848"/>
                </a:ext>
                <a:ext uri="{FF2B5EF4-FFF2-40B4-BE49-F238E27FC236}">
                  <a16:creationId xmlns:a16="http://schemas.microsoft.com/office/drawing/2014/main" id="{00000000-0008-0000-0000-000038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45</xdr:row>
          <xdr:rowOff>76200</xdr:rowOff>
        </xdr:from>
        <xdr:to>
          <xdr:col>15</xdr:col>
          <xdr:colOff>0</xdr:colOff>
          <xdr:row>45</xdr:row>
          <xdr:rowOff>390525</xdr:rowOff>
        </xdr:to>
        <xdr:sp macro="" textlink="">
          <xdr:nvSpPr>
            <xdr:cNvPr id="1849" name="Spinner 825" hidden="1">
              <a:extLst>
                <a:ext uri="{63B3BB69-23CF-44E3-9099-C40C66FF867C}">
                  <a14:compatExt spid="_x0000_s1849"/>
                </a:ext>
                <a:ext uri="{FF2B5EF4-FFF2-40B4-BE49-F238E27FC236}">
                  <a16:creationId xmlns:a16="http://schemas.microsoft.com/office/drawing/2014/main" id="{00000000-0008-0000-0000-000039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46</xdr:row>
          <xdr:rowOff>9525</xdr:rowOff>
        </xdr:from>
        <xdr:to>
          <xdr:col>14</xdr:col>
          <xdr:colOff>1323975</xdr:colOff>
          <xdr:row>46</xdr:row>
          <xdr:rowOff>333375</xdr:rowOff>
        </xdr:to>
        <xdr:sp macro="" textlink="">
          <xdr:nvSpPr>
            <xdr:cNvPr id="1850" name="Spinner 826" hidden="1">
              <a:extLst>
                <a:ext uri="{63B3BB69-23CF-44E3-9099-C40C66FF867C}">
                  <a14:compatExt spid="_x0000_s1850"/>
                </a:ext>
                <a:ext uri="{FF2B5EF4-FFF2-40B4-BE49-F238E27FC236}">
                  <a16:creationId xmlns:a16="http://schemas.microsoft.com/office/drawing/2014/main" id="{00000000-0008-0000-0000-00003A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47</xdr:row>
          <xdr:rowOff>28575</xdr:rowOff>
        </xdr:from>
        <xdr:to>
          <xdr:col>15</xdr:col>
          <xdr:colOff>0</xdr:colOff>
          <xdr:row>47</xdr:row>
          <xdr:rowOff>333375</xdr:rowOff>
        </xdr:to>
        <xdr:sp macro="" textlink="">
          <xdr:nvSpPr>
            <xdr:cNvPr id="1851" name="Spinner 827" hidden="1">
              <a:extLst>
                <a:ext uri="{63B3BB69-23CF-44E3-9099-C40C66FF867C}">
                  <a14:compatExt spid="_x0000_s1851"/>
                </a:ext>
                <a:ext uri="{FF2B5EF4-FFF2-40B4-BE49-F238E27FC236}">
                  <a16:creationId xmlns:a16="http://schemas.microsoft.com/office/drawing/2014/main" id="{00000000-0008-0000-0000-00003B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48</xdr:row>
          <xdr:rowOff>19050</xdr:rowOff>
        </xdr:from>
        <xdr:to>
          <xdr:col>15</xdr:col>
          <xdr:colOff>0</xdr:colOff>
          <xdr:row>48</xdr:row>
          <xdr:rowOff>333375</xdr:rowOff>
        </xdr:to>
        <xdr:sp macro="" textlink="">
          <xdr:nvSpPr>
            <xdr:cNvPr id="1852" name="Spinner 828" hidden="1">
              <a:extLst>
                <a:ext uri="{63B3BB69-23CF-44E3-9099-C40C66FF867C}">
                  <a14:compatExt spid="_x0000_s1852"/>
                </a:ext>
                <a:ext uri="{FF2B5EF4-FFF2-40B4-BE49-F238E27FC236}">
                  <a16:creationId xmlns:a16="http://schemas.microsoft.com/office/drawing/2014/main" id="{00000000-0008-0000-0000-00003C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49</xdr:row>
          <xdr:rowOff>19050</xdr:rowOff>
        </xdr:from>
        <xdr:to>
          <xdr:col>15</xdr:col>
          <xdr:colOff>0</xdr:colOff>
          <xdr:row>49</xdr:row>
          <xdr:rowOff>333375</xdr:rowOff>
        </xdr:to>
        <xdr:sp macro="" textlink="">
          <xdr:nvSpPr>
            <xdr:cNvPr id="1853" name="Spinner 829" hidden="1">
              <a:extLst>
                <a:ext uri="{63B3BB69-23CF-44E3-9099-C40C66FF867C}">
                  <a14:compatExt spid="_x0000_s1853"/>
                </a:ext>
                <a:ext uri="{FF2B5EF4-FFF2-40B4-BE49-F238E27FC236}">
                  <a16:creationId xmlns:a16="http://schemas.microsoft.com/office/drawing/2014/main" id="{00000000-0008-0000-0000-00003D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50</xdr:row>
          <xdr:rowOff>19050</xdr:rowOff>
        </xdr:from>
        <xdr:to>
          <xdr:col>15</xdr:col>
          <xdr:colOff>0</xdr:colOff>
          <xdr:row>50</xdr:row>
          <xdr:rowOff>333375</xdr:rowOff>
        </xdr:to>
        <xdr:sp macro="" textlink="">
          <xdr:nvSpPr>
            <xdr:cNvPr id="1854" name="Spinner 830" hidden="1">
              <a:extLst>
                <a:ext uri="{63B3BB69-23CF-44E3-9099-C40C66FF867C}">
                  <a14:compatExt spid="_x0000_s1854"/>
                </a:ext>
                <a:ext uri="{FF2B5EF4-FFF2-40B4-BE49-F238E27FC236}">
                  <a16:creationId xmlns:a16="http://schemas.microsoft.com/office/drawing/2014/main" id="{00000000-0008-0000-0000-00003E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51</xdr:row>
          <xdr:rowOff>19050</xdr:rowOff>
        </xdr:from>
        <xdr:to>
          <xdr:col>15</xdr:col>
          <xdr:colOff>0</xdr:colOff>
          <xdr:row>51</xdr:row>
          <xdr:rowOff>333375</xdr:rowOff>
        </xdr:to>
        <xdr:sp macro="" textlink="">
          <xdr:nvSpPr>
            <xdr:cNvPr id="1855" name="Spinner 831" hidden="1">
              <a:extLst>
                <a:ext uri="{63B3BB69-23CF-44E3-9099-C40C66FF867C}">
                  <a14:compatExt spid="_x0000_s1855"/>
                </a:ext>
                <a:ext uri="{FF2B5EF4-FFF2-40B4-BE49-F238E27FC236}">
                  <a16:creationId xmlns:a16="http://schemas.microsoft.com/office/drawing/2014/main" id="{00000000-0008-0000-0000-00003F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52</xdr:row>
          <xdr:rowOff>19050</xdr:rowOff>
        </xdr:from>
        <xdr:to>
          <xdr:col>15</xdr:col>
          <xdr:colOff>0</xdr:colOff>
          <xdr:row>52</xdr:row>
          <xdr:rowOff>333375</xdr:rowOff>
        </xdr:to>
        <xdr:sp macro="" textlink="">
          <xdr:nvSpPr>
            <xdr:cNvPr id="1856" name="Spinner 832" hidden="1">
              <a:extLst>
                <a:ext uri="{63B3BB69-23CF-44E3-9099-C40C66FF867C}">
                  <a14:compatExt spid="_x0000_s1856"/>
                </a:ext>
                <a:ext uri="{FF2B5EF4-FFF2-40B4-BE49-F238E27FC236}">
                  <a16:creationId xmlns:a16="http://schemas.microsoft.com/office/drawing/2014/main" id="{00000000-0008-0000-0000-000040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53</xdr:row>
          <xdr:rowOff>19050</xdr:rowOff>
        </xdr:from>
        <xdr:to>
          <xdr:col>15</xdr:col>
          <xdr:colOff>0</xdr:colOff>
          <xdr:row>53</xdr:row>
          <xdr:rowOff>333375</xdr:rowOff>
        </xdr:to>
        <xdr:sp macro="" textlink="">
          <xdr:nvSpPr>
            <xdr:cNvPr id="1857" name="Spinner 833" hidden="1">
              <a:extLst>
                <a:ext uri="{63B3BB69-23CF-44E3-9099-C40C66FF867C}">
                  <a14:compatExt spid="_x0000_s1857"/>
                </a:ext>
                <a:ext uri="{FF2B5EF4-FFF2-40B4-BE49-F238E27FC236}">
                  <a16:creationId xmlns:a16="http://schemas.microsoft.com/office/drawing/2014/main" id="{00000000-0008-0000-0000-000041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54</xdr:row>
          <xdr:rowOff>19050</xdr:rowOff>
        </xdr:from>
        <xdr:to>
          <xdr:col>15</xdr:col>
          <xdr:colOff>0</xdr:colOff>
          <xdr:row>54</xdr:row>
          <xdr:rowOff>333375</xdr:rowOff>
        </xdr:to>
        <xdr:sp macro="" textlink="">
          <xdr:nvSpPr>
            <xdr:cNvPr id="1858" name="Spinner 834" hidden="1">
              <a:extLst>
                <a:ext uri="{63B3BB69-23CF-44E3-9099-C40C66FF867C}">
                  <a14:compatExt spid="_x0000_s1858"/>
                </a:ext>
                <a:ext uri="{FF2B5EF4-FFF2-40B4-BE49-F238E27FC236}">
                  <a16:creationId xmlns:a16="http://schemas.microsoft.com/office/drawing/2014/main" id="{00000000-0008-0000-0000-000042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55</xdr:row>
          <xdr:rowOff>19050</xdr:rowOff>
        </xdr:from>
        <xdr:to>
          <xdr:col>15</xdr:col>
          <xdr:colOff>0</xdr:colOff>
          <xdr:row>55</xdr:row>
          <xdr:rowOff>333375</xdr:rowOff>
        </xdr:to>
        <xdr:sp macro="" textlink="">
          <xdr:nvSpPr>
            <xdr:cNvPr id="1859" name="Spinner 835" hidden="1">
              <a:extLst>
                <a:ext uri="{63B3BB69-23CF-44E3-9099-C40C66FF867C}">
                  <a14:compatExt spid="_x0000_s1859"/>
                </a:ext>
                <a:ext uri="{FF2B5EF4-FFF2-40B4-BE49-F238E27FC236}">
                  <a16:creationId xmlns:a16="http://schemas.microsoft.com/office/drawing/2014/main" id="{00000000-0008-0000-0000-000043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56</xdr:row>
          <xdr:rowOff>19050</xdr:rowOff>
        </xdr:from>
        <xdr:to>
          <xdr:col>15</xdr:col>
          <xdr:colOff>0</xdr:colOff>
          <xdr:row>56</xdr:row>
          <xdr:rowOff>333375</xdr:rowOff>
        </xdr:to>
        <xdr:sp macro="" textlink="">
          <xdr:nvSpPr>
            <xdr:cNvPr id="1860" name="Spinner 836" hidden="1">
              <a:extLst>
                <a:ext uri="{63B3BB69-23CF-44E3-9099-C40C66FF867C}">
                  <a14:compatExt spid="_x0000_s1860"/>
                </a:ext>
                <a:ext uri="{FF2B5EF4-FFF2-40B4-BE49-F238E27FC236}">
                  <a16:creationId xmlns:a16="http://schemas.microsoft.com/office/drawing/2014/main" id="{00000000-0008-0000-0000-000044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57</xdr:row>
          <xdr:rowOff>38100</xdr:rowOff>
        </xdr:from>
        <xdr:to>
          <xdr:col>15</xdr:col>
          <xdr:colOff>0</xdr:colOff>
          <xdr:row>57</xdr:row>
          <xdr:rowOff>352425</xdr:rowOff>
        </xdr:to>
        <xdr:sp macro="" textlink="">
          <xdr:nvSpPr>
            <xdr:cNvPr id="1861" name="Spinner 837" hidden="1">
              <a:extLst>
                <a:ext uri="{63B3BB69-23CF-44E3-9099-C40C66FF867C}">
                  <a14:compatExt spid="_x0000_s1861"/>
                </a:ext>
                <a:ext uri="{FF2B5EF4-FFF2-40B4-BE49-F238E27FC236}">
                  <a16:creationId xmlns:a16="http://schemas.microsoft.com/office/drawing/2014/main" id="{00000000-0008-0000-0000-000045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58</xdr:row>
          <xdr:rowOff>19050</xdr:rowOff>
        </xdr:from>
        <xdr:to>
          <xdr:col>14</xdr:col>
          <xdr:colOff>1304925</xdr:colOff>
          <xdr:row>58</xdr:row>
          <xdr:rowOff>342900</xdr:rowOff>
        </xdr:to>
        <xdr:sp macro="" textlink="">
          <xdr:nvSpPr>
            <xdr:cNvPr id="1862" name="Spinner 838" hidden="1">
              <a:extLst>
                <a:ext uri="{63B3BB69-23CF-44E3-9099-C40C66FF867C}">
                  <a14:compatExt spid="_x0000_s1862"/>
                </a:ext>
                <a:ext uri="{FF2B5EF4-FFF2-40B4-BE49-F238E27FC236}">
                  <a16:creationId xmlns:a16="http://schemas.microsoft.com/office/drawing/2014/main" id="{00000000-0008-0000-0000-000046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59</xdr:row>
          <xdr:rowOff>19050</xdr:rowOff>
        </xdr:from>
        <xdr:to>
          <xdr:col>15</xdr:col>
          <xdr:colOff>0</xdr:colOff>
          <xdr:row>59</xdr:row>
          <xdr:rowOff>333375</xdr:rowOff>
        </xdr:to>
        <xdr:sp macro="" textlink="">
          <xdr:nvSpPr>
            <xdr:cNvPr id="1863" name="Spinner 839" hidden="1">
              <a:extLst>
                <a:ext uri="{63B3BB69-23CF-44E3-9099-C40C66FF867C}">
                  <a14:compatExt spid="_x0000_s1863"/>
                </a:ext>
                <a:ext uri="{FF2B5EF4-FFF2-40B4-BE49-F238E27FC236}">
                  <a16:creationId xmlns:a16="http://schemas.microsoft.com/office/drawing/2014/main" id="{00000000-0008-0000-0000-000047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60</xdr:row>
          <xdr:rowOff>19050</xdr:rowOff>
        </xdr:from>
        <xdr:to>
          <xdr:col>15</xdr:col>
          <xdr:colOff>0</xdr:colOff>
          <xdr:row>60</xdr:row>
          <xdr:rowOff>333375</xdr:rowOff>
        </xdr:to>
        <xdr:sp macro="" textlink="">
          <xdr:nvSpPr>
            <xdr:cNvPr id="1864" name="Spinner 840" hidden="1">
              <a:extLst>
                <a:ext uri="{63B3BB69-23CF-44E3-9099-C40C66FF867C}">
                  <a14:compatExt spid="_x0000_s1864"/>
                </a:ext>
                <a:ext uri="{FF2B5EF4-FFF2-40B4-BE49-F238E27FC236}">
                  <a16:creationId xmlns:a16="http://schemas.microsoft.com/office/drawing/2014/main" id="{00000000-0008-0000-0000-000048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61</xdr:row>
          <xdr:rowOff>57150</xdr:rowOff>
        </xdr:from>
        <xdr:to>
          <xdr:col>15</xdr:col>
          <xdr:colOff>0</xdr:colOff>
          <xdr:row>61</xdr:row>
          <xdr:rowOff>371475</xdr:rowOff>
        </xdr:to>
        <xdr:sp macro="" textlink="">
          <xdr:nvSpPr>
            <xdr:cNvPr id="1865" name="Spinner 841" hidden="1">
              <a:extLst>
                <a:ext uri="{63B3BB69-23CF-44E3-9099-C40C66FF867C}">
                  <a14:compatExt spid="_x0000_s1865"/>
                </a:ext>
                <a:ext uri="{FF2B5EF4-FFF2-40B4-BE49-F238E27FC236}">
                  <a16:creationId xmlns:a16="http://schemas.microsoft.com/office/drawing/2014/main" id="{00000000-0008-0000-0000-000049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62</xdr:row>
          <xdr:rowOff>95250</xdr:rowOff>
        </xdr:from>
        <xdr:to>
          <xdr:col>15</xdr:col>
          <xdr:colOff>0</xdr:colOff>
          <xdr:row>62</xdr:row>
          <xdr:rowOff>409575</xdr:rowOff>
        </xdr:to>
        <xdr:sp macro="" textlink="">
          <xdr:nvSpPr>
            <xdr:cNvPr id="1866" name="Spinner 842" hidden="1">
              <a:extLst>
                <a:ext uri="{63B3BB69-23CF-44E3-9099-C40C66FF867C}">
                  <a14:compatExt spid="_x0000_s1866"/>
                </a:ext>
                <a:ext uri="{FF2B5EF4-FFF2-40B4-BE49-F238E27FC236}">
                  <a16:creationId xmlns:a16="http://schemas.microsoft.com/office/drawing/2014/main" id="{00000000-0008-0000-0000-00004A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63</xdr:row>
          <xdr:rowOff>123825</xdr:rowOff>
        </xdr:from>
        <xdr:to>
          <xdr:col>15</xdr:col>
          <xdr:colOff>0</xdr:colOff>
          <xdr:row>63</xdr:row>
          <xdr:rowOff>438150</xdr:rowOff>
        </xdr:to>
        <xdr:sp macro="" textlink="">
          <xdr:nvSpPr>
            <xdr:cNvPr id="1867" name="Spinner 843" hidden="1">
              <a:extLst>
                <a:ext uri="{63B3BB69-23CF-44E3-9099-C40C66FF867C}">
                  <a14:compatExt spid="_x0000_s1867"/>
                </a:ext>
                <a:ext uri="{FF2B5EF4-FFF2-40B4-BE49-F238E27FC236}">
                  <a16:creationId xmlns:a16="http://schemas.microsoft.com/office/drawing/2014/main" id="{00000000-0008-0000-0000-00004B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1066800</xdr:colOff>
          <xdr:row>64</xdr:row>
          <xdr:rowOff>9525</xdr:rowOff>
        </xdr:from>
        <xdr:to>
          <xdr:col>14</xdr:col>
          <xdr:colOff>1323975</xdr:colOff>
          <xdr:row>64</xdr:row>
          <xdr:rowOff>352425</xdr:rowOff>
        </xdr:to>
        <xdr:sp macro="" textlink="">
          <xdr:nvSpPr>
            <xdr:cNvPr id="1868" name="Spinner 844" hidden="1">
              <a:extLst>
                <a:ext uri="{63B3BB69-23CF-44E3-9099-C40C66FF867C}">
                  <a14:compatExt spid="_x0000_s1868"/>
                </a:ext>
                <a:ext uri="{FF2B5EF4-FFF2-40B4-BE49-F238E27FC236}">
                  <a16:creationId xmlns:a16="http://schemas.microsoft.com/office/drawing/2014/main" id="{00000000-0008-0000-0000-00004C07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13</xdr:row>
          <xdr:rowOff>104775</xdr:rowOff>
        </xdr:from>
        <xdr:to>
          <xdr:col>3</xdr:col>
          <xdr:colOff>971550</xdr:colOff>
          <xdr:row>13</xdr:row>
          <xdr:rowOff>447675</xdr:rowOff>
        </xdr:to>
        <xdr:sp macro="" textlink="">
          <xdr:nvSpPr>
            <xdr:cNvPr id="1872" name="Spinner 848" hidden="1">
              <a:extLst>
                <a:ext uri="{63B3BB69-23CF-44E3-9099-C40C66FF867C}">
                  <a14:compatExt spid="_x0000_s1872"/>
                </a:ext>
                <a:ext uri="{FF2B5EF4-FFF2-40B4-BE49-F238E27FC236}">
                  <a16:creationId xmlns:a16="http://schemas.microsoft.com/office/drawing/2014/main" id="{00000000-0008-0000-0000-000050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12</xdr:row>
          <xdr:rowOff>85725</xdr:rowOff>
        </xdr:from>
        <xdr:to>
          <xdr:col>3</xdr:col>
          <xdr:colOff>971550</xdr:colOff>
          <xdr:row>12</xdr:row>
          <xdr:rowOff>428625</xdr:rowOff>
        </xdr:to>
        <xdr:sp macro="" textlink="">
          <xdr:nvSpPr>
            <xdr:cNvPr id="1873" name="Spinner 849" hidden="1">
              <a:extLst>
                <a:ext uri="{63B3BB69-23CF-44E3-9099-C40C66FF867C}">
                  <a14:compatExt spid="_x0000_s1873"/>
                </a:ext>
                <a:ext uri="{FF2B5EF4-FFF2-40B4-BE49-F238E27FC236}">
                  <a16:creationId xmlns:a16="http://schemas.microsoft.com/office/drawing/2014/main" id="{00000000-0008-0000-0000-000051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11</xdr:row>
          <xdr:rowOff>85725</xdr:rowOff>
        </xdr:from>
        <xdr:to>
          <xdr:col>3</xdr:col>
          <xdr:colOff>971550</xdr:colOff>
          <xdr:row>11</xdr:row>
          <xdr:rowOff>428625</xdr:rowOff>
        </xdr:to>
        <xdr:sp macro="" textlink="">
          <xdr:nvSpPr>
            <xdr:cNvPr id="1874" name="Spinner 850" hidden="1">
              <a:extLst>
                <a:ext uri="{63B3BB69-23CF-44E3-9099-C40C66FF867C}">
                  <a14:compatExt spid="_x0000_s1874"/>
                </a:ext>
                <a:ext uri="{FF2B5EF4-FFF2-40B4-BE49-F238E27FC236}">
                  <a16:creationId xmlns:a16="http://schemas.microsoft.com/office/drawing/2014/main" id="{00000000-0008-0000-0000-000052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14</xdr:row>
          <xdr:rowOff>85725</xdr:rowOff>
        </xdr:from>
        <xdr:to>
          <xdr:col>3</xdr:col>
          <xdr:colOff>971550</xdr:colOff>
          <xdr:row>14</xdr:row>
          <xdr:rowOff>428625</xdr:rowOff>
        </xdr:to>
        <xdr:sp macro="" textlink="">
          <xdr:nvSpPr>
            <xdr:cNvPr id="1875" name="Spinner 851" hidden="1">
              <a:extLst>
                <a:ext uri="{63B3BB69-23CF-44E3-9099-C40C66FF867C}">
                  <a14:compatExt spid="_x0000_s1875"/>
                </a:ext>
                <a:ext uri="{FF2B5EF4-FFF2-40B4-BE49-F238E27FC236}">
                  <a16:creationId xmlns:a16="http://schemas.microsoft.com/office/drawing/2014/main" id="{00000000-0008-0000-0000-000053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15</xdr:row>
          <xdr:rowOff>85725</xdr:rowOff>
        </xdr:from>
        <xdr:to>
          <xdr:col>3</xdr:col>
          <xdr:colOff>971550</xdr:colOff>
          <xdr:row>15</xdr:row>
          <xdr:rowOff>428625</xdr:rowOff>
        </xdr:to>
        <xdr:sp macro="" textlink="">
          <xdr:nvSpPr>
            <xdr:cNvPr id="1876" name="Spinner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16</xdr:row>
          <xdr:rowOff>85725</xdr:rowOff>
        </xdr:from>
        <xdr:to>
          <xdr:col>3</xdr:col>
          <xdr:colOff>971550</xdr:colOff>
          <xdr:row>16</xdr:row>
          <xdr:rowOff>428625</xdr:rowOff>
        </xdr:to>
        <xdr:sp macro="" textlink="">
          <xdr:nvSpPr>
            <xdr:cNvPr id="1877" name="Spinner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35</xdr:row>
          <xdr:rowOff>19050</xdr:rowOff>
        </xdr:from>
        <xdr:to>
          <xdr:col>15</xdr:col>
          <xdr:colOff>0</xdr:colOff>
          <xdr:row>35</xdr:row>
          <xdr:rowOff>333375</xdr:rowOff>
        </xdr:to>
        <xdr:sp macro="" textlink="">
          <xdr:nvSpPr>
            <xdr:cNvPr id="1878" name="Spinner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533400</xdr:colOff>
          <xdr:row>76</xdr:row>
          <xdr:rowOff>314325</xdr:rowOff>
        </xdr:from>
        <xdr:to>
          <xdr:col>20</xdr:col>
          <xdr:colOff>800100</xdr:colOff>
          <xdr:row>78</xdr:row>
          <xdr:rowOff>85725</xdr:rowOff>
        </xdr:to>
        <xdr:sp macro="" textlink="">
          <xdr:nvSpPr>
            <xdr:cNvPr id="1909" name="Check Box 885" hidden="1">
              <a:extLst>
                <a:ext uri="{63B3BB69-23CF-44E3-9099-C40C66FF867C}">
                  <a14:compatExt spid="_x0000_s1909"/>
                </a:ext>
                <a:ext uri="{FF2B5EF4-FFF2-40B4-BE49-F238E27FC236}">
                  <a16:creationId xmlns:a16="http://schemas.microsoft.com/office/drawing/2014/main" id="{00000000-0008-0000-0000-00007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1104900</xdr:colOff>
          <xdr:row>76</xdr:row>
          <xdr:rowOff>314325</xdr:rowOff>
        </xdr:from>
        <xdr:to>
          <xdr:col>20</xdr:col>
          <xdr:colOff>1371600</xdr:colOff>
          <xdr:row>78</xdr:row>
          <xdr:rowOff>85725</xdr:rowOff>
        </xdr:to>
        <xdr:sp macro="" textlink="">
          <xdr:nvSpPr>
            <xdr:cNvPr id="1910" name="Check Box 886" hidden="1">
              <a:extLst>
                <a:ext uri="{63B3BB69-23CF-44E3-9099-C40C66FF867C}">
                  <a14:compatExt spid="_x0000_s1910"/>
                </a:ext>
                <a:ext uri="{FF2B5EF4-FFF2-40B4-BE49-F238E27FC236}">
                  <a16:creationId xmlns:a16="http://schemas.microsoft.com/office/drawing/2014/main" id="{00000000-0008-0000-0000-00007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723900</xdr:colOff>
          <xdr:row>76</xdr:row>
          <xdr:rowOff>314325</xdr:rowOff>
        </xdr:from>
        <xdr:to>
          <xdr:col>20</xdr:col>
          <xdr:colOff>990600</xdr:colOff>
          <xdr:row>78</xdr:row>
          <xdr:rowOff>85725</xdr:rowOff>
        </xdr:to>
        <xdr:sp macro="" textlink="">
          <xdr:nvSpPr>
            <xdr:cNvPr id="1911" name="Check Box 887" hidden="1">
              <a:extLst>
                <a:ext uri="{63B3BB69-23CF-44E3-9099-C40C66FF867C}">
                  <a14:compatExt spid="_x0000_s1911"/>
                </a:ext>
                <a:ext uri="{FF2B5EF4-FFF2-40B4-BE49-F238E27FC236}">
                  <a16:creationId xmlns:a16="http://schemas.microsoft.com/office/drawing/2014/main" id="{00000000-0008-0000-0000-00007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942975</xdr:colOff>
          <xdr:row>76</xdr:row>
          <xdr:rowOff>314325</xdr:rowOff>
        </xdr:from>
        <xdr:to>
          <xdr:col>20</xdr:col>
          <xdr:colOff>1219200</xdr:colOff>
          <xdr:row>78</xdr:row>
          <xdr:rowOff>85725</xdr:rowOff>
        </xdr:to>
        <xdr:sp macro="" textlink="">
          <xdr:nvSpPr>
            <xdr:cNvPr id="1912" name="Check Box 888" hidden="1">
              <a:extLst>
                <a:ext uri="{63B3BB69-23CF-44E3-9099-C40C66FF867C}">
                  <a14:compatExt spid="_x0000_s1912"/>
                </a:ext>
                <a:ext uri="{FF2B5EF4-FFF2-40B4-BE49-F238E27FC236}">
                  <a16:creationId xmlns:a16="http://schemas.microsoft.com/office/drawing/2014/main" id="{00000000-0008-0000-0000-000078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1314450</xdr:colOff>
          <xdr:row>76</xdr:row>
          <xdr:rowOff>314325</xdr:rowOff>
        </xdr:from>
        <xdr:to>
          <xdr:col>21</xdr:col>
          <xdr:colOff>38100</xdr:colOff>
          <xdr:row>78</xdr:row>
          <xdr:rowOff>85725</xdr:rowOff>
        </xdr:to>
        <xdr:sp macro="" textlink="">
          <xdr:nvSpPr>
            <xdr:cNvPr id="1913" name="Check Box 889" hidden="1">
              <a:extLst>
                <a:ext uri="{63B3BB69-23CF-44E3-9099-C40C66FF867C}">
                  <a14:compatExt spid="_x0000_s1913"/>
                </a:ext>
                <a:ext uri="{FF2B5EF4-FFF2-40B4-BE49-F238E27FC236}">
                  <a16:creationId xmlns:a16="http://schemas.microsoft.com/office/drawing/2014/main" id="{00000000-0008-0000-0000-000079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47625</xdr:colOff>
          <xdr:row>76</xdr:row>
          <xdr:rowOff>314325</xdr:rowOff>
        </xdr:from>
        <xdr:to>
          <xdr:col>21</xdr:col>
          <xdr:colOff>314325</xdr:colOff>
          <xdr:row>78</xdr:row>
          <xdr:rowOff>85725</xdr:rowOff>
        </xdr:to>
        <xdr:sp macro="" textlink="">
          <xdr:nvSpPr>
            <xdr:cNvPr id="1914" name="Check Box 890" hidden="1">
              <a:extLst>
                <a:ext uri="{63B3BB69-23CF-44E3-9099-C40C66FF867C}">
                  <a14:compatExt spid="_x0000_s1914"/>
                </a:ext>
                <a:ext uri="{FF2B5EF4-FFF2-40B4-BE49-F238E27FC236}">
                  <a16:creationId xmlns:a16="http://schemas.microsoft.com/office/drawing/2014/main" id="{00000000-0008-0000-0000-00007A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600075</xdr:colOff>
          <xdr:row>76</xdr:row>
          <xdr:rowOff>314325</xdr:rowOff>
        </xdr:from>
        <xdr:to>
          <xdr:col>21</xdr:col>
          <xdr:colOff>866775</xdr:colOff>
          <xdr:row>78</xdr:row>
          <xdr:rowOff>85725</xdr:rowOff>
        </xdr:to>
        <xdr:sp macro="" textlink="">
          <xdr:nvSpPr>
            <xdr:cNvPr id="1915" name="Check Box 891" hidden="1">
              <a:extLst>
                <a:ext uri="{63B3BB69-23CF-44E3-9099-C40C66FF867C}">
                  <a14:compatExt spid="_x0000_s1915"/>
                </a:ext>
                <a:ext uri="{FF2B5EF4-FFF2-40B4-BE49-F238E27FC236}">
                  <a16:creationId xmlns:a16="http://schemas.microsoft.com/office/drawing/2014/main" id="{00000000-0008-0000-0000-00007B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238125</xdr:colOff>
          <xdr:row>76</xdr:row>
          <xdr:rowOff>314325</xdr:rowOff>
        </xdr:from>
        <xdr:to>
          <xdr:col>21</xdr:col>
          <xdr:colOff>504825</xdr:colOff>
          <xdr:row>78</xdr:row>
          <xdr:rowOff>85725</xdr:rowOff>
        </xdr:to>
        <xdr:sp macro="" textlink="">
          <xdr:nvSpPr>
            <xdr:cNvPr id="1916" name="Check Box 892" hidden="1">
              <a:extLst>
                <a:ext uri="{63B3BB69-23CF-44E3-9099-C40C66FF867C}">
                  <a14:compatExt spid="_x0000_s1916"/>
                </a:ext>
                <a:ext uri="{FF2B5EF4-FFF2-40B4-BE49-F238E27FC236}">
                  <a16:creationId xmlns:a16="http://schemas.microsoft.com/office/drawing/2014/main" id="{00000000-0008-0000-0000-00007C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428625</xdr:colOff>
          <xdr:row>76</xdr:row>
          <xdr:rowOff>314325</xdr:rowOff>
        </xdr:from>
        <xdr:to>
          <xdr:col>21</xdr:col>
          <xdr:colOff>695325</xdr:colOff>
          <xdr:row>78</xdr:row>
          <xdr:rowOff>85725</xdr:rowOff>
        </xdr:to>
        <xdr:sp macro="" textlink="">
          <xdr:nvSpPr>
            <xdr:cNvPr id="1917" name="Check Box 893" hidden="1">
              <a:extLst>
                <a:ext uri="{63B3BB69-23CF-44E3-9099-C40C66FF867C}">
                  <a14:compatExt spid="_x0000_s1917"/>
                </a:ext>
                <a:ext uri="{FF2B5EF4-FFF2-40B4-BE49-F238E27FC236}">
                  <a16:creationId xmlns:a16="http://schemas.microsoft.com/office/drawing/2014/main" id="{00000000-0008-0000-0000-00007D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47625</xdr:colOff>
          <xdr:row>76</xdr:row>
          <xdr:rowOff>314325</xdr:rowOff>
        </xdr:from>
        <xdr:to>
          <xdr:col>22</xdr:col>
          <xdr:colOff>314325</xdr:colOff>
          <xdr:row>78</xdr:row>
          <xdr:rowOff>85725</xdr:rowOff>
        </xdr:to>
        <xdr:sp macro="" textlink="">
          <xdr:nvSpPr>
            <xdr:cNvPr id="1918" name="Check Box 894" hidden="1">
              <a:extLst>
                <a:ext uri="{63B3BB69-23CF-44E3-9099-C40C66FF867C}">
                  <a14:compatExt spid="_x0000_s1918"/>
                </a:ext>
                <a:ext uri="{FF2B5EF4-FFF2-40B4-BE49-F238E27FC236}">
                  <a16:creationId xmlns:a16="http://schemas.microsoft.com/office/drawing/2014/main" id="{00000000-0008-0000-0000-00007E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619125</xdr:colOff>
          <xdr:row>76</xdr:row>
          <xdr:rowOff>314325</xdr:rowOff>
        </xdr:from>
        <xdr:to>
          <xdr:col>22</xdr:col>
          <xdr:colOff>885825</xdr:colOff>
          <xdr:row>78</xdr:row>
          <xdr:rowOff>85725</xdr:rowOff>
        </xdr:to>
        <xdr:sp macro="" textlink="">
          <xdr:nvSpPr>
            <xdr:cNvPr id="1919" name="Check Box 895" hidden="1">
              <a:extLst>
                <a:ext uri="{63B3BB69-23CF-44E3-9099-C40C66FF867C}">
                  <a14:compatExt spid="_x0000_s1919"/>
                </a:ext>
                <a:ext uri="{FF2B5EF4-FFF2-40B4-BE49-F238E27FC236}">
                  <a16:creationId xmlns:a16="http://schemas.microsoft.com/office/drawing/2014/main" id="{00000000-0008-0000-0000-00007F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238125</xdr:colOff>
          <xdr:row>76</xdr:row>
          <xdr:rowOff>314325</xdr:rowOff>
        </xdr:from>
        <xdr:to>
          <xdr:col>22</xdr:col>
          <xdr:colOff>504825</xdr:colOff>
          <xdr:row>78</xdr:row>
          <xdr:rowOff>85725</xdr:rowOff>
        </xdr:to>
        <xdr:sp macro="" textlink="">
          <xdr:nvSpPr>
            <xdr:cNvPr id="1920" name="Check Box 896" hidden="1">
              <a:extLst>
                <a:ext uri="{63B3BB69-23CF-44E3-9099-C40C66FF867C}">
                  <a14:compatExt spid="_x0000_s1920"/>
                </a:ext>
                <a:ext uri="{FF2B5EF4-FFF2-40B4-BE49-F238E27FC236}">
                  <a16:creationId xmlns:a16="http://schemas.microsoft.com/office/drawing/2014/main" id="{00000000-0008-0000-0000-000080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428625</xdr:colOff>
          <xdr:row>76</xdr:row>
          <xdr:rowOff>314325</xdr:rowOff>
        </xdr:from>
        <xdr:to>
          <xdr:col>22</xdr:col>
          <xdr:colOff>695325</xdr:colOff>
          <xdr:row>78</xdr:row>
          <xdr:rowOff>85725</xdr:rowOff>
        </xdr:to>
        <xdr:sp macro="" textlink="">
          <xdr:nvSpPr>
            <xdr:cNvPr id="1921" name="Check Box 897" hidden="1">
              <a:extLst>
                <a:ext uri="{63B3BB69-23CF-44E3-9099-C40C66FF867C}">
                  <a14:compatExt spid="_x0000_s1921"/>
                </a:ext>
                <a:ext uri="{FF2B5EF4-FFF2-40B4-BE49-F238E27FC236}">
                  <a16:creationId xmlns:a16="http://schemas.microsoft.com/office/drawing/2014/main" id="{00000000-0008-0000-0000-000081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47625</xdr:colOff>
          <xdr:row>76</xdr:row>
          <xdr:rowOff>314325</xdr:rowOff>
        </xdr:from>
        <xdr:to>
          <xdr:col>23</xdr:col>
          <xdr:colOff>314325</xdr:colOff>
          <xdr:row>78</xdr:row>
          <xdr:rowOff>85725</xdr:rowOff>
        </xdr:to>
        <xdr:sp macro="" textlink="">
          <xdr:nvSpPr>
            <xdr:cNvPr id="1922" name="Check Box 898" hidden="1">
              <a:extLst>
                <a:ext uri="{63B3BB69-23CF-44E3-9099-C40C66FF867C}">
                  <a14:compatExt spid="_x0000_s1922"/>
                </a:ext>
                <a:ext uri="{FF2B5EF4-FFF2-40B4-BE49-F238E27FC236}">
                  <a16:creationId xmlns:a16="http://schemas.microsoft.com/office/drawing/2014/main" id="{00000000-0008-0000-0000-000082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619125</xdr:colOff>
          <xdr:row>76</xdr:row>
          <xdr:rowOff>314325</xdr:rowOff>
        </xdr:from>
        <xdr:to>
          <xdr:col>23</xdr:col>
          <xdr:colOff>885825</xdr:colOff>
          <xdr:row>78</xdr:row>
          <xdr:rowOff>85725</xdr:rowOff>
        </xdr:to>
        <xdr:sp macro="" textlink="">
          <xdr:nvSpPr>
            <xdr:cNvPr id="1923" name="Check Box 899" hidden="1">
              <a:extLst>
                <a:ext uri="{63B3BB69-23CF-44E3-9099-C40C66FF867C}">
                  <a14:compatExt spid="_x0000_s1923"/>
                </a:ext>
                <a:ext uri="{FF2B5EF4-FFF2-40B4-BE49-F238E27FC236}">
                  <a16:creationId xmlns:a16="http://schemas.microsoft.com/office/drawing/2014/main" id="{00000000-0008-0000-0000-000083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238125</xdr:colOff>
          <xdr:row>76</xdr:row>
          <xdr:rowOff>314325</xdr:rowOff>
        </xdr:from>
        <xdr:to>
          <xdr:col>23</xdr:col>
          <xdr:colOff>504825</xdr:colOff>
          <xdr:row>78</xdr:row>
          <xdr:rowOff>85725</xdr:rowOff>
        </xdr:to>
        <xdr:sp macro="" textlink="">
          <xdr:nvSpPr>
            <xdr:cNvPr id="1924" name="Check Box 900" hidden="1">
              <a:extLst>
                <a:ext uri="{63B3BB69-23CF-44E3-9099-C40C66FF867C}">
                  <a14:compatExt spid="_x0000_s1924"/>
                </a:ext>
                <a:ext uri="{FF2B5EF4-FFF2-40B4-BE49-F238E27FC236}">
                  <a16:creationId xmlns:a16="http://schemas.microsoft.com/office/drawing/2014/main" id="{00000000-0008-0000-0000-00008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428625</xdr:colOff>
          <xdr:row>76</xdr:row>
          <xdr:rowOff>314325</xdr:rowOff>
        </xdr:from>
        <xdr:to>
          <xdr:col>23</xdr:col>
          <xdr:colOff>695325</xdr:colOff>
          <xdr:row>78</xdr:row>
          <xdr:rowOff>85725</xdr:rowOff>
        </xdr:to>
        <xdr:sp macro="" textlink="">
          <xdr:nvSpPr>
            <xdr:cNvPr id="1925" name="Check Box 901" hidden="1">
              <a:extLst>
                <a:ext uri="{63B3BB69-23CF-44E3-9099-C40C66FF867C}">
                  <a14:compatExt spid="_x0000_s1925"/>
                </a:ext>
                <a:ext uri="{FF2B5EF4-FFF2-40B4-BE49-F238E27FC236}">
                  <a16:creationId xmlns:a16="http://schemas.microsoft.com/office/drawing/2014/main" id="{00000000-0008-0000-0000-00008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800100</xdr:colOff>
          <xdr:row>76</xdr:row>
          <xdr:rowOff>314325</xdr:rowOff>
        </xdr:from>
        <xdr:to>
          <xdr:col>23</xdr:col>
          <xdr:colOff>981075</xdr:colOff>
          <xdr:row>78</xdr:row>
          <xdr:rowOff>85725</xdr:rowOff>
        </xdr:to>
        <xdr:sp macro="" textlink="">
          <xdr:nvSpPr>
            <xdr:cNvPr id="1926" name="Check Box 902" hidden="1">
              <a:extLst>
                <a:ext uri="{63B3BB69-23CF-44E3-9099-C40C66FF867C}">
                  <a14:compatExt spid="_x0000_s1926"/>
                </a:ext>
                <a:ext uri="{FF2B5EF4-FFF2-40B4-BE49-F238E27FC236}">
                  <a16:creationId xmlns:a16="http://schemas.microsoft.com/office/drawing/2014/main" id="{00000000-0008-0000-0000-00008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47625</xdr:colOff>
          <xdr:row>76</xdr:row>
          <xdr:rowOff>314325</xdr:rowOff>
        </xdr:from>
        <xdr:to>
          <xdr:col>24</xdr:col>
          <xdr:colOff>314325</xdr:colOff>
          <xdr:row>78</xdr:row>
          <xdr:rowOff>85725</xdr:rowOff>
        </xdr:to>
        <xdr:sp macro="" textlink="">
          <xdr:nvSpPr>
            <xdr:cNvPr id="1927" name="Check Box 903" hidden="1">
              <a:extLst>
                <a:ext uri="{63B3BB69-23CF-44E3-9099-C40C66FF867C}">
                  <a14:compatExt spid="_x0000_s1927"/>
                </a:ext>
                <a:ext uri="{FF2B5EF4-FFF2-40B4-BE49-F238E27FC236}">
                  <a16:creationId xmlns:a16="http://schemas.microsoft.com/office/drawing/2014/main" id="{00000000-0008-0000-0000-00008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619125</xdr:colOff>
          <xdr:row>76</xdr:row>
          <xdr:rowOff>314325</xdr:rowOff>
        </xdr:from>
        <xdr:to>
          <xdr:col>24</xdr:col>
          <xdr:colOff>885825</xdr:colOff>
          <xdr:row>78</xdr:row>
          <xdr:rowOff>85725</xdr:rowOff>
        </xdr:to>
        <xdr:sp macro="" textlink="">
          <xdr:nvSpPr>
            <xdr:cNvPr id="1928" name="Check Box 904" hidden="1">
              <a:extLst>
                <a:ext uri="{63B3BB69-23CF-44E3-9099-C40C66FF867C}">
                  <a14:compatExt spid="_x0000_s1928"/>
                </a:ext>
                <a:ext uri="{FF2B5EF4-FFF2-40B4-BE49-F238E27FC236}">
                  <a16:creationId xmlns:a16="http://schemas.microsoft.com/office/drawing/2014/main" id="{00000000-0008-0000-0000-000088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238125</xdr:colOff>
          <xdr:row>76</xdr:row>
          <xdr:rowOff>314325</xdr:rowOff>
        </xdr:from>
        <xdr:to>
          <xdr:col>24</xdr:col>
          <xdr:colOff>504825</xdr:colOff>
          <xdr:row>78</xdr:row>
          <xdr:rowOff>85725</xdr:rowOff>
        </xdr:to>
        <xdr:sp macro="" textlink="">
          <xdr:nvSpPr>
            <xdr:cNvPr id="1929" name="Check Box 905" hidden="1">
              <a:extLst>
                <a:ext uri="{63B3BB69-23CF-44E3-9099-C40C66FF867C}">
                  <a14:compatExt spid="_x0000_s1929"/>
                </a:ext>
                <a:ext uri="{FF2B5EF4-FFF2-40B4-BE49-F238E27FC236}">
                  <a16:creationId xmlns:a16="http://schemas.microsoft.com/office/drawing/2014/main" id="{00000000-0008-0000-0000-000089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428625</xdr:colOff>
          <xdr:row>76</xdr:row>
          <xdr:rowOff>314325</xdr:rowOff>
        </xdr:from>
        <xdr:to>
          <xdr:col>24</xdr:col>
          <xdr:colOff>695325</xdr:colOff>
          <xdr:row>78</xdr:row>
          <xdr:rowOff>85725</xdr:rowOff>
        </xdr:to>
        <xdr:sp macro="" textlink="">
          <xdr:nvSpPr>
            <xdr:cNvPr id="1930" name="Check Box 906" hidden="1">
              <a:extLst>
                <a:ext uri="{63B3BB69-23CF-44E3-9099-C40C66FF867C}">
                  <a14:compatExt spid="_x0000_s1930"/>
                </a:ext>
                <a:ext uri="{FF2B5EF4-FFF2-40B4-BE49-F238E27FC236}">
                  <a16:creationId xmlns:a16="http://schemas.microsoft.com/office/drawing/2014/main" id="{00000000-0008-0000-0000-00008A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800100</xdr:colOff>
          <xdr:row>76</xdr:row>
          <xdr:rowOff>314325</xdr:rowOff>
        </xdr:from>
        <xdr:to>
          <xdr:col>24</xdr:col>
          <xdr:colOff>981075</xdr:colOff>
          <xdr:row>78</xdr:row>
          <xdr:rowOff>85725</xdr:rowOff>
        </xdr:to>
        <xdr:sp macro="" textlink="">
          <xdr:nvSpPr>
            <xdr:cNvPr id="1931" name="Check Box 907" hidden="1">
              <a:extLst>
                <a:ext uri="{63B3BB69-23CF-44E3-9099-C40C66FF867C}">
                  <a14:compatExt spid="_x0000_s1931"/>
                </a:ext>
                <a:ext uri="{FF2B5EF4-FFF2-40B4-BE49-F238E27FC236}">
                  <a16:creationId xmlns:a16="http://schemas.microsoft.com/office/drawing/2014/main" id="{00000000-0008-0000-0000-00008B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47625</xdr:colOff>
          <xdr:row>76</xdr:row>
          <xdr:rowOff>314325</xdr:rowOff>
        </xdr:from>
        <xdr:to>
          <xdr:col>25</xdr:col>
          <xdr:colOff>314325</xdr:colOff>
          <xdr:row>78</xdr:row>
          <xdr:rowOff>85725</xdr:rowOff>
        </xdr:to>
        <xdr:sp macro="" textlink="">
          <xdr:nvSpPr>
            <xdr:cNvPr id="1932" name="Check Box 908" hidden="1">
              <a:extLst>
                <a:ext uri="{63B3BB69-23CF-44E3-9099-C40C66FF867C}">
                  <a14:compatExt spid="_x0000_s1932"/>
                </a:ext>
                <a:ext uri="{FF2B5EF4-FFF2-40B4-BE49-F238E27FC236}">
                  <a16:creationId xmlns:a16="http://schemas.microsoft.com/office/drawing/2014/main" id="{00000000-0008-0000-0000-00008C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619125</xdr:colOff>
          <xdr:row>76</xdr:row>
          <xdr:rowOff>314325</xdr:rowOff>
        </xdr:from>
        <xdr:to>
          <xdr:col>25</xdr:col>
          <xdr:colOff>885825</xdr:colOff>
          <xdr:row>78</xdr:row>
          <xdr:rowOff>85725</xdr:rowOff>
        </xdr:to>
        <xdr:sp macro="" textlink="">
          <xdr:nvSpPr>
            <xdr:cNvPr id="1933" name="Check Box 909" hidden="1">
              <a:extLst>
                <a:ext uri="{63B3BB69-23CF-44E3-9099-C40C66FF867C}">
                  <a14:compatExt spid="_x0000_s1933"/>
                </a:ext>
                <a:ext uri="{FF2B5EF4-FFF2-40B4-BE49-F238E27FC236}">
                  <a16:creationId xmlns:a16="http://schemas.microsoft.com/office/drawing/2014/main" id="{00000000-0008-0000-0000-00008D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238125</xdr:colOff>
          <xdr:row>76</xdr:row>
          <xdr:rowOff>314325</xdr:rowOff>
        </xdr:from>
        <xdr:to>
          <xdr:col>25</xdr:col>
          <xdr:colOff>504825</xdr:colOff>
          <xdr:row>78</xdr:row>
          <xdr:rowOff>85725</xdr:rowOff>
        </xdr:to>
        <xdr:sp macro="" textlink="">
          <xdr:nvSpPr>
            <xdr:cNvPr id="1934" name="Check Box 910" hidden="1">
              <a:extLst>
                <a:ext uri="{63B3BB69-23CF-44E3-9099-C40C66FF867C}">
                  <a14:compatExt spid="_x0000_s1934"/>
                </a:ext>
                <a:ext uri="{FF2B5EF4-FFF2-40B4-BE49-F238E27FC236}">
                  <a16:creationId xmlns:a16="http://schemas.microsoft.com/office/drawing/2014/main" id="{00000000-0008-0000-0000-00008E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428625</xdr:colOff>
          <xdr:row>76</xdr:row>
          <xdr:rowOff>314325</xdr:rowOff>
        </xdr:from>
        <xdr:to>
          <xdr:col>25</xdr:col>
          <xdr:colOff>695325</xdr:colOff>
          <xdr:row>78</xdr:row>
          <xdr:rowOff>85725</xdr:rowOff>
        </xdr:to>
        <xdr:sp macro="" textlink="">
          <xdr:nvSpPr>
            <xdr:cNvPr id="1935" name="Check Box 911" hidden="1">
              <a:extLst>
                <a:ext uri="{63B3BB69-23CF-44E3-9099-C40C66FF867C}">
                  <a14:compatExt spid="_x0000_s1935"/>
                </a:ext>
                <a:ext uri="{FF2B5EF4-FFF2-40B4-BE49-F238E27FC236}">
                  <a16:creationId xmlns:a16="http://schemas.microsoft.com/office/drawing/2014/main" id="{00000000-0008-0000-0000-00008F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800100</xdr:colOff>
          <xdr:row>76</xdr:row>
          <xdr:rowOff>314325</xdr:rowOff>
        </xdr:from>
        <xdr:to>
          <xdr:col>25</xdr:col>
          <xdr:colOff>981075</xdr:colOff>
          <xdr:row>78</xdr:row>
          <xdr:rowOff>85725</xdr:rowOff>
        </xdr:to>
        <xdr:sp macro="" textlink="">
          <xdr:nvSpPr>
            <xdr:cNvPr id="1936" name="Check Box 912" hidden="1">
              <a:extLst>
                <a:ext uri="{63B3BB69-23CF-44E3-9099-C40C66FF867C}">
                  <a14:compatExt spid="_x0000_s1936"/>
                </a:ext>
                <a:ext uri="{FF2B5EF4-FFF2-40B4-BE49-F238E27FC236}">
                  <a16:creationId xmlns:a16="http://schemas.microsoft.com/office/drawing/2014/main" id="{00000000-0008-0000-0000-000090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800100</xdr:colOff>
          <xdr:row>76</xdr:row>
          <xdr:rowOff>314325</xdr:rowOff>
        </xdr:from>
        <xdr:to>
          <xdr:col>22</xdr:col>
          <xdr:colOff>981075</xdr:colOff>
          <xdr:row>78</xdr:row>
          <xdr:rowOff>85725</xdr:rowOff>
        </xdr:to>
        <xdr:sp macro="" textlink="">
          <xdr:nvSpPr>
            <xdr:cNvPr id="1937" name="Check Box 913" hidden="1">
              <a:extLst>
                <a:ext uri="{63B3BB69-23CF-44E3-9099-C40C66FF867C}">
                  <a14:compatExt spid="_x0000_s1937"/>
                </a:ext>
                <a:ext uri="{FF2B5EF4-FFF2-40B4-BE49-F238E27FC236}">
                  <a16:creationId xmlns:a16="http://schemas.microsoft.com/office/drawing/2014/main" id="{00000000-0008-0000-0000-000091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771525</xdr:colOff>
          <xdr:row>76</xdr:row>
          <xdr:rowOff>314325</xdr:rowOff>
        </xdr:from>
        <xdr:to>
          <xdr:col>22</xdr:col>
          <xdr:colOff>9525</xdr:colOff>
          <xdr:row>78</xdr:row>
          <xdr:rowOff>85725</xdr:rowOff>
        </xdr:to>
        <xdr:sp macro="" textlink="">
          <xdr:nvSpPr>
            <xdr:cNvPr id="1938" name="Check Box 914" hidden="1">
              <a:extLst>
                <a:ext uri="{63B3BB69-23CF-44E3-9099-C40C66FF867C}">
                  <a14:compatExt spid="_x0000_s1938"/>
                </a:ext>
                <a:ext uri="{FF2B5EF4-FFF2-40B4-BE49-F238E27FC236}">
                  <a16:creationId xmlns:a16="http://schemas.microsoft.com/office/drawing/2014/main" id="{00000000-0008-0000-0000-000092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495300</xdr:colOff>
          <xdr:row>90</xdr:row>
          <xdr:rowOff>314325</xdr:rowOff>
        </xdr:from>
        <xdr:to>
          <xdr:col>20</xdr:col>
          <xdr:colOff>762000</xdr:colOff>
          <xdr:row>92</xdr:row>
          <xdr:rowOff>85725</xdr:rowOff>
        </xdr:to>
        <xdr:sp macro="" textlink="">
          <xdr:nvSpPr>
            <xdr:cNvPr id="1939" name="Check Box 915" hidden="1">
              <a:extLst>
                <a:ext uri="{63B3BB69-23CF-44E3-9099-C40C66FF867C}">
                  <a14:compatExt spid="_x0000_s1939"/>
                </a:ext>
                <a:ext uri="{FF2B5EF4-FFF2-40B4-BE49-F238E27FC236}">
                  <a16:creationId xmlns:a16="http://schemas.microsoft.com/office/drawing/2014/main" id="{00000000-0008-0000-0000-000093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1066800</xdr:colOff>
          <xdr:row>90</xdr:row>
          <xdr:rowOff>314325</xdr:rowOff>
        </xdr:from>
        <xdr:to>
          <xdr:col>20</xdr:col>
          <xdr:colOff>1333500</xdr:colOff>
          <xdr:row>92</xdr:row>
          <xdr:rowOff>85725</xdr:rowOff>
        </xdr:to>
        <xdr:sp macro="" textlink="">
          <xdr:nvSpPr>
            <xdr:cNvPr id="1940" name="Check Box 916" hidden="1">
              <a:extLst>
                <a:ext uri="{63B3BB69-23CF-44E3-9099-C40C66FF867C}">
                  <a14:compatExt spid="_x0000_s1940"/>
                </a:ext>
                <a:ext uri="{FF2B5EF4-FFF2-40B4-BE49-F238E27FC236}">
                  <a16:creationId xmlns:a16="http://schemas.microsoft.com/office/drawing/2014/main" id="{00000000-0008-0000-0000-00009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685800</xdr:colOff>
          <xdr:row>90</xdr:row>
          <xdr:rowOff>314325</xdr:rowOff>
        </xdr:from>
        <xdr:to>
          <xdr:col>20</xdr:col>
          <xdr:colOff>952500</xdr:colOff>
          <xdr:row>92</xdr:row>
          <xdr:rowOff>85725</xdr:rowOff>
        </xdr:to>
        <xdr:sp macro="" textlink="">
          <xdr:nvSpPr>
            <xdr:cNvPr id="1941" name="Check Box 917" hidden="1">
              <a:extLst>
                <a:ext uri="{63B3BB69-23CF-44E3-9099-C40C66FF867C}">
                  <a14:compatExt spid="_x0000_s1941"/>
                </a:ext>
                <a:ext uri="{FF2B5EF4-FFF2-40B4-BE49-F238E27FC236}">
                  <a16:creationId xmlns:a16="http://schemas.microsoft.com/office/drawing/2014/main" id="{00000000-0008-0000-0000-00009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876300</xdr:colOff>
          <xdr:row>90</xdr:row>
          <xdr:rowOff>314325</xdr:rowOff>
        </xdr:from>
        <xdr:to>
          <xdr:col>20</xdr:col>
          <xdr:colOff>1143000</xdr:colOff>
          <xdr:row>92</xdr:row>
          <xdr:rowOff>85725</xdr:rowOff>
        </xdr:to>
        <xdr:sp macro="" textlink="">
          <xdr:nvSpPr>
            <xdr:cNvPr id="1942" name="Check Box 918" hidden="1">
              <a:extLst>
                <a:ext uri="{63B3BB69-23CF-44E3-9099-C40C66FF867C}">
                  <a14:compatExt spid="_x0000_s1942"/>
                </a:ext>
                <a:ext uri="{FF2B5EF4-FFF2-40B4-BE49-F238E27FC236}">
                  <a16:creationId xmlns:a16="http://schemas.microsoft.com/office/drawing/2014/main" id="{00000000-0008-0000-0000-00009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1247775</xdr:colOff>
          <xdr:row>90</xdr:row>
          <xdr:rowOff>314325</xdr:rowOff>
        </xdr:from>
        <xdr:to>
          <xdr:col>20</xdr:col>
          <xdr:colOff>1428750</xdr:colOff>
          <xdr:row>92</xdr:row>
          <xdr:rowOff>85725</xdr:rowOff>
        </xdr:to>
        <xdr:sp macro="" textlink="">
          <xdr:nvSpPr>
            <xdr:cNvPr id="1943" name="Check Box 919" hidden="1">
              <a:extLst>
                <a:ext uri="{63B3BB69-23CF-44E3-9099-C40C66FF867C}">
                  <a14:compatExt spid="_x0000_s1943"/>
                </a:ext>
                <a:ext uri="{FF2B5EF4-FFF2-40B4-BE49-F238E27FC236}">
                  <a16:creationId xmlns:a16="http://schemas.microsoft.com/office/drawing/2014/main" id="{00000000-0008-0000-0000-00009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47625</xdr:colOff>
          <xdr:row>90</xdr:row>
          <xdr:rowOff>314325</xdr:rowOff>
        </xdr:from>
        <xdr:to>
          <xdr:col>21</xdr:col>
          <xdr:colOff>314325</xdr:colOff>
          <xdr:row>92</xdr:row>
          <xdr:rowOff>85725</xdr:rowOff>
        </xdr:to>
        <xdr:sp macro="" textlink="">
          <xdr:nvSpPr>
            <xdr:cNvPr id="1944" name="Check Box 920" hidden="1">
              <a:extLst>
                <a:ext uri="{63B3BB69-23CF-44E3-9099-C40C66FF867C}">
                  <a14:compatExt spid="_x0000_s1944"/>
                </a:ext>
                <a:ext uri="{FF2B5EF4-FFF2-40B4-BE49-F238E27FC236}">
                  <a16:creationId xmlns:a16="http://schemas.microsoft.com/office/drawing/2014/main" id="{00000000-0008-0000-0000-000098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600075</xdr:colOff>
          <xdr:row>90</xdr:row>
          <xdr:rowOff>314325</xdr:rowOff>
        </xdr:from>
        <xdr:to>
          <xdr:col>21</xdr:col>
          <xdr:colOff>866775</xdr:colOff>
          <xdr:row>92</xdr:row>
          <xdr:rowOff>85725</xdr:rowOff>
        </xdr:to>
        <xdr:sp macro="" textlink="">
          <xdr:nvSpPr>
            <xdr:cNvPr id="1945" name="Check Box 921" hidden="1">
              <a:extLst>
                <a:ext uri="{63B3BB69-23CF-44E3-9099-C40C66FF867C}">
                  <a14:compatExt spid="_x0000_s1945"/>
                </a:ext>
                <a:ext uri="{FF2B5EF4-FFF2-40B4-BE49-F238E27FC236}">
                  <a16:creationId xmlns:a16="http://schemas.microsoft.com/office/drawing/2014/main" id="{00000000-0008-0000-0000-000099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238125</xdr:colOff>
          <xdr:row>90</xdr:row>
          <xdr:rowOff>314325</xdr:rowOff>
        </xdr:from>
        <xdr:to>
          <xdr:col>21</xdr:col>
          <xdr:colOff>504825</xdr:colOff>
          <xdr:row>92</xdr:row>
          <xdr:rowOff>85725</xdr:rowOff>
        </xdr:to>
        <xdr:sp macro="" textlink="">
          <xdr:nvSpPr>
            <xdr:cNvPr id="1946" name="Check Box 922" hidden="1">
              <a:extLst>
                <a:ext uri="{63B3BB69-23CF-44E3-9099-C40C66FF867C}">
                  <a14:compatExt spid="_x0000_s1946"/>
                </a:ext>
                <a:ext uri="{FF2B5EF4-FFF2-40B4-BE49-F238E27FC236}">
                  <a16:creationId xmlns:a16="http://schemas.microsoft.com/office/drawing/2014/main" id="{00000000-0008-0000-0000-00009A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428625</xdr:colOff>
          <xdr:row>90</xdr:row>
          <xdr:rowOff>314325</xdr:rowOff>
        </xdr:from>
        <xdr:to>
          <xdr:col>21</xdr:col>
          <xdr:colOff>695325</xdr:colOff>
          <xdr:row>92</xdr:row>
          <xdr:rowOff>85725</xdr:rowOff>
        </xdr:to>
        <xdr:sp macro="" textlink="">
          <xdr:nvSpPr>
            <xdr:cNvPr id="1947" name="Check Box 923" hidden="1">
              <a:extLst>
                <a:ext uri="{63B3BB69-23CF-44E3-9099-C40C66FF867C}">
                  <a14:compatExt spid="_x0000_s1947"/>
                </a:ext>
                <a:ext uri="{FF2B5EF4-FFF2-40B4-BE49-F238E27FC236}">
                  <a16:creationId xmlns:a16="http://schemas.microsoft.com/office/drawing/2014/main" id="{00000000-0008-0000-0000-00009B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47625</xdr:colOff>
          <xdr:row>90</xdr:row>
          <xdr:rowOff>314325</xdr:rowOff>
        </xdr:from>
        <xdr:to>
          <xdr:col>22</xdr:col>
          <xdr:colOff>314325</xdr:colOff>
          <xdr:row>92</xdr:row>
          <xdr:rowOff>85725</xdr:rowOff>
        </xdr:to>
        <xdr:sp macro="" textlink="">
          <xdr:nvSpPr>
            <xdr:cNvPr id="1948" name="Check Box 924" hidden="1">
              <a:extLst>
                <a:ext uri="{63B3BB69-23CF-44E3-9099-C40C66FF867C}">
                  <a14:compatExt spid="_x0000_s1948"/>
                </a:ext>
                <a:ext uri="{FF2B5EF4-FFF2-40B4-BE49-F238E27FC236}">
                  <a16:creationId xmlns:a16="http://schemas.microsoft.com/office/drawing/2014/main" id="{00000000-0008-0000-0000-00009C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619125</xdr:colOff>
          <xdr:row>90</xdr:row>
          <xdr:rowOff>314325</xdr:rowOff>
        </xdr:from>
        <xdr:to>
          <xdr:col>22</xdr:col>
          <xdr:colOff>885825</xdr:colOff>
          <xdr:row>92</xdr:row>
          <xdr:rowOff>85725</xdr:rowOff>
        </xdr:to>
        <xdr:sp macro="" textlink="">
          <xdr:nvSpPr>
            <xdr:cNvPr id="1949" name="Check Box 925" hidden="1">
              <a:extLst>
                <a:ext uri="{63B3BB69-23CF-44E3-9099-C40C66FF867C}">
                  <a14:compatExt spid="_x0000_s1949"/>
                </a:ext>
                <a:ext uri="{FF2B5EF4-FFF2-40B4-BE49-F238E27FC236}">
                  <a16:creationId xmlns:a16="http://schemas.microsoft.com/office/drawing/2014/main" id="{00000000-0008-0000-0000-00009D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238125</xdr:colOff>
          <xdr:row>90</xdr:row>
          <xdr:rowOff>314325</xdr:rowOff>
        </xdr:from>
        <xdr:to>
          <xdr:col>22</xdr:col>
          <xdr:colOff>504825</xdr:colOff>
          <xdr:row>92</xdr:row>
          <xdr:rowOff>85725</xdr:rowOff>
        </xdr:to>
        <xdr:sp macro="" textlink="">
          <xdr:nvSpPr>
            <xdr:cNvPr id="1950" name="Check Box 926" hidden="1">
              <a:extLst>
                <a:ext uri="{63B3BB69-23CF-44E3-9099-C40C66FF867C}">
                  <a14:compatExt spid="_x0000_s1950"/>
                </a:ext>
                <a:ext uri="{FF2B5EF4-FFF2-40B4-BE49-F238E27FC236}">
                  <a16:creationId xmlns:a16="http://schemas.microsoft.com/office/drawing/2014/main" id="{00000000-0008-0000-0000-00009E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428625</xdr:colOff>
          <xdr:row>90</xdr:row>
          <xdr:rowOff>314325</xdr:rowOff>
        </xdr:from>
        <xdr:to>
          <xdr:col>22</xdr:col>
          <xdr:colOff>695325</xdr:colOff>
          <xdr:row>92</xdr:row>
          <xdr:rowOff>85725</xdr:rowOff>
        </xdr:to>
        <xdr:sp macro="" textlink="">
          <xdr:nvSpPr>
            <xdr:cNvPr id="1951" name="Check Box 927" hidden="1">
              <a:extLst>
                <a:ext uri="{63B3BB69-23CF-44E3-9099-C40C66FF867C}">
                  <a14:compatExt spid="_x0000_s1951"/>
                </a:ext>
                <a:ext uri="{FF2B5EF4-FFF2-40B4-BE49-F238E27FC236}">
                  <a16:creationId xmlns:a16="http://schemas.microsoft.com/office/drawing/2014/main" id="{00000000-0008-0000-0000-00009F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47625</xdr:colOff>
          <xdr:row>90</xdr:row>
          <xdr:rowOff>314325</xdr:rowOff>
        </xdr:from>
        <xdr:to>
          <xdr:col>23</xdr:col>
          <xdr:colOff>314325</xdr:colOff>
          <xdr:row>92</xdr:row>
          <xdr:rowOff>85725</xdr:rowOff>
        </xdr:to>
        <xdr:sp macro="" textlink="">
          <xdr:nvSpPr>
            <xdr:cNvPr id="1952" name="Check Box 928" hidden="1">
              <a:extLst>
                <a:ext uri="{63B3BB69-23CF-44E3-9099-C40C66FF867C}">
                  <a14:compatExt spid="_x0000_s1952"/>
                </a:ext>
                <a:ext uri="{FF2B5EF4-FFF2-40B4-BE49-F238E27FC236}">
                  <a16:creationId xmlns:a16="http://schemas.microsoft.com/office/drawing/2014/main" id="{00000000-0008-0000-0000-0000A0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619125</xdr:colOff>
          <xdr:row>90</xdr:row>
          <xdr:rowOff>314325</xdr:rowOff>
        </xdr:from>
        <xdr:to>
          <xdr:col>23</xdr:col>
          <xdr:colOff>885825</xdr:colOff>
          <xdr:row>92</xdr:row>
          <xdr:rowOff>85725</xdr:rowOff>
        </xdr:to>
        <xdr:sp macro="" textlink="">
          <xdr:nvSpPr>
            <xdr:cNvPr id="1953" name="Check Box 929" hidden="1">
              <a:extLst>
                <a:ext uri="{63B3BB69-23CF-44E3-9099-C40C66FF867C}">
                  <a14:compatExt spid="_x0000_s1953"/>
                </a:ext>
                <a:ext uri="{FF2B5EF4-FFF2-40B4-BE49-F238E27FC236}">
                  <a16:creationId xmlns:a16="http://schemas.microsoft.com/office/drawing/2014/main" id="{00000000-0008-0000-0000-0000A1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238125</xdr:colOff>
          <xdr:row>90</xdr:row>
          <xdr:rowOff>314325</xdr:rowOff>
        </xdr:from>
        <xdr:to>
          <xdr:col>23</xdr:col>
          <xdr:colOff>504825</xdr:colOff>
          <xdr:row>92</xdr:row>
          <xdr:rowOff>85725</xdr:rowOff>
        </xdr:to>
        <xdr:sp macro="" textlink="">
          <xdr:nvSpPr>
            <xdr:cNvPr id="1954" name="Check Box 930" hidden="1">
              <a:extLst>
                <a:ext uri="{63B3BB69-23CF-44E3-9099-C40C66FF867C}">
                  <a14:compatExt spid="_x0000_s1954"/>
                </a:ext>
                <a:ext uri="{FF2B5EF4-FFF2-40B4-BE49-F238E27FC236}">
                  <a16:creationId xmlns:a16="http://schemas.microsoft.com/office/drawing/2014/main" id="{00000000-0008-0000-0000-0000A2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428625</xdr:colOff>
          <xdr:row>90</xdr:row>
          <xdr:rowOff>314325</xdr:rowOff>
        </xdr:from>
        <xdr:to>
          <xdr:col>23</xdr:col>
          <xdr:colOff>695325</xdr:colOff>
          <xdr:row>92</xdr:row>
          <xdr:rowOff>85725</xdr:rowOff>
        </xdr:to>
        <xdr:sp macro="" textlink="">
          <xdr:nvSpPr>
            <xdr:cNvPr id="1955" name="Check Box 931" hidden="1">
              <a:extLst>
                <a:ext uri="{63B3BB69-23CF-44E3-9099-C40C66FF867C}">
                  <a14:compatExt spid="_x0000_s1955"/>
                </a:ext>
                <a:ext uri="{FF2B5EF4-FFF2-40B4-BE49-F238E27FC236}">
                  <a16:creationId xmlns:a16="http://schemas.microsoft.com/office/drawing/2014/main" id="{00000000-0008-0000-0000-0000A3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800100</xdr:colOff>
          <xdr:row>90</xdr:row>
          <xdr:rowOff>314325</xdr:rowOff>
        </xdr:from>
        <xdr:to>
          <xdr:col>23</xdr:col>
          <xdr:colOff>981075</xdr:colOff>
          <xdr:row>92</xdr:row>
          <xdr:rowOff>85725</xdr:rowOff>
        </xdr:to>
        <xdr:sp macro="" textlink="">
          <xdr:nvSpPr>
            <xdr:cNvPr id="1956" name="Check Box 932" hidden="1">
              <a:extLst>
                <a:ext uri="{63B3BB69-23CF-44E3-9099-C40C66FF867C}">
                  <a14:compatExt spid="_x0000_s1956"/>
                </a:ext>
                <a:ext uri="{FF2B5EF4-FFF2-40B4-BE49-F238E27FC236}">
                  <a16:creationId xmlns:a16="http://schemas.microsoft.com/office/drawing/2014/main" id="{00000000-0008-0000-0000-0000A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47625</xdr:colOff>
          <xdr:row>90</xdr:row>
          <xdr:rowOff>314325</xdr:rowOff>
        </xdr:from>
        <xdr:to>
          <xdr:col>24</xdr:col>
          <xdr:colOff>314325</xdr:colOff>
          <xdr:row>92</xdr:row>
          <xdr:rowOff>85725</xdr:rowOff>
        </xdr:to>
        <xdr:sp macro="" textlink="">
          <xdr:nvSpPr>
            <xdr:cNvPr id="1957" name="Check Box 933" hidden="1">
              <a:extLst>
                <a:ext uri="{63B3BB69-23CF-44E3-9099-C40C66FF867C}">
                  <a14:compatExt spid="_x0000_s1957"/>
                </a:ext>
                <a:ext uri="{FF2B5EF4-FFF2-40B4-BE49-F238E27FC236}">
                  <a16:creationId xmlns:a16="http://schemas.microsoft.com/office/drawing/2014/main" id="{00000000-0008-0000-0000-0000A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619125</xdr:colOff>
          <xdr:row>90</xdr:row>
          <xdr:rowOff>314325</xdr:rowOff>
        </xdr:from>
        <xdr:to>
          <xdr:col>24</xdr:col>
          <xdr:colOff>885825</xdr:colOff>
          <xdr:row>92</xdr:row>
          <xdr:rowOff>85725</xdr:rowOff>
        </xdr:to>
        <xdr:sp macro="" textlink="">
          <xdr:nvSpPr>
            <xdr:cNvPr id="1958" name="Check Box 934" hidden="1">
              <a:extLst>
                <a:ext uri="{63B3BB69-23CF-44E3-9099-C40C66FF867C}">
                  <a14:compatExt spid="_x0000_s1958"/>
                </a:ext>
                <a:ext uri="{FF2B5EF4-FFF2-40B4-BE49-F238E27FC236}">
                  <a16:creationId xmlns:a16="http://schemas.microsoft.com/office/drawing/2014/main" id="{00000000-0008-0000-0000-0000A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238125</xdr:colOff>
          <xdr:row>90</xdr:row>
          <xdr:rowOff>314325</xdr:rowOff>
        </xdr:from>
        <xdr:to>
          <xdr:col>24</xdr:col>
          <xdr:colOff>504825</xdr:colOff>
          <xdr:row>92</xdr:row>
          <xdr:rowOff>85725</xdr:rowOff>
        </xdr:to>
        <xdr:sp macro="" textlink="">
          <xdr:nvSpPr>
            <xdr:cNvPr id="1959" name="Check Box 935" hidden="1">
              <a:extLst>
                <a:ext uri="{63B3BB69-23CF-44E3-9099-C40C66FF867C}">
                  <a14:compatExt spid="_x0000_s1959"/>
                </a:ext>
                <a:ext uri="{FF2B5EF4-FFF2-40B4-BE49-F238E27FC236}">
                  <a16:creationId xmlns:a16="http://schemas.microsoft.com/office/drawing/2014/main" id="{00000000-0008-0000-0000-0000A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428625</xdr:colOff>
          <xdr:row>90</xdr:row>
          <xdr:rowOff>314325</xdr:rowOff>
        </xdr:from>
        <xdr:to>
          <xdr:col>24</xdr:col>
          <xdr:colOff>695325</xdr:colOff>
          <xdr:row>92</xdr:row>
          <xdr:rowOff>85725</xdr:rowOff>
        </xdr:to>
        <xdr:sp macro="" textlink="">
          <xdr:nvSpPr>
            <xdr:cNvPr id="1960" name="Check Box 936" hidden="1">
              <a:extLst>
                <a:ext uri="{63B3BB69-23CF-44E3-9099-C40C66FF867C}">
                  <a14:compatExt spid="_x0000_s1960"/>
                </a:ext>
                <a:ext uri="{FF2B5EF4-FFF2-40B4-BE49-F238E27FC236}">
                  <a16:creationId xmlns:a16="http://schemas.microsoft.com/office/drawing/2014/main" id="{00000000-0008-0000-0000-0000A8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800100</xdr:colOff>
          <xdr:row>90</xdr:row>
          <xdr:rowOff>314325</xdr:rowOff>
        </xdr:from>
        <xdr:to>
          <xdr:col>24</xdr:col>
          <xdr:colOff>981075</xdr:colOff>
          <xdr:row>92</xdr:row>
          <xdr:rowOff>85725</xdr:rowOff>
        </xdr:to>
        <xdr:sp macro="" textlink="">
          <xdr:nvSpPr>
            <xdr:cNvPr id="1961" name="Check Box 937" hidden="1">
              <a:extLst>
                <a:ext uri="{63B3BB69-23CF-44E3-9099-C40C66FF867C}">
                  <a14:compatExt spid="_x0000_s1961"/>
                </a:ext>
                <a:ext uri="{FF2B5EF4-FFF2-40B4-BE49-F238E27FC236}">
                  <a16:creationId xmlns:a16="http://schemas.microsoft.com/office/drawing/2014/main" id="{00000000-0008-0000-0000-0000A9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47625</xdr:colOff>
          <xdr:row>90</xdr:row>
          <xdr:rowOff>314325</xdr:rowOff>
        </xdr:from>
        <xdr:to>
          <xdr:col>25</xdr:col>
          <xdr:colOff>314325</xdr:colOff>
          <xdr:row>92</xdr:row>
          <xdr:rowOff>85725</xdr:rowOff>
        </xdr:to>
        <xdr:sp macro="" textlink="">
          <xdr:nvSpPr>
            <xdr:cNvPr id="1962" name="Check Box 938" hidden="1">
              <a:extLst>
                <a:ext uri="{63B3BB69-23CF-44E3-9099-C40C66FF867C}">
                  <a14:compatExt spid="_x0000_s1962"/>
                </a:ext>
                <a:ext uri="{FF2B5EF4-FFF2-40B4-BE49-F238E27FC236}">
                  <a16:creationId xmlns:a16="http://schemas.microsoft.com/office/drawing/2014/main" id="{00000000-0008-0000-0000-0000AA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619125</xdr:colOff>
          <xdr:row>90</xdr:row>
          <xdr:rowOff>314325</xdr:rowOff>
        </xdr:from>
        <xdr:to>
          <xdr:col>25</xdr:col>
          <xdr:colOff>885825</xdr:colOff>
          <xdr:row>92</xdr:row>
          <xdr:rowOff>85725</xdr:rowOff>
        </xdr:to>
        <xdr:sp macro="" textlink="">
          <xdr:nvSpPr>
            <xdr:cNvPr id="1963" name="Check Box 939" hidden="1">
              <a:extLst>
                <a:ext uri="{63B3BB69-23CF-44E3-9099-C40C66FF867C}">
                  <a14:compatExt spid="_x0000_s1963"/>
                </a:ext>
                <a:ext uri="{FF2B5EF4-FFF2-40B4-BE49-F238E27FC236}">
                  <a16:creationId xmlns:a16="http://schemas.microsoft.com/office/drawing/2014/main" id="{00000000-0008-0000-0000-0000AB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238125</xdr:colOff>
          <xdr:row>90</xdr:row>
          <xdr:rowOff>314325</xdr:rowOff>
        </xdr:from>
        <xdr:to>
          <xdr:col>25</xdr:col>
          <xdr:colOff>504825</xdr:colOff>
          <xdr:row>92</xdr:row>
          <xdr:rowOff>85725</xdr:rowOff>
        </xdr:to>
        <xdr:sp macro="" textlink="">
          <xdr:nvSpPr>
            <xdr:cNvPr id="1964" name="Check Box 940" hidden="1">
              <a:extLst>
                <a:ext uri="{63B3BB69-23CF-44E3-9099-C40C66FF867C}">
                  <a14:compatExt spid="_x0000_s1964"/>
                </a:ext>
                <a:ext uri="{FF2B5EF4-FFF2-40B4-BE49-F238E27FC236}">
                  <a16:creationId xmlns:a16="http://schemas.microsoft.com/office/drawing/2014/main" id="{00000000-0008-0000-0000-0000AC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428625</xdr:colOff>
          <xdr:row>90</xdr:row>
          <xdr:rowOff>314325</xdr:rowOff>
        </xdr:from>
        <xdr:to>
          <xdr:col>25</xdr:col>
          <xdr:colOff>695325</xdr:colOff>
          <xdr:row>92</xdr:row>
          <xdr:rowOff>85725</xdr:rowOff>
        </xdr:to>
        <xdr:sp macro="" textlink="">
          <xdr:nvSpPr>
            <xdr:cNvPr id="1965" name="Check Box 941" hidden="1">
              <a:extLst>
                <a:ext uri="{63B3BB69-23CF-44E3-9099-C40C66FF867C}">
                  <a14:compatExt spid="_x0000_s1965"/>
                </a:ext>
                <a:ext uri="{FF2B5EF4-FFF2-40B4-BE49-F238E27FC236}">
                  <a16:creationId xmlns:a16="http://schemas.microsoft.com/office/drawing/2014/main" id="{00000000-0008-0000-0000-0000AD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800100</xdr:colOff>
          <xdr:row>90</xdr:row>
          <xdr:rowOff>314325</xdr:rowOff>
        </xdr:from>
        <xdr:to>
          <xdr:col>25</xdr:col>
          <xdr:colOff>981075</xdr:colOff>
          <xdr:row>92</xdr:row>
          <xdr:rowOff>85725</xdr:rowOff>
        </xdr:to>
        <xdr:sp macro="" textlink="">
          <xdr:nvSpPr>
            <xdr:cNvPr id="1966" name="Check Box 942" hidden="1">
              <a:extLst>
                <a:ext uri="{63B3BB69-23CF-44E3-9099-C40C66FF867C}">
                  <a14:compatExt spid="_x0000_s1966"/>
                </a:ext>
                <a:ext uri="{FF2B5EF4-FFF2-40B4-BE49-F238E27FC236}">
                  <a16:creationId xmlns:a16="http://schemas.microsoft.com/office/drawing/2014/main" id="{00000000-0008-0000-0000-0000AE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800100</xdr:colOff>
          <xdr:row>90</xdr:row>
          <xdr:rowOff>314325</xdr:rowOff>
        </xdr:from>
        <xdr:to>
          <xdr:col>22</xdr:col>
          <xdr:colOff>981075</xdr:colOff>
          <xdr:row>92</xdr:row>
          <xdr:rowOff>85725</xdr:rowOff>
        </xdr:to>
        <xdr:sp macro="" textlink="">
          <xdr:nvSpPr>
            <xdr:cNvPr id="1967" name="Check Box 943" hidden="1">
              <a:extLst>
                <a:ext uri="{63B3BB69-23CF-44E3-9099-C40C66FF867C}">
                  <a14:compatExt spid="_x0000_s1967"/>
                </a:ext>
                <a:ext uri="{FF2B5EF4-FFF2-40B4-BE49-F238E27FC236}">
                  <a16:creationId xmlns:a16="http://schemas.microsoft.com/office/drawing/2014/main" id="{00000000-0008-0000-0000-0000AF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771525</xdr:colOff>
          <xdr:row>90</xdr:row>
          <xdr:rowOff>314325</xdr:rowOff>
        </xdr:from>
        <xdr:to>
          <xdr:col>22</xdr:col>
          <xdr:colOff>9525</xdr:colOff>
          <xdr:row>92</xdr:row>
          <xdr:rowOff>85725</xdr:rowOff>
        </xdr:to>
        <xdr:sp macro="" textlink="">
          <xdr:nvSpPr>
            <xdr:cNvPr id="1968" name="Check Box 944" hidden="1">
              <a:extLst>
                <a:ext uri="{63B3BB69-23CF-44E3-9099-C40C66FF867C}">
                  <a14:compatExt spid="_x0000_s1968"/>
                </a:ext>
                <a:ext uri="{FF2B5EF4-FFF2-40B4-BE49-F238E27FC236}">
                  <a16:creationId xmlns:a16="http://schemas.microsoft.com/office/drawing/2014/main" id="{00000000-0008-0000-0000-0000B0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22</xdr:row>
      <xdr:rowOff>19050</xdr:rowOff>
    </xdr:from>
    <xdr:to>
      <xdr:col>5</xdr:col>
      <xdr:colOff>590550</xdr:colOff>
      <xdr:row>38</xdr:row>
      <xdr:rowOff>53619</xdr:rowOff>
    </xdr:to>
    <xdr:pic>
      <xdr:nvPicPr>
        <xdr:cNvPr id="3" name="Рисунок 2" descr="C:\Users\plekhanov.aa\AppData\Local\Packages\Microsoft.Windows.Photos_8wekyb3d8bbwe\TempState\ShareServiceTempFolder\Безымянный (1).jpeg">
          <a:extLst>
            <a:ext uri="{FF2B5EF4-FFF2-40B4-BE49-F238E27FC236}">
              <a16:creationId xmlns:a16="http://schemas.microsoft.com/office/drawing/2014/main" id="{00000000-0008-0000-0C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9410700"/>
          <a:ext cx="3619500" cy="51304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19051</xdr:colOff>
      <xdr:row>15</xdr:row>
      <xdr:rowOff>9524</xdr:rowOff>
    </xdr:from>
    <xdr:to>
      <xdr:col>5</xdr:col>
      <xdr:colOff>590550</xdr:colOff>
      <xdr:row>33</xdr:row>
      <xdr:rowOff>122949</xdr:rowOff>
    </xdr:to>
    <xdr:pic>
      <xdr:nvPicPr>
        <xdr:cNvPr id="2" name="Рисунок 1" descr="C:\Users\plekhanov.aa\AppData\Local\Packages\Microsoft.Windows.Photos_8wekyb3d8bbwe\TempState\ShareServiceTempFolder\Безымянный (2).jpeg">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1" y="4752974"/>
          <a:ext cx="3619499" cy="591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24</xdr:row>
      <xdr:rowOff>28575</xdr:rowOff>
    </xdr:from>
    <xdr:to>
      <xdr:col>5</xdr:col>
      <xdr:colOff>600075</xdr:colOff>
      <xdr:row>50</xdr:row>
      <xdr:rowOff>128234</xdr:rowOff>
    </xdr:to>
    <xdr:pic>
      <xdr:nvPicPr>
        <xdr:cNvPr id="2" name="Рисунок 1" descr="C:\Users\plekhanov.aa\AppData\Local\Packages\Microsoft.Windows.Photos_8wekyb3d8bbwe\TempState\ShareServiceTempFolder\Безымянный (3).jpeg">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467600"/>
          <a:ext cx="3629025" cy="59765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11</xdr:row>
      <xdr:rowOff>28575</xdr:rowOff>
    </xdr:from>
    <xdr:to>
      <xdr:col>5</xdr:col>
      <xdr:colOff>585216</xdr:colOff>
      <xdr:row>31</xdr:row>
      <xdr:rowOff>47625</xdr:rowOff>
    </xdr:to>
    <xdr:pic>
      <xdr:nvPicPr>
        <xdr:cNvPr id="2" name="Рисунок 1" descr="C:\Users\plekhanov.aa\AppData\Local\Packages\Microsoft.Windows.Photos_8wekyb3d8bbwe\TempState\ShareServiceTempFolder\Безымянный (4).jpeg">
          <a:extLst>
            <a:ext uri="{FF2B5EF4-FFF2-40B4-BE49-F238E27FC236}">
              <a16:creationId xmlns:a16="http://schemas.microsoft.com/office/drawing/2014/main" id="{00000000-0008-0000-0F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3724275"/>
          <a:ext cx="3614166" cy="5019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870858</xdr:colOff>
      <xdr:row>1</xdr:row>
      <xdr:rowOff>149679</xdr:rowOff>
    </xdr:from>
    <xdr:to>
      <xdr:col>12</xdr:col>
      <xdr:colOff>296693</xdr:colOff>
      <xdr:row>4</xdr:row>
      <xdr:rowOff>192357</xdr:rowOff>
    </xdr:to>
    <xdr:pic>
      <xdr:nvPicPr>
        <xdr:cNvPr id="97" name="Рисунок 96">
          <a:extLst>
            <a:ext uri="{FF2B5EF4-FFF2-40B4-BE49-F238E27FC236}">
              <a16:creationId xmlns:a16="http://schemas.microsoft.com/office/drawing/2014/main" id="{00000000-0008-0000-0100-000061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8327572" y="449036"/>
          <a:ext cx="4555728" cy="1280928"/>
        </a:xfrm>
        <a:prstGeom prst="rect">
          <a:avLst/>
        </a:prstGeom>
        <a:noFill/>
      </xdr:spPr>
    </xdr:pic>
    <xdr:clientData/>
  </xdr:twoCellAnchor>
  <xdr:twoCellAnchor editAs="oneCell">
    <xdr:from>
      <xdr:col>18</xdr:col>
      <xdr:colOff>38100</xdr:colOff>
      <xdr:row>1</xdr:row>
      <xdr:rowOff>12700</xdr:rowOff>
    </xdr:from>
    <xdr:to>
      <xdr:col>19</xdr:col>
      <xdr:colOff>0</xdr:colOff>
      <xdr:row>3</xdr:row>
      <xdr:rowOff>38100</xdr:rowOff>
    </xdr:to>
    <xdr:pic>
      <xdr:nvPicPr>
        <xdr:cNvPr id="5" name="Рисунок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8567400" y="317500"/>
          <a:ext cx="889000" cy="889000"/>
        </a:xfrm>
        <a:prstGeom prst="rect">
          <a:avLst/>
        </a:prstGeom>
      </xdr:spPr>
    </xdr:pic>
    <xdr:clientData/>
  </xdr:twoCellAnchor>
  <xdr:twoCellAnchor editAs="oneCell">
    <xdr:from>
      <xdr:col>19</xdr:col>
      <xdr:colOff>114300</xdr:colOff>
      <xdr:row>1</xdr:row>
      <xdr:rowOff>12700</xdr:rowOff>
    </xdr:from>
    <xdr:to>
      <xdr:col>19</xdr:col>
      <xdr:colOff>1003300</xdr:colOff>
      <xdr:row>3</xdr:row>
      <xdr:rowOff>38100</xdr:rowOff>
    </xdr:to>
    <xdr:pic>
      <xdr:nvPicPr>
        <xdr:cNvPr id="8" name="Рисунок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570700" y="317500"/>
          <a:ext cx="889000" cy="889000"/>
        </a:xfrm>
        <a:prstGeom prst="rect">
          <a:avLst/>
        </a:prstGeom>
      </xdr:spPr>
    </xdr:pic>
    <xdr:clientData/>
  </xdr:twoCellAnchor>
  <xdr:oneCellAnchor>
    <xdr:from>
      <xdr:col>18</xdr:col>
      <xdr:colOff>317500</xdr:colOff>
      <xdr:row>1</xdr:row>
      <xdr:rowOff>241300</xdr:rowOff>
    </xdr:from>
    <xdr:ext cx="338554" cy="446212"/>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18846800" y="546100"/>
          <a:ext cx="338554" cy="4462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ru-RU" sz="2400" b="1">
              <a:latin typeface="Times New Roman" panose="02020603050405020304" pitchFamily="18" charset="0"/>
              <a:cs typeface="Times New Roman" panose="02020603050405020304" pitchFamily="18" charset="0"/>
            </a:rPr>
            <a:t>1</a:t>
          </a:r>
        </a:p>
      </xdr:txBody>
    </xdr:sp>
    <xdr:clientData/>
  </xdr:oneCellAnchor>
  <xdr:oneCellAnchor>
    <xdr:from>
      <xdr:col>19</xdr:col>
      <xdr:colOff>342900</xdr:colOff>
      <xdr:row>1</xdr:row>
      <xdr:rowOff>241300</xdr:rowOff>
    </xdr:from>
    <xdr:ext cx="492443" cy="420812"/>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19799300" y="546100"/>
          <a:ext cx="492443" cy="4208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ru-RU" sz="2000" b="1">
              <a:latin typeface="Times New Roman" panose="02020603050405020304" pitchFamily="18" charset="0"/>
              <a:cs typeface="Times New Roman" panose="02020603050405020304" pitchFamily="18" charset="0"/>
            </a:rPr>
            <a:t>20</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4</xdr:col>
      <xdr:colOff>1091236</xdr:colOff>
      <xdr:row>1</xdr:row>
      <xdr:rowOff>81643</xdr:rowOff>
    </xdr:from>
    <xdr:to>
      <xdr:col>9</xdr:col>
      <xdr:colOff>756557</xdr:colOff>
      <xdr:row>3</xdr:row>
      <xdr:rowOff>505321</xdr:rowOff>
    </xdr:to>
    <xdr:pic>
      <xdr:nvPicPr>
        <xdr:cNvPr id="2" name="Рисунок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4220879" y="381000"/>
          <a:ext cx="4555728" cy="1280928"/>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19050</xdr:colOff>
      <xdr:row>12</xdr:row>
      <xdr:rowOff>9525</xdr:rowOff>
    </xdr:from>
    <xdr:to>
      <xdr:col>5</xdr:col>
      <xdr:colOff>600075</xdr:colOff>
      <xdr:row>30</xdr:row>
      <xdr:rowOff>96283</xdr:rowOff>
    </xdr:to>
    <xdr:pic>
      <xdr:nvPicPr>
        <xdr:cNvPr id="3" name="Рисунок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050" y="3095625"/>
          <a:ext cx="3629025" cy="444920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2</xdr:row>
      <xdr:rowOff>352425</xdr:rowOff>
    </xdr:from>
    <xdr:to>
      <xdr:col>5</xdr:col>
      <xdr:colOff>510010</xdr:colOff>
      <xdr:row>22</xdr:row>
      <xdr:rowOff>0</xdr:rowOff>
    </xdr:to>
    <xdr:pic>
      <xdr:nvPicPr>
        <xdr:cNvPr id="7" name="Рисунок 6">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923925"/>
          <a:ext cx="3834235" cy="513397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19050</xdr:colOff>
      <xdr:row>0</xdr:row>
      <xdr:rowOff>0</xdr:rowOff>
    </xdr:from>
    <xdr:to>
      <xdr:col>19</xdr:col>
      <xdr:colOff>9525</xdr:colOff>
      <xdr:row>15</xdr:row>
      <xdr:rowOff>10647</xdr:rowOff>
    </xdr:to>
    <xdr:pic>
      <xdr:nvPicPr>
        <xdr:cNvPr id="2" name="Рисунок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734925" y="0"/>
          <a:ext cx="4257675" cy="535417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38100</xdr:colOff>
      <xdr:row>0</xdr:row>
      <xdr:rowOff>0</xdr:rowOff>
    </xdr:from>
    <xdr:to>
      <xdr:col>18</xdr:col>
      <xdr:colOff>600076</xdr:colOff>
      <xdr:row>16</xdr:row>
      <xdr:rowOff>19587</xdr:rowOff>
    </xdr:to>
    <xdr:pic>
      <xdr:nvPicPr>
        <xdr:cNvPr id="2" name="Рисунок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534650" y="0"/>
          <a:ext cx="4219576" cy="535358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18</xdr:row>
      <xdr:rowOff>28574</xdr:rowOff>
    </xdr:from>
    <xdr:to>
      <xdr:col>5</xdr:col>
      <xdr:colOff>595025</xdr:colOff>
      <xdr:row>30</xdr:row>
      <xdr:rowOff>9524</xdr:rowOff>
    </xdr:to>
    <xdr:pic>
      <xdr:nvPicPr>
        <xdr:cNvPr id="2" name="Рисунок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050" y="5600699"/>
          <a:ext cx="3623975" cy="408622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28574</xdr:colOff>
      <xdr:row>11</xdr:row>
      <xdr:rowOff>28574</xdr:rowOff>
    </xdr:from>
    <xdr:to>
      <xdr:col>5</xdr:col>
      <xdr:colOff>600886</xdr:colOff>
      <xdr:row>29</xdr:row>
      <xdr:rowOff>685800</xdr:rowOff>
    </xdr:to>
    <xdr:pic>
      <xdr:nvPicPr>
        <xdr:cNvPr id="2" name="Рисунок 1" descr="C:\Users\plekhanov.aa\AppData\Local\Packages\Microsoft.Windows.Photos_8wekyb3d8bbwe\TempState\ShareServiceTempFolder\Безымянный.jpeg">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4" y="3248024"/>
          <a:ext cx="3620312" cy="55245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ctrlProp" Target="../ctrlProps/ctrlProp112.xml"/><Relationship Id="rId21" Type="http://schemas.openxmlformats.org/officeDocument/2006/relationships/ctrlProp" Target="../ctrlProps/ctrlProp16.xml"/><Relationship Id="rId42" Type="http://schemas.openxmlformats.org/officeDocument/2006/relationships/ctrlProp" Target="../ctrlProps/ctrlProp37.xml"/><Relationship Id="rId63" Type="http://schemas.openxmlformats.org/officeDocument/2006/relationships/ctrlProp" Target="../ctrlProps/ctrlProp58.xml"/><Relationship Id="rId84" Type="http://schemas.openxmlformats.org/officeDocument/2006/relationships/ctrlProp" Target="../ctrlProps/ctrlProp79.xml"/><Relationship Id="rId138" Type="http://schemas.openxmlformats.org/officeDocument/2006/relationships/ctrlProp" Target="../ctrlProps/ctrlProp133.xml"/><Relationship Id="rId107" Type="http://schemas.openxmlformats.org/officeDocument/2006/relationships/ctrlProp" Target="../ctrlProps/ctrlProp102.xml"/><Relationship Id="rId11" Type="http://schemas.openxmlformats.org/officeDocument/2006/relationships/ctrlProp" Target="../ctrlProps/ctrlProp6.xml"/><Relationship Id="rId32" Type="http://schemas.openxmlformats.org/officeDocument/2006/relationships/ctrlProp" Target="../ctrlProps/ctrlProp27.xml"/><Relationship Id="rId53" Type="http://schemas.openxmlformats.org/officeDocument/2006/relationships/ctrlProp" Target="../ctrlProps/ctrlProp48.xml"/><Relationship Id="rId74" Type="http://schemas.openxmlformats.org/officeDocument/2006/relationships/ctrlProp" Target="../ctrlProps/ctrlProp69.xml"/><Relationship Id="rId128" Type="http://schemas.openxmlformats.org/officeDocument/2006/relationships/ctrlProp" Target="../ctrlProps/ctrlProp123.xml"/><Relationship Id="rId5" Type="http://schemas.openxmlformats.org/officeDocument/2006/relationships/image" Target="../media/image1.jpeg"/><Relationship Id="rId90" Type="http://schemas.openxmlformats.org/officeDocument/2006/relationships/ctrlProp" Target="../ctrlProps/ctrlProp85.xml"/><Relationship Id="rId95" Type="http://schemas.openxmlformats.org/officeDocument/2006/relationships/ctrlProp" Target="../ctrlProps/ctrlProp90.xml"/><Relationship Id="rId22" Type="http://schemas.openxmlformats.org/officeDocument/2006/relationships/ctrlProp" Target="../ctrlProps/ctrlProp17.xml"/><Relationship Id="rId27" Type="http://schemas.openxmlformats.org/officeDocument/2006/relationships/ctrlProp" Target="../ctrlProps/ctrlProp22.xml"/><Relationship Id="rId43" Type="http://schemas.openxmlformats.org/officeDocument/2006/relationships/ctrlProp" Target="../ctrlProps/ctrlProp38.xml"/><Relationship Id="rId48" Type="http://schemas.openxmlformats.org/officeDocument/2006/relationships/ctrlProp" Target="../ctrlProps/ctrlProp43.xml"/><Relationship Id="rId64" Type="http://schemas.openxmlformats.org/officeDocument/2006/relationships/ctrlProp" Target="../ctrlProps/ctrlProp59.xml"/><Relationship Id="rId69" Type="http://schemas.openxmlformats.org/officeDocument/2006/relationships/ctrlProp" Target="../ctrlProps/ctrlProp64.xml"/><Relationship Id="rId113" Type="http://schemas.openxmlformats.org/officeDocument/2006/relationships/ctrlProp" Target="../ctrlProps/ctrlProp108.xml"/><Relationship Id="rId118" Type="http://schemas.openxmlformats.org/officeDocument/2006/relationships/ctrlProp" Target="../ctrlProps/ctrlProp113.xml"/><Relationship Id="rId134" Type="http://schemas.openxmlformats.org/officeDocument/2006/relationships/ctrlProp" Target="../ctrlProps/ctrlProp129.xml"/><Relationship Id="rId139" Type="http://schemas.openxmlformats.org/officeDocument/2006/relationships/ctrlProp" Target="../ctrlProps/ctrlProp134.xml"/><Relationship Id="rId80" Type="http://schemas.openxmlformats.org/officeDocument/2006/relationships/ctrlProp" Target="../ctrlProps/ctrlProp75.xml"/><Relationship Id="rId85" Type="http://schemas.openxmlformats.org/officeDocument/2006/relationships/ctrlProp" Target="../ctrlProps/ctrlProp80.xml"/><Relationship Id="rId12" Type="http://schemas.openxmlformats.org/officeDocument/2006/relationships/ctrlProp" Target="../ctrlProps/ctrlProp7.xml"/><Relationship Id="rId17" Type="http://schemas.openxmlformats.org/officeDocument/2006/relationships/ctrlProp" Target="../ctrlProps/ctrlProp12.xml"/><Relationship Id="rId33" Type="http://schemas.openxmlformats.org/officeDocument/2006/relationships/ctrlProp" Target="../ctrlProps/ctrlProp28.xml"/><Relationship Id="rId38" Type="http://schemas.openxmlformats.org/officeDocument/2006/relationships/ctrlProp" Target="../ctrlProps/ctrlProp33.xml"/><Relationship Id="rId59" Type="http://schemas.openxmlformats.org/officeDocument/2006/relationships/ctrlProp" Target="../ctrlProps/ctrlProp54.xml"/><Relationship Id="rId103" Type="http://schemas.openxmlformats.org/officeDocument/2006/relationships/ctrlProp" Target="../ctrlProps/ctrlProp98.xml"/><Relationship Id="rId108" Type="http://schemas.openxmlformats.org/officeDocument/2006/relationships/ctrlProp" Target="../ctrlProps/ctrlProp103.xml"/><Relationship Id="rId124" Type="http://schemas.openxmlformats.org/officeDocument/2006/relationships/ctrlProp" Target="../ctrlProps/ctrlProp119.xml"/><Relationship Id="rId129" Type="http://schemas.openxmlformats.org/officeDocument/2006/relationships/ctrlProp" Target="../ctrlProps/ctrlProp124.xml"/><Relationship Id="rId54" Type="http://schemas.openxmlformats.org/officeDocument/2006/relationships/ctrlProp" Target="../ctrlProps/ctrlProp49.xml"/><Relationship Id="rId70" Type="http://schemas.openxmlformats.org/officeDocument/2006/relationships/ctrlProp" Target="../ctrlProps/ctrlProp65.xml"/><Relationship Id="rId75" Type="http://schemas.openxmlformats.org/officeDocument/2006/relationships/ctrlProp" Target="../ctrlProps/ctrlProp70.xml"/><Relationship Id="rId91" Type="http://schemas.openxmlformats.org/officeDocument/2006/relationships/ctrlProp" Target="../ctrlProps/ctrlProp86.xml"/><Relationship Id="rId96" Type="http://schemas.openxmlformats.org/officeDocument/2006/relationships/ctrlProp" Target="../ctrlProps/ctrlProp91.xml"/><Relationship Id="rId140" Type="http://schemas.openxmlformats.org/officeDocument/2006/relationships/ctrlProp" Target="../ctrlProps/ctrlProp135.xml"/><Relationship Id="rId145" Type="http://schemas.openxmlformats.org/officeDocument/2006/relationships/ctrlProp" Target="../ctrlProps/ctrlProp140.xml"/><Relationship Id="rId1" Type="http://schemas.microsoft.com/office/2006/relationships/xlExternalLinkPath/xlPathMissing" Target="&#1051;&#1080;&#1089;&#1090;%20&#1087;&#1077;&#1088;&#1089;&#1086;&#1085;&#1072;&#1078;&#1072;%20D&amp;D%20&#8212;%20&#1082;&#1086;&#1087;&#1080;&#1103;.xlsx" TargetMode="External"/><Relationship Id="rId6" Type="http://schemas.openxmlformats.org/officeDocument/2006/relationships/ctrlProp" Target="../ctrlProps/ctrlProp1.xml"/><Relationship Id="rId23" Type="http://schemas.openxmlformats.org/officeDocument/2006/relationships/ctrlProp" Target="../ctrlProps/ctrlProp18.xml"/><Relationship Id="rId28" Type="http://schemas.openxmlformats.org/officeDocument/2006/relationships/ctrlProp" Target="../ctrlProps/ctrlProp23.xml"/><Relationship Id="rId49" Type="http://schemas.openxmlformats.org/officeDocument/2006/relationships/ctrlProp" Target="../ctrlProps/ctrlProp44.xml"/><Relationship Id="rId114" Type="http://schemas.openxmlformats.org/officeDocument/2006/relationships/ctrlProp" Target="../ctrlProps/ctrlProp109.xml"/><Relationship Id="rId119" Type="http://schemas.openxmlformats.org/officeDocument/2006/relationships/ctrlProp" Target="../ctrlProps/ctrlProp114.xml"/><Relationship Id="rId44" Type="http://schemas.openxmlformats.org/officeDocument/2006/relationships/ctrlProp" Target="../ctrlProps/ctrlProp39.xml"/><Relationship Id="rId60" Type="http://schemas.openxmlformats.org/officeDocument/2006/relationships/ctrlProp" Target="../ctrlProps/ctrlProp55.xml"/><Relationship Id="rId65" Type="http://schemas.openxmlformats.org/officeDocument/2006/relationships/ctrlProp" Target="../ctrlProps/ctrlProp60.xml"/><Relationship Id="rId81" Type="http://schemas.openxmlformats.org/officeDocument/2006/relationships/ctrlProp" Target="../ctrlProps/ctrlProp76.xml"/><Relationship Id="rId86" Type="http://schemas.openxmlformats.org/officeDocument/2006/relationships/ctrlProp" Target="../ctrlProps/ctrlProp81.xml"/><Relationship Id="rId130" Type="http://schemas.openxmlformats.org/officeDocument/2006/relationships/ctrlProp" Target="../ctrlProps/ctrlProp125.xml"/><Relationship Id="rId135" Type="http://schemas.openxmlformats.org/officeDocument/2006/relationships/ctrlProp" Target="../ctrlProps/ctrlProp130.xml"/><Relationship Id="rId13" Type="http://schemas.openxmlformats.org/officeDocument/2006/relationships/ctrlProp" Target="../ctrlProps/ctrlProp8.xml"/><Relationship Id="rId18" Type="http://schemas.openxmlformats.org/officeDocument/2006/relationships/ctrlProp" Target="../ctrlProps/ctrlProp13.xml"/><Relationship Id="rId39" Type="http://schemas.openxmlformats.org/officeDocument/2006/relationships/ctrlProp" Target="../ctrlProps/ctrlProp34.xml"/><Relationship Id="rId109" Type="http://schemas.openxmlformats.org/officeDocument/2006/relationships/ctrlProp" Target="../ctrlProps/ctrlProp104.xml"/><Relationship Id="rId34" Type="http://schemas.openxmlformats.org/officeDocument/2006/relationships/ctrlProp" Target="../ctrlProps/ctrlProp29.xml"/><Relationship Id="rId50" Type="http://schemas.openxmlformats.org/officeDocument/2006/relationships/ctrlProp" Target="../ctrlProps/ctrlProp45.xml"/><Relationship Id="rId55" Type="http://schemas.openxmlformats.org/officeDocument/2006/relationships/ctrlProp" Target="../ctrlProps/ctrlProp50.xml"/><Relationship Id="rId76" Type="http://schemas.openxmlformats.org/officeDocument/2006/relationships/ctrlProp" Target="../ctrlProps/ctrlProp71.xml"/><Relationship Id="rId97" Type="http://schemas.openxmlformats.org/officeDocument/2006/relationships/ctrlProp" Target="../ctrlProps/ctrlProp92.xml"/><Relationship Id="rId104" Type="http://schemas.openxmlformats.org/officeDocument/2006/relationships/ctrlProp" Target="../ctrlProps/ctrlProp99.xml"/><Relationship Id="rId120" Type="http://schemas.openxmlformats.org/officeDocument/2006/relationships/ctrlProp" Target="../ctrlProps/ctrlProp115.xml"/><Relationship Id="rId125" Type="http://schemas.openxmlformats.org/officeDocument/2006/relationships/ctrlProp" Target="../ctrlProps/ctrlProp120.xml"/><Relationship Id="rId141" Type="http://schemas.openxmlformats.org/officeDocument/2006/relationships/ctrlProp" Target="../ctrlProps/ctrlProp136.xml"/><Relationship Id="rId7" Type="http://schemas.openxmlformats.org/officeDocument/2006/relationships/ctrlProp" Target="../ctrlProps/ctrlProp2.xml"/><Relationship Id="rId71" Type="http://schemas.openxmlformats.org/officeDocument/2006/relationships/ctrlProp" Target="../ctrlProps/ctrlProp66.xml"/><Relationship Id="rId92" Type="http://schemas.openxmlformats.org/officeDocument/2006/relationships/ctrlProp" Target="../ctrlProps/ctrlProp87.xml"/><Relationship Id="rId2" Type="http://schemas.openxmlformats.org/officeDocument/2006/relationships/printerSettings" Target="../printerSettings/printerSettings1.bin"/><Relationship Id="rId29" Type="http://schemas.openxmlformats.org/officeDocument/2006/relationships/ctrlProp" Target="../ctrlProps/ctrlProp24.xml"/><Relationship Id="rId24" Type="http://schemas.openxmlformats.org/officeDocument/2006/relationships/ctrlProp" Target="../ctrlProps/ctrlProp19.xml"/><Relationship Id="rId40" Type="http://schemas.openxmlformats.org/officeDocument/2006/relationships/ctrlProp" Target="../ctrlProps/ctrlProp35.xml"/><Relationship Id="rId45" Type="http://schemas.openxmlformats.org/officeDocument/2006/relationships/ctrlProp" Target="../ctrlProps/ctrlProp40.xml"/><Relationship Id="rId66" Type="http://schemas.openxmlformats.org/officeDocument/2006/relationships/ctrlProp" Target="../ctrlProps/ctrlProp61.xml"/><Relationship Id="rId87" Type="http://schemas.openxmlformats.org/officeDocument/2006/relationships/ctrlProp" Target="../ctrlProps/ctrlProp82.xml"/><Relationship Id="rId110" Type="http://schemas.openxmlformats.org/officeDocument/2006/relationships/ctrlProp" Target="../ctrlProps/ctrlProp105.xml"/><Relationship Id="rId115" Type="http://schemas.openxmlformats.org/officeDocument/2006/relationships/ctrlProp" Target="../ctrlProps/ctrlProp110.xml"/><Relationship Id="rId131" Type="http://schemas.openxmlformats.org/officeDocument/2006/relationships/ctrlProp" Target="../ctrlProps/ctrlProp126.xml"/><Relationship Id="rId136" Type="http://schemas.openxmlformats.org/officeDocument/2006/relationships/ctrlProp" Target="../ctrlProps/ctrlProp131.xml"/><Relationship Id="rId61" Type="http://schemas.openxmlformats.org/officeDocument/2006/relationships/ctrlProp" Target="../ctrlProps/ctrlProp56.xml"/><Relationship Id="rId82" Type="http://schemas.openxmlformats.org/officeDocument/2006/relationships/ctrlProp" Target="../ctrlProps/ctrlProp77.xml"/><Relationship Id="rId19" Type="http://schemas.openxmlformats.org/officeDocument/2006/relationships/ctrlProp" Target="../ctrlProps/ctrlProp14.xml"/><Relationship Id="rId14" Type="http://schemas.openxmlformats.org/officeDocument/2006/relationships/ctrlProp" Target="../ctrlProps/ctrlProp9.xml"/><Relationship Id="rId30" Type="http://schemas.openxmlformats.org/officeDocument/2006/relationships/ctrlProp" Target="../ctrlProps/ctrlProp25.xml"/><Relationship Id="rId35" Type="http://schemas.openxmlformats.org/officeDocument/2006/relationships/ctrlProp" Target="../ctrlProps/ctrlProp30.xml"/><Relationship Id="rId56" Type="http://schemas.openxmlformats.org/officeDocument/2006/relationships/ctrlProp" Target="../ctrlProps/ctrlProp51.xml"/><Relationship Id="rId77" Type="http://schemas.openxmlformats.org/officeDocument/2006/relationships/ctrlProp" Target="../ctrlProps/ctrlProp72.xml"/><Relationship Id="rId100" Type="http://schemas.openxmlformats.org/officeDocument/2006/relationships/ctrlProp" Target="../ctrlProps/ctrlProp95.xml"/><Relationship Id="rId105" Type="http://schemas.openxmlformats.org/officeDocument/2006/relationships/ctrlProp" Target="../ctrlProps/ctrlProp100.xml"/><Relationship Id="rId126" Type="http://schemas.openxmlformats.org/officeDocument/2006/relationships/ctrlProp" Target="../ctrlProps/ctrlProp121.xml"/><Relationship Id="rId8" Type="http://schemas.openxmlformats.org/officeDocument/2006/relationships/ctrlProp" Target="../ctrlProps/ctrlProp3.xml"/><Relationship Id="rId51" Type="http://schemas.openxmlformats.org/officeDocument/2006/relationships/ctrlProp" Target="../ctrlProps/ctrlProp46.xml"/><Relationship Id="rId72" Type="http://schemas.openxmlformats.org/officeDocument/2006/relationships/ctrlProp" Target="../ctrlProps/ctrlProp67.xml"/><Relationship Id="rId93" Type="http://schemas.openxmlformats.org/officeDocument/2006/relationships/ctrlProp" Target="../ctrlProps/ctrlProp88.xml"/><Relationship Id="rId98" Type="http://schemas.openxmlformats.org/officeDocument/2006/relationships/ctrlProp" Target="../ctrlProps/ctrlProp93.xml"/><Relationship Id="rId121" Type="http://schemas.openxmlformats.org/officeDocument/2006/relationships/ctrlProp" Target="../ctrlProps/ctrlProp116.xml"/><Relationship Id="rId142" Type="http://schemas.openxmlformats.org/officeDocument/2006/relationships/ctrlProp" Target="../ctrlProps/ctrlProp137.xml"/><Relationship Id="rId3" Type="http://schemas.openxmlformats.org/officeDocument/2006/relationships/drawing" Target="../drawings/drawing1.xml"/><Relationship Id="rId25" Type="http://schemas.openxmlformats.org/officeDocument/2006/relationships/ctrlProp" Target="../ctrlProps/ctrlProp20.xml"/><Relationship Id="rId46" Type="http://schemas.openxmlformats.org/officeDocument/2006/relationships/ctrlProp" Target="../ctrlProps/ctrlProp41.xml"/><Relationship Id="rId67" Type="http://schemas.openxmlformats.org/officeDocument/2006/relationships/ctrlProp" Target="../ctrlProps/ctrlProp62.xml"/><Relationship Id="rId116" Type="http://schemas.openxmlformats.org/officeDocument/2006/relationships/ctrlProp" Target="../ctrlProps/ctrlProp111.xml"/><Relationship Id="rId137" Type="http://schemas.openxmlformats.org/officeDocument/2006/relationships/ctrlProp" Target="../ctrlProps/ctrlProp132.xml"/><Relationship Id="rId20" Type="http://schemas.openxmlformats.org/officeDocument/2006/relationships/ctrlProp" Target="../ctrlProps/ctrlProp15.xml"/><Relationship Id="rId41" Type="http://schemas.openxmlformats.org/officeDocument/2006/relationships/ctrlProp" Target="../ctrlProps/ctrlProp36.xml"/><Relationship Id="rId62" Type="http://schemas.openxmlformats.org/officeDocument/2006/relationships/ctrlProp" Target="../ctrlProps/ctrlProp57.xml"/><Relationship Id="rId83" Type="http://schemas.openxmlformats.org/officeDocument/2006/relationships/ctrlProp" Target="../ctrlProps/ctrlProp78.xml"/><Relationship Id="rId88" Type="http://schemas.openxmlformats.org/officeDocument/2006/relationships/ctrlProp" Target="../ctrlProps/ctrlProp83.xml"/><Relationship Id="rId111" Type="http://schemas.openxmlformats.org/officeDocument/2006/relationships/ctrlProp" Target="../ctrlProps/ctrlProp106.xml"/><Relationship Id="rId132" Type="http://schemas.openxmlformats.org/officeDocument/2006/relationships/ctrlProp" Target="../ctrlProps/ctrlProp127.xml"/><Relationship Id="rId15" Type="http://schemas.openxmlformats.org/officeDocument/2006/relationships/ctrlProp" Target="../ctrlProps/ctrlProp10.xml"/><Relationship Id="rId36" Type="http://schemas.openxmlformats.org/officeDocument/2006/relationships/ctrlProp" Target="../ctrlProps/ctrlProp31.xml"/><Relationship Id="rId57" Type="http://schemas.openxmlformats.org/officeDocument/2006/relationships/ctrlProp" Target="../ctrlProps/ctrlProp52.xml"/><Relationship Id="rId106" Type="http://schemas.openxmlformats.org/officeDocument/2006/relationships/ctrlProp" Target="../ctrlProps/ctrlProp101.xml"/><Relationship Id="rId127" Type="http://schemas.openxmlformats.org/officeDocument/2006/relationships/ctrlProp" Target="../ctrlProps/ctrlProp122.xml"/><Relationship Id="rId10" Type="http://schemas.openxmlformats.org/officeDocument/2006/relationships/ctrlProp" Target="../ctrlProps/ctrlProp5.xml"/><Relationship Id="rId31" Type="http://schemas.openxmlformats.org/officeDocument/2006/relationships/ctrlProp" Target="../ctrlProps/ctrlProp26.xml"/><Relationship Id="rId52" Type="http://schemas.openxmlformats.org/officeDocument/2006/relationships/ctrlProp" Target="../ctrlProps/ctrlProp47.xml"/><Relationship Id="rId73" Type="http://schemas.openxmlformats.org/officeDocument/2006/relationships/ctrlProp" Target="../ctrlProps/ctrlProp68.xml"/><Relationship Id="rId78" Type="http://schemas.openxmlformats.org/officeDocument/2006/relationships/ctrlProp" Target="../ctrlProps/ctrlProp73.xml"/><Relationship Id="rId94" Type="http://schemas.openxmlformats.org/officeDocument/2006/relationships/ctrlProp" Target="../ctrlProps/ctrlProp89.xml"/><Relationship Id="rId99" Type="http://schemas.openxmlformats.org/officeDocument/2006/relationships/ctrlProp" Target="../ctrlProps/ctrlProp94.xml"/><Relationship Id="rId101" Type="http://schemas.openxmlformats.org/officeDocument/2006/relationships/ctrlProp" Target="../ctrlProps/ctrlProp96.xml"/><Relationship Id="rId122" Type="http://schemas.openxmlformats.org/officeDocument/2006/relationships/ctrlProp" Target="../ctrlProps/ctrlProp117.xml"/><Relationship Id="rId143" Type="http://schemas.openxmlformats.org/officeDocument/2006/relationships/ctrlProp" Target="../ctrlProps/ctrlProp138.xml"/><Relationship Id="rId4" Type="http://schemas.openxmlformats.org/officeDocument/2006/relationships/vmlDrawing" Target="../drawings/vmlDrawing1.vml"/><Relationship Id="rId9" Type="http://schemas.openxmlformats.org/officeDocument/2006/relationships/ctrlProp" Target="../ctrlProps/ctrlProp4.xml"/><Relationship Id="rId26" Type="http://schemas.openxmlformats.org/officeDocument/2006/relationships/ctrlProp" Target="../ctrlProps/ctrlProp21.xml"/><Relationship Id="rId47" Type="http://schemas.openxmlformats.org/officeDocument/2006/relationships/ctrlProp" Target="../ctrlProps/ctrlProp42.xml"/><Relationship Id="rId68" Type="http://schemas.openxmlformats.org/officeDocument/2006/relationships/ctrlProp" Target="../ctrlProps/ctrlProp63.xml"/><Relationship Id="rId89" Type="http://schemas.openxmlformats.org/officeDocument/2006/relationships/ctrlProp" Target="../ctrlProps/ctrlProp84.xml"/><Relationship Id="rId112" Type="http://schemas.openxmlformats.org/officeDocument/2006/relationships/ctrlProp" Target="../ctrlProps/ctrlProp107.xml"/><Relationship Id="rId133" Type="http://schemas.openxmlformats.org/officeDocument/2006/relationships/ctrlProp" Target="../ctrlProps/ctrlProp128.xml"/><Relationship Id="rId16" Type="http://schemas.openxmlformats.org/officeDocument/2006/relationships/ctrlProp" Target="../ctrlProps/ctrlProp11.xml"/><Relationship Id="rId37" Type="http://schemas.openxmlformats.org/officeDocument/2006/relationships/ctrlProp" Target="../ctrlProps/ctrlProp32.xml"/><Relationship Id="rId58" Type="http://schemas.openxmlformats.org/officeDocument/2006/relationships/ctrlProp" Target="../ctrlProps/ctrlProp53.xml"/><Relationship Id="rId79" Type="http://schemas.openxmlformats.org/officeDocument/2006/relationships/ctrlProp" Target="../ctrlProps/ctrlProp74.xml"/><Relationship Id="rId102" Type="http://schemas.openxmlformats.org/officeDocument/2006/relationships/ctrlProp" Target="../ctrlProps/ctrlProp97.xml"/><Relationship Id="rId123" Type="http://schemas.openxmlformats.org/officeDocument/2006/relationships/ctrlProp" Target="../ctrlProps/ctrlProp118.xml"/><Relationship Id="rId144" Type="http://schemas.openxmlformats.org/officeDocument/2006/relationships/ctrlProp" Target="../ctrlProps/ctrlProp139.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microsoft.com/office/2006/relationships/xlExternalLinkPath/xlPathMissing" Target="&#1051;&#1080;&#1089;&#1090;%20&#1087;&#1077;&#1088;&#1089;&#1086;&#1085;&#1072;&#1078;&#1072;%20D&amp;D%20&#8212;%20&#1082;&#1086;&#1087;&#1080;&#1103;.xlsx" TargetMode="External"/><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microsoft.com/office/2006/relationships/xlExternalLinkPath/xlPathMissing" Target="&#1051;&#1080;&#1089;&#1090;%20&#1087;&#1077;&#1088;&#1089;&#1086;&#1085;&#1072;&#1078;&#1072;%20D&amp;D%20&#8212;%20&#1082;&#1086;&#1087;&#1080;&#1103;.xlsx" TargetMode="External"/><Relationship Id="rId5" Type="http://schemas.openxmlformats.org/officeDocument/2006/relationships/comments" Target="../comments2.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AP167"/>
  <sheetViews>
    <sheetView zoomScale="80" zoomScaleNormal="80" workbookViewId="0">
      <selection activeCell="Q23" sqref="Q23"/>
    </sheetView>
  </sheetViews>
  <sheetFormatPr defaultColWidth="15.140625" defaultRowHeight="137.25" customHeight="1"/>
  <cols>
    <col min="1" max="1" width="4.42578125" style="24" customWidth="1"/>
    <col min="2" max="2" width="4.7109375" style="3" customWidth="1"/>
    <col min="3" max="3" width="22.5703125" style="3" customWidth="1"/>
    <col min="4" max="4" width="15.140625" style="3"/>
    <col min="5" max="5" width="18.5703125" style="3" customWidth="1"/>
    <col min="6" max="6" width="13.85546875" style="3" customWidth="1"/>
    <col min="7" max="7" width="15.5703125" style="3" customWidth="1"/>
    <col min="8" max="8" width="15.140625" style="3"/>
    <col min="9" max="9" width="18.5703125" style="3" customWidth="1"/>
    <col min="10" max="10" width="16.42578125" style="3" customWidth="1"/>
    <col min="11" max="11" width="18" style="3" customWidth="1"/>
    <col min="12" max="12" width="15.140625" style="3"/>
    <col min="13" max="13" width="16" style="3" customWidth="1"/>
    <col min="14" max="14" width="15.140625" style="3"/>
    <col min="15" max="15" width="19.85546875" style="3" customWidth="1"/>
    <col min="16" max="16" width="16.7109375" style="3" customWidth="1"/>
    <col min="17" max="17" width="16.28515625" style="3" customWidth="1"/>
    <col min="18" max="18" width="20.28515625" style="3" customWidth="1"/>
    <col min="19" max="19" width="21.7109375" style="3" bestFit="1" customWidth="1"/>
    <col min="20" max="20" width="15.140625" style="3" customWidth="1"/>
    <col min="21" max="21" width="21.7109375" style="3" bestFit="1" customWidth="1"/>
    <col min="22" max="22" width="15.140625" style="3"/>
    <col min="23" max="26" width="15.140625" style="24"/>
    <col min="27" max="27" width="15.140625" style="3"/>
    <col min="28" max="28" width="5.85546875" style="3" customWidth="1"/>
    <col min="29" max="16384" width="15.140625" style="3"/>
  </cols>
  <sheetData>
    <row r="1" spans="1:42" s="24" customFormat="1" ht="24" customHeight="1" thickTop="1">
      <c r="A1" s="54"/>
      <c r="B1" s="56"/>
      <c r="C1" s="56"/>
      <c r="D1" s="56"/>
      <c r="E1" s="56"/>
      <c r="F1" s="56"/>
      <c r="G1" s="56"/>
      <c r="H1" s="56"/>
      <c r="I1" s="56"/>
      <c r="J1" s="56"/>
      <c r="K1" s="56"/>
      <c r="L1" s="56"/>
      <c r="M1" s="56"/>
      <c r="N1" s="56"/>
      <c r="O1" s="56"/>
      <c r="P1" s="56"/>
      <c r="Q1" s="56"/>
      <c r="R1" s="56"/>
      <c r="S1" s="56"/>
      <c r="T1" s="56"/>
      <c r="U1" s="56"/>
      <c r="V1" s="56"/>
      <c r="W1" s="56"/>
      <c r="X1" s="56"/>
      <c r="Y1" s="56"/>
      <c r="Z1" s="56"/>
      <c r="AA1" s="57"/>
      <c r="AB1" s="54"/>
    </row>
    <row r="2" spans="1:42" s="24" customFormat="1" ht="30" customHeight="1" thickBot="1">
      <c r="A2" s="54"/>
      <c r="B2" s="33"/>
      <c r="C2" s="556"/>
      <c r="D2" s="556"/>
      <c r="E2" s="556"/>
      <c r="F2" s="28"/>
      <c r="J2" s="28"/>
      <c r="K2" s="28"/>
      <c r="L2" s="28"/>
      <c r="M2" s="28"/>
      <c r="N2" s="28"/>
      <c r="O2" s="28"/>
      <c r="P2" s="28"/>
      <c r="Q2" s="28"/>
      <c r="R2" s="28"/>
      <c r="S2" s="28"/>
      <c r="T2" s="28"/>
      <c r="U2" s="28"/>
      <c r="V2" s="28"/>
      <c r="W2" s="28"/>
      <c r="X2" s="28"/>
      <c r="Y2" s="28"/>
      <c r="Z2" s="28"/>
      <c r="AA2" s="35"/>
      <c r="AB2" s="54"/>
    </row>
    <row r="3" spans="1:42" ht="25.5" customHeight="1" thickTop="1" thickBot="1">
      <c r="A3" s="54"/>
      <c r="B3" s="33"/>
      <c r="C3" s="560" t="s">
        <v>0</v>
      </c>
      <c r="D3" s="560"/>
      <c r="E3" s="560"/>
      <c r="F3" s="478"/>
      <c r="G3" s="24"/>
      <c r="H3" s="24"/>
      <c r="I3" s="24"/>
      <c r="J3" s="34"/>
      <c r="K3" s="34"/>
      <c r="L3" s="34"/>
      <c r="M3" s="34"/>
      <c r="N3" s="34"/>
      <c r="O3" s="34"/>
      <c r="P3" s="34"/>
      <c r="Q3" s="34"/>
      <c r="R3" s="34"/>
      <c r="S3" s="34"/>
      <c r="T3" s="34"/>
      <c r="U3" s="28"/>
      <c r="V3" s="28"/>
      <c r="W3" s="28"/>
      <c r="X3" s="28"/>
      <c r="Y3" s="28"/>
      <c r="Z3" s="28"/>
      <c r="AA3" s="35"/>
      <c r="AB3" s="54"/>
      <c r="AC3" s="24"/>
      <c r="AD3" s="24"/>
      <c r="AE3" s="24"/>
      <c r="AF3" s="24"/>
      <c r="AG3" s="24"/>
      <c r="AH3" s="24"/>
      <c r="AI3" s="24"/>
      <c r="AJ3" s="24"/>
      <c r="AK3" s="24"/>
      <c r="AL3" s="24"/>
      <c r="AM3" s="24"/>
      <c r="AN3" s="24"/>
      <c r="AO3" s="24"/>
      <c r="AP3" s="24"/>
    </row>
    <row r="4" spans="1:42" ht="27.75" customHeight="1" thickTop="1" thickBot="1">
      <c r="A4" s="54"/>
      <c r="B4" s="33"/>
      <c r="C4" s="556"/>
      <c r="D4" s="556"/>
      <c r="E4" s="556"/>
      <c r="F4" s="478"/>
      <c r="G4" s="562" t="s">
        <v>1</v>
      </c>
      <c r="H4" s="560"/>
      <c r="I4" s="560"/>
      <c r="J4" s="88" t="s">
        <v>2</v>
      </c>
      <c r="K4" s="133" t="s">
        <v>3</v>
      </c>
      <c r="L4" s="24"/>
      <c r="M4" s="567">
        <f>IF(P4&lt;1000,1,IF(P4&lt;3000,2,IF(P4&lt;6000,3, IF(P4&lt;10000, 4,IF(P4&lt;15000, 5,IF(P4&lt;21000, 6,IF(P4&lt;28000, 7,IF(P4&lt;36000, 8,IF(P4&lt;45000, 9,IF(P4&lt;55000, 10,IF(P4&lt;66000, 11,IF(P4&lt;78000, 12,IF(P4&lt;91000, 13,IF(P4&lt;105000, 14,IF(P4&lt;120000, 15,IF(P4&lt;136000, 16,IF(P4&lt;153000, 17,IF(P4&lt;171000, 18,IF(P4&lt;190000, 19, 20)))))))))))))))))))</f>
        <v>1</v>
      </c>
      <c r="N4" s="567"/>
      <c r="O4" s="567"/>
      <c r="P4" s="564">
        <v>0</v>
      </c>
      <c r="Q4" s="564"/>
      <c r="R4" s="564">
        <f>IF(M4=1,1000-P4,IF(M4=2,3000-P4,IF(M4=3,6000-P4,IF(M4=4,10000-P4,IF(M4=5,15000-P4,IF(M4=6,21000-P4,IF(M4=7,28000-P4,IF(M4=8,36000-P4,IF(M4=9,45000-P4,IF(M4=10,55000-P4,IF(M4=11,66000-P4,IF(M4=12,78000-P4,IF(M4=13,91000-P4,IF(M4=14,105000-P4,IF(M4=15,120000-P4,IF(M4=16,136000-P4,IF(M4=17,153000-P4,IF(M4=18,171000-P4,IF(M4=19,190000-P4,IF(M4=20,"МАКС",))))))))))))))))))))</f>
        <v>1000</v>
      </c>
      <c r="S4" s="564"/>
      <c r="T4" s="28"/>
      <c r="U4" s="28"/>
      <c r="V4" s="28"/>
      <c r="W4" s="28"/>
      <c r="X4" s="28"/>
      <c r="Y4" s="28"/>
      <c r="Z4" s="28"/>
      <c r="AA4" s="35"/>
      <c r="AB4" s="54"/>
      <c r="AC4" s="24"/>
      <c r="AD4" s="24"/>
      <c r="AE4" s="24"/>
      <c r="AF4" s="24"/>
      <c r="AG4" s="24"/>
      <c r="AH4" s="24"/>
      <c r="AI4" s="24"/>
      <c r="AJ4" s="24"/>
      <c r="AK4" s="24"/>
      <c r="AL4" s="24"/>
      <c r="AM4" s="24"/>
      <c r="AN4" s="24"/>
      <c r="AO4" s="24"/>
      <c r="AP4" s="28"/>
    </row>
    <row r="5" spans="1:42" ht="42" customHeight="1" thickTop="1" thickBot="1">
      <c r="A5" s="54"/>
      <c r="B5" s="33"/>
      <c r="C5" s="560" t="s">
        <v>4</v>
      </c>
      <c r="D5" s="560"/>
      <c r="E5" s="560"/>
      <c r="F5" s="478"/>
      <c r="G5" s="89">
        <v>1</v>
      </c>
      <c r="H5" s="561" t="s">
        <v>5</v>
      </c>
      <c r="I5" s="561"/>
      <c r="J5" s="90">
        <v>0</v>
      </c>
      <c r="K5" s="90">
        <f>IF(M4=1,IF(H5="Воин",(2+F15)*4,IF(H5="Варвар",(4+F15)*4,IF(H5="Вор",(8+F15)*4,IF(H5="Друид",(4+F15)*4,IF(H5="Жрец",(2+F15)*4,IF(H5="Волшебник",(2+F15)*4,IF(H5="Монах",(4+F15)*4,IF(H5="Паладин",(2+F15)*4,IF(H5="Рейнджер",(6+F15)*4,IF(H5="Чародей",(2+F15)*4,IF(H5="Бард",(6+F15)*4))))))))))),IF(H5="Бард",6+F15,IF(H5="Воин",2+F15,IF(H5="Варвар",4+F15,IF(H5="Вор",8+F15,IF(H5="Друид",4+F15,IF(H5="Жрец",2+F15,IF(H5="Волшебник",2+F15,IF(H5="Монах",4+F15,IF(H5="Паладин",2+F15,IF(H5="Рейнджер",6+F15,IF(H5="Чародей",2+F15))))))))))))</f>
        <v>4</v>
      </c>
      <c r="L5" s="24"/>
      <c r="M5" s="563" t="s">
        <v>6</v>
      </c>
      <c r="N5" s="563"/>
      <c r="O5" s="563"/>
      <c r="P5" s="563" t="s">
        <v>7</v>
      </c>
      <c r="Q5" s="563"/>
      <c r="R5" s="563" t="s">
        <v>8</v>
      </c>
      <c r="S5" s="563"/>
      <c r="T5" s="28"/>
      <c r="U5" s="28"/>
      <c r="V5" s="28"/>
      <c r="W5" s="28"/>
      <c r="X5" s="28"/>
      <c r="Y5" s="28"/>
      <c r="Z5" s="28"/>
      <c r="AA5" s="35"/>
      <c r="AB5" s="54"/>
      <c r="AC5" s="24"/>
      <c r="AD5" s="24"/>
      <c r="AE5" s="24"/>
      <c r="AF5" s="24"/>
      <c r="AG5" s="24"/>
      <c r="AH5" s="24"/>
      <c r="AI5" s="24"/>
      <c r="AJ5" s="24"/>
      <c r="AK5" s="24"/>
      <c r="AL5" s="24"/>
      <c r="AM5" s="24"/>
      <c r="AN5" s="24"/>
      <c r="AO5" s="24"/>
      <c r="AP5" s="28"/>
    </row>
    <row r="6" spans="1:42" ht="27.75" customHeight="1" thickTop="1" thickBot="1">
      <c r="A6" s="54"/>
      <c r="B6" s="33"/>
      <c r="C6" s="556" t="s">
        <v>9</v>
      </c>
      <c r="D6" s="556"/>
      <c r="E6" s="556"/>
      <c r="F6" s="478"/>
      <c r="G6" s="89">
        <v>2</v>
      </c>
      <c r="H6" s="561" t="s">
        <v>10</v>
      </c>
      <c r="I6" s="561"/>
      <c r="J6" s="91">
        <v>0</v>
      </c>
      <c r="K6" s="91">
        <v>0</v>
      </c>
      <c r="L6" s="24"/>
      <c r="M6" s="568"/>
      <c r="N6" s="568"/>
      <c r="O6" s="568"/>
      <c r="P6" s="481"/>
      <c r="Q6" s="568"/>
      <c r="R6" s="568"/>
      <c r="S6" s="568"/>
      <c r="T6" s="28"/>
      <c r="U6" s="28"/>
      <c r="V6" s="28"/>
      <c r="W6" s="28"/>
      <c r="X6" s="28"/>
      <c r="Y6" s="28"/>
      <c r="Z6" s="28"/>
      <c r="AA6" s="35"/>
      <c r="AB6" s="54"/>
      <c r="AC6" s="24"/>
      <c r="AD6" s="24"/>
      <c r="AE6" s="24"/>
      <c r="AF6" s="24"/>
      <c r="AG6" s="24"/>
      <c r="AH6" s="24"/>
      <c r="AI6" s="24"/>
      <c r="AJ6" s="24"/>
      <c r="AK6" s="24"/>
      <c r="AL6" s="24"/>
      <c r="AM6" s="24"/>
      <c r="AN6" s="24"/>
      <c r="AO6" s="24"/>
      <c r="AP6" s="28"/>
    </row>
    <row r="7" spans="1:42" ht="27.75" customHeight="1" thickTop="1" thickBot="1">
      <c r="A7" s="54"/>
      <c r="B7" s="33"/>
      <c r="C7" s="351" t="s">
        <v>11</v>
      </c>
      <c r="D7" s="351"/>
      <c r="E7" s="351"/>
      <c r="F7" s="478"/>
      <c r="G7" s="89">
        <v>3</v>
      </c>
      <c r="H7" s="561" t="s">
        <v>10</v>
      </c>
      <c r="I7" s="561"/>
      <c r="J7" s="91">
        <v>0</v>
      </c>
      <c r="K7" s="91">
        <v>0</v>
      </c>
      <c r="L7" s="24"/>
      <c r="M7" s="560" t="s">
        <v>12</v>
      </c>
      <c r="N7" s="560"/>
      <c r="O7" s="560"/>
      <c r="P7" s="481"/>
      <c r="Q7" s="560" t="s">
        <v>13</v>
      </c>
      <c r="R7" s="560"/>
      <c r="S7" s="560"/>
      <c r="T7" s="28"/>
      <c r="U7" s="28"/>
      <c r="V7" s="28"/>
      <c r="W7" s="28"/>
      <c r="X7" s="28"/>
      <c r="Y7" s="28"/>
      <c r="Z7" s="28"/>
      <c r="AA7" s="35"/>
      <c r="AB7" s="54"/>
      <c r="AC7" s="24"/>
      <c r="AD7" s="24"/>
      <c r="AE7" s="24"/>
      <c r="AF7" s="24"/>
      <c r="AG7" s="24"/>
      <c r="AH7" s="24"/>
      <c r="AI7" s="24"/>
      <c r="AJ7" s="24"/>
      <c r="AK7" s="24"/>
      <c r="AL7" s="24"/>
      <c r="AM7" s="24"/>
      <c r="AN7" s="24"/>
      <c r="AO7" s="24"/>
      <c r="AP7" s="28"/>
    </row>
    <row r="8" spans="1:42" ht="31.5" customHeight="1" thickTop="1" thickBot="1">
      <c r="A8" s="54"/>
      <c r="B8" s="33"/>
      <c r="C8" s="72" t="str">
        <f>IF(OR(C6="Гном",C6="{Хафлинг",),"Маленький","Средний")</f>
        <v>Средний</v>
      </c>
      <c r="D8" s="480"/>
      <c r="E8" s="73"/>
      <c r="F8" s="478"/>
      <c r="G8" s="89">
        <v>4</v>
      </c>
      <c r="H8" s="561" t="s">
        <v>10</v>
      </c>
      <c r="I8" s="561"/>
      <c r="J8" s="91">
        <v>0</v>
      </c>
      <c r="K8" s="91">
        <v>0</v>
      </c>
      <c r="L8" s="28"/>
      <c r="M8" s="28"/>
      <c r="N8" s="28"/>
      <c r="O8" s="28"/>
      <c r="P8" s="28"/>
      <c r="Q8" s="28"/>
      <c r="R8" s="28"/>
      <c r="S8" s="28"/>
      <c r="T8" s="28"/>
      <c r="U8" s="28"/>
      <c r="V8" s="28"/>
      <c r="W8" s="28"/>
      <c r="X8" s="28"/>
      <c r="Y8" s="28"/>
      <c r="Z8" s="28"/>
      <c r="AA8" s="35"/>
      <c r="AB8" s="54"/>
      <c r="AC8" s="24"/>
      <c r="AD8" s="24"/>
      <c r="AE8" s="24"/>
      <c r="AF8" s="24"/>
      <c r="AG8" s="24"/>
      <c r="AH8" s="24"/>
      <c r="AI8" s="24"/>
      <c r="AJ8" s="24"/>
      <c r="AK8" s="24"/>
      <c r="AL8" s="24"/>
      <c r="AM8" s="24"/>
      <c r="AN8" s="24"/>
      <c r="AO8" s="24"/>
      <c r="AP8" s="28"/>
    </row>
    <row r="9" spans="1:42" ht="27.75" customHeight="1" thickTop="1" thickBot="1">
      <c r="A9" s="54"/>
      <c r="B9" s="33"/>
      <c r="C9" s="61" t="s">
        <v>14</v>
      </c>
      <c r="D9" s="480"/>
      <c r="E9" s="61" t="s">
        <v>15</v>
      </c>
      <c r="F9" s="478"/>
      <c r="G9" s="92">
        <v>5</v>
      </c>
      <c r="H9" s="561" t="s">
        <v>10</v>
      </c>
      <c r="I9" s="561"/>
      <c r="J9" s="93">
        <v>0</v>
      </c>
      <c r="K9" s="93">
        <v>0</v>
      </c>
      <c r="L9" s="28"/>
      <c r="M9" s="28"/>
      <c r="N9" s="28"/>
      <c r="O9" s="28"/>
      <c r="P9" s="28"/>
      <c r="Q9" s="28"/>
      <c r="R9" s="28"/>
      <c r="S9" s="28"/>
      <c r="T9" s="28"/>
      <c r="U9" s="28"/>
      <c r="V9" s="28"/>
      <c r="W9" s="28"/>
      <c r="X9" s="28"/>
      <c r="Y9" s="28"/>
      <c r="Z9" s="28"/>
      <c r="AA9" s="35"/>
      <c r="AB9" s="54"/>
      <c r="AC9" s="24"/>
      <c r="AD9" s="24"/>
      <c r="AE9" s="24"/>
      <c r="AF9" s="24"/>
      <c r="AG9" s="24"/>
      <c r="AH9" s="24"/>
      <c r="AI9" s="24"/>
      <c r="AJ9" s="24"/>
      <c r="AK9" s="24"/>
      <c r="AL9" s="24"/>
      <c r="AM9" s="24"/>
      <c r="AN9" s="24"/>
      <c r="AO9" s="24"/>
      <c r="AP9" s="24"/>
    </row>
    <row r="10" spans="1:42" ht="27.75" customHeight="1" thickTop="1" thickBot="1">
      <c r="A10" s="54"/>
      <c r="B10" s="33"/>
      <c r="C10" s="479"/>
      <c r="D10" s="479"/>
      <c r="E10" s="479"/>
      <c r="F10" s="479"/>
      <c r="G10" s="479"/>
      <c r="H10" s="28"/>
      <c r="I10" s="28"/>
      <c r="J10" s="34"/>
      <c r="K10" s="28"/>
      <c r="L10" s="28"/>
      <c r="M10" s="28"/>
      <c r="N10" s="28"/>
      <c r="O10" s="28"/>
      <c r="P10" s="28"/>
      <c r="Q10" s="28"/>
      <c r="R10" s="28"/>
      <c r="S10" s="28"/>
      <c r="T10" s="28"/>
      <c r="U10" s="28"/>
      <c r="V10" s="28"/>
      <c r="W10" s="28"/>
      <c r="X10" s="28"/>
      <c r="Y10" s="28"/>
      <c r="Z10" s="28"/>
      <c r="AA10" s="35"/>
      <c r="AB10" s="54"/>
      <c r="AC10" s="24"/>
      <c r="AD10" s="24"/>
      <c r="AE10" s="24"/>
      <c r="AF10" s="24"/>
      <c r="AG10" s="24"/>
      <c r="AH10" s="24"/>
      <c r="AI10" s="24"/>
      <c r="AJ10" s="24"/>
      <c r="AK10" s="24"/>
      <c r="AL10" s="24"/>
      <c r="AM10" s="24"/>
      <c r="AN10" s="24"/>
      <c r="AO10" s="24"/>
      <c r="AP10" s="24"/>
    </row>
    <row r="11" spans="1:42" ht="38.25" customHeight="1" thickTop="1" thickBot="1">
      <c r="A11" s="54"/>
      <c r="B11" s="33"/>
      <c r="C11" s="7"/>
      <c r="D11" s="8" t="s">
        <v>16</v>
      </c>
      <c r="E11" s="128" t="s">
        <v>17</v>
      </c>
      <c r="F11" s="9" t="s">
        <v>18</v>
      </c>
      <c r="G11" s="9" t="s">
        <v>19</v>
      </c>
      <c r="H11" s="9" t="s">
        <v>20</v>
      </c>
      <c r="I11" s="9" t="s">
        <v>21</v>
      </c>
      <c r="J11" s="24"/>
      <c r="K11" s="28"/>
      <c r="L11" s="87"/>
      <c r="M11" s="28"/>
      <c r="N11" s="571" t="s">
        <v>22</v>
      </c>
      <c r="O11" s="571"/>
      <c r="P11" s="28"/>
      <c r="Q11" s="59" t="s">
        <v>23</v>
      </c>
      <c r="R11" s="28"/>
      <c r="S11" s="58" t="s">
        <v>24</v>
      </c>
      <c r="T11" s="28"/>
      <c r="U11" s="28"/>
      <c r="V11" s="28"/>
      <c r="W11" s="28"/>
      <c r="X11" s="28"/>
      <c r="Y11" s="28"/>
      <c r="Z11" s="28"/>
      <c r="AA11" s="35"/>
      <c r="AB11" s="54"/>
      <c r="AC11" s="24"/>
      <c r="AD11" s="24"/>
      <c r="AE11" s="24"/>
      <c r="AF11" s="24"/>
      <c r="AG11" s="24"/>
      <c r="AH11" s="24"/>
      <c r="AI11" s="24"/>
      <c r="AJ11" s="24"/>
      <c r="AK11" s="24"/>
      <c r="AL11" s="24"/>
      <c r="AM11" s="24"/>
      <c r="AN11" s="24"/>
      <c r="AO11" s="24"/>
      <c r="AP11" s="24"/>
    </row>
    <row r="12" spans="1:42" ht="38.25" customHeight="1" thickTop="1" thickBot="1">
      <c r="A12" s="54"/>
      <c r="B12" s="33"/>
      <c r="C12" s="6" t="s">
        <v>25</v>
      </c>
      <c r="D12" s="130">
        <v>15</v>
      </c>
      <c r="E12" s="129">
        <f>D12+I12</f>
        <v>15</v>
      </c>
      <c r="F12" s="127">
        <f t="shared" ref="F12:F17" si="0">IF(D12 = 9, -1,IF(D12&lt;10, -1, 1) * FLOOR(ABS((D12-10)) / 2, 1))</f>
        <v>2</v>
      </c>
      <c r="G12" s="125"/>
      <c r="H12" s="125"/>
      <c r="I12" s="125">
        <f>IF(C6="Гном", -2,)</f>
        <v>0</v>
      </c>
      <c r="J12" s="24"/>
      <c r="K12" s="48" t="s">
        <v>26</v>
      </c>
      <c r="L12" s="47">
        <f>IF(H9="Невыбрано",IF(H8="Невыбрано",IF(H7="Невыбрано",IF(H6="Невыбрано",IF(H5="Воин",Воин!H1)))))</f>
        <v>10</v>
      </c>
      <c r="M12" s="28"/>
      <c r="N12" s="569"/>
      <c r="O12" s="570"/>
      <c r="P12" s="28"/>
      <c r="Q12" s="74"/>
      <c r="R12" s="28"/>
      <c r="S12" s="74"/>
      <c r="T12" s="28"/>
      <c r="U12" s="28"/>
      <c r="V12" s="28"/>
      <c r="W12" s="28"/>
      <c r="X12" s="28"/>
      <c r="Y12" s="28"/>
      <c r="Z12" s="28"/>
      <c r="AA12" s="35"/>
      <c r="AB12" s="54"/>
      <c r="AC12" s="24"/>
      <c r="AD12" s="24"/>
      <c r="AE12" s="24"/>
      <c r="AF12" s="24"/>
      <c r="AG12" s="24"/>
      <c r="AH12" s="24"/>
      <c r="AI12" s="24"/>
      <c r="AJ12" s="24"/>
      <c r="AK12" s="24"/>
      <c r="AL12" s="24"/>
      <c r="AM12" s="24"/>
      <c r="AN12" s="24"/>
      <c r="AO12" s="24"/>
      <c r="AP12" s="24"/>
    </row>
    <row r="13" spans="1:42" ht="38.25" customHeight="1" thickTop="1" thickBot="1">
      <c r="A13" s="54"/>
      <c r="B13" s="33"/>
      <c r="C13" s="4" t="s">
        <v>27</v>
      </c>
      <c r="D13" s="131">
        <v>12</v>
      </c>
      <c r="E13" s="129">
        <f t="shared" ref="E13:E17" si="1">D13+I13</f>
        <v>12</v>
      </c>
      <c r="F13" s="127">
        <f t="shared" si="0"/>
        <v>1</v>
      </c>
      <c r="G13" s="126"/>
      <c r="H13" s="126"/>
      <c r="I13" s="126"/>
      <c r="J13" s="24"/>
      <c r="K13" s="28"/>
      <c r="L13" s="28"/>
      <c r="M13" s="28"/>
      <c r="N13" s="28"/>
      <c r="O13" s="28"/>
      <c r="P13" s="28"/>
      <c r="Q13" s="28"/>
      <c r="R13" s="28"/>
      <c r="S13" s="28"/>
      <c r="T13" s="28"/>
      <c r="U13" s="28"/>
      <c r="V13" s="28"/>
      <c r="W13" s="28"/>
      <c r="X13" s="28"/>
      <c r="Y13" s="28"/>
      <c r="Z13" s="28"/>
      <c r="AA13" s="35"/>
      <c r="AB13" s="54"/>
      <c r="AC13" s="24"/>
      <c r="AD13" s="24"/>
      <c r="AE13" s="24"/>
      <c r="AF13" s="24"/>
      <c r="AG13" s="24"/>
      <c r="AH13" s="24"/>
      <c r="AI13" s="24"/>
      <c r="AJ13" s="24"/>
      <c r="AK13" s="24"/>
      <c r="AL13" s="24"/>
      <c r="AM13" s="24"/>
      <c r="AN13" s="24"/>
      <c r="AO13" s="24"/>
      <c r="AP13" s="24"/>
    </row>
    <row r="14" spans="1:42" ht="42.75" customHeight="1" thickTop="1" thickBot="1">
      <c r="A14" s="54"/>
      <c r="B14" s="33"/>
      <c r="C14" s="4" t="s">
        <v>28</v>
      </c>
      <c r="D14" s="131">
        <v>13</v>
      </c>
      <c r="E14" s="129">
        <f t="shared" si="1"/>
        <v>13</v>
      </c>
      <c r="F14" s="127">
        <f t="shared" si="0"/>
        <v>1</v>
      </c>
      <c r="G14" s="126"/>
      <c r="H14" s="126"/>
      <c r="I14" s="126">
        <f>IF(C6="Гном",2,IF(C6="Дварф",2,))</f>
        <v>0</v>
      </c>
      <c r="J14" s="24"/>
      <c r="K14" s="50" t="s">
        <v>29</v>
      </c>
      <c r="L14" s="10">
        <f>N14+O14+P14+Q14+R14+S14+T14+U14</f>
        <v>11</v>
      </c>
      <c r="M14" s="36" t="s">
        <v>30</v>
      </c>
      <c r="N14" s="36">
        <v>10</v>
      </c>
      <c r="O14" s="75"/>
      <c r="P14" s="75"/>
      <c r="Q14" s="75">
        <f>F13</f>
        <v>1</v>
      </c>
      <c r="R14" s="75">
        <f>IF(C8 = "Маленький", 1, IF(C8 = "Средний", 0, IF(C8 = "Большой", 2, "ERROR")))</f>
        <v>0</v>
      </c>
      <c r="S14" s="75"/>
      <c r="T14" s="75"/>
      <c r="U14" s="75"/>
      <c r="V14" s="28"/>
      <c r="W14" s="28"/>
      <c r="X14" s="28"/>
      <c r="Y14" s="28"/>
      <c r="Z14" s="28"/>
      <c r="AA14" s="35"/>
      <c r="AB14" s="54"/>
      <c r="AC14" s="24"/>
      <c r="AD14" s="24"/>
      <c r="AE14" s="24"/>
      <c r="AF14" s="24"/>
      <c r="AG14" s="24"/>
      <c r="AH14" s="24"/>
      <c r="AI14" s="24"/>
      <c r="AJ14" s="24"/>
      <c r="AK14" s="24"/>
      <c r="AL14" s="24"/>
      <c r="AM14" s="24"/>
      <c r="AN14" s="24"/>
      <c r="AO14" s="24"/>
      <c r="AP14" s="24"/>
    </row>
    <row r="15" spans="1:42" ht="38.25" customHeight="1" thickTop="1" thickBot="1">
      <c r="A15" s="54"/>
      <c r="B15" s="33"/>
      <c r="C15" s="4" t="s">
        <v>31</v>
      </c>
      <c r="D15" s="131">
        <v>9</v>
      </c>
      <c r="E15" s="129">
        <f t="shared" si="1"/>
        <v>9</v>
      </c>
      <c r="F15" s="127">
        <f t="shared" si="0"/>
        <v>-1</v>
      </c>
      <c r="G15" s="126"/>
      <c r="H15" s="126"/>
      <c r="I15" s="126"/>
      <c r="J15" s="24"/>
      <c r="K15" s="28"/>
      <c r="L15" s="28"/>
      <c r="M15" s="28"/>
      <c r="N15" s="28"/>
      <c r="O15" s="60" t="s">
        <v>32</v>
      </c>
      <c r="P15" s="60" t="s">
        <v>33</v>
      </c>
      <c r="Q15" s="60" t="s">
        <v>34</v>
      </c>
      <c r="R15" s="60" t="s">
        <v>35</v>
      </c>
      <c r="S15" s="60" t="s">
        <v>36</v>
      </c>
      <c r="T15" s="60" t="s">
        <v>37</v>
      </c>
      <c r="U15" s="60" t="s">
        <v>38</v>
      </c>
      <c r="V15" s="28"/>
      <c r="W15" s="28"/>
      <c r="X15" s="28"/>
      <c r="Y15" s="28"/>
      <c r="Z15" s="28"/>
      <c r="AA15" s="35"/>
      <c r="AB15" s="54"/>
      <c r="AC15" s="24"/>
      <c r="AD15" s="24"/>
      <c r="AE15" s="24"/>
      <c r="AF15" s="24"/>
      <c r="AG15" s="24"/>
      <c r="AH15" s="24"/>
      <c r="AI15" s="24"/>
      <c r="AJ15" s="24"/>
      <c r="AK15" s="24"/>
      <c r="AL15" s="24"/>
      <c r="AM15" s="24"/>
      <c r="AN15" s="24"/>
      <c r="AO15" s="24"/>
      <c r="AP15" s="24"/>
    </row>
    <row r="16" spans="1:42" ht="38.25" customHeight="1" thickTop="1" thickBot="1">
      <c r="A16" s="54"/>
      <c r="B16" s="33"/>
      <c r="C16" s="4" t="s">
        <v>39</v>
      </c>
      <c r="D16" s="132">
        <v>8</v>
      </c>
      <c r="E16" s="129">
        <f t="shared" si="1"/>
        <v>8</v>
      </c>
      <c r="F16" s="127">
        <f t="shared" si="0"/>
        <v>-1</v>
      </c>
      <c r="G16" s="126"/>
      <c r="H16" s="126"/>
      <c r="I16" s="126"/>
      <c r="J16" s="24"/>
      <c r="K16" s="28"/>
      <c r="L16" s="28"/>
      <c r="M16" s="28"/>
      <c r="N16" s="28"/>
      <c r="O16" s="28"/>
      <c r="P16" s="28"/>
      <c r="Q16" s="28"/>
      <c r="R16" s="28"/>
      <c r="S16" s="28"/>
      <c r="T16" s="28"/>
      <c r="U16" s="28"/>
      <c r="V16" s="28"/>
      <c r="W16" s="28"/>
      <c r="X16" s="28"/>
      <c r="Y16" s="28"/>
      <c r="Z16" s="28"/>
      <c r="AA16" s="35"/>
      <c r="AB16" s="54"/>
      <c r="AC16" s="24"/>
      <c r="AD16" s="24"/>
      <c r="AE16" s="24"/>
      <c r="AF16" s="24"/>
      <c r="AG16" s="24"/>
      <c r="AH16" s="24"/>
      <c r="AI16" s="24"/>
      <c r="AJ16" s="24"/>
      <c r="AK16" s="24"/>
      <c r="AL16" s="24"/>
      <c r="AM16" s="24"/>
      <c r="AN16" s="24"/>
      <c r="AO16" s="24"/>
      <c r="AP16" s="24"/>
    </row>
    <row r="17" spans="1:31" ht="38.25" customHeight="1" thickTop="1" thickBot="1">
      <c r="A17" s="54"/>
      <c r="B17" s="33"/>
      <c r="C17" s="5" t="s">
        <v>40</v>
      </c>
      <c r="D17" s="131">
        <v>12</v>
      </c>
      <c r="E17" s="129">
        <f t="shared" si="1"/>
        <v>12</v>
      </c>
      <c r="F17" s="127">
        <f t="shared" si="0"/>
        <v>1</v>
      </c>
      <c r="G17" s="124"/>
      <c r="H17" s="124"/>
      <c r="I17" s="124">
        <f>IF(C6="Дварф",-2,)</f>
        <v>0</v>
      </c>
      <c r="J17" s="24"/>
      <c r="K17" s="48" t="s">
        <v>41</v>
      </c>
      <c r="L17" s="47">
        <f>N17+O17</f>
        <v>1</v>
      </c>
      <c r="M17" s="37" t="s">
        <v>42</v>
      </c>
      <c r="N17" s="135">
        <f>F13</f>
        <v>1</v>
      </c>
      <c r="O17" s="135">
        <v>0</v>
      </c>
      <c r="P17" s="28"/>
      <c r="Q17" s="28"/>
      <c r="R17" s="28"/>
      <c r="S17" s="28"/>
      <c r="T17" s="28"/>
      <c r="U17" s="28"/>
      <c r="V17" s="28"/>
      <c r="W17" s="28"/>
      <c r="X17" s="28"/>
      <c r="Y17" s="28"/>
      <c r="Z17" s="28"/>
      <c r="AA17" s="35"/>
      <c r="AB17" s="54"/>
      <c r="AC17" s="24"/>
      <c r="AD17" s="24"/>
      <c r="AE17" s="24"/>
    </row>
    <row r="18" spans="1:31" ht="30.75" customHeight="1" thickTop="1">
      <c r="A18" s="54"/>
      <c r="B18" s="33"/>
      <c r="C18" s="28"/>
      <c r="D18" s="28"/>
      <c r="E18" s="28"/>
      <c r="F18" s="28"/>
      <c r="G18" s="28"/>
      <c r="H18" s="28"/>
      <c r="I18" s="24"/>
      <c r="J18" s="24"/>
      <c r="K18" s="28"/>
      <c r="L18" s="28"/>
      <c r="M18" s="28"/>
      <c r="N18" s="134" t="s">
        <v>34</v>
      </c>
      <c r="O18" s="134" t="s">
        <v>38</v>
      </c>
      <c r="P18" s="28"/>
      <c r="Q18" s="28"/>
      <c r="R18" s="28"/>
      <c r="S18" s="28"/>
      <c r="T18" s="28"/>
      <c r="U18" s="28"/>
      <c r="V18" s="28"/>
      <c r="W18" s="28"/>
      <c r="X18" s="28"/>
      <c r="Y18" s="28"/>
      <c r="Z18" s="28"/>
      <c r="AA18" s="35"/>
      <c r="AB18" s="54"/>
      <c r="AC18" s="24"/>
      <c r="AD18" s="24"/>
      <c r="AE18" s="24"/>
    </row>
    <row r="19" spans="1:31" ht="41.25" customHeight="1">
      <c r="A19" s="54"/>
      <c r="B19" s="33"/>
      <c r="C19" s="24"/>
      <c r="D19" s="24"/>
      <c r="E19" s="24"/>
      <c r="F19" s="24"/>
      <c r="G19" s="24"/>
      <c r="H19" s="24"/>
      <c r="I19" s="24"/>
      <c r="J19" s="24"/>
      <c r="K19" s="24"/>
      <c r="L19" s="24"/>
      <c r="M19" s="24"/>
      <c r="N19" s="28"/>
      <c r="O19" s="24"/>
      <c r="P19" s="24"/>
      <c r="Q19" s="24"/>
      <c r="R19" s="24"/>
      <c r="S19" s="24"/>
      <c r="T19" s="24"/>
      <c r="U19" s="24"/>
      <c r="V19" s="28"/>
      <c r="W19" s="28"/>
      <c r="X19" s="28"/>
      <c r="Y19" s="28"/>
      <c r="Z19" s="28"/>
      <c r="AA19" s="28"/>
      <c r="AB19" s="54"/>
      <c r="AC19" s="24"/>
      <c r="AD19" s="24"/>
      <c r="AE19" s="24"/>
    </row>
    <row r="20" spans="1:31" ht="36.75" customHeight="1" thickBot="1">
      <c r="A20" s="54"/>
      <c r="B20" s="33"/>
      <c r="C20" s="565" t="s">
        <v>43</v>
      </c>
      <c r="D20" s="566"/>
      <c r="E20" s="566"/>
      <c r="F20" s="566"/>
      <c r="G20" s="566"/>
      <c r="H20" s="566"/>
      <c r="I20" s="566"/>
      <c r="J20" s="24"/>
      <c r="K20" s="76" t="s">
        <v>44</v>
      </c>
      <c r="L20" s="77"/>
      <c r="M20" s="77"/>
      <c r="N20" s="78" t="s">
        <v>45</v>
      </c>
      <c r="O20" s="79">
        <f>Q20-O22-O23-O24-O25-O26-O27-O28-O29-O30-O31-O32-O33-O34-O35-O36-O37-O38-O39-O40-O41-O42-O43-O44-O45-O46-O47-O48-O49-O50-O51-O52-O53-O54-O55-O56-O57-O58-O59-O60-O61-O62-O63-O64-O65</f>
        <v>4</v>
      </c>
      <c r="P20" s="79" t="s">
        <v>46</v>
      </c>
      <c r="Q20" s="79">
        <f>IF(M4=1,IF(H5="Воин",(2+F15)*4,IF(H5="Варвар",(4+F15)*4,IF(H5="Вор",(8+F15)*4,IF(H5="Друид",(4+F15)*4,IF(H5="Жрец",(2+F15)*4,IF(H5="Волшебник",(2+F15)*4,IF(H5="Монах",(4+F15)*4,IF(H5="Паладин",(2+F15)*4,IF(H5="Рейнджер",(6+F15)*4,IF(H5="Чародей",(2+F15)*4,IF(H5="Бард",(6+F15)*4))))))))))),IF(H5="Бард",(6+F15)*4+(6+F15)*(M4-1),IF(H5="Воин",(2+F15)*4+(2+F15)*(M4-1),IF(H5="Варвар",(4+F15)*4+(4+F15)*(M4-1),IF(H5="Вор",(8+F15)*4+(8+F15)*(M4-1),IF(H5="Друид",(4+F15)*4+(4+F15)*(M4-1),IF(H5="Жрец",(2+F15)*4+(2+F15)*(M4-1),IF(H5="Волшебник",(2+F15)*4+(2+F15)*(M4-1),IF(H5="Монах",(4+F15)*4+(4+F15)*(M4-1),IF(H5="Паладин",(2+F15)*4+(2+F15)*(M4-1),IF(H5="Рейнджер",(6+F15)*4+(6+F15)*(M4-1),IF(H5="Чародей",(2+F15)*4+(2+F15)*(M4-1)))))))))))))</f>
        <v>4</v>
      </c>
      <c r="R20" s="24"/>
      <c r="S20" s="24"/>
      <c r="T20" s="24"/>
      <c r="U20" s="24"/>
      <c r="V20" s="28"/>
      <c r="W20" s="28"/>
      <c r="X20" s="28"/>
      <c r="Y20" s="28"/>
      <c r="Z20" s="28"/>
      <c r="AA20" s="28"/>
      <c r="AB20" s="54"/>
      <c r="AC20" s="24"/>
      <c r="AD20" s="24"/>
      <c r="AE20" s="24"/>
    </row>
    <row r="21" spans="1:31" ht="27.75" customHeight="1" thickTop="1">
      <c r="A21" s="54"/>
      <c r="B21" s="33"/>
      <c r="C21" s="586"/>
      <c r="D21" s="587"/>
      <c r="E21" s="587"/>
      <c r="F21" s="587"/>
      <c r="G21" s="587"/>
      <c r="H21" s="587"/>
      <c r="I21" s="588"/>
      <c r="J21" s="24"/>
      <c r="K21" s="39" t="s">
        <v>47</v>
      </c>
      <c r="L21" s="30" t="s">
        <v>48</v>
      </c>
      <c r="M21" s="39" t="s">
        <v>49</v>
      </c>
      <c r="N21" s="39" t="s">
        <v>1</v>
      </c>
      <c r="O21" s="39" t="s">
        <v>50</v>
      </c>
      <c r="P21" s="39" t="s">
        <v>51</v>
      </c>
      <c r="Q21" s="39" t="s">
        <v>52</v>
      </c>
      <c r="R21" s="24"/>
      <c r="S21" s="24"/>
      <c r="T21" s="24"/>
      <c r="U21" s="24"/>
      <c r="V21" s="24"/>
      <c r="AA21" s="35"/>
      <c r="AB21" s="54"/>
      <c r="AC21" s="24"/>
      <c r="AD21" s="55" t="b">
        <v>0</v>
      </c>
      <c r="AE21" s="55" t="b">
        <v>0</v>
      </c>
    </row>
    <row r="22" spans="1:31" ht="32.25" customHeight="1">
      <c r="A22" s="54"/>
      <c r="B22" s="33"/>
      <c r="C22" s="589"/>
      <c r="D22" s="590"/>
      <c r="E22" s="590"/>
      <c r="F22" s="590"/>
      <c r="G22" s="590"/>
      <c r="H22" s="590"/>
      <c r="I22" s="591"/>
      <c r="J22" s="24"/>
      <c r="K22" s="31" t="s">
        <v>53</v>
      </c>
      <c r="L22" s="80">
        <f>IF(N22=1,O22+P22+Q22+F13,FLOOR(O22/2,1)+P22+Q22+F13)</f>
        <v>1</v>
      </c>
      <c r="M22" s="31" t="s">
        <v>27</v>
      </c>
      <c r="N22" s="81"/>
      <c r="O22" s="85">
        <v>0</v>
      </c>
      <c r="P22" s="81"/>
      <c r="Q22" s="86"/>
      <c r="R22" s="24"/>
      <c r="S22" s="24"/>
      <c r="T22" s="24"/>
      <c r="U22" s="24"/>
      <c r="V22" s="24"/>
      <c r="AA22" s="35"/>
      <c r="AB22" s="54"/>
      <c r="AC22" s="24"/>
      <c r="AD22" s="55" t="b">
        <v>0</v>
      </c>
      <c r="AE22" s="55" t="b">
        <v>0</v>
      </c>
    </row>
    <row r="23" spans="1:31" ht="27.75" customHeight="1">
      <c r="A23" s="54"/>
      <c r="B23" s="33"/>
      <c r="C23" s="589"/>
      <c r="D23" s="590"/>
      <c r="E23" s="590"/>
      <c r="F23" s="590"/>
      <c r="G23" s="590"/>
      <c r="H23" s="590"/>
      <c r="I23" s="591"/>
      <c r="J23" s="24"/>
      <c r="K23" s="31" t="s">
        <v>54</v>
      </c>
      <c r="L23" s="80">
        <f>IF(N23=1,O23+P23+Q23+F13,FLOOR(O23/2,1)+P23+Q23+F13)</f>
        <v>1</v>
      </c>
      <c r="M23" s="31" t="s">
        <v>27</v>
      </c>
      <c r="N23" s="81"/>
      <c r="O23" s="82">
        <v>0</v>
      </c>
      <c r="P23" s="81"/>
      <c r="Q23" s="83"/>
      <c r="R23" s="24"/>
      <c r="S23" s="24"/>
      <c r="T23" s="24"/>
      <c r="U23" s="24"/>
      <c r="V23" s="24"/>
      <c r="AA23" s="35"/>
      <c r="AB23" s="54"/>
      <c r="AC23" s="24"/>
      <c r="AD23" s="55" t="b">
        <v>0</v>
      </c>
      <c r="AE23" s="55" t="b">
        <v>0</v>
      </c>
    </row>
    <row r="24" spans="1:31" ht="27.75" customHeight="1">
      <c r="A24" s="54"/>
      <c r="B24" s="33"/>
      <c r="C24" s="589"/>
      <c r="D24" s="590"/>
      <c r="E24" s="590"/>
      <c r="F24" s="590"/>
      <c r="G24" s="590"/>
      <c r="H24" s="590"/>
      <c r="I24" s="591"/>
      <c r="J24" s="24"/>
      <c r="K24" s="31" t="s">
        <v>55</v>
      </c>
      <c r="L24" s="80">
        <f>IF(N24=1,O24+P24+Q24+F13,FLOOR(O24/2,1)+P24+Q24+F13)</f>
        <v>1</v>
      </c>
      <c r="M24" s="31" t="s">
        <v>27</v>
      </c>
      <c r="N24" s="81">
        <f>IF(H5="Воин", 1,2)</f>
        <v>1</v>
      </c>
      <c r="O24" s="82">
        <v>0</v>
      </c>
      <c r="P24" s="81"/>
      <c r="Q24" s="83"/>
      <c r="R24" s="24"/>
      <c r="S24" s="24"/>
      <c r="T24" s="24"/>
      <c r="U24" s="24"/>
      <c r="V24" s="24"/>
      <c r="AA24" s="35"/>
      <c r="AB24" s="54"/>
      <c r="AC24" s="24"/>
      <c r="AD24" s="55" t="b">
        <v>0</v>
      </c>
      <c r="AE24" s="55" t="b">
        <v>0</v>
      </c>
    </row>
    <row r="25" spans="1:31" ht="27.75" customHeight="1">
      <c r="A25" s="54" t="b">
        <f>IF(C6="Гном",C21=Расы!A12)</f>
        <v>0</v>
      </c>
      <c r="B25" s="33"/>
      <c r="C25" s="589"/>
      <c r="D25" s="590"/>
      <c r="E25" s="590"/>
      <c r="F25" s="590"/>
      <c r="G25" s="590"/>
      <c r="H25" s="590"/>
      <c r="I25" s="591"/>
      <c r="J25" s="24"/>
      <c r="K25" s="31" t="s">
        <v>56</v>
      </c>
      <c r="L25" s="80">
        <f>IF(N25=1,O25+P25+Q25+F16,FLOOR(O25/2,1)+P25+Q25+F16)</f>
        <v>-1</v>
      </c>
      <c r="M25" s="31" t="s">
        <v>39</v>
      </c>
      <c r="N25" s="81"/>
      <c r="O25" s="82">
        <v>0</v>
      </c>
      <c r="P25" s="81"/>
      <c r="Q25" s="83"/>
      <c r="R25" s="24"/>
      <c r="S25" s="24"/>
      <c r="T25" s="24"/>
      <c r="U25" s="24"/>
      <c r="V25" s="24"/>
      <c r="AA25" s="35"/>
      <c r="AB25" s="54"/>
      <c r="AC25" s="24"/>
      <c r="AD25" s="55" t="b">
        <v>0</v>
      </c>
      <c r="AE25" s="55" t="b">
        <v>0</v>
      </c>
    </row>
    <row r="26" spans="1:31" ht="27.75" customHeight="1">
      <c r="A26" s="54"/>
      <c r="B26" s="33"/>
      <c r="C26" s="589"/>
      <c r="D26" s="590"/>
      <c r="E26" s="590"/>
      <c r="F26" s="590"/>
      <c r="G26" s="590"/>
      <c r="H26" s="590"/>
      <c r="I26" s="591"/>
      <c r="J26" s="24"/>
      <c r="K26" s="31" t="s">
        <v>57</v>
      </c>
      <c r="L26" s="80">
        <f>IF(N26=1,O26+P26+Q26+F17,FLOOR(O26/2,1)+P26+Q26+F17)</f>
        <v>3</v>
      </c>
      <c r="M26" s="31" t="s">
        <v>40</v>
      </c>
      <c r="N26" s="81"/>
      <c r="O26" s="82">
        <v>0</v>
      </c>
      <c r="P26" s="81">
        <f>IF(C6="Полуэльф", 2,0)</f>
        <v>2</v>
      </c>
      <c r="Q26" s="83"/>
      <c r="R26" s="24"/>
      <c r="S26" s="24"/>
      <c r="T26" s="24"/>
      <c r="U26" s="24"/>
      <c r="V26" s="24"/>
      <c r="AA26" s="35"/>
      <c r="AB26" s="54"/>
      <c r="AC26" s="24"/>
      <c r="AD26" s="55" t="b">
        <v>0</v>
      </c>
      <c r="AE26" s="55" t="b">
        <v>0</v>
      </c>
    </row>
    <row r="27" spans="1:31" ht="27.75" customHeight="1">
      <c r="A27" s="54"/>
      <c r="B27" s="33"/>
      <c r="C27" s="589"/>
      <c r="D27" s="590"/>
      <c r="E27" s="590"/>
      <c r="F27" s="590"/>
      <c r="G27" s="590"/>
      <c r="H27" s="590"/>
      <c r="I27" s="591"/>
      <c r="J27" s="24"/>
      <c r="K27" s="31" t="s">
        <v>58</v>
      </c>
      <c r="L27" s="80">
        <f>IF(N27=1,O27+P27+Q27+F17,FLOOR(O27/2,1)+P27+Q27+F17)</f>
        <v>1</v>
      </c>
      <c r="M27" s="31" t="s">
        <v>40</v>
      </c>
      <c r="N27" s="81">
        <f>IF(H5="Воин", 1,2)</f>
        <v>1</v>
      </c>
      <c r="O27" s="82">
        <v>0</v>
      </c>
      <c r="P27" s="81"/>
      <c r="Q27" s="83"/>
      <c r="R27" s="24"/>
      <c r="S27" s="24"/>
      <c r="T27" s="24"/>
      <c r="U27" s="24"/>
      <c r="V27" s="24"/>
      <c r="AA27" s="35"/>
      <c r="AB27" s="54"/>
      <c r="AC27" s="24"/>
      <c r="AD27" s="55" t="b">
        <v>0</v>
      </c>
      <c r="AE27" s="55" t="b">
        <v>0</v>
      </c>
    </row>
    <row r="28" spans="1:31" ht="40.5" customHeight="1">
      <c r="A28" s="54"/>
      <c r="B28" s="33"/>
      <c r="C28" s="589"/>
      <c r="D28" s="590"/>
      <c r="E28" s="590"/>
      <c r="F28" s="590"/>
      <c r="G28" s="590"/>
      <c r="H28" s="590"/>
      <c r="I28" s="591"/>
      <c r="J28" s="24"/>
      <c r="K28" s="31" t="s">
        <v>59</v>
      </c>
      <c r="L28" s="80">
        <f>IF(N28=1,O28+P28+Q28+F17,FLOOR(O28/2,1)+P28+Q28+F17)</f>
        <v>1</v>
      </c>
      <c r="M28" s="31" t="s">
        <v>40</v>
      </c>
      <c r="N28" s="81">
        <f>IF(H5="Воин", 1,2)</f>
        <v>1</v>
      </c>
      <c r="O28" s="82">
        <v>0</v>
      </c>
      <c r="P28" s="81"/>
      <c r="Q28" s="83"/>
      <c r="R28" s="24"/>
      <c r="S28" s="24"/>
      <c r="T28" s="24"/>
      <c r="U28" s="24"/>
      <c r="V28" s="24"/>
      <c r="AA28" s="35"/>
      <c r="AB28" s="54"/>
      <c r="AC28" s="24"/>
      <c r="AD28" s="55" t="b">
        <v>0</v>
      </c>
      <c r="AE28" s="55" t="b">
        <v>0</v>
      </c>
    </row>
    <row r="29" spans="1:31" ht="27.75" customHeight="1">
      <c r="A29" s="54"/>
      <c r="B29" s="33"/>
      <c r="C29" s="589"/>
      <c r="D29" s="590"/>
      <c r="E29" s="590"/>
      <c r="F29" s="590"/>
      <c r="G29" s="590"/>
      <c r="H29" s="590"/>
      <c r="I29" s="591"/>
      <c r="J29" s="24"/>
      <c r="K29" s="31" t="s">
        <v>60</v>
      </c>
      <c r="L29" s="80">
        <f>IF(N29=1,O29+P29+Q29+F13,FLOOR(O29/2,1)+P29+Q29+F13)</f>
        <v>1</v>
      </c>
      <c r="M29" s="31" t="s">
        <v>27</v>
      </c>
      <c r="N29" s="81"/>
      <c r="O29" s="82">
        <v>0</v>
      </c>
      <c r="P29" s="81"/>
      <c r="Q29" s="83"/>
      <c r="R29" s="24"/>
      <c r="S29" s="24"/>
      <c r="T29" s="24"/>
      <c r="U29" s="24"/>
      <c r="V29" s="24"/>
      <c r="AA29" s="35"/>
      <c r="AB29" s="54"/>
      <c r="AC29" s="24"/>
      <c r="AD29" s="55" t="b">
        <v>0</v>
      </c>
      <c r="AE29" s="55" t="b">
        <v>0</v>
      </c>
    </row>
    <row r="30" spans="1:31" ht="36.75" customHeight="1">
      <c r="A30" s="54"/>
      <c r="B30" s="33"/>
      <c r="C30" s="589"/>
      <c r="D30" s="590"/>
      <c r="E30" s="590"/>
      <c r="F30" s="590"/>
      <c r="G30" s="590"/>
      <c r="H30" s="590"/>
      <c r="I30" s="591"/>
      <c r="J30" s="24"/>
      <c r="K30" s="31" t="s">
        <v>61</v>
      </c>
      <c r="L30" s="80">
        <f>IF(N30=1,O30+P30+Q30+E69,FLOOR(O30/2,1)+P30+Q30+E69)</f>
        <v>1</v>
      </c>
      <c r="M30" s="31" t="s">
        <v>27</v>
      </c>
      <c r="N30" s="81"/>
      <c r="O30" s="82">
        <v>0</v>
      </c>
      <c r="P30" s="81"/>
      <c r="Q30" s="83"/>
      <c r="R30" s="24"/>
      <c r="S30" s="24"/>
      <c r="T30" s="24"/>
      <c r="U30" s="24"/>
      <c r="V30" s="24"/>
      <c r="AA30" s="35"/>
      <c r="AB30" s="54"/>
      <c r="AC30" s="24"/>
      <c r="AD30" s="55" t="b">
        <v>0</v>
      </c>
      <c r="AE30" s="55" t="b">
        <v>0</v>
      </c>
    </row>
    <row r="31" spans="1:31" ht="41.25" customHeight="1">
      <c r="A31" s="54"/>
      <c r="B31" s="33"/>
      <c r="C31" s="589"/>
      <c r="D31" s="590"/>
      <c r="E31" s="590"/>
      <c r="F31" s="590"/>
      <c r="G31" s="590"/>
      <c r="H31" s="590"/>
      <c r="I31" s="591"/>
      <c r="J31" s="24"/>
      <c r="K31" s="31" t="s">
        <v>62</v>
      </c>
      <c r="L31" s="80">
        <f>IF(N31=1,O31+P31+Q31+F17,FLOOR(O31/2,1)+P31+Q31+F17)</f>
        <v>1</v>
      </c>
      <c r="M31" s="31" t="s">
        <v>40</v>
      </c>
      <c r="N31" s="81"/>
      <c r="O31" s="82">
        <v>0</v>
      </c>
      <c r="P31" s="81"/>
      <c r="Q31" s="83"/>
      <c r="R31" s="24"/>
      <c r="S31" s="24"/>
      <c r="T31" s="24"/>
      <c r="U31" s="24"/>
      <c r="V31" s="24"/>
      <c r="AA31" s="35"/>
      <c r="AB31" s="54"/>
      <c r="AC31" s="24"/>
      <c r="AD31" s="55" t="b">
        <v>0</v>
      </c>
      <c r="AE31" s="55" t="b">
        <v>0</v>
      </c>
    </row>
    <row r="32" spans="1:31" ht="27.75" customHeight="1">
      <c r="A32" s="54"/>
      <c r="B32" s="33"/>
      <c r="C32" s="589"/>
      <c r="D32" s="590"/>
      <c r="E32" s="590"/>
      <c r="F32" s="590"/>
      <c r="G32" s="590"/>
      <c r="H32" s="590"/>
      <c r="I32" s="591"/>
      <c r="J32" s="24"/>
      <c r="K32" s="31" t="s">
        <v>63</v>
      </c>
      <c r="L32" s="80">
        <f>IF(N32=1,O32+P32+Q32+F15,FLOOR(O32/2,1)+P32+Q32+F15)</f>
        <v>-1</v>
      </c>
      <c r="M32" s="31" t="s">
        <v>31</v>
      </c>
      <c r="N32" s="81"/>
      <c r="O32" s="82">
        <v>0</v>
      </c>
      <c r="P32" s="81"/>
      <c r="Q32" s="83"/>
      <c r="R32" s="24"/>
      <c r="S32" s="24"/>
      <c r="T32" s="24"/>
      <c r="U32" s="24"/>
      <c r="V32" s="24"/>
      <c r="AA32" s="35"/>
      <c r="AB32" s="54"/>
      <c r="AC32" s="24"/>
      <c r="AD32" s="55" t="b">
        <v>0</v>
      </c>
      <c r="AE32" s="24"/>
    </row>
    <row r="33" spans="1:30" ht="27.75" customHeight="1">
      <c r="A33" s="54"/>
      <c r="B33" s="33"/>
      <c r="C33" s="589"/>
      <c r="D33" s="590"/>
      <c r="E33" s="590"/>
      <c r="F33" s="590"/>
      <c r="G33" s="590"/>
      <c r="H33" s="590"/>
      <c r="I33" s="591"/>
      <c r="J33" s="24"/>
      <c r="K33" s="31" t="s">
        <v>64</v>
      </c>
      <c r="L33" s="80">
        <f>IF(N32=1,O32+P32+Q32+F14,FLOOR(O32/2,1)+P32+Q32+F14)</f>
        <v>1</v>
      </c>
      <c r="M33" s="31" t="s">
        <v>65</v>
      </c>
      <c r="N33" s="81"/>
      <c r="O33" s="82">
        <v>0</v>
      </c>
      <c r="P33" s="81"/>
      <c r="Q33" s="83"/>
      <c r="R33" s="24"/>
      <c r="S33" s="24"/>
      <c r="T33" s="24"/>
      <c r="U33" s="24"/>
      <c r="V33" s="24"/>
      <c r="AA33" s="35"/>
      <c r="AB33" s="54"/>
      <c r="AC33" s="24"/>
      <c r="AD33" s="55" t="b">
        <v>0</v>
      </c>
    </row>
    <row r="34" spans="1:30" ht="27.75" customHeight="1">
      <c r="A34" s="54"/>
      <c r="B34" s="33"/>
      <c r="C34" s="589"/>
      <c r="D34" s="590"/>
      <c r="E34" s="590"/>
      <c r="F34" s="590"/>
      <c r="G34" s="590"/>
      <c r="H34" s="590"/>
      <c r="I34" s="591"/>
      <c r="J34" s="24"/>
      <c r="K34" s="31" t="s">
        <v>66</v>
      </c>
      <c r="L34" s="80">
        <f>IF(N34=1,O34+P34+Q34+F13,FLOOR(O34/2,1)+P34+Q34+F13)</f>
        <v>1</v>
      </c>
      <c r="M34" s="31" t="s">
        <v>27</v>
      </c>
      <c r="N34" s="81"/>
      <c r="O34" s="82">
        <v>0</v>
      </c>
      <c r="P34" s="81"/>
      <c r="Q34" s="83"/>
      <c r="R34" s="24"/>
      <c r="S34" s="24"/>
      <c r="T34" s="24"/>
      <c r="U34" s="24"/>
      <c r="V34" s="24"/>
      <c r="AA34" s="35"/>
      <c r="AB34" s="54"/>
      <c r="AC34" s="24"/>
      <c r="AD34" s="55" t="b">
        <v>0</v>
      </c>
    </row>
    <row r="35" spans="1:30" ht="27.75" customHeight="1">
      <c r="A35" s="54"/>
      <c r="B35" s="33"/>
      <c r="C35" s="589"/>
      <c r="D35" s="590"/>
      <c r="E35" s="590"/>
      <c r="F35" s="590"/>
      <c r="G35" s="590"/>
      <c r="H35" s="590"/>
      <c r="I35" s="591"/>
      <c r="J35" s="24"/>
      <c r="K35" s="31" t="s">
        <v>67</v>
      </c>
      <c r="L35" s="80">
        <f>IF(N35=1,O35+P35+Q35+F12,FLOOR(O35/2,1)+P35+Q35+F12)</f>
        <v>2</v>
      </c>
      <c r="M35" s="31" t="s">
        <v>25</v>
      </c>
      <c r="N35" s="81">
        <f>IF(H5="Воин", 1,2)</f>
        <v>1</v>
      </c>
      <c r="O35" s="82">
        <v>0</v>
      </c>
      <c r="P35" s="81"/>
      <c r="Q35" s="83"/>
      <c r="R35" s="24"/>
      <c r="S35" s="24"/>
      <c r="T35" s="24"/>
      <c r="U35" s="24"/>
      <c r="V35" s="24"/>
      <c r="AA35" s="35"/>
      <c r="AB35" s="54"/>
      <c r="AC35" s="24"/>
      <c r="AD35" s="55" t="b">
        <v>0</v>
      </c>
    </row>
    <row r="36" spans="1:30" ht="27.75" customHeight="1">
      <c r="A36" s="54"/>
      <c r="B36" s="33"/>
      <c r="C36" s="589"/>
      <c r="D36" s="590"/>
      <c r="E36" s="590"/>
      <c r="F36" s="590"/>
      <c r="G36" s="590"/>
      <c r="H36" s="590"/>
      <c r="I36" s="591"/>
      <c r="J36" s="24"/>
      <c r="K36" s="31" t="s">
        <v>68</v>
      </c>
      <c r="L36" s="80">
        <f>IF(N36=1,O36+P36+Q36+F16,FLOOR(O36/2,1)+P36+Q36+F16)</f>
        <v>-1</v>
      </c>
      <c r="M36" s="31" t="s">
        <v>39</v>
      </c>
      <c r="N36" s="81"/>
      <c r="O36" s="82">
        <v>0</v>
      </c>
      <c r="P36" s="81"/>
      <c r="Q36" s="83"/>
      <c r="R36" s="24"/>
      <c r="S36" s="24"/>
      <c r="T36" s="24"/>
      <c r="U36" s="24"/>
      <c r="V36" s="24"/>
      <c r="AA36" s="35"/>
      <c r="AB36" s="54"/>
      <c r="AC36" s="24"/>
      <c r="AD36" s="55" t="b">
        <v>0</v>
      </c>
    </row>
    <row r="37" spans="1:30" ht="27.75" customHeight="1">
      <c r="A37" s="54"/>
      <c r="B37" s="33"/>
      <c r="C37" s="589"/>
      <c r="D37" s="590"/>
      <c r="E37" s="590"/>
      <c r="F37" s="590"/>
      <c r="G37" s="590"/>
      <c r="H37" s="590"/>
      <c r="I37" s="591"/>
      <c r="J37" s="24"/>
      <c r="K37" s="31" t="s">
        <v>69</v>
      </c>
      <c r="L37" s="80">
        <f>IF(N37=1,O37+P37+Q37+F13,FLOOR(O37/2,1)+P37+Q37+F13)</f>
        <v>1</v>
      </c>
      <c r="M37" s="31" t="s">
        <v>27</v>
      </c>
      <c r="N37" s="81"/>
      <c r="O37" s="82">
        <v>0</v>
      </c>
      <c r="P37" s="81"/>
      <c r="Q37" s="83"/>
      <c r="R37" s="24"/>
      <c r="S37" s="24"/>
      <c r="T37" s="24"/>
      <c r="U37" s="24"/>
      <c r="V37" s="24"/>
      <c r="AA37" s="35"/>
      <c r="AB37" s="54"/>
      <c r="AC37" s="24"/>
      <c r="AD37" s="55" t="b">
        <v>0</v>
      </c>
    </row>
    <row r="38" spans="1:30" ht="27.75" customHeight="1">
      <c r="A38" s="54"/>
      <c r="B38" s="33"/>
      <c r="C38" s="589"/>
      <c r="D38" s="590"/>
      <c r="E38" s="590"/>
      <c r="F38" s="590"/>
      <c r="G38" s="590"/>
      <c r="H38" s="590"/>
      <c r="I38" s="591"/>
      <c r="J38" s="24"/>
      <c r="K38" s="31" t="s">
        <v>70</v>
      </c>
      <c r="L38" s="80">
        <f>IF(N38=1,O38+P38+Q38+F17,FLOOR(O38/2,1)+P38+Q38+F17)</f>
        <v>1</v>
      </c>
      <c r="M38" s="31" t="s">
        <v>40</v>
      </c>
      <c r="N38" s="81"/>
      <c r="O38" s="82">
        <v>0</v>
      </c>
      <c r="P38" s="81"/>
      <c r="Q38" s="83"/>
      <c r="R38" s="24"/>
      <c r="S38" s="24"/>
      <c r="T38" s="24"/>
      <c r="U38" s="24"/>
      <c r="V38" s="24"/>
      <c r="AA38" s="35"/>
      <c r="AB38" s="54"/>
      <c r="AC38" s="24"/>
      <c r="AD38" s="55" t="b">
        <v>0</v>
      </c>
    </row>
    <row r="39" spans="1:30" ht="27.75" customHeight="1">
      <c r="A39" s="54"/>
      <c r="B39" s="33"/>
      <c r="C39" s="589"/>
      <c r="D39" s="590"/>
      <c r="E39" s="590"/>
      <c r="F39" s="590"/>
      <c r="G39" s="590"/>
      <c r="H39" s="590"/>
      <c r="I39" s="591"/>
      <c r="J39" s="24"/>
      <c r="K39" s="31" t="s">
        <v>71</v>
      </c>
      <c r="L39" s="80">
        <f>IF(N39=1,O39+P39+Q39+F15,FLOOR(O39/2,1)+P39+Q39+F15)</f>
        <v>-1</v>
      </c>
      <c r="M39" s="31" t="s">
        <v>31</v>
      </c>
      <c r="N39" s="81"/>
      <c r="O39" s="82">
        <v>0</v>
      </c>
      <c r="P39" s="81"/>
      <c r="Q39" s="83"/>
      <c r="R39" s="24"/>
      <c r="S39" s="24"/>
      <c r="T39" s="24"/>
      <c r="U39" s="24"/>
      <c r="V39" s="24"/>
      <c r="AA39" s="35"/>
      <c r="AB39" s="54"/>
      <c r="AC39" s="24"/>
      <c r="AD39" s="55" t="b">
        <v>0</v>
      </c>
    </row>
    <row r="40" spans="1:30" ht="27.75" customHeight="1">
      <c r="A40" s="54"/>
      <c r="B40" s="33"/>
      <c r="C40" s="589"/>
      <c r="D40" s="590"/>
      <c r="E40" s="590"/>
      <c r="F40" s="590"/>
      <c r="G40" s="590"/>
      <c r="H40" s="590"/>
      <c r="I40" s="591"/>
      <c r="J40" s="24"/>
      <c r="K40" s="31" t="s">
        <v>72</v>
      </c>
      <c r="L40" s="80">
        <f>IF(N40=1,O40+P40+Q40+F17,FLOOR(O40/2,1)+P40+Q40+F17)</f>
        <v>1</v>
      </c>
      <c r="M40" s="31" t="s">
        <v>40</v>
      </c>
      <c r="N40" s="81"/>
      <c r="O40" s="82">
        <v>0</v>
      </c>
      <c r="P40" s="81"/>
      <c r="Q40" s="83"/>
      <c r="R40" s="24"/>
      <c r="S40" s="24"/>
      <c r="T40" s="24"/>
      <c r="U40" s="24"/>
      <c r="V40" s="24"/>
      <c r="AA40" s="35"/>
      <c r="AB40" s="54"/>
      <c r="AC40" s="24"/>
      <c r="AD40" s="55" t="b">
        <v>0</v>
      </c>
    </row>
    <row r="41" spans="1:30" ht="27.75" customHeight="1">
      <c r="A41" s="54"/>
      <c r="B41" s="33"/>
      <c r="C41" s="589"/>
      <c r="D41" s="590"/>
      <c r="E41" s="590"/>
      <c r="F41" s="590"/>
      <c r="G41" s="590"/>
      <c r="H41" s="590"/>
      <c r="I41" s="591"/>
      <c r="J41" s="24"/>
      <c r="K41" s="31" t="s">
        <v>73</v>
      </c>
      <c r="L41" s="80">
        <f>IF(N41=1,O41+P41+Q41+F16,FLOOR(O41/2,1)+P41+Q41+F16)</f>
        <v>0</v>
      </c>
      <c r="M41" s="31" t="s">
        <v>39</v>
      </c>
      <c r="N41" s="81"/>
      <c r="O41" s="82">
        <v>0</v>
      </c>
      <c r="P41" s="81">
        <f>IF(C6="Полуэльф", 1,)</f>
        <v>1</v>
      </c>
      <c r="Q41" s="84"/>
      <c r="R41" s="24"/>
      <c r="S41" s="24"/>
      <c r="T41" s="24"/>
      <c r="U41" s="24"/>
      <c r="V41" s="24"/>
      <c r="AA41" s="35"/>
      <c r="AB41" s="54"/>
      <c r="AC41" s="24"/>
      <c r="AD41" s="55" t="b">
        <v>0</v>
      </c>
    </row>
    <row r="42" spans="1:30" ht="27.75" customHeight="1">
      <c r="A42" s="54"/>
      <c r="B42" s="33"/>
      <c r="C42" s="589"/>
      <c r="D42" s="590"/>
      <c r="E42" s="590"/>
      <c r="F42" s="590"/>
      <c r="G42" s="590"/>
      <c r="H42" s="590"/>
      <c r="I42" s="591"/>
      <c r="J42" s="24"/>
      <c r="K42" s="31" t="s">
        <v>74</v>
      </c>
      <c r="L42" s="80">
        <f>IF(N42=1,O42+P42+Q42+F13,FLOOR(O42/2,1)+P42+Q42+F13)</f>
        <v>1</v>
      </c>
      <c r="M42" s="31" t="s">
        <v>27</v>
      </c>
      <c r="N42" s="81"/>
      <c r="O42" s="82">
        <v>0</v>
      </c>
      <c r="P42" s="81"/>
      <c r="Q42" s="83"/>
      <c r="R42" s="24"/>
      <c r="S42" s="24"/>
      <c r="T42" s="24"/>
      <c r="U42" s="24"/>
      <c r="V42" s="24"/>
      <c r="AA42" s="35"/>
      <c r="AB42" s="54"/>
      <c r="AC42" s="24"/>
      <c r="AD42" s="55" t="b">
        <v>0</v>
      </c>
    </row>
    <row r="43" spans="1:30" ht="27.75" customHeight="1">
      <c r="A43" s="54"/>
      <c r="B43" s="33"/>
      <c r="C43" s="589"/>
      <c r="D43" s="590"/>
      <c r="E43" s="590"/>
      <c r="F43" s="590"/>
      <c r="G43" s="590"/>
      <c r="H43" s="590"/>
      <c r="I43" s="591"/>
      <c r="J43" s="24"/>
      <c r="K43" s="31" t="s">
        <v>75</v>
      </c>
      <c r="L43" s="80">
        <f>IF(N43=1,O43+P43+Q43+F15,FLOOR(O43/2,1)+P43+Q43+F15)</f>
        <v>-1</v>
      </c>
      <c r="M43" s="31" t="s">
        <v>31</v>
      </c>
      <c r="N43" s="81"/>
      <c r="O43" s="82">
        <v>0</v>
      </c>
      <c r="P43" s="81">
        <f>IF(C6="Дварф", 2,)</f>
        <v>0</v>
      </c>
      <c r="Q43" s="83"/>
      <c r="R43" s="24"/>
      <c r="S43" s="24"/>
      <c r="T43" s="24"/>
      <c r="U43" s="24"/>
      <c r="V43" s="24"/>
      <c r="AA43" s="35"/>
      <c r="AB43" s="54"/>
      <c r="AC43" s="24"/>
      <c r="AD43" s="24"/>
    </row>
    <row r="44" spans="1:30" ht="27.75" customHeight="1">
      <c r="A44" s="54"/>
      <c r="B44" s="33"/>
      <c r="C44" s="589"/>
      <c r="D44" s="590"/>
      <c r="E44" s="590"/>
      <c r="F44" s="590"/>
      <c r="G44" s="590"/>
      <c r="H44" s="590"/>
      <c r="I44" s="591"/>
      <c r="J44" s="24"/>
      <c r="K44" s="31" t="s">
        <v>76</v>
      </c>
      <c r="L44" s="80">
        <f>IF(N44=1,O44+P44+Q44+F12,FLOOR(O44/2,1)+P44+Q44+F12)</f>
        <v>2</v>
      </c>
      <c r="M44" s="31" t="s">
        <v>25</v>
      </c>
      <c r="N44" s="81">
        <f>IF(H5="Воин", 1,2)</f>
        <v>1</v>
      </c>
      <c r="O44" s="82">
        <v>0</v>
      </c>
      <c r="P44" s="81"/>
      <c r="Q44" s="83"/>
      <c r="R44" s="24"/>
      <c r="S44" s="24"/>
      <c r="T44" s="24"/>
      <c r="U44" s="24"/>
      <c r="V44" s="24"/>
      <c r="AA44" s="35"/>
      <c r="AB44" s="54"/>
      <c r="AC44" s="24"/>
      <c r="AD44" s="24"/>
    </row>
    <row r="45" spans="1:30" ht="27.75" customHeight="1">
      <c r="A45" s="54"/>
      <c r="B45" s="33"/>
      <c r="C45" s="589"/>
      <c r="D45" s="590"/>
      <c r="E45" s="590"/>
      <c r="F45" s="590"/>
      <c r="G45" s="590"/>
      <c r="H45" s="590"/>
      <c r="I45" s="591"/>
      <c r="J45" s="24"/>
      <c r="K45" s="31" t="s">
        <v>77</v>
      </c>
      <c r="L45" s="80">
        <f>IF(N45=1,O45+P45+Q45+F15,FLOOR(O45/2,1)+P45+Q45+F15)</f>
        <v>-1</v>
      </c>
      <c r="M45" s="31" t="s">
        <v>31</v>
      </c>
      <c r="N45" s="81"/>
      <c r="O45" s="82">
        <v>0</v>
      </c>
      <c r="P45" s="81"/>
      <c r="Q45" s="83"/>
      <c r="R45" s="24"/>
      <c r="S45" s="24"/>
      <c r="T45" s="24"/>
      <c r="U45" s="24"/>
      <c r="V45" s="24"/>
      <c r="AA45" s="35"/>
      <c r="AB45" s="54"/>
      <c r="AC45" s="24"/>
      <c r="AD45" s="24"/>
    </row>
    <row r="46" spans="1:30" ht="35.25" customHeight="1">
      <c r="A46" s="54"/>
      <c r="B46" s="33"/>
      <c r="C46" s="589"/>
      <c r="D46" s="590"/>
      <c r="E46" s="590"/>
      <c r="F46" s="590"/>
      <c r="G46" s="590"/>
      <c r="H46" s="590"/>
      <c r="I46" s="591"/>
      <c r="J46" s="24"/>
      <c r="K46" s="31" t="s">
        <v>78</v>
      </c>
      <c r="L46" s="80">
        <f>IF(N46=1,O46+P46+Q46+F15,FLOOR(O46/2,1)+P46+Q46+F15)</f>
        <v>0</v>
      </c>
      <c r="M46" s="31" t="s">
        <v>31</v>
      </c>
      <c r="N46" s="81"/>
      <c r="O46" s="82">
        <v>0</v>
      </c>
      <c r="P46" s="81">
        <f>IF(C6="Полуэльф", 1,)</f>
        <v>1</v>
      </c>
      <c r="Q46" s="83"/>
      <c r="R46" s="24"/>
      <c r="S46" s="24"/>
      <c r="T46" s="24"/>
      <c r="U46" s="24"/>
      <c r="V46" s="24"/>
      <c r="AA46" s="35"/>
      <c r="AB46" s="54"/>
      <c r="AC46" s="24"/>
      <c r="AD46" s="24"/>
    </row>
    <row r="47" spans="1:30" ht="27" customHeight="1">
      <c r="A47" s="54"/>
      <c r="B47" s="33"/>
      <c r="C47" s="589"/>
      <c r="D47" s="590"/>
      <c r="E47" s="590"/>
      <c r="F47" s="590"/>
      <c r="G47" s="590"/>
      <c r="H47" s="590"/>
      <c r="I47" s="591"/>
      <c r="J47" s="24"/>
      <c r="K47" s="31" t="s">
        <v>79</v>
      </c>
      <c r="L47" s="80">
        <f>IF(N47=1,O47+P47+Q47+F16,FLOOR(O47/2,1)+P47+Q47+F16)</f>
        <v>-1</v>
      </c>
      <c r="M47" s="31" t="s">
        <v>39</v>
      </c>
      <c r="N47" s="81"/>
      <c r="O47" s="82">
        <v>0</v>
      </c>
      <c r="P47" s="81"/>
      <c r="Q47" s="83"/>
      <c r="R47" s="24"/>
      <c r="S47" s="24"/>
      <c r="T47" s="24"/>
      <c r="U47" s="24"/>
      <c r="V47" s="24"/>
      <c r="AA47" s="35"/>
      <c r="AB47" s="54"/>
      <c r="AC47" s="24"/>
      <c r="AD47" s="24"/>
    </row>
    <row r="48" spans="1:30" ht="27.75" customHeight="1">
      <c r="A48" s="54"/>
      <c r="B48" s="33"/>
      <c r="C48" s="589"/>
      <c r="D48" s="590"/>
      <c r="E48" s="590"/>
      <c r="F48" s="590"/>
      <c r="G48" s="590"/>
      <c r="H48" s="590"/>
      <c r="I48" s="591"/>
      <c r="J48" s="24"/>
      <c r="K48" s="31" t="s">
        <v>80</v>
      </c>
      <c r="L48" s="80">
        <f>IF(N48=1,O48+P48+Q48+F12,FLOOR(O48/2,1)+P48+Q48+F12)</f>
        <v>2</v>
      </c>
      <c r="M48" s="31" t="s">
        <v>25</v>
      </c>
      <c r="N48" s="81"/>
      <c r="O48" s="82">
        <v>0</v>
      </c>
      <c r="P48" s="81"/>
      <c r="Q48" s="83"/>
      <c r="R48" s="24"/>
      <c r="S48" s="24"/>
      <c r="T48" s="24"/>
      <c r="U48" s="24"/>
      <c r="V48" s="24"/>
      <c r="AA48" s="35"/>
      <c r="AB48" s="54"/>
      <c r="AC48" s="24"/>
      <c r="AD48" s="24"/>
    </row>
    <row r="49" spans="1:28" ht="27.75" customHeight="1">
      <c r="A49" s="54"/>
      <c r="B49" s="33"/>
      <c r="C49" s="589"/>
      <c r="D49" s="590"/>
      <c r="E49" s="590"/>
      <c r="F49" s="590"/>
      <c r="G49" s="590"/>
      <c r="H49" s="590"/>
      <c r="I49" s="591"/>
      <c r="J49" s="24"/>
      <c r="K49" s="31" t="s">
        <v>81</v>
      </c>
      <c r="L49" s="80">
        <f>IF(N49=1,O49+P49+Q49+F15,FLOOR(O49/2,1)+P49+Q49+F15)</f>
        <v>-1</v>
      </c>
      <c r="M49" s="31" t="s">
        <v>31</v>
      </c>
      <c r="N49" s="81"/>
      <c r="O49" s="82">
        <v>0</v>
      </c>
      <c r="P49" s="81"/>
      <c r="Q49" s="83"/>
      <c r="R49" s="24"/>
      <c r="S49" s="24"/>
      <c r="T49" s="24"/>
      <c r="U49" s="24"/>
      <c r="V49" s="24"/>
      <c r="AA49" s="35"/>
      <c r="AB49" s="54"/>
    </row>
    <row r="50" spans="1:28" ht="27.75" customHeight="1">
      <c r="A50" s="54"/>
      <c r="B50" s="33"/>
      <c r="C50" s="589"/>
      <c r="D50" s="590"/>
      <c r="E50" s="590"/>
      <c r="F50" s="590"/>
      <c r="G50" s="590"/>
      <c r="H50" s="590"/>
      <c r="I50" s="591"/>
      <c r="J50" s="24"/>
      <c r="K50" s="31" t="s">
        <v>82</v>
      </c>
      <c r="L50" s="80">
        <f>IF(N50=1,O50+P50+Q50+F17,FLOOR(O50/2,1)+P50+Q50+F17)</f>
        <v>3</v>
      </c>
      <c r="M50" s="31" t="s">
        <v>40</v>
      </c>
      <c r="N50" s="81"/>
      <c r="O50" s="82">
        <v>0</v>
      </c>
      <c r="P50" s="81">
        <f>IF(C6="Полуэльф", 2,)</f>
        <v>2</v>
      </c>
      <c r="Q50" s="83"/>
      <c r="R50" s="24"/>
      <c r="S50" s="24"/>
      <c r="T50" s="24"/>
      <c r="U50" s="24"/>
      <c r="V50" s="24"/>
      <c r="AA50" s="35"/>
      <c r="AB50" s="54"/>
    </row>
    <row r="51" spans="1:28" ht="27.75" customHeight="1">
      <c r="A51" s="54"/>
      <c r="B51" s="33"/>
      <c r="C51" s="589"/>
      <c r="D51" s="590"/>
      <c r="E51" s="590"/>
      <c r="F51" s="590"/>
      <c r="G51" s="590"/>
      <c r="H51" s="590"/>
      <c r="I51" s="591"/>
      <c r="J51" s="24"/>
      <c r="K51" s="31" t="s">
        <v>83</v>
      </c>
      <c r="L51" s="80">
        <f>IF(N51=1,O51+P51+Q51+F16,FLOOR(O51/2,1)+P51+Q51+F16)</f>
        <v>0</v>
      </c>
      <c r="M51" s="31" t="s">
        <v>39</v>
      </c>
      <c r="N51" s="81"/>
      <c r="O51" s="82">
        <v>0</v>
      </c>
      <c r="P51" s="81">
        <f>IF(C6="Полуэльф", 1,IF(C6="Гном", 2,))</f>
        <v>1</v>
      </c>
      <c r="Q51" s="83"/>
      <c r="R51" s="24"/>
      <c r="S51" s="24"/>
      <c r="T51" s="24"/>
      <c r="U51" s="24"/>
      <c r="V51" s="24"/>
      <c r="AA51" s="35"/>
      <c r="AB51" s="54"/>
    </row>
    <row r="52" spans="1:28" ht="27.75" customHeight="1">
      <c r="A52" s="54"/>
      <c r="B52" s="33"/>
      <c r="C52" s="589"/>
      <c r="D52" s="590"/>
      <c r="E52" s="590"/>
      <c r="F52" s="590"/>
      <c r="G52" s="590"/>
      <c r="H52" s="590"/>
      <c r="I52" s="591"/>
      <c r="J52" s="24"/>
      <c r="K52" s="31" t="s">
        <v>84</v>
      </c>
      <c r="L52" s="80">
        <f>IF(N52=1,O52+P52+Q52+F13,FLOOR(O52/2,1)+P52+Q52+F13)</f>
        <v>1</v>
      </c>
      <c r="M52" s="31" t="s">
        <v>27</v>
      </c>
      <c r="N52" s="81"/>
      <c r="O52" s="82">
        <v>0</v>
      </c>
      <c r="P52" s="81">
        <f>IF(C6="Гном", 4,)</f>
        <v>0</v>
      </c>
      <c r="Q52" s="83"/>
      <c r="R52" s="24"/>
      <c r="S52" s="24"/>
      <c r="T52" s="24"/>
      <c r="U52" s="24"/>
      <c r="V52" s="24"/>
      <c r="AA52" s="35"/>
      <c r="AB52" s="54"/>
    </row>
    <row r="53" spans="1:28" ht="27.75" customHeight="1">
      <c r="A53" s="54"/>
      <c r="B53" s="33"/>
      <c r="C53" s="589"/>
      <c r="D53" s="590"/>
      <c r="E53" s="590"/>
      <c r="F53" s="590"/>
      <c r="G53" s="590"/>
      <c r="H53" s="590"/>
      <c r="I53" s="591"/>
      <c r="J53" s="24"/>
      <c r="K53" s="31" t="s">
        <v>85</v>
      </c>
      <c r="L53" s="80">
        <f>IF(N53=1,O53+P53+Q53+F15,FLOOR(O53/2,1)+P53+Q53+F15)</f>
        <v>-1</v>
      </c>
      <c r="M53" s="31" t="s">
        <v>31</v>
      </c>
      <c r="N53" s="81"/>
      <c r="O53" s="82">
        <v>0</v>
      </c>
      <c r="P53" s="81"/>
      <c r="Q53" s="83"/>
      <c r="R53" s="24"/>
      <c r="S53" s="24"/>
      <c r="T53" s="24"/>
      <c r="U53" s="24"/>
      <c r="V53" s="24"/>
      <c r="AA53" s="35"/>
      <c r="AB53" s="54"/>
    </row>
    <row r="54" spans="1:28" ht="27.75" customHeight="1">
      <c r="A54" s="54"/>
      <c r="B54" s="33"/>
      <c r="C54" s="589"/>
      <c r="D54" s="590"/>
      <c r="E54" s="590"/>
      <c r="F54" s="590"/>
      <c r="G54" s="590"/>
      <c r="H54" s="590"/>
      <c r="I54" s="591"/>
      <c r="J54" s="24"/>
      <c r="K54" s="31" t="s">
        <v>85</v>
      </c>
      <c r="L54" s="80">
        <f>IF(N54=1,O54+P54+Q54+F15,FLOOR(O54/2,1)+P54+Q54+F15)</f>
        <v>-1</v>
      </c>
      <c r="M54" s="31" t="s">
        <v>31</v>
      </c>
      <c r="N54" s="81"/>
      <c r="O54" s="82">
        <v>0</v>
      </c>
      <c r="P54" s="81"/>
      <c r="Q54" s="83"/>
      <c r="R54" s="24"/>
      <c r="S54" s="24"/>
      <c r="T54" s="24"/>
      <c r="U54" s="24"/>
      <c r="V54" s="24"/>
      <c r="AA54" s="35"/>
      <c r="AB54" s="54"/>
    </row>
    <row r="55" spans="1:28" ht="27.75" customHeight="1">
      <c r="A55" s="54"/>
      <c r="B55" s="33"/>
      <c r="C55" s="589"/>
      <c r="D55" s="590"/>
      <c r="E55" s="590"/>
      <c r="F55" s="590"/>
      <c r="G55" s="590"/>
      <c r="H55" s="590"/>
      <c r="I55" s="591"/>
      <c r="J55" s="24"/>
      <c r="K55" s="31" t="s">
        <v>85</v>
      </c>
      <c r="L55" s="80">
        <f>IF(N55=1,O55+P55+Q55+F15,FLOOR(O55/2,1)+P55+Q55+F15)</f>
        <v>-1</v>
      </c>
      <c r="M55" s="31" t="s">
        <v>31</v>
      </c>
      <c r="N55" s="81"/>
      <c r="O55" s="82">
        <v>0</v>
      </c>
      <c r="P55" s="81"/>
      <c r="Q55" s="83"/>
      <c r="R55" s="24"/>
      <c r="S55" s="24"/>
      <c r="T55" s="24"/>
      <c r="U55" s="24"/>
      <c r="V55" s="24"/>
      <c r="AA55" s="35"/>
      <c r="AB55" s="54"/>
    </row>
    <row r="56" spans="1:28" ht="27.75" customHeight="1">
      <c r="A56" s="54"/>
      <c r="B56" s="33"/>
      <c r="C56" s="589"/>
      <c r="D56" s="590"/>
      <c r="E56" s="590"/>
      <c r="F56" s="590"/>
      <c r="G56" s="590"/>
      <c r="H56" s="590"/>
      <c r="I56" s="591"/>
      <c r="J56" s="24"/>
      <c r="K56" s="31" t="s">
        <v>86</v>
      </c>
      <c r="L56" s="80">
        <f>IF(N56=1,O56+P56+Q56+F17,FLOOR(O56/2,1)+P56+Q56+F17)</f>
        <v>1</v>
      </c>
      <c r="M56" s="31" t="s">
        <v>87</v>
      </c>
      <c r="N56" s="81"/>
      <c r="O56" s="82">
        <v>0</v>
      </c>
      <c r="P56" s="81"/>
      <c r="Q56" s="83"/>
      <c r="R56" s="24"/>
      <c r="S56" s="24"/>
      <c r="T56" s="24"/>
      <c r="U56" s="24"/>
      <c r="V56" s="24"/>
      <c r="AA56" s="35"/>
      <c r="AB56" s="54"/>
    </row>
    <row r="57" spans="1:28" ht="27.75" customHeight="1">
      <c r="A57" s="54"/>
      <c r="B57" s="33"/>
      <c r="C57" s="589"/>
      <c r="D57" s="590"/>
      <c r="E57" s="590"/>
      <c r="F57" s="590"/>
      <c r="G57" s="590"/>
      <c r="H57" s="590"/>
      <c r="I57" s="591"/>
      <c r="J57" s="24"/>
      <c r="K57" s="31" t="s">
        <v>86</v>
      </c>
      <c r="L57" s="80">
        <f>IF(N57=1,O57+P57+Q57+F17,FLOOR(O57/2,1)+P57+Q57+F17)</f>
        <v>1</v>
      </c>
      <c r="M57" s="31" t="s">
        <v>87</v>
      </c>
      <c r="N57" s="81"/>
      <c r="O57" s="82">
        <v>0</v>
      </c>
      <c r="P57" s="81"/>
      <c r="Q57" s="83"/>
      <c r="R57" s="24"/>
      <c r="S57" s="24"/>
      <c r="T57" s="24"/>
      <c r="U57" s="24"/>
      <c r="V57" s="24"/>
      <c r="AA57" s="35"/>
      <c r="AB57" s="54"/>
    </row>
    <row r="58" spans="1:28" ht="30.75" customHeight="1">
      <c r="A58" s="54"/>
      <c r="B58" s="33"/>
      <c r="C58" s="589"/>
      <c r="D58" s="590"/>
      <c r="E58" s="590"/>
      <c r="F58" s="590"/>
      <c r="G58" s="590"/>
      <c r="H58" s="590"/>
      <c r="I58" s="591"/>
      <c r="J58" s="24"/>
      <c r="K58" s="31" t="s">
        <v>86</v>
      </c>
      <c r="L58" s="80">
        <f>IF(N58=1,O58+P58+Q58+F17,FLOOR(O58/2,1)+P58+Q58+F17)</f>
        <v>1</v>
      </c>
      <c r="M58" s="31" t="s">
        <v>87</v>
      </c>
      <c r="N58" s="81"/>
      <c r="O58" s="82">
        <v>0</v>
      </c>
      <c r="P58" s="81"/>
      <c r="Q58" s="83"/>
      <c r="R58" s="24"/>
      <c r="S58" s="24"/>
      <c r="T58" s="24"/>
      <c r="U58" s="24"/>
      <c r="V58" s="24"/>
      <c r="AA58" s="35"/>
      <c r="AB58" s="54"/>
    </row>
    <row r="59" spans="1:28" ht="27.75" customHeight="1">
      <c r="A59" s="54"/>
      <c r="B59" s="33"/>
      <c r="C59" s="589"/>
      <c r="D59" s="590"/>
      <c r="E59" s="590"/>
      <c r="F59" s="590"/>
      <c r="G59" s="590"/>
      <c r="H59" s="590"/>
      <c r="I59" s="591"/>
      <c r="J59" s="24"/>
      <c r="K59" s="31" t="s">
        <v>88</v>
      </c>
      <c r="L59" s="80">
        <f>IF(N59=1,O59+P59+Q59+F16,FLOOR(O59/2,1)+P59+Q59+F16)</f>
        <v>-1</v>
      </c>
      <c r="M59" s="31" t="s">
        <v>39</v>
      </c>
      <c r="N59" s="81"/>
      <c r="O59" s="82">
        <v>0</v>
      </c>
      <c r="P59" s="81"/>
      <c r="Q59" s="83"/>
      <c r="R59" s="24"/>
      <c r="S59" s="24"/>
      <c r="T59" s="24"/>
      <c r="U59" s="24"/>
      <c r="V59" s="24"/>
      <c r="AA59" s="35"/>
      <c r="AB59" s="54"/>
    </row>
    <row r="60" spans="1:28" ht="27.75" customHeight="1">
      <c r="A60" s="54"/>
      <c r="B60" s="33"/>
      <c r="C60" s="589"/>
      <c r="D60" s="590"/>
      <c r="E60" s="590"/>
      <c r="F60" s="590"/>
      <c r="G60" s="590"/>
      <c r="H60" s="590"/>
      <c r="I60" s="591"/>
      <c r="J60" s="24"/>
      <c r="K60" s="31" t="s">
        <v>88</v>
      </c>
      <c r="L60" s="80">
        <f>IF(N60=1,O60+P60+Q60+F16,FLOOR(O60/2,1)+P60+Q60+F16)</f>
        <v>-1</v>
      </c>
      <c r="M60" s="31" t="s">
        <v>39</v>
      </c>
      <c r="N60" s="81"/>
      <c r="O60" s="82">
        <v>0</v>
      </c>
      <c r="P60" s="81"/>
      <c r="Q60" s="83"/>
      <c r="R60" s="24"/>
      <c r="S60" s="24"/>
      <c r="T60" s="24"/>
      <c r="U60" s="24"/>
      <c r="V60" s="24"/>
      <c r="AA60" s="35"/>
      <c r="AB60" s="54"/>
    </row>
    <row r="61" spans="1:28" ht="27.75" customHeight="1">
      <c r="A61" s="54"/>
      <c r="B61" s="33"/>
      <c r="C61" s="589"/>
      <c r="D61" s="590"/>
      <c r="E61" s="590"/>
      <c r="F61" s="590"/>
      <c r="G61" s="590"/>
      <c r="H61" s="590"/>
      <c r="I61" s="591"/>
      <c r="J61" s="24"/>
      <c r="K61" s="31" t="s">
        <v>89</v>
      </c>
      <c r="L61" s="80">
        <f>IF(N61=1,O61+P61+Q61+F15,FLOOR(O61/2,1)+P61+Q61+F15)</f>
        <v>-1</v>
      </c>
      <c r="M61" s="31" t="s">
        <v>31</v>
      </c>
      <c r="N61" s="81"/>
      <c r="O61" s="82">
        <v>0</v>
      </c>
      <c r="P61" s="81"/>
      <c r="Q61" s="83"/>
      <c r="R61" s="24"/>
      <c r="S61" s="24"/>
      <c r="T61" s="24"/>
      <c r="U61" s="24"/>
      <c r="V61" s="24"/>
      <c r="AA61" s="35"/>
      <c r="AB61" s="54"/>
    </row>
    <row r="62" spans="1:28" ht="33" customHeight="1">
      <c r="A62" s="54"/>
      <c r="B62" s="33"/>
      <c r="C62" s="589"/>
      <c r="D62" s="590"/>
      <c r="E62" s="590"/>
      <c r="F62" s="590"/>
      <c r="G62" s="590"/>
      <c r="H62" s="590"/>
      <c r="I62" s="591"/>
      <c r="J62" s="24"/>
      <c r="K62" s="31" t="s">
        <v>89</v>
      </c>
      <c r="L62" s="80">
        <f>IF(N62=1,O62+P62+Q62+F15,FLOOR(O62/2,1)+P62+Q62+F15)</f>
        <v>-1</v>
      </c>
      <c r="M62" s="31" t="s">
        <v>31</v>
      </c>
      <c r="N62" s="81"/>
      <c r="O62" s="82">
        <v>0</v>
      </c>
      <c r="P62" s="81"/>
      <c r="Q62" s="83"/>
      <c r="R62" s="24"/>
      <c r="S62" s="24"/>
      <c r="T62" s="24"/>
      <c r="U62" s="24"/>
      <c r="V62" s="24"/>
      <c r="AA62" s="35"/>
      <c r="AB62" s="54"/>
    </row>
    <row r="63" spans="1:28" ht="40.5" customHeight="1">
      <c r="A63" s="54"/>
      <c r="B63" s="33"/>
      <c r="C63" s="589"/>
      <c r="D63" s="590"/>
      <c r="E63" s="590"/>
      <c r="F63" s="590"/>
      <c r="G63" s="590"/>
      <c r="H63" s="590"/>
      <c r="I63" s="591"/>
      <c r="J63" s="24"/>
      <c r="K63" s="31" t="s">
        <v>89</v>
      </c>
      <c r="L63" s="80">
        <f>IF(N63=1,O63+P63+Q63+F15,FLOOR(O63/2,1)+P63+Q63+F15)</f>
        <v>-1</v>
      </c>
      <c r="M63" s="31" t="s">
        <v>31</v>
      </c>
      <c r="N63" s="81"/>
      <c r="O63" s="82">
        <v>0</v>
      </c>
      <c r="P63" s="81"/>
      <c r="Q63" s="83"/>
      <c r="R63" s="24"/>
      <c r="S63" s="24"/>
      <c r="T63" s="24"/>
      <c r="U63" s="24"/>
      <c r="V63" s="24"/>
      <c r="AA63" s="35"/>
      <c r="AB63" s="54"/>
    </row>
    <row r="64" spans="1:28" ht="42" customHeight="1">
      <c r="A64" s="54"/>
      <c r="B64" s="33"/>
      <c r="C64" s="589"/>
      <c r="D64" s="590"/>
      <c r="E64" s="590"/>
      <c r="F64" s="590"/>
      <c r="G64" s="590"/>
      <c r="H64" s="590"/>
      <c r="I64" s="591"/>
      <c r="J64" s="24"/>
      <c r="K64" s="31" t="s">
        <v>89</v>
      </c>
      <c r="L64" s="80">
        <f>IF(N64=1,O64+P64+Q64+F15,FLOOR(O64/2,1)+P64+Q64+F15)</f>
        <v>-1</v>
      </c>
      <c r="M64" s="31" t="s">
        <v>31</v>
      </c>
      <c r="N64" s="81"/>
      <c r="O64" s="82">
        <v>0</v>
      </c>
      <c r="P64" s="81"/>
      <c r="Q64" s="83"/>
      <c r="R64" s="24"/>
      <c r="S64" s="24"/>
      <c r="T64" s="24"/>
      <c r="U64" s="24"/>
      <c r="V64" s="24"/>
      <c r="AA64" s="35"/>
      <c r="AB64" s="54"/>
    </row>
    <row r="65" spans="1:28" ht="27.75" customHeight="1" thickBot="1">
      <c r="A65" s="54"/>
      <c r="B65" s="33"/>
      <c r="C65" s="592"/>
      <c r="D65" s="593"/>
      <c r="E65" s="593"/>
      <c r="F65" s="593"/>
      <c r="G65" s="593"/>
      <c r="H65" s="593"/>
      <c r="I65" s="594"/>
      <c r="J65" s="28"/>
      <c r="K65" s="31" t="s">
        <v>89</v>
      </c>
      <c r="L65" s="80">
        <f>IF(N65=1,O65+P65+Q65+F15,FLOOR(O65/2,1)+P65+Q65+F15)</f>
        <v>-1</v>
      </c>
      <c r="M65" s="31" t="s">
        <v>31</v>
      </c>
      <c r="N65" s="81"/>
      <c r="O65" s="82">
        <v>0</v>
      </c>
      <c r="P65" s="81"/>
      <c r="Q65" s="83"/>
      <c r="R65" s="28"/>
      <c r="S65" s="28"/>
      <c r="T65" s="28"/>
      <c r="U65" s="28"/>
      <c r="V65" s="28"/>
      <c r="W65" s="28"/>
      <c r="X65" s="28"/>
      <c r="Y65" s="28"/>
      <c r="Z65" s="28"/>
      <c r="AA65" s="35"/>
      <c r="AB65" s="54"/>
    </row>
    <row r="66" spans="1:28" ht="27.75" customHeight="1" thickTop="1">
      <c r="A66" s="54"/>
      <c r="B66" s="33"/>
      <c r="C66" s="28"/>
      <c r="D66" s="28"/>
      <c r="E66" s="28"/>
      <c r="F66" s="28"/>
      <c r="G66" s="28"/>
      <c r="H66" s="28"/>
      <c r="I66" s="28"/>
      <c r="J66" s="28"/>
      <c r="K66" s="28"/>
      <c r="L66" s="28"/>
      <c r="M66" s="28"/>
      <c r="N66" s="28"/>
      <c r="O66" s="28"/>
      <c r="P66" s="28"/>
      <c r="Q66" s="28"/>
      <c r="R66" s="28"/>
      <c r="S66" s="28"/>
      <c r="T66" s="28"/>
      <c r="U66" s="28"/>
      <c r="V66" s="28"/>
      <c r="W66" s="28"/>
      <c r="X66" s="28"/>
      <c r="Y66" s="28"/>
      <c r="Z66" s="28"/>
      <c r="AA66" s="35"/>
      <c r="AB66" s="54"/>
    </row>
    <row r="67" spans="1:28" ht="27.75" customHeight="1" thickBot="1">
      <c r="A67" s="54"/>
      <c r="B67" s="33"/>
      <c r="C67" s="603" t="s">
        <v>90</v>
      </c>
      <c r="D67" s="603"/>
      <c r="E67" s="603"/>
      <c r="F67" s="38"/>
      <c r="G67" s="38"/>
      <c r="H67" s="38"/>
      <c r="I67" s="38"/>
      <c r="J67" s="38"/>
      <c r="K67" s="38"/>
      <c r="L67" s="38"/>
      <c r="M67" s="24"/>
      <c r="N67" s="24"/>
      <c r="O67" s="24"/>
      <c r="P67" s="24"/>
      <c r="Q67" s="24"/>
      <c r="R67" s="24"/>
      <c r="S67" s="24"/>
      <c r="T67" s="24"/>
      <c r="U67" s="24"/>
      <c r="V67" s="24"/>
      <c r="W67" s="28"/>
      <c r="X67" s="28"/>
      <c r="Y67" s="28"/>
      <c r="Z67" s="28"/>
      <c r="AA67" s="35"/>
      <c r="AB67" s="54"/>
    </row>
    <row r="68" spans="1:28" ht="38.25" customHeight="1" thickTop="1" thickBot="1">
      <c r="A68" s="54"/>
      <c r="B68" s="33"/>
      <c r="C68" s="595"/>
      <c r="D68" s="596"/>
      <c r="E68" s="14" t="s">
        <v>91</v>
      </c>
      <c r="F68" s="25" t="s">
        <v>92</v>
      </c>
      <c r="G68" s="25" t="s">
        <v>93</v>
      </c>
      <c r="H68" s="25" t="s">
        <v>94</v>
      </c>
      <c r="I68" s="25" t="s">
        <v>95</v>
      </c>
      <c r="J68" s="25" t="s">
        <v>96</v>
      </c>
      <c r="K68" s="597" t="s">
        <v>97</v>
      </c>
      <c r="L68" s="598"/>
      <c r="M68" s="24"/>
      <c r="N68" s="557" t="s">
        <v>98</v>
      </c>
      <c r="O68" s="558"/>
      <c r="P68" s="559"/>
      <c r="Q68" s="74">
        <f>IF(H9="Невыбрано",IF(H8="Невыбрано",IF(H7="Невыбрано",IF(H6="Невыбрано",IF(H5="Воин",M4)))))+IF(C8="Маленький",1,)</f>
        <v>1</v>
      </c>
      <c r="R68" s="24"/>
      <c r="S68" s="49" t="s">
        <v>99</v>
      </c>
      <c r="T68" s="74"/>
      <c r="U68" s="24"/>
      <c r="V68" s="24"/>
      <c r="W68" s="28"/>
      <c r="X68" s="28"/>
      <c r="Y68" s="28"/>
      <c r="Z68" s="28"/>
      <c r="AA68" s="35"/>
      <c r="AB68" s="54"/>
    </row>
    <row r="69" spans="1:28" ht="27.75" customHeight="1" thickBot="1">
      <c r="A69" s="54"/>
      <c r="B69" s="33"/>
      <c r="C69" s="597" t="s">
        <v>100</v>
      </c>
      <c r="D69" s="598"/>
      <c r="E69" s="40">
        <f>F69+G69+H69+I69+J69</f>
        <v>1</v>
      </c>
      <c r="F69" s="26"/>
      <c r="G69" s="26">
        <f>F14</f>
        <v>1</v>
      </c>
      <c r="H69" s="26"/>
      <c r="I69" s="26"/>
      <c r="J69" s="11"/>
      <c r="K69" s="514"/>
      <c r="L69" s="516"/>
      <c r="M69" s="24"/>
      <c r="N69" s="24"/>
      <c r="O69" s="24"/>
      <c r="P69" s="24"/>
      <c r="Q69" s="24"/>
      <c r="R69" s="24"/>
      <c r="S69" s="24"/>
      <c r="T69" s="24"/>
      <c r="U69" s="24"/>
      <c r="V69" s="24"/>
      <c r="AA69" s="35"/>
      <c r="AB69" s="54"/>
    </row>
    <row r="70" spans="1:28" ht="27.75" customHeight="1" thickTop="1" thickBot="1">
      <c r="A70" s="54"/>
      <c r="B70" s="33"/>
      <c r="C70" s="45"/>
      <c r="D70" s="41"/>
      <c r="E70" s="42"/>
      <c r="F70" s="42"/>
      <c r="G70" s="42"/>
      <c r="H70" s="42"/>
      <c r="I70" s="42"/>
      <c r="J70" s="12"/>
      <c r="K70" s="599"/>
      <c r="L70" s="600"/>
      <c r="M70" s="24"/>
      <c r="N70" s="557" t="s">
        <v>101</v>
      </c>
      <c r="O70" s="558"/>
      <c r="P70" s="559"/>
      <c r="Q70" s="74">
        <f>S70+T70+U70+AA70</f>
        <v>3</v>
      </c>
      <c r="R70" s="139" t="s">
        <v>30</v>
      </c>
      <c r="S70" s="74">
        <f>Q68</f>
        <v>1</v>
      </c>
      <c r="T70" s="74">
        <f>F12</f>
        <v>2</v>
      </c>
      <c r="U70" s="74">
        <f>IF(C8 = "Маленький", 1, IF(C8 = "Средний", 0, IF(C8 = "Большой", 2, "ERROR")))</f>
        <v>0</v>
      </c>
      <c r="V70" s="74"/>
      <c r="X70" s="28"/>
      <c r="Y70" s="28"/>
      <c r="Z70" s="28"/>
      <c r="AA70" s="35"/>
      <c r="AB70" s="54"/>
    </row>
    <row r="71" spans="1:28" ht="34.5" customHeight="1" thickTop="1" thickBot="1">
      <c r="A71" s="54"/>
      <c r="B71" s="33"/>
      <c r="C71" s="597" t="s">
        <v>102</v>
      </c>
      <c r="D71" s="598"/>
      <c r="E71" s="43">
        <f>F71+G71+H71+I71+J71</f>
        <v>1</v>
      </c>
      <c r="F71" s="26"/>
      <c r="G71" s="26">
        <f>F13</f>
        <v>1</v>
      </c>
      <c r="H71" s="26"/>
      <c r="I71" s="26"/>
      <c r="J71" s="11"/>
      <c r="K71" s="599"/>
      <c r="L71" s="600"/>
      <c r="M71" s="24"/>
      <c r="N71" s="24"/>
      <c r="O71" s="24"/>
      <c r="P71" s="24"/>
      <c r="Q71" s="24"/>
      <c r="R71" s="24"/>
      <c r="S71" s="137" t="s">
        <v>103</v>
      </c>
      <c r="T71" s="137" t="s">
        <v>104</v>
      </c>
      <c r="U71" s="137" t="s">
        <v>35</v>
      </c>
      <c r="V71" s="137" t="s">
        <v>38</v>
      </c>
      <c r="AA71" s="35"/>
      <c r="AB71" s="54"/>
    </row>
    <row r="72" spans="1:28" ht="27.75" customHeight="1" thickBot="1">
      <c r="A72" s="54"/>
      <c r="B72" s="33"/>
      <c r="C72" s="45"/>
      <c r="D72" s="41"/>
      <c r="E72" s="42"/>
      <c r="F72" s="42"/>
      <c r="G72" s="42"/>
      <c r="H72" s="42"/>
      <c r="I72" s="42"/>
      <c r="J72" s="12"/>
      <c r="K72" s="599"/>
      <c r="L72" s="600"/>
      <c r="M72" s="24"/>
      <c r="N72" s="24"/>
      <c r="O72" s="24"/>
      <c r="P72" s="24"/>
      <c r="Q72" s="24"/>
      <c r="R72" s="24"/>
      <c r="S72" s="24"/>
      <c r="T72" s="24"/>
      <c r="U72" s="24"/>
      <c r="V72" s="24"/>
      <c r="AA72" s="35"/>
      <c r="AB72" s="54"/>
    </row>
    <row r="73" spans="1:28" ht="27.75" customHeight="1" thickBot="1">
      <c r="A73" s="54"/>
      <c r="B73" s="33"/>
      <c r="C73" s="604" t="s">
        <v>105</v>
      </c>
      <c r="D73" s="605"/>
      <c r="E73" s="43">
        <f>F73+G73+H73+I73+J73</f>
        <v>-1</v>
      </c>
      <c r="F73" s="26"/>
      <c r="G73" s="26">
        <f>F16</f>
        <v>-1</v>
      </c>
      <c r="H73" s="26"/>
      <c r="I73" s="26"/>
      <c r="J73" s="11"/>
      <c r="K73" s="599"/>
      <c r="L73" s="600"/>
      <c r="M73" s="24"/>
      <c r="N73" s="24"/>
      <c r="O73" s="24"/>
      <c r="P73" s="24"/>
      <c r="Q73" s="24"/>
      <c r="R73" s="24"/>
      <c r="S73" s="24"/>
      <c r="T73" s="24"/>
      <c r="U73" s="24"/>
      <c r="V73" s="24"/>
      <c r="AA73" s="35"/>
      <c r="AB73" s="54"/>
    </row>
    <row r="74" spans="1:28" ht="27.75" customHeight="1" thickBot="1">
      <c r="A74" s="54"/>
      <c r="B74" s="33"/>
      <c r="C74" s="46"/>
      <c r="D74" s="44"/>
      <c r="E74" s="42"/>
      <c r="F74" s="42"/>
      <c r="G74" s="42"/>
      <c r="H74" s="42"/>
      <c r="I74" s="42"/>
      <c r="J74" s="12"/>
      <c r="K74" s="601"/>
      <c r="L74" s="602"/>
      <c r="M74" s="24"/>
      <c r="N74" s="24"/>
      <c r="O74" s="24"/>
      <c r="P74" s="469" t="s">
        <v>106</v>
      </c>
      <c r="Q74" s="465"/>
      <c r="R74" s="466"/>
      <c r="S74" s="464" t="s">
        <v>107</v>
      </c>
      <c r="T74" s="465"/>
      <c r="U74" s="466"/>
      <c r="V74" s="464" t="s">
        <v>108</v>
      </c>
      <c r="W74" s="465"/>
      <c r="X74" s="466"/>
      <c r="Y74" s="458" t="s">
        <v>109</v>
      </c>
      <c r="Z74" s="459"/>
      <c r="AA74" s="35"/>
      <c r="AB74" s="54"/>
    </row>
    <row r="75" spans="1:28" ht="27.75" customHeight="1" thickTop="1" thickBot="1">
      <c r="A75" s="54"/>
      <c r="B75" s="33"/>
      <c r="C75" s="24"/>
      <c r="D75" s="24"/>
      <c r="E75" s="24"/>
      <c r="F75" s="24"/>
      <c r="G75" s="24"/>
      <c r="H75" s="24"/>
      <c r="I75" s="24"/>
      <c r="J75" s="24"/>
      <c r="K75" s="24"/>
      <c r="L75" s="24"/>
      <c r="M75" s="24"/>
      <c r="N75" s="24"/>
      <c r="O75" s="28"/>
      <c r="P75" s="451"/>
      <c r="Q75" s="452"/>
      <c r="R75" s="453"/>
      <c r="S75" s="451"/>
      <c r="T75" s="452"/>
      <c r="U75" s="453"/>
      <c r="V75" s="451"/>
      <c r="W75" s="452"/>
      <c r="X75" s="453"/>
      <c r="Y75" s="454"/>
      <c r="Z75" s="455"/>
      <c r="AA75" s="35"/>
      <c r="AB75" s="54"/>
    </row>
    <row r="76" spans="1:28" ht="27.75" customHeight="1" thickTop="1" thickBot="1">
      <c r="A76" s="54"/>
      <c r="B76" s="33"/>
      <c r="C76" s="24"/>
      <c r="D76" s="24"/>
      <c r="E76" s="24"/>
      <c r="F76" s="24"/>
      <c r="G76" s="24"/>
      <c r="H76" s="24"/>
      <c r="I76" s="24"/>
      <c r="J76" s="24"/>
      <c r="K76" s="24"/>
      <c r="L76" s="24"/>
      <c r="M76" s="24"/>
      <c r="N76" s="24"/>
      <c r="O76" s="28"/>
      <c r="P76" s="456" t="s">
        <v>110</v>
      </c>
      <c r="Q76" s="457"/>
      <c r="R76" s="458" t="s">
        <v>111</v>
      </c>
      <c r="S76" s="457"/>
      <c r="T76" s="458" t="s">
        <v>112</v>
      </c>
      <c r="U76" s="459"/>
      <c r="V76" s="459"/>
      <c r="W76" s="459"/>
      <c r="X76" s="459"/>
      <c r="Y76" s="459"/>
      <c r="Z76" s="459"/>
      <c r="AA76" s="35"/>
      <c r="AB76" s="54"/>
    </row>
    <row r="77" spans="1:28" ht="27.75" customHeight="1" thickTop="1" thickBot="1">
      <c r="A77" s="54"/>
      <c r="B77" s="33"/>
      <c r="C77" s="2" t="s">
        <v>113</v>
      </c>
      <c r="D77" s="553" t="s">
        <v>114</v>
      </c>
      <c r="E77" s="554"/>
      <c r="F77" s="554"/>
      <c r="G77" s="554"/>
      <c r="H77" s="554"/>
      <c r="I77" s="554"/>
      <c r="J77" s="554"/>
      <c r="K77" s="554"/>
      <c r="L77" s="554"/>
      <c r="M77" s="554"/>
      <c r="N77" s="555"/>
      <c r="O77" s="28"/>
      <c r="P77" s="454"/>
      <c r="Q77" s="455"/>
      <c r="R77" s="454"/>
      <c r="S77" s="455"/>
      <c r="T77" s="454"/>
      <c r="U77" s="460"/>
      <c r="V77" s="460"/>
      <c r="W77" s="460"/>
      <c r="X77" s="460"/>
      <c r="Y77" s="460"/>
      <c r="Z77" s="455"/>
      <c r="AA77" s="24"/>
      <c r="AB77" s="54"/>
    </row>
    <row r="78" spans="1:28" ht="27.75" customHeight="1" thickTop="1" thickBot="1">
      <c r="A78" s="54"/>
      <c r="B78" s="33"/>
      <c r="C78" s="15" t="s">
        <v>115</v>
      </c>
      <c r="D78" s="550" t="s">
        <v>116</v>
      </c>
      <c r="E78" s="551"/>
      <c r="F78" s="551"/>
      <c r="G78" s="552"/>
      <c r="H78" s="544" t="s">
        <v>117</v>
      </c>
      <c r="I78" s="545"/>
      <c r="J78" s="545"/>
      <c r="K78" s="546"/>
      <c r="L78" s="544" t="s">
        <v>118</v>
      </c>
      <c r="M78" s="545"/>
      <c r="N78" s="546"/>
      <c r="O78" s="28"/>
      <c r="P78" s="138" t="s">
        <v>119</v>
      </c>
      <c r="Q78" s="467"/>
      <c r="R78" s="468"/>
      <c r="S78" s="468"/>
      <c r="T78" s="468"/>
      <c r="U78" s="470"/>
      <c r="V78" s="470"/>
      <c r="W78" s="470"/>
      <c r="X78" s="470"/>
      <c r="Y78" s="470"/>
      <c r="Z78" s="470"/>
      <c r="AA78" s="24"/>
      <c r="AB78" s="54"/>
    </row>
    <row r="79" spans="1:28" ht="27.75" customHeight="1" thickTop="1">
      <c r="A79" s="54"/>
      <c r="B79" s="33"/>
      <c r="C79" s="16"/>
      <c r="D79" s="547"/>
      <c r="E79" s="548"/>
      <c r="F79" s="548"/>
      <c r="G79" s="549"/>
      <c r="H79" s="511"/>
      <c r="I79" s="512"/>
      <c r="J79" s="512"/>
      <c r="K79" s="513"/>
      <c r="L79" s="511"/>
      <c r="M79" s="512"/>
      <c r="N79" s="513"/>
      <c r="O79" s="28"/>
      <c r="P79" s="24"/>
      <c r="Q79" s="24"/>
      <c r="R79" s="24"/>
      <c r="S79" s="24"/>
      <c r="T79" s="24"/>
      <c r="U79" s="24"/>
      <c r="V79" s="24"/>
      <c r="AA79" s="24"/>
      <c r="AB79" s="54"/>
    </row>
    <row r="80" spans="1:28" ht="27.75" customHeight="1">
      <c r="A80" s="54"/>
      <c r="B80" s="33"/>
      <c r="C80" s="16"/>
      <c r="D80" s="508"/>
      <c r="E80" s="509"/>
      <c r="F80" s="509"/>
      <c r="G80" s="510"/>
      <c r="H80" s="482"/>
      <c r="I80" s="483"/>
      <c r="J80" s="483"/>
      <c r="K80" s="484"/>
      <c r="L80" s="482"/>
      <c r="M80" s="483"/>
      <c r="N80" s="484"/>
      <c r="O80" s="28"/>
      <c r="P80" s="24"/>
      <c r="Q80" s="24"/>
      <c r="R80" s="24"/>
      <c r="S80" s="24"/>
      <c r="T80" s="24"/>
      <c r="U80" s="24"/>
      <c r="V80" s="24"/>
      <c r="AA80" s="24"/>
      <c r="AB80" s="54"/>
    </row>
    <row r="81" spans="1:28" ht="27.75" customHeight="1" thickBot="1">
      <c r="A81" s="54"/>
      <c r="B81" s="33"/>
      <c r="C81" s="16"/>
      <c r="D81" s="505"/>
      <c r="E81" s="506"/>
      <c r="F81" s="506"/>
      <c r="G81" s="507"/>
      <c r="H81" s="502"/>
      <c r="I81" s="503"/>
      <c r="J81" s="503"/>
      <c r="K81" s="504"/>
      <c r="L81" s="511"/>
      <c r="M81" s="512"/>
      <c r="N81" s="513"/>
      <c r="O81" s="28"/>
      <c r="P81" s="469" t="s">
        <v>106</v>
      </c>
      <c r="Q81" s="465"/>
      <c r="R81" s="466"/>
      <c r="S81" s="464" t="s">
        <v>107</v>
      </c>
      <c r="T81" s="465"/>
      <c r="U81" s="466"/>
      <c r="V81" s="464" t="s">
        <v>108</v>
      </c>
      <c r="W81" s="465"/>
      <c r="X81" s="466"/>
      <c r="Y81" s="458" t="s">
        <v>109</v>
      </c>
      <c r="Z81" s="459"/>
      <c r="AA81" s="24"/>
      <c r="AB81" s="54"/>
    </row>
    <row r="82" spans="1:28" ht="27.75" customHeight="1" thickTop="1" thickBot="1">
      <c r="A82" s="54"/>
      <c r="B82" s="33"/>
      <c r="C82" s="16"/>
      <c r="D82" s="508"/>
      <c r="E82" s="509"/>
      <c r="F82" s="509"/>
      <c r="G82" s="510"/>
      <c r="H82" s="482"/>
      <c r="I82" s="483"/>
      <c r="J82" s="483"/>
      <c r="K82" s="484"/>
      <c r="L82" s="482"/>
      <c r="M82" s="483"/>
      <c r="N82" s="484"/>
      <c r="O82" s="28"/>
      <c r="P82" s="451"/>
      <c r="Q82" s="452"/>
      <c r="R82" s="453"/>
      <c r="S82" s="451"/>
      <c r="T82" s="452"/>
      <c r="U82" s="453"/>
      <c r="V82" s="451"/>
      <c r="W82" s="452"/>
      <c r="X82" s="453"/>
      <c r="Y82" s="454"/>
      <c r="Z82" s="455"/>
      <c r="AA82" s="35"/>
      <c r="AB82" s="54"/>
    </row>
    <row r="83" spans="1:28" ht="27.75" customHeight="1" thickTop="1" thickBot="1">
      <c r="A83" s="54"/>
      <c r="B83" s="33"/>
      <c r="C83" s="16"/>
      <c r="D83" s="505"/>
      <c r="E83" s="506"/>
      <c r="F83" s="506"/>
      <c r="G83" s="507"/>
      <c r="H83" s="502"/>
      <c r="I83" s="503"/>
      <c r="J83" s="503"/>
      <c r="K83" s="504"/>
      <c r="L83" s="511"/>
      <c r="M83" s="512"/>
      <c r="N83" s="513"/>
      <c r="O83" s="28"/>
      <c r="P83" s="456" t="s">
        <v>110</v>
      </c>
      <c r="Q83" s="457"/>
      <c r="R83" s="458" t="s">
        <v>111</v>
      </c>
      <c r="S83" s="457"/>
      <c r="T83" s="458" t="s">
        <v>112</v>
      </c>
      <c r="U83" s="459"/>
      <c r="V83" s="459"/>
      <c r="W83" s="459"/>
      <c r="X83" s="459"/>
      <c r="Y83" s="459"/>
      <c r="Z83" s="459"/>
      <c r="AA83" s="35"/>
      <c r="AB83" s="54"/>
    </row>
    <row r="84" spans="1:28" ht="27.75" customHeight="1" thickTop="1" thickBot="1">
      <c r="A84" s="54"/>
      <c r="B84" s="33"/>
      <c r="C84" s="16"/>
      <c r="D84" s="508"/>
      <c r="E84" s="509"/>
      <c r="F84" s="509"/>
      <c r="G84" s="510"/>
      <c r="H84" s="482"/>
      <c r="I84" s="483"/>
      <c r="J84" s="483"/>
      <c r="K84" s="484"/>
      <c r="L84" s="482"/>
      <c r="M84" s="483"/>
      <c r="N84" s="484"/>
      <c r="O84" s="28"/>
      <c r="P84" s="454"/>
      <c r="Q84" s="455"/>
      <c r="R84" s="454"/>
      <c r="S84" s="455"/>
      <c r="T84" s="454"/>
      <c r="U84" s="460"/>
      <c r="V84" s="460"/>
      <c r="W84" s="460"/>
      <c r="X84" s="460"/>
      <c r="Y84" s="460"/>
      <c r="Z84" s="455"/>
      <c r="AA84" s="35"/>
      <c r="AB84" s="54"/>
    </row>
    <row r="85" spans="1:28" ht="27.75" customHeight="1" thickTop="1" thickBot="1">
      <c r="A85" s="54"/>
      <c r="B85" s="33"/>
      <c r="C85" s="16"/>
      <c r="D85" s="505"/>
      <c r="E85" s="506"/>
      <c r="F85" s="506"/>
      <c r="G85" s="507"/>
      <c r="H85" s="502"/>
      <c r="I85" s="503"/>
      <c r="J85" s="503"/>
      <c r="K85" s="504"/>
      <c r="L85" s="511"/>
      <c r="M85" s="512"/>
      <c r="N85" s="513"/>
      <c r="O85" s="24"/>
      <c r="P85" s="32" t="s">
        <v>119</v>
      </c>
      <c r="Q85" s="461"/>
      <c r="R85" s="462"/>
      <c r="S85" s="462"/>
      <c r="T85" s="462"/>
      <c r="U85" s="463"/>
      <c r="V85" s="463"/>
      <c r="W85" s="463"/>
      <c r="X85" s="463"/>
      <c r="Y85" s="463"/>
      <c r="Z85" s="463"/>
      <c r="AA85" s="35"/>
      <c r="AB85" s="54"/>
    </row>
    <row r="86" spans="1:28" ht="27.75" customHeight="1" thickTop="1">
      <c r="A86" s="54"/>
      <c r="B86" s="33"/>
      <c r="C86" s="16"/>
      <c r="D86" s="508"/>
      <c r="E86" s="509"/>
      <c r="F86" s="509"/>
      <c r="G86" s="510"/>
      <c r="H86" s="482"/>
      <c r="I86" s="483"/>
      <c r="J86" s="483"/>
      <c r="K86" s="484"/>
      <c r="L86" s="482"/>
      <c r="M86" s="483"/>
      <c r="N86" s="484"/>
      <c r="O86" s="24"/>
      <c r="P86" s="24"/>
      <c r="Q86" s="24"/>
      <c r="R86" s="24"/>
      <c r="S86" s="24"/>
      <c r="T86" s="24"/>
      <c r="U86" s="28"/>
      <c r="V86" s="28"/>
      <c r="W86" s="28"/>
      <c r="X86" s="28"/>
      <c r="Y86" s="28"/>
      <c r="Z86" s="28"/>
      <c r="AA86" s="35"/>
      <c r="AB86" s="54"/>
    </row>
    <row r="87" spans="1:28" ht="27.75" customHeight="1">
      <c r="A87" s="54"/>
      <c r="B87" s="33"/>
      <c r="C87" s="16"/>
      <c r="D87" s="505"/>
      <c r="E87" s="506"/>
      <c r="F87" s="506"/>
      <c r="G87" s="507"/>
      <c r="H87" s="502"/>
      <c r="I87" s="503"/>
      <c r="J87" s="503"/>
      <c r="K87" s="504"/>
      <c r="L87" s="511"/>
      <c r="M87" s="512"/>
      <c r="N87" s="513"/>
      <c r="O87" s="24"/>
      <c r="P87" s="24"/>
      <c r="Q87" s="24"/>
      <c r="R87" s="24"/>
      <c r="S87" s="24"/>
      <c r="T87" s="24"/>
      <c r="U87" s="28"/>
      <c r="V87" s="28"/>
      <c r="W87" s="28"/>
      <c r="X87" s="28"/>
      <c r="Y87" s="28"/>
      <c r="Z87" s="28"/>
      <c r="AA87" s="35"/>
      <c r="AB87" s="54"/>
    </row>
    <row r="88" spans="1:28" ht="27.75" customHeight="1" thickBot="1">
      <c r="A88" s="54"/>
      <c r="B88" s="33"/>
      <c r="C88" s="16"/>
      <c r="D88" s="508"/>
      <c r="E88" s="509"/>
      <c r="F88" s="509"/>
      <c r="G88" s="510"/>
      <c r="H88" s="482"/>
      <c r="I88" s="483"/>
      <c r="J88" s="483"/>
      <c r="K88" s="484"/>
      <c r="L88" s="482"/>
      <c r="M88" s="483"/>
      <c r="N88" s="484"/>
      <c r="O88" s="24"/>
      <c r="P88" s="469" t="s">
        <v>106</v>
      </c>
      <c r="Q88" s="465"/>
      <c r="R88" s="466"/>
      <c r="S88" s="464" t="s">
        <v>107</v>
      </c>
      <c r="T88" s="465"/>
      <c r="U88" s="466"/>
      <c r="V88" s="464" t="s">
        <v>108</v>
      </c>
      <c r="W88" s="465"/>
      <c r="X88" s="466"/>
      <c r="Y88" s="458" t="s">
        <v>109</v>
      </c>
      <c r="Z88" s="459"/>
      <c r="AA88" s="35"/>
      <c r="AB88" s="54"/>
    </row>
    <row r="89" spans="1:28" ht="27.75" customHeight="1" thickTop="1" thickBot="1">
      <c r="A89" s="54"/>
      <c r="B89" s="33"/>
      <c r="C89" s="16"/>
      <c r="D89" s="505"/>
      <c r="E89" s="506"/>
      <c r="F89" s="506"/>
      <c r="G89" s="507"/>
      <c r="H89" s="502"/>
      <c r="I89" s="503"/>
      <c r="J89" s="503"/>
      <c r="K89" s="504"/>
      <c r="L89" s="511"/>
      <c r="M89" s="512"/>
      <c r="N89" s="513"/>
      <c r="O89" s="24"/>
      <c r="P89" s="451"/>
      <c r="Q89" s="452"/>
      <c r="R89" s="453"/>
      <c r="S89" s="451"/>
      <c r="T89" s="452"/>
      <c r="U89" s="453"/>
      <c r="V89" s="451"/>
      <c r="W89" s="452"/>
      <c r="X89" s="453"/>
      <c r="Y89" s="454"/>
      <c r="Z89" s="455"/>
      <c r="AA89" s="35"/>
      <c r="AB89" s="54"/>
    </row>
    <row r="90" spans="1:28" ht="27.75" customHeight="1" thickTop="1" thickBot="1">
      <c r="A90" s="54"/>
      <c r="B90" s="33"/>
      <c r="C90" s="16"/>
      <c r="D90" s="508"/>
      <c r="E90" s="509"/>
      <c r="F90" s="509"/>
      <c r="G90" s="510"/>
      <c r="H90" s="482"/>
      <c r="I90" s="483"/>
      <c r="J90" s="483"/>
      <c r="K90" s="484"/>
      <c r="L90" s="482"/>
      <c r="M90" s="483"/>
      <c r="N90" s="484"/>
      <c r="O90" s="24"/>
      <c r="P90" s="456" t="s">
        <v>110</v>
      </c>
      <c r="Q90" s="457"/>
      <c r="R90" s="458" t="s">
        <v>111</v>
      </c>
      <c r="S90" s="457"/>
      <c r="T90" s="458" t="s">
        <v>112</v>
      </c>
      <c r="U90" s="459"/>
      <c r="V90" s="459"/>
      <c r="W90" s="459"/>
      <c r="X90" s="459"/>
      <c r="Y90" s="459"/>
      <c r="Z90" s="459"/>
      <c r="AA90" s="35"/>
      <c r="AB90" s="54"/>
    </row>
    <row r="91" spans="1:28" ht="27.75" customHeight="1" thickTop="1" thickBot="1">
      <c r="A91" s="54"/>
      <c r="B91" s="33"/>
      <c r="C91" s="16"/>
      <c r="D91" s="505"/>
      <c r="E91" s="506"/>
      <c r="F91" s="506"/>
      <c r="G91" s="507"/>
      <c r="H91" s="502"/>
      <c r="I91" s="503"/>
      <c r="J91" s="503"/>
      <c r="K91" s="504"/>
      <c r="L91" s="511"/>
      <c r="M91" s="512"/>
      <c r="N91" s="513"/>
      <c r="O91" s="24"/>
      <c r="P91" s="454"/>
      <c r="Q91" s="455"/>
      <c r="R91" s="454"/>
      <c r="S91" s="455"/>
      <c r="T91" s="454"/>
      <c r="U91" s="460"/>
      <c r="V91" s="460"/>
      <c r="W91" s="460"/>
      <c r="X91" s="460"/>
      <c r="Y91" s="460"/>
      <c r="Z91" s="455"/>
      <c r="AA91" s="35"/>
      <c r="AB91" s="54"/>
    </row>
    <row r="92" spans="1:28" ht="27.75" customHeight="1" thickTop="1" thickBot="1">
      <c r="A92" s="54"/>
      <c r="B92" s="33"/>
      <c r="C92" s="16"/>
      <c r="D92" s="508"/>
      <c r="E92" s="509"/>
      <c r="F92" s="509"/>
      <c r="G92" s="510"/>
      <c r="H92" s="482"/>
      <c r="I92" s="483"/>
      <c r="J92" s="483"/>
      <c r="K92" s="484"/>
      <c r="L92" s="482"/>
      <c r="M92" s="483"/>
      <c r="N92" s="484"/>
      <c r="O92" s="24"/>
      <c r="P92" s="32" t="s">
        <v>119</v>
      </c>
      <c r="Q92" s="461"/>
      <c r="R92" s="462"/>
      <c r="S92" s="462"/>
      <c r="T92" s="462"/>
      <c r="U92" s="463"/>
      <c r="V92" s="463"/>
      <c r="W92" s="463"/>
      <c r="X92" s="463"/>
      <c r="Y92" s="463"/>
      <c r="Z92" s="463"/>
      <c r="AA92" s="35"/>
      <c r="AB92" s="54"/>
    </row>
    <row r="93" spans="1:28" ht="27.75" customHeight="1" thickTop="1" thickBot="1">
      <c r="A93" s="54"/>
      <c r="B93" s="33"/>
      <c r="C93" s="16"/>
      <c r="D93" s="505"/>
      <c r="E93" s="506"/>
      <c r="F93" s="506"/>
      <c r="G93" s="507"/>
      <c r="H93" s="502"/>
      <c r="I93" s="503"/>
      <c r="J93" s="503"/>
      <c r="K93" s="504"/>
      <c r="L93" s="511"/>
      <c r="M93" s="512"/>
      <c r="N93" s="513"/>
      <c r="O93" s="521" t="s">
        <v>120</v>
      </c>
      <c r="P93" s="522"/>
      <c r="Q93" s="522"/>
      <c r="R93" s="522"/>
      <c r="S93" s="522"/>
      <c r="T93" s="523"/>
      <c r="U93" s="28"/>
      <c r="V93" s="28"/>
      <c r="W93" s="28"/>
      <c r="X93" s="28"/>
      <c r="Y93" s="28"/>
      <c r="Z93" s="28"/>
      <c r="AA93" s="35"/>
      <c r="AB93" s="54"/>
    </row>
    <row r="94" spans="1:28" ht="27.75" customHeight="1" thickBot="1">
      <c r="A94" s="54"/>
      <c r="B94" s="33"/>
      <c r="C94" s="16"/>
      <c r="D94" s="508"/>
      <c r="E94" s="509"/>
      <c r="F94" s="509"/>
      <c r="G94" s="510"/>
      <c r="H94" s="482"/>
      <c r="I94" s="483"/>
      <c r="J94" s="483"/>
      <c r="K94" s="484"/>
      <c r="L94" s="482"/>
      <c r="M94" s="483"/>
      <c r="N94" s="484"/>
      <c r="O94" s="1" t="s">
        <v>2</v>
      </c>
      <c r="P94" s="1" t="s">
        <v>121</v>
      </c>
      <c r="Q94" s="1" t="s">
        <v>122</v>
      </c>
      <c r="R94" s="1" t="s">
        <v>123</v>
      </c>
      <c r="S94" s="18" t="s">
        <v>124</v>
      </c>
      <c r="T94" s="19" t="s">
        <v>125</v>
      </c>
      <c r="U94" s="28"/>
      <c r="V94" s="28"/>
      <c r="W94" s="28"/>
      <c r="X94" s="28"/>
      <c r="Y94" s="28"/>
      <c r="Z94" s="28"/>
      <c r="AA94" s="35"/>
      <c r="AB94" s="54"/>
    </row>
    <row r="95" spans="1:28" ht="27.75" customHeight="1">
      <c r="A95" s="54"/>
      <c r="B95" s="33"/>
      <c r="C95" s="16"/>
      <c r="D95" s="505"/>
      <c r="E95" s="506"/>
      <c r="F95" s="506"/>
      <c r="G95" s="507"/>
      <c r="H95" s="502"/>
      <c r="I95" s="503"/>
      <c r="J95" s="503"/>
      <c r="K95" s="504"/>
      <c r="L95" s="511"/>
      <c r="M95" s="512"/>
      <c r="N95" s="513"/>
      <c r="O95" s="20">
        <v>0</v>
      </c>
      <c r="P95" s="62"/>
      <c r="Q95" s="62"/>
      <c r="R95" s="62"/>
      <c r="S95" s="62"/>
      <c r="T95" s="63"/>
      <c r="U95" s="28"/>
      <c r="V95" s="28"/>
      <c r="W95" s="28"/>
      <c r="X95" s="28"/>
      <c r="Y95" s="28"/>
      <c r="Z95" s="28"/>
      <c r="AA95" s="35"/>
      <c r="AB95" s="54"/>
    </row>
    <row r="96" spans="1:28" ht="27.75" customHeight="1">
      <c r="A96" s="54"/>
      <c r="B96" s="33"/>
      <c r="C96" s="16"/>
      <c r="D96" s="508"/>
      <c r="E96" s="509"/>
      <c r="F96" s="509"/>
      <c r="G96" s="510"/>
      <c r="H96" s="482"/>
      <c r="I96" s="483"/>
      <c r="J96" s="483"/>
      <c r="K96" s="484"/>
      <c r="L96" s="482"/>
      <c r="M96" s="483"/>
      <c r="N96" s="484"/>
      <c r="O96" s="27">
        <v>1</v>
      </c>
      <c r="P96" s="353"/>
      <c r="Q96" s="353"/>
      <c r="R96" s="353"/>
      <c r="S96" s="353"/>
      <c r="T96" s="64"/>
      <c r="U96" s="28"/>
      <c r="V96" s="28"/>
      <c r="W96" s="28"/>
      <c r="X96" s="28"/>
      <c r="Y96" s="28"/>
      <c r="Z96" s="28"/>
      <c r="AA96" s="35"/>
      <c r="AB96" s="54"/>
    </row>
    <row r="97" spans="1:28" ht="27.75" customHeight="1">
      <c r="A97" s="54"/>
      <c r="B97" s="33"/>
      <c r="C97" s="16"/>
      <c r="D97" s="505"/>
      <c r="E97" s="506"/>
      <c r="F97" s="506"/>
      <c r="G97" s="507"/>
      <c r="H97" s="502"/>
      <c r="I97" s="503"/>
      <c r="J97" s="503"/>
      <c r="K97" s="504"/>
      <c r="L97" s="511"/>
      <c r="M97" s="512"/>
      <c r="N97" s="513"/>
      <c r="O97" s="29">
        <v>2</v>
      </c>
      <c r="P97" s="352"/>
      <c r="Q97" s="352"/>
      <c r="R97" s="352"/>
      <c r="S97" s="352"/>
      <c r="T97" s="65"/>
      <c r="U97" s="28"/>
      <c r="V97" s="28"/>
      <c r="W97" s="28"/>
      <c r="X97" s="28"/>
      <c r="Y97" s="28"/>
      <c r="Z97" s="28"/>
      <c r="AA97" s="35"/>
      <c r="AB97" s="54"/>
    </row>
    <row r="98" spans="1:28" ht="27.75" customHeight="1" thickBot="1">
      <c r="A98" s="54"/>
      <c r="B98" s="33"/>
      <c r="C98" s="16"/>
      <c r="D98" s="22"/>
      <c r="E98" s="23"/>
      <c r="F98" s="23"/>
      <c r="G98" s="23"/>
      <c r="H98" s="578"/>
      <c r="I98" s="578"/>
      <c r="J98" s="578"/>
      <c r="K98" s="578"/>
      <c r="L98" s="578"/>
      <c r="M98" s="578"/>
      <c r="N98" s="579"/>
      <c r="O98" s="27">
        <v>3</v>
      </c>
      <c r="P98" s="353"/>
      <c r="Q98" s="353"/>
      <c r="R98" s="353"/>
      <c r="S98" s="353"/>
      <c r="T98" s="64"/>
      <c r="U98" s="28"/>
      <c r="V98" s="28"/>
      <c r="W98" s="28"/>
      <c r="X98" s="28"/>
      <c r="Y98" s="28"/>
      <c r="Z98" s="28"/>
      <c r="AA98" s="35"/>
      <c r="AB98" s="54"/>
    </row>
    <row r="99" spans="1:28" ht="27.75" customHeight="1">
      <c r="A99" s="54"/>
      <c r="B99" s="33"/>
      <c r="C99" s="16"/>
      <c r="D99" s="526" t="s">
        <v>126</v>
      </c>
      <c r="E99" s="527"/>
      <c r="F99" s="527"/>
      <c r="G99" s="528"/>
      <c r="H99" s="580" t="s">
        <v>117</v>
      </c>
      <c r="I99" s="581"/>
      <c r="J99" s="581"/>
      <c r="K99" s="582"/>
      <c r="L99" s="580" t="s">
        <v>118</v>
      </c>
      <c r="M99" s="581"/>
      <c r="N99" s="582"/>
      <c r="O99" s="29">
        <v>4</v>
      </c>
      <c r="P99" s="352"/>
      <c r="Q99" s="352"/>
      <c r="R99" s="352"/>
      <c r="S99" s="352"/>
      <c r="T99" s="65"/>
      <c r="U99" s="28"/>
      <c r="V99" s="28"/>
      <c r="W99" s="28"/>
      <c r="X99" s="28"/>
      <c r="Y99" s="28"/>
      <c r="Z99" s="28"/>
      <c r="AA99" s="35"/>
      <c r="AB99" s="54"/>
    </row>
    <row r="100" spans="1:28" ht="27.75" customHeight="1">
      <c r="A100" s="54"/>
      <c r="B100" s="33"/>
      <c r="C100" s="16"/>
      <c r="D100" s="508"/>
      <c r="E100" s="509"/>
      <c r="F100" s="509"/>
      <c r="G100" s="510"/>
      <c r="H100" s="482"/>
      <c r="I100" s="483"/>
      <c r="J100" s="483"/>
      <c r="K100" s="484"/>
      <c r="L100" s="482"/>
      <c r="M100" s="483"/>
      <c r="N100" s="484"/>
      <c r="O100" s="27">
        <v>5</v>
      </c>
      <c r="P100" s="353"/>
      <c r="Q100" s="353"/>
      <c r="R100" s="353"/>
      <c r="S100" s="353"/>
      <c r="T100" s="64"/>
      <c r="U100" s="28"/>
      <c r="V100" s="28"/>
      <c r="W100" s="28"/>
      <c r="X100" s="28"/>
      <c r="Y100" s="28"/>
      <c r="Z100" s="28"/>
      <c r="AA100" s="35"/>
      <c r="AB100" s="54"/>
    </row>
    <row r="101" spans="1:28" ht="27.75" customHeight="1">
      <c r="A101" s="54"/>
      <c r="B101" s="33"/>
      <c r="C101" s="16"/>
      <c r="D101" s="505"/>
      <c r="E101" s="506"/>
      <c r="F101" s="506"/>
      <c r="G101" s="507"/>
      <c r="H101" s="502"/>
      <c r="I101" s="503"/>
      <c r="J101" s="503"/>
      <c r="K101" s="504"/>
      <c r="L101" s="511"/>
      <c r="M101" s="512"/>
      <c r="N101" s="513"/>
      <c r="O101" s="29">
        <v>6</v>
      </c>
      <c r="P101" s="352"/>
      <c r="Q101" s="352"/>
      <c r="R101" s="352"/>
      <c r="S101" s="352"/>
      <c r="T101" s="65"/>
      <c r="U101" s="28"/>
      <c r="V101" s="28"/>
      <c r="W101" s="28"/>
      <c r="X101" s="28"/>
      <c r="Y101" s="28"/>
      <c r="Z101" s="28"/>
      <c r="AA101" s="35"/>
      <c r="AB101" s="54"/>
    </row>
    <row r="102" spans="1:28" ht="27.75" customHeight="1">
      <c r="A102" s="54"/>
      <c r="B102" s="33"/>
      <c r="C102" s="16"/>
      <c r="D102" s="508"/>
      <c r="E102" s="509"/>
      <c r="F102" s="509"/>
      <c r="G102" s="510"/>
      <c r="H102" s="482"/>
      <c r="I102" s="483"/>
      <c r="J102" s="483"/>
      <c r="K102" s="484"/>
      <c r="L102" s="482"/>
      <c r="M102" s="483"/>
      <c r="N102" s="484"/>
      <c r="O102" s="27">
        <v>7</v>
      </c>
      <c r="P102" s="353"/>
      <c r="Q102" s="353"/>
      <c r="R102" s="353"/>
      <c r="S102" s="353"/>
      <c r="T102" s="64"/>
      <c r="U102" s="28"/>
      <c r="V102" s="28"/>
      <c r="W102" s="28"/>
      <c r="X102" s="28"/>
      <c r="Y102" s="28"/>
      <c r="Z102" s="28"/>
      <c r="AA102" s="35"/>
      <c r="AB102" s="54"/>
    </row>
    <row r="103" spans="1:28" ht="27.75" customHeight="1">
      <c r="A103" s="54"/>
      <c r="B103" s="33"/>
      <c r="C103" s="16"/>
      <c r="D103" s="505"/>
      <c r="E103" s="506"/>
      <c r="F103" s="506"/>
      <c r="G103" s="507"/>
      <c r="H103" s="502"/>
      <c r="I103" s="503"/>
      <c r="J103" s="503"/>
      <c r="K103" s="504"/>
      <c r="L103" s="511"/>
      <c r="M103" s="512"/>
      <c r="N103" s="513"/>
      <c r="O103" s="29">
        <v>8</v>
      </c>
      <c r="P103" s="352"/>
      <c r="Q103" s="352"/>
      <c r="R103" s="352"/>
      <c r="S103" s="352"/>
      <c r="T103" s="65"/>
      <c r="U103" s="28"/>
      <c r="V103" s="28"/>
      <c r="W103" s="28"/>
      <c r="X103" s="28"/>
      <c r="Y103" s="28"/>
      <c r="Z103" s="28"/>
      <c r="AA103" s="35"/>
      <c r="AB103" s="54"/>
    </row>
    <row r="104" spans="1:28" ht="27.75" customHeight="1">
      <c r="A104" s="54"/>
      <c r="B104" s="33"/>
      <c r="C104" s="16"/>
      <c r="D104" s="508"/>
      <c r="E104" s="509"/>
      <c r="F104" s="509"/>
      <c r="G104" s="510"/>
      <c r="H104" s="482"/>
      <c r="I104" s="483"/>
      <c r="J104" s="483"/>
      <c r="K104" s="484"/>
      <c r="L104" s="482"/>
      <c r="M104" s="483"/>
      <c r="N104" s="484"/>
      <c r="O104" s="27">
        <v>9</v>
      </c>
      <c r="P104" s="353"/>
      <c r="Q104" s="353"/>
      <c r="R104" s="353"/>
      <c r="S104" s="353"/>
      <c r="T104" s="64"/>
      <c r="U104" s="28"/>
      <c r="V104" s="28"/>
      <c r="W104" s="28"/>
      <c r="X104" s="28"/>
      <c r="Y104" s="28"/>
      <c r="Z104" s="28"/>
      <c r="AA104" s="35"/>
      <c r="AB104" s="54"/>
    </row>
    <row r="105" spans="1:28" ht="27.75" customHeight="1">
      <c r="A105" s="54"/>
      <c r="B105" s="33"/>
      <c r="C105" s="16"/>
      <c r="D105" s="505"/>
      <c r="E105" s="506"/>
      <c r="F105" s="506"/>
      <c r="G105" s="507"/>
      <c r="H105" s="502"/>
      <c r="I105" s="503"/>
      <c r="J105" s="503"/>
      <c r="K105" s="504"/>
      <c r="L105" s="511"/>
      <c r="M105" s="512"/>
      <c r="N105" s="513"/>
      <c r="O105" s="21">
        <v>10</v>
      </c>
      <c r="P105" s="66"/>
      <c r="Q105" s="66"/>
      <c r="R105" s="66"/>
      <c r="S105" s="66"/>
      <c r="T105" s="67"/>
      <c r="U105" s="28"/>
      <c r="V105" s="28"/>
      <c r="W105" s="28"/>
      <c r="X105" s="28"/>
      <c r="Y105" s="28"/>
      <c r="Z105" s="28"/>
      <c r="AA105" s="35"/>
      <c r="AB105" s="54"/>
    </row>
    <row r="106" spans="1:28" ht="27.75" customHeight="1">
      <c r="A106" s="54"/>
      <c r="B106" s="33"/>
      <c r="C106" s="16"/>
      <c r="D106" s="508"/>
      <c r="E106" s="509"/>
      <c r="F106" s="509"/>
      <c r="G106" s="510"/>
      <c r="H106" s="482"/>
      <c r="I106" s="483"/>
      <c r="J106" s="483"/>
      <c r="K106" s="484"/>
      <c r="L106" s="482"/>
      <c r="M106" s="483"/>
      <c r="N106" s="484"/>
      <c r="O106" s="94" t="s">
        <v>127</v>
      </c>
      <c r="P106" s="95"/>
      <c r="Q106" s="95"/>
      <c r="R106" s="95"/>
      <c r="S106" s="95"/>
      <c r="T106" s="95"/>
      <c r="U106" s="28"/>
      <c r="V106" s="28"/>
      <c r="W106" s="28"/>
      <c r="X106" s="28"/>
      <c r="Y106" s="28"/>
      <c r="Z106" s="28"/>
      <c r="AA106" s="35"/>
      <c r="AB106" s="54"/>
    </row>
    <row r="107" spans="1:28" ht="27.75" customHeight="1" thickBot="1">
      <c r="A107" s="54"/>
      <c r="B107" s="33"/>
      <c r="C107" s="16"/>
      <c r="D107" s="505"/>
      <c r="E107" s="506"/>
      <c r="F107" s="506"/>
      <c r="G107" s="507"/>
      <c r="H107" s="502"/>
      <c r="I107" s="503"/>
      <c r="J107" s="503"/>
      <c r="K107" s="504"/>
      <c r="L107" s="511"/>
      <c r="M107" s="512"/>
      <c r="N107" s="513"/>
      <c r="O107" s="96"/>
      <c r="P107" s="355"/>
      <c r="Q107" s="355"/>
      <c r="R107" s="355"/>
      <c r="S107" s="355"/>
      <c r="T107" s="356"/>
      <c r="U107" s="28"/>
      <c r="V107" s="28"/>
      <c r="W107" s="28"/>
      <c r="X107" s="28"/>
      <c r="Y107" s="28"/>
      <c r="Z107" s="28"/>
      <c r="AA107" s="35"/>
      <c r="AB107" s="54"/>
    </row>
    <row r="108" spans="1:28" ht="27.75" customHeight="1" thickBot="1">
      <c r="A108" s="54"/>
      <c r="B108" s="33"/>
      <c r="C108" s="16"/>
      <c r="D108" s="508"/>
      <c r="E108" s="509"/>
      <c r="F108" s="509"/>
      <c r="G108" s="510"/>
      <c r="H108" s="482"/>
      <c r="I108" s="483"/>
      <c r="J108" s="483"/>
      <c r="K108" s="484"/>
      <c r="L108" s="482"/>
      <c r="M108" s="483"/>
      <c r="N108" s="484"/>
      <c r="O108" s="97" t="s">
        <v>128</v>
      </c>
      <c r="P108" s="98"/>
      <c r="Q108" s="99" t="s">
        <v>129</v>
      </c>
      <c r="R108" s="100"/>
      <c r="S108" s="100"/>
      <c r="T108" s="98"/>
      <c r="U108" s="28"/>
      <c r="V108" s="28"/>
      <c r="W108" s="28"/>
      <c r="X108" s="28"/>
      <c r="Y108" s="28"/>
      <c r="Z108" s="28"/>
      <c r="AA108" s="35"/>
      <c r="AB108" s="54"/>
    </row>
    <row r="109" spans="1:28" ht="27.75" customHeight="1" thickBot="1">
      <c r="A109" s="54"/>
      <c r="B109" s="33"/>
      <c r="C109" s="16"/>
      <c r="D109" s="505"/>
      <c r="E109" s="506"/>
      <c r="F109" s="506"/>
      <c r="G109" s="507"/>
      <c r="H109" s="511"/>
      <c r="I109" s="512"/>
      <c r="J109" s="512"/>
      <c r="K109" s="513"/>
      <c r="L109" s="511"/>
      <c r="M109" s="512"/>
      <c r="N109" s="513"/>
      <c r="O109" s="101"/>
      <c r="P109" s="102"/>
      <c r="Q109" s="102"/>
      <c r="R109" s="102"/>
      <c r="S109" s="102"/>
      <c r="T109" s="103"/>
      <c r="U109" s="28"/>
      <c r="V109" s="28"/>
      <c r="W109" s="28"/>
      <c r="X109" s="28"/>
      <c r="Y109" s="28"/>
      <c r="Z109" s="28"/>
      <c r="AA109" s="35"/>
      <c r="AB109" s="54"/>
    </row>
    <row r="110" spans="1:28" ht="27.75" customHeight="1" thickBot="1">
      <c r="A110" s="54"/>
      <c r="B110" s="33"/>
      <c r="C110" s="16"/>
      <c r="D110" s="583" t="s">
        <v>130</v>
      </c>
      <c r="E110" s="584"/>
      <c r="F110" s="584"/>
      <c r="G110" s="584"/>
      <c r="H110" s="584"/>
      <c r="I110" s="584"/>
      <c r="J110" s="584"/>
      <c r="K110" s="584"/>
      <c r="L110" s="584"/>
      <c r="M110" s="584"/>
      <c r="N110" s="585"/>
      <c r="O110" s="97" t="s">
        <v>128</v>
      </c>
      <c r="P110" s="98"/>
      <c r="Q110" s="99" t="s">
        <v>129</v>
      </c>
      <c r="R110" s="100"/>
      <c r="S110" s="100"/>
      <c r="T110" s="98"/>
      <c r="U110" s="28"/>
      <c r="V110" s="28"/>
      <c r="W110" s="28"/>
      <c r="X110" s="28"/>
      <c r="Y110" s="28"/>
      <c r="Z110" s="28"/>
      <c r="AA110" s="35"/>
      <c r="AB110" s="54"/>
    </row>
    <row r="111" spans="1:28" ht="27.75" customHeight="1" thickBot="1">
      <c r="A111" s="54"/>
      <c r="B111" s="33"/>
      <c r="C111" s="16"/>
      <c r="D111" s="524"/>
      <c r="E111" s="525"/>
      <c r="F111" s="525"/>
      <c r="G111" s="525"/>
      <c r="H111" s="525"/>
      <c r="I111" s="68"/>
      <c r="J111" s="476"/>
      <c r="K111" s="476"/>
      <c r="L111" s="476"/>
      <c r="M111" s="476"/>
      <c r="N111" s="477"/>
      <c r="O111" s="357" t="s">
        <v>131</v>
      </c>
      <c r="P111" s="358"/>
      <c r="Q111" s="358"/>
      <c r="R111" s="358"/>
      <c r="S111" s="358"/>
      <c r="T111" s="359"/>
      <c r="U111" s="28"/>
      <c r="V111" s="28"/>
      <c r="W111" s="28"/>
      <c r="X111" s="28"/>
      <c r="Y111" s="28"/>
      <c r="Z111" s="28"/>
      <c r="AA111" s="35"/>
      <c r="AB111" s="54"/>
    </row>
    <row r="112" spans="1:28" ht="30" customHeight="1" thickBot="1">
      <c r="A112" s="54"/>
      <c r="B112" s="33"/>
      <c r="C112" s="16"/>
      <c r="D112" s="485" t="s">
        <v>132</v>
      </c>
      <c r="E112" s="486"/>
      <c r="F112" s="486"/>
      <c r="G112" s="486"/>
      <c r="H112" s="487"/>
      <c r="I112" s="68"/>
      <c r="J112" s="499" t="s">
        <v>133</v>
      </c>
      <c r="K112" s="500"/>
      <c r="L112" s="500"/>
      <c r="M112" s="500"/>
      <c r="N112" s="501"/>
      <c r="O112" s="360"/>
      <c r="P112" s="361"/>
      <c r="Q112" s="361"/>
      <c r="R112" s="361"/>
      <c r="S112" s="361"/>
      <c r="T112" s="362"/>
      <c r="U112" s="28"/>
      <c r="V112" s="28"/>
      <c r="W112" s="28"/>
      <c r="X112" s="28"/>
      <c r="Y112" s="28"/>
      <c r="Z112" s="28"/>
      <c r="AA112" s="35"/>
      <c r="AB112" s="54"/>
    </row>
    <row r="113" spans="1:28" ht="27.75" customHeight="1" thickBot="1">
      <c r="A113" s="54"/>
      <c r="B113" s="33"/>
      <c r="C113" s="16"/>
      <c r="D113" s="488"/>
      <c r="E113" s="489"/>
      <c r="F113" s="489"/>
      <c r="G113" s="489"/>
      <c r="H113" s="490"/>
      <c r="I113" s="69"/>
      <c r="J113" s="496"/>
      <c r="K113" s="497"/>
      <c r="L113" s="497"/>
      <c r="M113" s="497"/>
      <c r="N113" s="498"/>
      <c r="O113" s="104" t="s">
        <v>134</v>
      </c>
      <c r="P113" s="105"/>
      <c r="Q113" s="106" t="s">
        <v>135</v>
      </c>
      <c r="R113" s="105"/>
      <c r="S113" s="106" t="s">
        <v>136</v>
      </c>
      <c r="T113" s="105"/>
      <c r="U113" s="28"/>
      <c r="V113" s="28"/>
      <c r="W113" s="28"/>
      <c r="X113" s="28"/>
      <c r="Y113" s="28"/>
      <c r="Z113" s="28"/>
      <c r="AA113" s="35"/>
      <c r="AB113" s="54"/>
    </row>
    <row r="114" spans="1:28" ht="27.75" customHeight="1" thickBot="1">
      <c r="A114" s="54"/>
      <c r="B114" s="33"/>
      <c r="C114" s="16"/>
      <c r="D114" s="485" t="s">
        <v>137</v>
      </c>
      <c r="E114" s="486"/>
      <c r="F114" s="486"/>
      <c r="G114" s="486"/>
      <c r="H114" s="487"/>
      <c r="I114" s="68"/>
      <c r="J114" s="494" t="s">
        <v>138</v>
      </c>
      <c r="K114" s="472"/>
      <c r="L114" s="472"/>
      <c r="M114" s="472"/>
      <c r="N114" s="495"/>
      <c r="O114" s="107"/>
      <c r="P114" s="108"/>
      <c r="Q114" s="108"/>
      <c r="R114" s="108"/>
      <c r="S114" s="108"/>
      <c r="T114" s="109"/>
      <c r="U114" s="28"/>
      <c r="V114" s="28"/>
      <c r="W114" s="28"/>
      <c r="X114" s="28"/>
      <c r="Y114" s="28"/>
      <c r="Z114" s="28"/>
      <c r="AA114" s="35"/>
      <c r="AB114" s="54"/>
    </row>
    <row r="115" spans="1:28" ht="27.75" customHeight="1" thickBot="1">
      <c r="A115" s="54"/>
      <c r="B115" s="33"/>
      <c r="C115" s="16"/>
      <c r="D115" s="488"/>
      <c r="E115" s="489"/>
      <c r="F115" s="489"/>
      <c r="G115" s="489"/>
      <c r="H115" s="490"/>
      <c r="I115" s="69"/>
      <c r="J115" s="491"/>
      <c r="K115" s="492"/>
      <c r="L115" s="492"/>
      <c r="M115" s="492"/>
      <c r="N115" s="493"/>
      <c r="O115" s="357" t="s">
        <v>139</v>
      </c>
      <c r="P115" s="358"/>
      <c r="Q115" s="358"/>
      <c r="R115" s="358"/>
      <c r="S115" s="358"/>
      <c r="T115" s="359"/>
      <c r="U115" s="28"/>
      <c r="V115" s="28"/>
      <c r="W115" s="28"/>
      <c r="X115" s="28"/>
      <c r="Y115" s="28"/>
      <c r="Z115" s="28"/>
      <c r="AA115" s="35"/>
      <c r="AB115" s="54"/>
    </row>
    <row r="116" spans="1:28" ht="27.75" customHeight="1" thickBot="1">
      <c r="A116" s="54"/>
      <c r="B116" s="33"/>
      <c r="C116" s="16"/>
      <c r="D116" s="485" t="s">
        <v>140</v>
      </c>
      <c r="E116" s="486"/>
      <c r="F116" s="486"/>
      <c r="G116" s="486"/>
      <c r="H116" s="487"/>
      <c r="I116" s="68"/>
      <c r="J116" s="494" t="s">
        <v>141</v>
      </c>
      <c r="K116" s="472"/>
      <c r="L116" s="472"/>
      <c r="M116" s="472"/>
      <c r="N116" s="495"/>
      <c r="O116" s="360"/>
      <c r="P116" s="361"/>
      <c r="Q116" s="361"/>
      <c r="R116" s="361"/>
      <c r="S116" s="110"/>
      <c r="T116" s="111"/>
      <c r="U116" s="28"/>
      <c r="V116" s="28"/>
      <c r="W116" s="28"/>
      <c r="X116" s="28"/>
      <c r="Y116" s="28"/>
      <c r="Z116" s="28"/>
      <c r="AA116" s="35"/>
      <c r="AB116" s="54"/>
    </row>
    <row r="117" spans="1:28" ht="27.75" customHeight="1" thickBot="1">
      <c r="A117" s="54"/>
      <c r="B117" s="33"/>
      <c r="C117" s="16"/>
      <c r="D117" s="488"/>
      <c r="E117" s="489"/>
      <c r="F117" s="489"/>
      <c r="G117" s="489"/>
      <c r="H117" s="490"/>
      <c r="I117" s="70"/>
      <c r="J117" s="491"/>
      <c r="K117" s="492"/>
      <c r="L117" s="492"/>
      <c r="M117" s="492"/>
      <c r="N117" s="493"/>
      <c r="O117" s="112" t="s">
        <v>122</v>
      </c>
      <c r="P117" s="113"/>
      <c r="Q117" s="114" t="s">
        <v>142</v>
      </c>
      <c r="R117" s="113"/>
      <c r="S117" s="115" t="s">
        <v>143</v>
      </c>
      <c r="T117" s="116"/>
      <c r="U117" s="28"/>
      <c r="V117" s="28"/>
      <c r="W117" s="28"/>
      <c r="X117" s="28"/>
      <c r="Y117" s="28"/>
      <c r="Z117" s="28"/>
      <c r="AA117" s="35"/>
      <c r="AB117" s="54"/>
    </row>
    <row r="118" spans="1:28" ht="27.75" customHeight="1" thickBot="1">
      <c r="A118" s="54"/>
      <c r="B118" s="33"/>
      <c r="C118" s="16"/>
      <c r="D118" s="473" t="s">
        <v>144</v>
      </c>
      <c r="E118" s="474"/>
      <c r="F118" s="474"/>
      <c r="G118" s="474"/>
      <c r="H118" s="475"/>
      <c r="I118" s="69"/>
      <c r="J118" s="471" t="s">
        <v>145</v>
      </c>
      <c r="K118" s="472"/>
      <c r="L118" s="472"/>
      <c r="M118" s="472"/>
      <c r="N118" s="472"/>
      <c r="O118" s="117"/>
      <c r="P118" s="110"/>
      <c r="Q118" s="110"/>
      <c r="R118" s="110"/>
      <c r="S118" s="353"/>
      <c r="T118" s="354"/>
      <c r="U118" s="28"/>
      <c r="V118" s="28"/>
      <c r="W118" s="28"/>
      <c r="X118" s="28"/>
      <c r="Y118" s="28"/>
      <c r="Z118" s="28"/>
      <c r="AA118" s="35"/>
      <c r="AB118" s="54"/>
    </row>
    <row r="119" spans="1:28" ht="27.75" customHeight="1" thickBot="1">
      <c r="A119" s="54"/>
      <c r="B119" s="33"/>
      <c r="C119" s="16"/>
      <c r="D119" s="517"/>
      <c r="E119" s="518"/>
      <c r="F119" s="518"/>
      <c r="G119" s="518"/>
      <c r="H119" s="519"/>
      <c r="I119" s="69"/>
      <c r="J119" s="491"/>
      <c r="K119" s="492"/>
      <c r="L119" s="492"/>
      <c r="M119" s="492"/>
      <c r="N119" s="492"/>
      <c r="O119" s="118" t="s">
        <v>146</v>
      </c>
      <c r="P119" s="119"/>
      <c r="Q119" s="120" t="s">
        <v>147</v>
      </c>
      <c r="R119" s="120"/>
      <c r="S119" s="120" t="s">
        <v>148</v>
      </c>
      <c r="T119" s="116"/>
      <c r="U119" s="28"/>
      <c r="V119" s="28"/>
      <c r="W119" s="28"/>
      <c r="X119" s="28"/>
      <c r="Y119" s="28"/>
      <c r="Z119" s="28"/>
      <c r="AA119" s="35"/>
      <c r="AB119" s="54"/>
    </row>
    <row r="120" spans="1:28" ht="27.75" customHeight="1" thickBot="1">
      <c r="A120" s="54"/>
      <c r="B120" s="33"/>
      <c r="C120" s="16"/>
      <c r="D120" s="471" t="s">
        <v>149</v>
      </c>
      <c r="E120" s="472"/>
      <c r="F120" s="472"/>
      <c r="G120" s="472"/>
      <c r="H120" s="520"/>
      <c r="I120" s="69"/>
      <c r="J120" s="471" t="s">
        <v>150</v>
      </c>
      <c r="K120" s="472"/>
      <c r="L120" s="472"/>
      <c r="M120" s="472"/>
      <c r="N120" s="472"/>
      <c r="O120" s="97" t="s">
        <v>151</v>
      </c>
      <c r="P120" s="98"/>
      <c r="Q120" s="121"/>
      <c r="R120" s="122"/>
      <c r="S120" s="122"/>
      <c r="T120" s="123"/>
      <c r="U120" s="28"/>
      <c r="V120" s="28"/>
      <c r="W120" s="28"/>
      <c r="X120" s="28"/>
      <c r="Y120" s="28"/>
      <c r="Z120" s="28"/>
      <c r="AA120" s="35"/>
      <c r="AB120" s="54"/>
    </row>
    <row r="121" spans="1:28" ht="27.75" customHeight="1" thickBot="1">
      <c r="A121" s="54"/>
      <c r="B121" s="33"/>
      <c r="C121" s="16"/>
      <c r="D121" s="517"/>
      <c r="E121" s="518"/>
      <c r="F121" s="518"/>
      <c r="G121" s="518"/>
      <c r="H121" s="519"/>
      <c r="I121" s="69"/>
      <c r="J121" s="491"/>
      <c r="K121" s="492"/>
      <c r="L121" s="492"/>
      <c r="M121" s="492"/>
      <c r="N121" s="492"/>
      <c r="O121" s="529" t="s">
        <v>152</v>
      </c>
      <c r="P121" s="530"/>
      <c r="Q121" s="530"/>
      <c r="R121" s="530"/>
      <c r="S121" s="530"/>
      <c r="T121" s="530"/>
      <c r="U121" s="28"/>
      <c r="V121" s="28"/>
      <c r="W121" s="28"/>
      <c r="X121" s="28"/>
      <c r="Y121" s="28"/>
      <c r="Z121" s="28"/>
      <c r="AA121" s="35"/>
      <c r="AB121" s="54"/>
    </row>
    <row r="122" spans="1:28" ht="27.75" customHeight="1" thickBot="1">
      <c r="A122" s="54"/>
      <c r="B122" s="33"/>
      <c r="C122" s="16"/>
      <c r="D122" s="471" t="s">
        <v>153</v>
      </c>
      <c r="E122" s="472"/>
      <c r="F122" s="472"/>
      <c r="G122" s="472"/>
      <c r="H122" s="520"/>
      <c r="I122" s="69"/>
      <c r="J122" s="471" t="s">
        <v>154</v>
      </c>
      <c r="K122" s="472"/>
      <c r="L122" s="472"/>
      <c r="M122" s="472"/>
      <c r="N122" s="472"/>
      <c r="O122" s="531"/>
      <c r="P122" s="532"/>
      <c r="Q122" s="532"/>
      <c r="R122" s="533"/>
      <c r="S122" s="533"/>
      <c r="T122" s="534"/>
      <c r="U122" s="28"/>
      <c r="V122" s="28"/>
      <c r="W122" s="28"/>
      <c r="X122" s="28"/>
      <c r="Y122" s="28"/>
      <c r="Z122" s="28"/>
      <c r="AA122" s="35"/>
      <c r="AB122" s="54"/>
    </row>
    <row r="123" spans="1:28" ht="27.75" customHeight="1">
      <c r="A123" s="54"/>
      <c r="B123" s="33"/>
      <c r="C123" s="16"/>
      <c r="D123" s="514"/>
      <c r="E123" s="515"/>
      <c r="F123" s="515"/>
      <c r="G123" s="515"/>
      <c r="H123" s="516"/>
      <c r="I123" s="13"/>
      <c r="J123" s="514"/>
      <c r="K123" s="515"/>
      <c r="L123" s="515"/>
      <c r="M123" s="515"/>
      <c r="N123" s="516"/>
      <c r="O123" s="535"/>
      <c r="P123" s="536"/>
      <c r="Q123" s="536"/>
      <c r="R123" s="536"/>
      <c r="S123" s="536"/>
      <c r="T123" s="537"/>
      <c r="U123" s="28"/>
      <c r="V123" s="28"/>
      <c r="W123" s="28"/>
      <c r="X123" s="28"/>
      <c r="Y123" s="28"/>
      <c r="Z123" s="28"/>
      <c r="AA123" s="35"/>
      <c r="AB123" s="54"/>
    </row>
    <row r="124" spans="1:28" ht="27.75" customHeight="1" thickBot="1">
      <c r="A124" s="54"/>
      <c r="B124" s="33"/>
      <c r="C124" s="16"/>
      <c r="D124" s="575" t="s">
        <v>155</v>
      </c>
      <c r="E124" s="576"/>
      <c r="F124" s="576"/>
      <c r="G124" s="576"/>
      <c r="H124" s="577"/>
      <c r="I124" s="13"/>
      <c r="J124" s="575" t="s">
        <v>156</v>
      </c>
      <c r="K124" s="576"/>
      <c r="L124" s="576"/>
      <c r="M124" s="576"/>
      <c r="N124" s="577"/>
      <c r="O124" s="538"/>
      <c r="P124" s="539"/>
      <c r="Q124" s="539"/>
      <c r="R124" s="539"/>
      <c r="S124" s="539"/>
      <c r="T124" s="540"/>
      <c r="U124" s="28"/>
      <c r="V124" s="28"/>
      <c r="W124" s="28"/>
      <c r="X124" s="28"/>
      <c r="Y124" s="28"/>
      <c r="Z124" s="28"/>
      <c r="AA124" s="35"/>
      <c r="AB124" s="54"/>
    </row>
    <row r="125" spans="1:28" ht="27.75" customHeight="1" thickBot="1">
      <c r="A125" s="54"/>
      <c r="B125" s="33"/>
      <c r="C125" s="17"/>
      <c r="D125" s="572"/>
      <c r="E125" s="573"/>
      <c r="F125" s="573"/>
      <c r="G125" s="573"/>
      <c r="H125" s="574"/>
      <c r="I125" s="71"/>
      <c r="J125" s="572"/>
      <c r="K125" s="573"/>
      <c r="L125" s="573"/>
      <c r="M125" s="573"/>
      <c r="N125" s="574"/>
      <c r="O125" s="541"/>
      <c r="P125" s="542"/>
      <c r="Q125" s="542"/>
      <c r="R125" s="542"/>
      <c r="S125" s="542"/>
      <c r="T125" s="543"/>
      <c r="U125" s="28"/>
      <c r="V125" s="28"/>
      <c r="W125" s="28"/>
      <c r="X125" s="28"/>
      <c r="Y125" s="28"/>
      <c r="Z125" s="28"/>
      <c r="AA125" s="35"/>
      <c r="AB125" s="54"/>
    </row>
    <row r="126" spans="1:28" ht="27.75" customHeight="1">
      <c r="A126" s="54"/>
      <c r="B126" s="33"/>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35"/>
      <c r="AB126" s="54"/>
    </row>
    <row r="127" spans="1:28" ht="27.75" customHeight="1" thickBot="1">
      <c r="A127" s="54"/>
      <c r="B127" s="51"/>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c r="AA127" s="53"/>
      <c r="AB127" s="54"/>
    </row>
    <row r="128" spans="1:28" ht="27.75" customHeight="1" thickTop="1">
      <c r="B128" s="24"/>
      <c r="C128" s="24"/>
      <c r="D128" s="24"/>
      <c r="E128" s="24"/>
      <c r="F128" s="24"/>
      <c r="G128" s="24"/>
      <c r="H128" s="24"/>
      <c r="I128" s="24"/>
      <c r="J128" s="24"/>
      <c r="K128" s="24"/>
      <c r="L128" s="24"/>
      <c r="M128" s="24"/>
      <c r="N128" s="24"/>
      <c r="O128" s="24"/>
      <c r="P128" s="24"/>
      <c r="Q128" s="24"/>
      <c r="R128" s="24"/>
      <c r="S128" s="24"/>
      <c r="T128" s="24"/>
      <c r="U128" s="24"/>
      <c r="V128" s="24"/>
      <c r="AA128" s="24"/>
      <c r="AB128" s="24"/>
    </row>
    <row r="129" ht="27.75" customHeight="1"/>
    <row r="130" ht="27.75" customHeight="1"/>
    <row r="131" ht="27.75" customHeight="1"/>
    <row r="132" ht="27.75" customHeight="1"/>
    <row r="133" ht="27.75" customHeight="1"/>
    <row r="134" ht="27.75" customHeight="1"/>
    <row r="135" ht="27.75" customHeight="1"/>
    <row r="136" ht="27.75" customHeight="1"/>
    <row r="137" ht="27.75" customHeight="1"/>
    <row r="138" ht="27.75" customHeight="1"/>
    <row r="139" ht="27.75" customHeight="1"/>
    <row r="140" ht="27.75" customHeight="1"/>
    <row r="141" ht="27.75" customHeight="1"/>
    <row r="142" ht="27.75" customHeight="1"/>
    <row r="143" ht="27.75" customHeight="1"/>
    <row r="144" ht="27.75" customHeight="1"/>
    <row r="145" ht="27.75" customHeight="1"/>
    <row r="146" ht="27.75" customHeight="1"/>
    <row r="147" ht="27.75" customHeight="1"/>
    <row r="148" ht="27.75" customHeight="1"/>
    <row r="149" ht="27.75" customHeight="1"/>
    <row r="150" ht="27.75" customHeight="1"/>
    <row r="151" ht="27.75" customHeight="1"/>
    <row r="152" ht="27.75" customHeight="1"/>
    <row r="153" ht="27.75" customHeight="1"/>
    <row r="154" ht="27.75" customHeight="1"/>
    <row r="155" ht="27.75" customHeight="1"/>
    <row r="156" ht="27.75" customHeight="1"/>
    <row r="157" ht="27.75" customHeight="1"/>
    <row r="158" ht="27.75" customHeight="1"/>
    <row r="159" ht="27.75" customHeight="1"/>
    <row r="160" ht="27.75" customHeight="1"/>
    <row r="161" ht="27.75" customHeight="1"/>
    <row r="162" ht="27.75" customHeight="1"/>
    <row r="163" ht="27.75" customHeight="1"/>
    <row r="164" ht="27.75" customHeight="1"/>
    <row r="165" ht="27.75" customHeight="1"/>
    <row r="166" ht="27.75" customHeight="1"/>
    <row r="167" ht="27.75" customHeight="1"/>
  </sheetData>
  <sheetProtection insertColumns="0" insertRows="0" insertHyperlinks="0" deleteColumns="0" deleteRows="0" selectLockedCells="1" sort="0" autoFilter="0" pivotTables="0" selectUnlockedCells="1"/>
  <dataConsolidate function="count" link="1">
    <dataRefs count="1">
      <dataRef ref="S19" sheet="Карточка персонажа" r:id="rId1"/>
    </dataRefs>
  </dataConsolidate>
  <mergeCells count="223">
    <mergeCell ref="S81:U81"/>
    <mergeCell ref="C21:I65"/>
    <mergeCell ref="L87:N87"/>
    <mergeCell ref="H88:K88"/>
    <mergeCell ref="L88:N88"/>
    <mergeCell ref="D87:G87"/>
    <mergeCell ref="D88:G88"/>
    <mergeCell ref="D85:G85"/>
    <mergeCell ref="D84:G84"/>
    <mergeCell ref="H82:K82"/>
    <mergeCell ref="L82:N82"/>
    <mergeCell ref="H83:K83"/>
    <mergeCell ref="L83:N83"/>
    <mergeCell ref="H84:K84"/>
    <mergeCell ref="L84:N84"/>
    <mergeCell ref="H87:K87"/>
    <mergeCell ref="S74:U74"/>
    <mergeCell ref="C68:D68"/>
    <mergeCell ref="C69:D69"/>
    <mergeCell ref="C71:D71"/>
    <mergeCell ref="K69:L74"/>
    <mergeCell ref="C67:E67"/>
    <mergeCell ref="K68:L68"/>
    <mergeCell ref="C73:D73"/>
    <mergeCell ref="D110:N110"/>
    <mergeCell ref="H89:K89"/>
    <mergeCell ref="L89:N89"/>
    <mergeCell ref="L90:N90"/>
    <mergeCell ref="H91:K91"/>
    <mergeCell ref="L91:N91"/>
    <mergeCell ref="H92:K92"/>
    <mergeCell ref="L92:N92"/>
    <mergeCell ref="H90:K90"/>
    <mergeCell ref="D89:G89"/>
    <mergeCell ref="L96:N96"/>
    <mergeCell ref="H103:K103"/>
    <mergeCell ref="H97:K97"/>
    <mergeCell ref="L97:N97"/>
    <mergeCell ref="D108:G108"/>
    <mergeCell ref="D109:G109"/>
    <mergeCell ref="D125:H125"/>
    <mergeCell ref="J125:N125"/>
    <mergeCell ref="D124:H124"/>
    <mergeCell ref="J124:N124"/>
    <mergeCell ref="H93:K93"/>
    <mergeCell ref="L93:N93"/>
    <mergeCell ref="H94:K94"/>
    <mergeCell ref="H98:K98"/>
    <mergeCell ref="L98:N98"/>
    <mergeCell ref="H99:K99"/>
    <mergeCell ref="L99:N99"/>
    <mergeCell ref="H100:K100"/>
    <mergeCell ref="L100:N100"/>
    <mergeCell ref="L94:N94"/>
    <mergeCell ref="H95:K95"/>
    <mergeCell ref="L95:N95"/>
    <mergeCell ref="L108:N108"/>
    <mergeCell ref="H109:K109"/>
    <mergeCell ref="L109:N109"/>
    <mergeCell ref="L103:N103"/>
    <mergeCell ref="L104:N104"/>
    <mergeCell ref="L105:N105"/>
    <mergeCell ref="L101:N101"/>
    <mergeCell ref="L102:N102"/>
    <mergeCell ref="C20:I20"/>
    <mergeCell ref="N68:P68"/>
    <mergeCell ref="P4:Q4"/>
    <mergeCell ref="M5:O5"/>
    <mergeCell ref="P5:Q5"/>
    <mergeCell ref="M4:O4"/>
    <mergeCell ref="M6:O6"/>
    <mergeCell ref="M7:O7"/>
    <mergeCell ref="Q7:S7"/>
    <mergeCell ref="Q6:S6"/>
    <mergeCell ref="N12:O12"/>
    <mergeCell ref="N11:O11"/>
    <mergeCell ref="Q85:T85"/>
    <mergeCell ref="U85:Z85"/>
    <mergeCell ref="P83:Q83"/>
    <mergeCell ref="R83:S83"/>
    <mergeCell ref="T83:Z83"/>
    <mergeCell ref="P84:Q84"/>
    <mergeCell ref="R84:S84"/>
    <mergeCell ref="T84:Z84"/>
    <mergeCell ref="C2:E2"/>
    <mergeCell ref="P81:R81"/>
    <mergeCell ref="N70:P70"/>
    <mergeCell ref="C3:E3"/>
    <mergeCell ref="C4:E4"/>
    <mergeCell ref="C5:E5"/>
    <mergeCell ref="C6:E6"/>
    <mergeCell ref="H5:I5"/>
    <mergeCell ref="G4:I4"/>
    <mergeCell ref="H6:I6"/>
    <mergeCell ref="H7:I7"/>
    <mergeCell ref="H8:I8"/>
    <mergeCell ref="H9:I9"/>
    <mergeCell ref="P74:R74"/>
    <mergeCell ref="R5:S5"/>
    <mergeCell ref="R4:S4"/>
    <mergeCell ref="H78:K78"/>
    <mergeCell ref="L78:N78"/>
    <mergeCell ref="H79:K79"/>
    <mergeCell ref="L79:N79"/>
    <mergeCell ref="D79:G79"/>
    <mergeCell ref="D78:G78"/>
    <mergeCell ref="D77:N77"/>
    <mergeCell ref="H86:K86"/>
    <mergeCell ref="L86:N86"/>
    <mergeCell ref="D83:G83"/>
    <mergeCell ref="D82:G82"/>
    <mergeCell ref="D81:G81"/>
    <mergeCell ref="D80:G80"/>
    <mergeCell ref="D86:G86"/>
    <mergeCell ref="H80:K80"/>
    <mergeCell ref="L80:N80"/>
    <mergeCell ref="H81:K81"/>
    <mergeCell ref="L81:N81"/>
    <mergeCell ref="H85:K85"/>
    <mergeCell ref="L85:N85"/>
    <mergeCell ref="O121:T121"/>
    <mergeCell ref="O122:Q122"/>
    <mergeCell ref="R122:T122"/>
    <mergeCell ref="O123:Q123"/>
    <mergeCell ref="R123:T123"/>
    <mergeCell ref="O124:Q124"/>
    <mergeCell ref="R124:T124"/>
    <mergeCell ref="O125:Q125"/>
    <mergeCell ref="R125:T125"/>
    <mergeCell ref="O93:T93"/>
    <mergeCell ref="D111:H111"/>
    <mergeCell ref="H106:K106"/>
    <mergeCell ref="D90:G90"/>
    <mergeCell ref="D91:G91"/>
    <mergeCell ref="D92:G92"/>
    <mergeCell ref="D93:G93"/>
    <mergeCell ref="D94:G94"/>
    <mergeCell ref="D95:G95"/>
    <mergeCell ref="D96:G96"/>
    <mergeCell ref="D97:G97"/>
    <mergeCell ref="D99:G99"/>
    <mergeCell ref="H104:K104"/>
    <mergeCell ref="H105:K105"/>
    <mergeCell ref="H101:K101"/>
    <mergeCell ref="H102:K102"/>
    <mergeCell ref="D105:G105"/>
    <mergeCell ref="D104:G104"/>
    <mergeCell ref="D103:G103"/>
    <mergeCell ref="D102:G102"/>
    <mergeCell ref="D101:G101"/>
    <mergeCell ref="D100:G100"/>
    <mergeCell ref="H96:K96"/>
    <mergeCell ref="H108:K108"/>
    <mergeCell ref="D123:H123"/>
    <mergeCell ref="J120:N120"/>
    <mergeCell ref="J121:N121"/>
    <mergeCell ref="J122:N122"/>
    <mergeCell ref="D119:H119"/>
    <mergeCell ref="D120:H120"/>
    <mergeCell ref="D121:H121"/>
    <mergeCell ref="D122:H122"/>
    <mergeCell ref="J123:N123"/>
    <mergeCell ref="J119:N119"/>
    <mergeCell ref="J118:N118"/>
    <mergeCell ref="D118:H118"/>
    <mergeCell ref="J111:N111"/>
    <mergeCell ref="F3:F9"/>
    <mergeCell ref="C10:G10"/>
    <mergeCell ref="D8:D9"/>
    <mergeCell ref="P6:P7"/>
    <mergeCell ref="L106:N106"/>
    <mergeCell ref="D116:H116"/>
    <mergeCell ref="D117:H117"/>
    <mergeCell ref="J117:N117"/>
    <mergeCell ref="J116:N116"/>
    <mergeCell ref="J115:N115"/>
    <mergeCell ref="J114:N114"/>
    <mergeCell ref="J113:N113"/>
    <mergeCell ref="J112:N112"/>
    <mergeCell ref="D112:H112"/>
    <mergeCell ref="D113:H113"/>
    <mergeCell ref="D114:H114"/>
    <mergeCell ref="D115:H115"/>
    <mergeCell ref="H107:K107"/>
    <mergeCell ref="D107:G107"/>
    <mergeCell ref="D106:G106"/>
    <mergeCell ref="L107:N107"/>
    <mergeCell ref="V74:X74"/>
    <mergeCell ref="Y74:Z74"/>
    <mergeCell ref="Q78:T78"/>
    <mergeCell ref="P88:R88"/>
    <mergeCell ref="S88:U88"/>
    <mergeCell ref="V88:X88"/>
    <mergeCell ref="Y88:Z88"/>
    <mergeCell ref="P75:R75"/>
    <mergeCell ref="S75:U75"/>
    <mergeCell ref="V75:X75"/>
    <mergeCell ref="Y75:Z75"/>
    <mergeCell ref="P76:Q76"/>
    <mergeCell ref="R76:S76"/>
    <mergeCell ref="T76:Z76"/>
    <mergeCell ref="P77:Q77"/>
    <mergeCell ref="R77:S77"/>
    <mergeCell ref="T77:Z77"/>
    <mergeCell ref="U78:Z78"/>
    <mergeCell ref="P82:R82"/>
    <mergeCell ref="S82:U82"/>
    <mergeCell ref="V82:X82"/>
    <mergeCell ref="Y82:Z82"/>
    <mergeCell ref="V81:X81"/>
    <mergeCell ref="Y81:Z81"/>
    <mergeCell ref="V89:X89"/>
    <mergeCell ref="Y89:Z89"/>
    <mergeCell ref="P90:Q90"/>
    <mergeCell ref="R90:S90"/>
    <mergeCell ref="T90:Z90"/>
    <mergeCell ref="P91:Q91"/>
    <mergeCell ref="R91:S91"/>
    <mergeCell ref="T91:Z91"/>
    <mergeCell ref="Q92:T92"/>
    <mergeCell ref="U92:Z92"/>
    <mergeCell ref="P89:R89"/>
    <mergeCell ref="S89:U89"/>
  </mergeCells>
  <dataValidations count="4">
    <dataValidation type="list" allowBlank="1" showInputMessage="1" showErrorMessage="1" sqref="C6:E6" xr:uid="{00000000-0002-0000-0000-000000000000}">
      <formula1>"Полуэльф,Человек,Гном,Дварф,Полуорк,Хафлинг,Эльф"</formula1>
    </dataValidation>
    <dataValidation type="whole" allowBlank="1" showInputMessage="1" showErrorMessage="1" sqref="O20" xr:uid="{00000000-0002-0000-0000-000001000000}">
      <formula1>0</formula1>
      <formula2>Q20</formula2>
    </dataValidation>
    <dataValidation type="whole" allowBlank="1" showInputMessage="1" showErrorMessage="1" sqref="O22" xr:uid="{00000000-0002-0000-0000-000002000000}">
      <formula1>0</formula1>
      <formula2>Q20</formula2>
    </dataValidation>
    <dataValidation type="list" showInputMessage="1" showErrorMessage="1" sqref="H5:I9" xr:uid="{00000000-0002-0000-0000-000003000000}">
      <formula1>"Невыбрано,Воин,Варвар,Паладин,Вор,Жрец,Друид,Волшебник,Бард,Монах,Рейнджер,Чародей"</formula1>
    </dataValidation>
  </dataValidations>
  <pageMargins left="0.7" right="0.7" top="0.75" bottom="0.75" header="0.3" footer="0.3"/>
  <pageSetup paperSize="9" orientation="portrait" r:id="rId2"/>
  <drawing r:id="rId3"/>
  <legacyDrawing r:id="rId4"/>
  <picture r:id="rId5"/>
  <mc:AlternateContent xmlns:mc="http://schemas.openxmlformats.org/markup-compatibility/2006">
    <mc:Choice Requires="x14">
      <controls>
        <mc:AlternateContent xmlns:mc="http://schemas.openxmlformats.org/markup-compatibility/2006">
          <mc:Choice Requires="x14">
            <control shapeId="1537" r:id="rId6" name="Check Box 513">
              <controlPr defaultSize="0" autoFill="0" autoLine="0" autoPict="0">
                <anchor moveWithCells="1">
                  <from>
                    <xdr:col>20</xdr:col>
                    <xdr:colOff>533400</xdr:colOff>
                    <xdr:row>83</xdr:row>
                    <xdr:rowOff>314325</xdr:rowOff>
                  </from>
                  <to>
                    <xdr:col>20</xdr:col>
                    <xdr:colOff>800100</xdr:colOff>
                    <xdr:row>85</xdr:row>
                    <xdr:rowOff>85725</xdr:rowOff>
                  </to>
                </anchor>
              </controlPr>
            </control>
          </mc:Choice>
        </mc:AlternateContent>
        <mc:AlternateContent xmlns:mc="http://schemas.openxmlformats.org/markup-compatibility/2006">
          <mc:Choice Requires="x14">
            <control shapeId="1538" r:id="rId7" name="Check Box 514">
              <controlPr defaultSize="0" autoFill="0" autoLine="0" autoPict="0">
                <anchor moveWithCells="1">
                  <from>
                    <xdr:col>20</xdr:col>
                    <xdr:colOff>1104900</xdr:colOff>
                    <xdr:row>83</xdr:row>
                    <xdr:rowOff>314325</xdr:rowOff>
                  </from>
                  <to>
                    <xdr:col>20</xdr:col>
                    <xdr:colOff>1371600</xdr:colOff>
                    <xdr:row>85</xdr:row>
                    <xdr:rowOff>85725</xdr:rowOff>
                  </to>
                </anchor>
              </controlPr>
            </control>
          </mc:Choice>
        </mc:AlternateContent>
        <mc:AlternateContent xmlns:mc="http://schemas.openxmlformats.org/markup-compatibility/2006">
          <mc:Choice Requires="x14">
            <control shapeId="1539" r:id="rId8" name="Check Box 515">
              <controlPr defaultSize="0" autoFill="0" autoLine="0" autoPict="0">
                <anchor moveWithCells="1">
                  <from>
                    <xdr:col>20</xdr:col>
                    <xdr:colOff>723900</xdr:colOff>
                    <xdr:row>83</xdr:row>
                    <xdr:rowOff>314325</xdr:rowOff>
                  </from>
                  <to>
                    <xdr:col>20</xdr:col>
                    <xdr:colOff>990600</xdr:colOff>
                    <xdr:row>85</xdr:row>
                    <xdr:rowOff>85725</xdr:rowOff>
                  </to>
                </anchor>
              </controlPr>
            </control>
          </mc:Choice>
        </mc:AlternateContent>
        <mc:AlternateContent xmlns:mc="http://schemas.openxmlformats.org/markup-compatibility/2006">
          <mc:Choice Requires="x14">
            <control shapeId="1540" r:id="rId9" name="Check Box 516">
              <controlPr defaultSize="0" autoFill="0" autoLine="0" autoPict="0">
                <anchor moveWithCells="1">
                  <from>
                    <xdr:col>20</xdr:col>
                    <xdr:colOff>914400</xdr:colOff>
                    <xdr:row>83</xdr:row>
                    <xdr:rowOff>314325</xdr:rowOff>
                  </from>
                  <to>
                    <xdr:col>20</xdr:col>
                    <xdr:colOff>1181100</xdr:colOff>
                    <xdr:row>85</xdr:row>
                    <xdr:rowOff>85725</xdr:rowOff>
                  </to>
                </anchor>
              </controlPr>
            </control>
          </mc:Choice>
        </mc:AlternateContent>
        <mc:AlternateContent xmlns:mc="http://schemas.openxmlformats.org/markup-compatibility/2006">
          <mc:Choice Requires="x14">
            <control shapeId="1541" r:id="rId10" name="Check Box 517">
              <controlPr defaultSize="0" autoFill="0" autoLine="0" autoPict="0">
                <anchor moveWithCells="1">
                  <from>
                    <xdr:col>20</xdr:col>
                    <xdr:colOff>1285875</xdr:colOff>
                    <xdr:row>83</xdr:row>
                    <xdr:rowOff>314325</xdr:rowOff>
                  </from>
                  <to>
                    <xdr:col>21</xdr:col>
                    <xdr:colOff>28575</xdr:colOff>
                    <xdr:row>85</xdr:row>
                    <xdr:rowOff>85725</xdr:rowOff>
                  </to>
                </anchor>
              </controlPr>
            </control>
          </mc:Choice>
        </mc:AlternateContent>
        <mc:AlternateContent xmlns:mc="http://schemas.openxmlformats.org/markup-compatibility/2006">
          <mc:Choice Requires="x14">
            <control shapeId="1542" r:id="rId11" name="Check Box 518">
              <controlPr defaultSize="0" autoFill="0" autoLine="0" autoPict="0">
                <anchor moveWithCells="1">
                  <from>
                    <xdr:col>21</xdr:col>
                    <xdr:colOff>47625</xdr:colOff>
                    <xdr:row>83</xdr:row>
                    <xdr:rowOff>314325</xdr:rowOff>
                  </from>
                  <to>
                    <xdr:col>21</xdr:col>
                    <xdr:colOff>314325</xdr:colOff>
                    <xdr:row>85</xdr:row>
                    <xdr:rowOff>85725</xdr:rowOff>
                  </to>
                </anchor>
              </controlPr>
            </control>
          </mc:Choice>
        </mc:AlternateContent>
        <mc:AlternateContent xmlns:mc="http://schemas.openxmlformats.org/markup-compatibility/2006">
          <mc:Choice Requires="x14">
            <control shapeId="1543" r:id="rId12" name="Check Box 519">
              <controlPr defaultSize="0" autoFill="0" autoLine="0" autoPict="0">
                <anchor moveWithCells="1">
                  <from>
                    <xdr:col>21</xdr:col>
                    <xdr:colOff>600075</xdr:colOff>
                    <xdr:row>83</xdr:row>
                    <xdr:rowOff>314325</xdr:rowOff>
                  </from>
                  <to>
                    <xdr:col>21</xdr:col>
                    <xdr:colOff>866775</xdr:colOff>
                    <xdr:row>85</xdr:row>
                    <xdr:rowOff>85725</xdr:rowOff>
                  </to>
                </anchor>
              </controlPr>
            </control>
          </mc:Choice>
        </mc:AlternateContent>
        <mc:AlternateContent xmlns:mc="http://schemas.openxmlformats.org/markup-compatibility/2006">
          <mc:Choice Requires="x14">
            <control shapeId="1544" r:id="rId13" name="Check Box 520">
              <controlPr defaultSize="0" autoFill="0" autoLine="0" autoPict="0">
                <anchor moveWithCells="1">
                  <from>
                    <xdr:col>21</xdr:col>
                    <xdr:colOff>238125</xdr:colOff>
                    <xdr:row>83</xdr:row>
                    <xdr:rowOff>314325</xdr:rowOff>
                  </from>
                  <to>
                    <xdr:col>21</xdr:col>
                    <xdr:colOff>504825</xdr:colOff>
                    <xdr:row>85</xdr:row>
                    <xdr:rowOff>85725</xdr:rowOff>
                  </to>
                </anchor>
              </controlPr>
            </control>
          </mc:Choice>
        </mc:AlternateContent>
        <mc:AlternateContent xmlns:mc="http://schemas.openxmlformats.org/markup-compatibility/2006">
          <mc:Choice Requires="x14">
            <control shapeId="1545" r:id="rId14" name="Check Box 521">
              <controlPr defaultSize="0" autoFill="0" autoLine="0" autoPict="0">
                <anchor moveWithCells="1">
                  <from>
                    <xdr:col>21</xdr:col>
                    <xdr:colOff>428625</xdr:colOff>
                    <xdr:row>83</xdr:row>
                    <xdr:rowOff>314325</xdr:rowOff>
                  </from>
                  <to>
                    <xdr:col>21</xdr:col>
                    <xdr:colOff>695325</xdr:colOff>
                    <xdr:row>85</xdr:row>
                    <xdr:rowOff>85725</xdr:rowOff>
                  </to>
                </anchor>
              </controlPr>
            </control>
          </mc:Choice>
        </mc:AlternateContent>
        <mc:AlternateContent xmlns:mc="http://schemas.openxmlformats.org/markup-compatibility/2006">
          <mc:Choice Requires="x14">
            <control shapeId="1546" r:id="rId15" name="Check Box 522">
              <controlPr defaultSize="0" autoFill="0" autoLine="0" autoPict="0">
                <anchor moveWithCells="1">
                  <from>
                    <xdr:col>22</xdr:col>
                    <xdr:colOff>47625</xdr:colOff>
                    <xdr:row>83</xdr:row>
                    <xdr:rowOff>314325</xdr:rowOff>
                  </from>
                  <to>
                    <xdr:col>22</xdr:col>
                    <xdr:colOff>314325</xdr:colOff>
                    <xdr:row>85</xdr:row>
                    <xdr:rowOff>85725</xdr:rowOff>
                  </to>
                </anchor>
              </controlPr>
            </control>
          </mc:Choice>
        </mc:AlternateContent>
        <mc:AlternateContent xmlns:mc="http://schemas.openxmlformats.org/markup-compatibility/2006">
          <mc:Choice Requires="x14">
            <control shapeId="1547" r:id="rId16" name="Check Box 523">
              <controlPr defaultSize="0" autoFill="0" autoLine="0" autoPict="0">
                <anchor moveWithCells="1">
                  <from>
                    <xdr:col>22</xdr:col>
                    <xdr:colOff>619125</xdr:colOff>
                    <xdr:row>83</xdr:row>
                    <xdr:rowOff>314325</xdr:rowOff>
                  </from>
                  <to>
                    <xdr:col>22</xdr:col>
                    <xdr:colOff>885825</xdr:colOff>
                    <xdr:row>85</xdr:row>
                    <xdr:rowOff>85725</xdr:rowOff>
                  </to>
                </anchor>
              </controlPr>
            </control>
          </mc:Choice>
        </mc:AlternateContent>
        <mc:AlternateContent xmlns:mc="http://schemas.openxmlformats.org/markup-compatibility/2006">
          <mc:Choice Requires="x14">
            <control shapeId="1548" r:id="rId17" name="Check Box 524">
              <controlPr defaultSize="0" autoFill="0" autoLine="0" autoPict="0">
                <anchor moveWithCells="1">
                  <from>
                    <xdr:col>22</xdr:col>
                    <xdr:colOff>238125</xdr:colOff>
                    <xdr:row>83</xdr:row>
                    <xdr:rowOff>314325</xdr:rowOff>
                  </from>
                  <to>
                    <xdr:col>22</xdr:col>
                    <xdr:colOff>504825</xdr:colOff>
                    <xdr:row>85</xdr:row>
                    <xdr:rowOff>85725</xdr:rowOff>
                  </to>
                </anchor>
              </controlPr>
            </control>
          </mc:Choice>
        </mc:AlternateContent>
        <mc:AlternateContent xmlns:mc="http://schemas.openxmlformats.org/markup-compatibility/2006">
          <mc:Choice Requires="x14">
            <control shapeId="1549" r:id="rId18" name="Check Box 525">
              <controlPr defaultSize="0" autoFill="0" autoLine="0" autoPict="0">
                <anchor moveWithCells="1">
                  <from>
                    <xdr:col>22</xdr:col>
                    <xdr:colOff>428625</xdr:colOff>
                    <xdr:row>83</xdr:row>
                    <xdr:rowOff>314325</xdr:rowOff>
                  </from>
                  <to>
                    <xdr:col>22</xdr:col>
                    <xdr:colOff>695325</xdr:colOff>
                    <xdr:row>85</xdr:row>
                    <xdr:rowOff>85725</xdr:rowOff>
                  </to>
                </anchor>
              </controlPr>
            </control>
          </mc:Choice>
        </mc:AlternateContent>
        <mc:AlternateContent xmlns:mc="http://schemas.openxmlformats.org/markup-compatibility/2006">
          <mc:Choice Requires="x14">
            <control shapeId="1550" r:id="rId19" name="Check Box 526">
              <controlPr defaultSize="0" autoFill="0" autoLine="0" autoPict="0">
                <anchor moveWithCells="1">
                  <from>
                    <xdr:col>23</xdr:col>
                    <xdr:colOff>47625</xdr:colOff>
                    <xdr:row>83</xdr:row>
                    <xdr:rowOff>314325</xdr:rowOff>
                  </from>
                  <to>
                    <xdr:col>23</xdr:col>
                    <xdr:colOff>314325</xdr:colOff>
                    <xdr:row>85</xdr:row>
                    <xdr:rowOff>85725</xdr:rowOff>
                  </to>
                </anchor>
              </controlPr>
            </control>
          </mc:Choice>
        </mc:AlternateContent>
        <mc:AlternateContent xmlns:mc="http://schemas.openxmlformats.org/markup-compatibility/2006">
          <mc:Choice Requires="x14">
            <control shapeId="1551" r:id="rId20" name="Check Box 527">
              <controlPr defaultSize="0" autoFill="0" autoLine="0" autoPict="0">
                <anchor moveWithCells="1">
                  <from>
                    <xdr:col>23</xdr:col>
                    <xdr:colOff>619125</xdr:colOff>
                    <xdr:row>83</xdr:row>
                    <xdr:rowOff>314325</xdr:rowOff>
                  </from>
                  <to>
                    <xdr:col>23</xdr:col>
                    <xdr:colOff>885825</xdr:colOff>
                    <xdr:row>85</xdr:row>
                    <xdr:rowOff>85725</xdr:rowOff>
                  </to>
                </anchor>
              </controlPr>
            </control>
          </mc:Choice>
        </mc:AlternateContent>
        <mc:AlternateContent xmlns:mc="http://schemas.openxmlformats.org/markup-compatibility/2006">
          <mc:Choice Requires="x14">
            <control shapeId="1552" r:id="rId21" name="Check Box 528">
              <controlPr defaultSize="0" autoFill="0" autoLine="0" autoPict="0">
                <anchor moveWithCells="1">
                  <from>
                    <xdr:col>23</xdr:col>
                    <xdr:colOff>238125</xdr:colOff>
                    <xdr:row>83</xdr:row>
                    <xdr:rowOff>314325</xdr:rowOff>
                  </from>
                  <to>
                    <xdr:col>23</xdr:col>
                    <xdr:colOff>504825</xdr:colOff>
                    <xdr:row>85</xdr:row>
                    <xdr:rowOff>85725</xdr:rowOff>
                  </to>
                </anchor>
              </controlPr>
            </control>
          </mc:Choice>
        </mc:AlternateContent>
        <mc:AlternateContent xmlns:mc="http://schemas.openxmlformats.org/markup-compatibility/2006">
          <mc:Choice Requires="x14">
            <control shapeId="1553" r:id="rId22" name="Check Box 529">
              <controlPr defaultSize="0" autoFill="0" autoLine="0" autoPict="0">
                <anchor moveWithCells="1">
                  <from>
                    <xdr:col>23</xdr:col>
                    <xdr:colOff>428625</xdr:colOff>
                    <xdr:row>83</xdr:row>
                    <xdr:rowOff>314325</xdr:rowOff>
                  </from>
                  <to>
                    <xdr:col>23</xdr:col>
                    <xdr:colOff>695325</xdr:colOff>
                    <xdr:row>85</xdr:row>
                    <xdr:rowOff>85725</xdr:rowOff>
                  </to>
                </anchor>
              </controlPr>
            </control>
          </mc:Choice>
        </mc:AlternateContent>
        <mc:AlternateContent xmlns:mc="http://schemas.openxmlformats.org/markup-compatibility/2006">
          <mc:Choice Requires="x14">
            <control shapeId="1554" r:id="rId23" name="Check Box 530">
              <controlPr defaultSize="0" autoFill="0" autoLine="0" autoPict="0">
                <anchor moveWithCells="1">
                  <from>
                    <xdr:col>23</xdr:col>
                    <xdr:colOff>800100</xdr:colOff>
                    <xdr:row>83</xdr:row>
                    <xdr:rowOff>314325</xdr:rowOff>
                  </from>
                  <to>
                    <xdr:col>23</xdr:col>
                    <xdr:colOff>981075</xdr:colOff>
                    <xdr:row>85</xdr:row>
                    <xdr:rowOff>85725</xdr:rowOff>
                  </to>
                </anchor>
              </controlPr>
            </control>
          </mc:Choice>
        </mc:AlternateContent>
        <mc:AlternateContent xmlns:mc="http://schemas.openxmlformats.org/markup-compatibility/2006">
          <mc:Choice Requires="x14">
            <control shapeId="1555" r:id="rId24" name="Check Box 531">
              <controlPr defaultSize="0" autoFill="0" autoLine="0" autoPict="0">
                <anchor moveWithCells="1">
                  <from>
                    <xdr:col>24</xdr:col>
                    <xdr:colOff>47625</xdr:colOff>
                    <xdr:row>83</xdr:row>
                    <xdr:rowOff>314325</xdr:rowOff>
                  </from>
                  <to>
                    <xdr:col>24</xdr:col>
                    <xdr:colOff>314325</xdr:colOff>
                    <xdr:row>85</xdr:row>
                    <xdr:rowOff>85725</xdr:rowOff>
                  </to>
                </anchor>
              </controlPr>
            </control>
          </mc:Choice>
        </mc:AlternateContent>
        <mc:AlternateContent xmlns:mc="http://schemas.openxmlformats.org/markup-compatibility/2006">
          <mc:Choice Requires="x14">
            <control shapeId="1556" r:id="rId25" name="Check Box 532">
              <controlPr defaultSize="0" autoFill="0" autoLine="0" autoPict="0">
                <anchor moveWithCells="1">
                  <from>
                    <xdr:col>24</xdr:col>
                    <xdr:colOff>619125</xdr:colOff>
                    <xdr:row>83</xdr:row>
                    <xdr:rowOff>314325</xdr:rowOff>
                  </from>
                  <to>
                    <xdr:col>24</xdr:col>
                    <xdr:colOff>885825</xdr:colOff>
                    <xdr:row>85</xdr:row>
                    <xdr:rowOff>85725</xdr:rowOff>
                  </to>
                </anchor>
              </controlPr>
            </control>
          </mc:Choice>
        </mc:AlternateContent>
        <mc:AlternateContent xmlns:mc="http://schemas.openxmlformats.org/markup-compatibility/2006">
          <mc:Choice Requires="x14">
            <control shapeId="1557" r:id="rId26" name="Check Box 533">
              <controlPr defaultSize="0" autoFill="0" autoLine="0" autoPict="0">
                <anchor moveWithCells="1">
                  <from>
                    <xdr:col>24</xdr:col>
                    <xdr:colOff>238125</xdr:colOff>
                    <xdr:row>83</xdr:row>
                    <xdr:rowOff>314325</xdr:rowOff>
                  </from>
                  <to>
                    <xdr:col>24</xdr:col>
                    <xdr:colOff>504825</xdr:colOff>
                    <xdr:row>85</xdr:row>
                    <xdr:rowOff>85725</xdr:rowOff>
                  </to>
                </anchor>
              </controlPr>
            </control>
          </mc:Choice>
        </mc:AlternateContent>
        <mc:AlternateContent xmlns:mc="http://schemas.openxmlformats.org/markup-compatibility/2006">
          <mc:Choice Requires="x14">
            <control shapeId="1558" r:id="rId27" name="Check Box 534">
              <controlPr defaultSize="0" autoFill="0" autoLine="0" autoPict="0">
                <anchor moveWithCells="1">
                  <from>
                    <xdr:col>24</xdr:col>
                    <xdr:colOff>428625</xdr:colOff>
                    <xdr:row>83</xdr:row>
                    <xdr:rowOff>314325</xdr:rowOff>
                  </from>
                  <to>
                    <xdr:col>24</xdr:col>
                    <xdr:colOff>695325</xdr:colOff>
                    <xdr:row>85</xdr:row>
                    <xdr:rowOff>85725</xdr:rowOff>
                  </to>
                </anchor>
              </controlPr>
            </control>
          </mc:Choice>
        </mc:AlternateContent>
        <mc:AlternateContent xmlns:mc="http://schemas.openxmlformats.org/markup-compatibility/2006">
          <mc:Choice Requires="x14">
            <control shapeId="1559" r:id="rId28" name="Check Box 535">
              <controlPr defaultSize="0" autoFill="0" autoLine="0" autoPict="0">
                <anchor moveWithCells="1">
                  <from>
                    <xdr:col>24</xdr:col>
                    <xdr:colOff>800100</xdr:colOff>
                    <xdr:row>83</xdr:row>
                    <xdr:rowOff>314325</xdr:rowOff>
                  </from>
                  <to>
                    <xdr:col>24</xdr:col>
                    <xdr:colOff>981075</xdr:colOff>
                    <xdr:row>85</xdr:row>
                    <xdr:rowOff>85725</xdr:rowOff>
                  </to>
                </anchor>
              </controlPr>
            </control>
          </mc:Choice>
        </mc:AlternateContent>
        <mc:AlternateContent xmlns:mc="http://schemas.openxmlformats.org/markup-compatibility/2006">
          <mc:Choice Requires="x14">
            <control shapeId="1560" r:id="rId29" name="Check Box 536">
              <controlPr defaultSize="0" autoFill="0" autoLine="0" autoPict="0">
                <anchor moveWithCells="1">
                  <from>
                    <xdr:col>25</xdr:col>
                    <xdr:colOff>47625</xdr:colOff>
                    <xdr:row>83</xdr:row>
                    <xdr:rowOff>314325</xdr:rowOff>
                  </from>
                  <to>
                    <xdr:col>25</xdr:col>
                    <xdr:colOff>314325</xdr:colOff>
                    <xdr:row>85</xdr:row>
                    <xdr:rowOff>85725</xdr:rowOff>
                  </to>
                </anchor>
              </controlPr>
            </control>
          </mc:Choice>
        </mc:AlternateContent>
        <mc:AlternateContent xmlns:mc="http://schemas.openxmlformats.org/markup-compatibility/2006">
          <mc:Choice Requires="x14">
            <control shapeId="1561" r:id="rId30" name="Check Box 537">
              <controlPr defaultSize="0" autoFill="0" autoLine="0" autoPict="0">
                <anchor moveWithCells="1">
                  <from>
                    <xdr:col>25</xdr:col>
                    <xdr:colOff>619125</xdr:colOff>
                    <xdr:row>83</xdr:row>
                    <xdr:rowOff>314325</xdr:rowOff>
                  </from>
                  <to>
                    <xdr:col>25</xdr:col>
                    <xdr:colOff>885825</xdr:colOff>
                    <xdr:row>85</xdr:row>
                    <xdr:rowOff>85725</xdr:rowOff>
                  </to>
                </anchor>
              </controlPr>
            </control>
          </mc:Choice>
        </mc:AlternateContent>
        <mc:AlternateContent xmlns:mc="http://schemas.openxmlformats.org/markup-compatibility/2006">
          <mc:Choice Requires="x14">
            <control shapeId="1562" r:id="rId31" name="Check Box 538">
              <controlPr defaultSize="0" autoFill="0" autoLine="0" autoPict="0">
                <anchor moveWithCells="1">
                  <from>
                    <xdr:col>25</xdr:col>
                    <xdr:colOff>238125</xdr:colOff>
                    <xdr:row>83</xdr:row>
                    <xdr:rowOff>314325</xdr:rowOff>
                  </from>
                  <to>
                    <xdr:col>25</xdr:col>
                    <xdr:colOff>504825</xdr:colOff>
                    <xdr:row>85</xdr:row>
                    <xdr:rowOff>85725</xdr:rowOff>
                  </to>
                </anchor>
              </controlPr>
            </control>
          </mc:Choice>
        </mc:AlternateContent>
        <mc:AlternateContent xmlns:mc="http://schemas.openxmlformats.org/markup-compatibility/2006">
          <mc:Choice Requires="x14">
            <control shapeId="1563" r:id="rId32" name="Check Box 539">
              <controlPr defaultSize="0" autoFill="0" autoLine="0" autoPict="0">
                <anchor moveWithCells="1">
                  <from>
                    <xdr:col>25</xdr:col>
                    <xdr:colOff>428625</xdr:colOff>
                    <xdr:row>83</xdr:row>
                    <xdr:rowOff>314325</xdr:rowOff>
                  </from>
                  <to>
                    <xdr:col>25</xdr:col>
                    <xdr:colOff>695325</xdr:colOff>
                    <xdr:row>85</xdr:row>
                    <xdr:rowOff>85725</xdr:rowOff>
                  </to>
                </anchor>
              </controlPr>
            </control>
          </mc:Choice>
        </mc:AlternateContent>
        <mc:AlternateContent xmlns:mc="http://schemas.openxmlformats.org/markup-compatibility/2006">
          <mc:Choice Requires="x14">
            <control shapeId="1564" r:id="rId33" name="Check Box 540">
              <controlPr defaultSize="0" autoFill="0" autoLine="0" autoPict="0">
                <anchor moveWithCells="1">
                  <from>
                    <xdr:col>25</xdr:col>
                    <xdr:colOff>800100</xdr:colOff>
                    <xdr:row>83</xdr:row>
                    <xdr:rowOff>314325</xdr:rowOff>
                  </from>
                  <to>
                    <xdr:col>25</xdr:col>
                    <xdr:colOff>981075</xdr:colOff>
                    <xdr:row>85</xdr:row>
                    <xdr:rowOff>85725</xdr:rowOff>
                  </to>
                </anchor>
              </controlPr>
            </control>
          </mc:Choice>
        </mc:AlternateContent>
        <mc:AlternateContent xmlns:mc="http://schemas.openxmlformats.org/markup-compatibility/2006">
          <mc:Choice Requires="x14">
            <control shapeId="1565" r:id="rId34" name="Check Box 541">
              <controlPr defaultSize="0" autoFill="0" autoLine="0" autoPict="0">
                <anchor moveWithCells="1">
                  <from>
                    <xdr:col>22</xdr:col>
                    <xdr:colOff>800100</xdr:colOff>
                    <xdr:row>83</xdr:row>
                    <xdr:rowOff>314325</xdr:rowOff>
                  </from>
                  <to>
                    <xdr:col>22</xdr:col>
                    <xdr:colOff>981075</xdr:colOff>
                    <xdr:row>85</xdr:row>
                    <xdr:rowOff>85725</xdr:rowOff>
                  </to>
                </anchor>
              </controlPr>
            </control>
          </mc:Choice>
        </mc:AlternateContent>
        <mc:AlternateContent xmlns:mc="http://schemas.openxmlformats.org/markup-compatibility/2006">
          <mc:Choice Requires="x14">
            <control shapeId="1566" r:id="rId35" name="Check Box 542">
              <controlPr defaultSize="0" autoFill="0" autoLine="0" autoPict="0">
                <anchor moveWithCells="1">
                  <from>
                    <xdr:col>21</xdr:col>
                    <xdr:colOff>771525</xdr:colOff>
                    <xdr:row>83</xdr:row>
                    <xdr:rowOff>314325</xdr:rowOff>
                  </from>
                  <to>
                    <xdr:col>22</xdr:col>
                    <xdr:colOff>9525</xdr:colOff>
                    <xdr:row>85</xdr:row>
                    <xdr:rowOff>85725</xdr:rowOff>
                  </to>
                </anchor>
              </controlPr>
            </control>
          </mc:Choice>
        </mc:AlternateContent>
        <mc:AlternateContent xmlns:mc="http://schemas.openxmlformats.org/markup-compatibility/2006">
          <mc:Choice Requires="x14">
            <control shapeId="1781" r:id="rId36" name="Spinner 757">
              <controlPr defaultSize="0" autoPict="0">
                <anchor moveWithCells="1" sizeWithCells="1">
                  <from>
                    <xdr:col>14</xdr:col>
                    <xdr:colOff>1085850</xdr:colOff>
                    <xdr:row>21</xdr:row>
                    <xdr:rowOff>38100</xdr:rowOff>
                  </from>
                  <to>
                    <xdr:col>15</xdr:col>
                    <xdr:colOff>0</xdr:colOff>
                    <xdr:row>21</xdr:row>
                    <xdr:rowOff>342900</xdr:rowOff>
                  </to>
                </anchor>
              </controlPr>
            </control>
          </mc:Choice>
        </mc:AlternateContent>
        <mc:AlternateContent xmlns:mc="http://schemas.openxmlformats.org/markup-compatibility/2006">
          <mc:Choice Requires="x14">
            <control shapeId="1825" r:id="rId37" name="Spinner 801">
              <controlPr defaultSize="0" autoPict="0">
                <anchor moveWithCells="1" sizeWithCells="1">
                  <from>
                    <xdr:col>14</xdr:col>
                    <xdr:colOff>1066800</xdr:colOff>
                    <xdr:row>22</xdr:row>
                    <xdr:rowOff>9525</xdr:rowOff>
                  </from>
                  <to>
                    <xdr:col>15</xdr:col>
                    <xdr:colOff>0</xdr:colOff>
                    <xdr:row>22</xdr:row>
                    <xdr:rowOff>342900</xdr:rowOff>
                  </to>
                </anchor>
              </controlPr>
            </control>
          </mc:Choice>
        </mc:AlternateContent>
        <mc:AlternateContent xmlns:mc="http://schemas.openxmlformats.org/markup-compatibility/2006">
          <mc:Choice Requires="x14">
            <control shapeId="1827" r:id="rId38" name="Spinner 803">
              <controlPr defaultSize="0" autoPict="0">
                <anchor moveWithCells="1" sizeWithCells="1">
                  <from>
                    <xdr:col>14</xdr:col>
                    <xdr:colOff>1085850</xdr:colOff>
                    <xdr:row>23</xdr:row>
                    <xdr:rowOff>19050</xdr:rowOff>
                  </from>
                  <to>
                    <xdr:col>15</xdr:col>
                    <xdr:colOff>0</xdr:colOff>
                    <xdr:row>23</xdr:row>
                    <xdr:rowOff>333375</xdr:rowOff>
                  </to>
                </anchor>
              </controlPr>
            </control>
          </mc:Choice>
        </mc:AlternateContent>
        <mc:AlternateContent xmlns:mc="http://schemas.openxmlformats.org/markup-compatibility/2006">
          <mc:Choice Requires="x14">
            <control shapeId="1828" r:id="rId39" name="Spinner 804">
              <controlPr defaultSize="0" autoPict="0">
                <anchor moveWithCells="1" sizeWithCells="1">
                  <from>
                    <xdr:col>14</xdr:col>
                    <xdr:colOff>1085850</xdr:colOff>
                    <xdr:row>24</xdr:row>
                    <xdr:rowOff>19050</xdr:rowOff>
                  </from>
                  <to>
                    <xdr:col>15</xdr:col>
                    <xdr:colOff>0</xdr:colOff>
                    <xdr:row>24</xdr:row>
                    <xdr:rowOff>333375</xdr:rowOff>
                  </to>
                </anchor>
              </controlPr>
            </control>
          </mc:Choice>
        </mc:AlternateContent>
        <mc:AlternateContent xmlns:mc="http://schemas.openxmlformats.org/markup-compatibility/2006">
          <mc:Choice Requires="x14">
            <control shapeId="1829" r:id="rId40" name="Spinner 805">
              <controlPr defaultSize="0" autoPict="0">
                <anchor moveWithCells="1" sizeWithCells="1">
                  <from>
                    <xdr:col>14</xdr:col>
                    <xdr:colOff>1085850</xdr:colOff>
                    <xdr:row>25</xdr:row>
                    <xdr:rowOff>19050</xdr:rowOff>
                  </from>
                  <to>
                    <xdr:col>15</xdr:col>
                    <xdr:colOff>0</xdr:colOff>
                    <xdr:row>25</xdr:row>
                    <xdr:rowOff>333375</xdr:rowOff>
                  </to>
                </anchor>
              </controlPr>
            </control>
          </mc:Choice>
        </mc:AlternateContent>
        <mc:AlternateContent xmlns:mc="http://schemas.openxmlformats.org/markup-compatibility/2006">
          <mc:Choice Requires="x14">
            <control shapeId="1830" r:id="rId41" name="Spinner 806">
              <controlPr defaultSize="0" autoPict="0">
                <anchor moveWithCells="1" sizeWithCells="1">
                  <from>
                    <xdr:col>14</xdr:col>
                    <xdr:colOff>1085850</xdr:colOff>
                    <xdr:row>26</xdr:row>
                    <xdr:rowOff>19050</xdr:rowOff>
                  </from>
                  <to>
                    <xdr:col>15</xdr:col>
                    <xdr:colOff>0</xdr:colOff>
                    <xdr:row>26</xdr:row>
                    <xdr:rowOff>333375</xdr:rowOff>
                  </to>
                </anchor>
              </controlPr>
            </control>
          </mc:Choice>
        </mc:AlternateContent>
        <mc:AlternateContent xmlns:mc="http://schemas.openxmlformats.org/markup-compatibility/2006">
          <mc:Choice Requires="x14">
            <control shapeId="1831" r:id="rId42" name="Spinner 807">
              <controlPr defaultSize="0" autoPict="0">
                <anchor moveWithCells="1" sizeWithCells="1">
                  <from>
                    <xdr:col>14</xdr:col>
                    <xdr:colOff>1085850</xdr:colOff>
                    <xdr:row>27</xdr:row>
                    <xdr:rowOff>85725</xdr:rowOff>
                  </from>
                  <to>
                    <xdr:col>15</xdr:col>
                    <xdr:colOff>0</xdr:colOff>
                    <xdr:row>27</xdr:row>
                    <xdr:rowOff>400050</xdr:rowOff>
                  </to>
                </anchor>
              </controlPr>
            </control>
          </mc:Choice>
        </mc:AlternateContent>
        <mc:AlternateContent xmlns:mc="http://schemas.openxmlformats.org/markup-compatibility/2006">
          <mc:Choice Requires="x14">
            <control shapeId="1832" r:id="rId43" name="Spinner 808">
              <controlPr defaultSize="0" autoPict="0">
                <anchor moveWithCells="1" sizeWithCells="1">
                  <from>
                    <xdr:col>14</xdr:col>
                    <xdr:colOff>1085850</xdr:colOff>
                    <xdr:row>28</xdr:row>
                    <xdr:rowOff>9525</xdr:rowOff>
                  </from>
                  <to>
                    <xdr:col>14</xdr:col>
                    <xdr:colOff>1304925</xdr:colOff>
                    <xdr:row>29</xdr:row>
                    <xdr:rowOff>0</xdr:rowOff>
                  </to>
                </anchor>
              </controlPr>
            </control>
          </mc:Choice>
        </mc:AlternateContent>
        <mc:AlternateContent xmlns:mc="http://schemas.openxmlformats.org/markup-compatibility/2006">
          <mc:Choice Requires="x14">
            <control shapeId="1833" r:id="rId44" name="Spinner 809">
              <controlPr defaultSize="0" autoPict="0">
                <anchor moveWithCells="1" sizeWithCells="1">
                  <from>
                    <xdr:col>14</xdr:col>
                    <xdr:colOff>1085850</xdr:colOff>
                    <xdr:row>29</xdr:row>
                    <xdr:rowOff>76200</xdr:rowOff>
                  </from>
                  <to>
                    <xdr:col>15</xdr:col>
                    <xdr:colOff>0</xdr:colOff>
                    <xdr:row>29</xdr:row>
                    <xdr:rowOff>390525</xdr:rowOff>
                  </to>
                </anchor>
              </controlPr>
            </control>
          </mc:Choice>
        </mc:AlternateContent>
        <mc:AlternateContent xmlns:mc="http://schemas.openxmlformats.org/markup-compatibility/2006">
          <mc:Choice Requires="x14">
            <control shapeId="1834" r:id="rId45" name="Spinner 810">
              <controlPr defaultSize="0" autoPict="0">
                <anchor moveWithCells="1" sizeWithCells="1">
                  <from>
                    <xdr:col>14</xdr:col>
                    <xdr:colOff>1085850</xdr:colOff>
                    <xdr:row>30</xdr:row>
                    <xdr:rowOff>95250</xdr:rowOff>
                  </from>
                  <to>
                    <xdr:col>14</xdr:col>
                    <xdr:colOff>1314450</xdr:colOff>
                    <xdr:row>30</xdr:row>
                    <xdr:rowOff>419100</xdr:rowOff>
                  </to>
                </anchor>
              </controlPr>
            </control>
          </mc:Choice>
        </mc:AlternateContent>
        <mc:AlternateContent xmlns:mc="http://schemas.openxmlformats.org/markup-compatibility/2006">
          <mc:Choice Requires="x14">
            <control shapeId="1835" r:id="rId46" name="Spinner 811">
              <controlPr defaultSize="0" autoPict="0">
                <anchor moveWithCells="1" sizeWithCells="1">
                  <from>
                    <xdr:col>14</xdr:col>
                    <xdr:colOff>1085850</xdr:colOff>
                    <xdr:row>31</xdr:row>
                    <xdr:rowOff>19050</xdr:rowOff>
                  </from>
                  <to>
                    <xdr:col>15</xdr:col>
                    <xdr:colOff>0</xdr:colOff>
                    <xdr:row>31</xdr:row>
                    <xdr:rowOff>333375</xdr:rowOff>
                  </to>
                </anchor>
              </controlPr>
            </control>
          </mc:Choice>
        </mc:AlternateContent>
        <mc:AlternateContent xmlns:mc="http://schemas.openxmlformats.org/markup-compatibility/2006">
          <mc:Choice Requires="x14">
            <control shapeId="1836" r:id="rId47" name="Spinner 812">
              <controlPr defaultSize="0" autoPict="0">
                <anchor moveWithCells="1" sizeWithCells="1">
                  <from>
                    <xdr:col>14</xdr:col>
                    <xdr:colOff>1085850</xdr:colOff>
                    <xdr:row>32</xdr:row>
                    <xdr:rowOff>19050</xdr:rowOff>
                  </from>
                  <to>
                    <xdr:col>15</xdr:col>
                    <xdr:colOff>0</xdr:colOff>
                    <xdr:row>32</xdr:row>
                    <xdr:rowOff>333375</xdr:rowOff>
                  </to>
                </anchor>
              </controlPr>
            </control>
          </mc:Choice>
        </mc:AlternateContent>
        <mc:AlternateContent xmlns:mc="http://schemas.openxmlformats.org/markup-compatibility/2006">
          <mc:Choice Requires="x14">
            <control shapeId="1837" r:id="rId48" name="Spinner 813">
              <controlPr defaultSize="0" autoPict="0">
                <anchor moveWithCells="1" sizeWithCells="1">
                  <from>
                    <xdr:col>14</xdr:col>
                    <xdr:colOff>1085850</xdr:colOff>
                    <xdr:row>33</xdr:row>
                    <xdr:rowOff>19050</xdr:rowOff>
                  </from>
                  <to>
                    <xdr:col>15</xdr:col>
                    <xdr:colOff>0</xdr:colOff>
                    <xdr:row>33</xdr:row>
                    <xdr:rowOff>333375</xdr:rowOff>
                  </to>
                </anchor>
              </controlPr>
            </control>
          </mc:Choice>
        </mc:AlternateContent>
        <mc:AlternateContent xmlns:mc="http://schemas.openxmlformats.org/markup-compatibility/2006">
          <mc:Choice Requires="x14">
            <control shapeId="1838" r:id="rId49" name="Spinner 814">
              <controlPr defaultSize="0" autoPict="0">
                <anchor moveWithCells="1" sizeWithCells="1">
                  <from>
                    <xdr:col>14</xdr:col>
                    <xdr:colOff>1085850</xdr:colOff>
                    <xdr:row>34</xdr:row>
                    <xdr:rowOff>19050</xdr:rowOff>
                  </from>
                  <to>
                    <xdr:col>15</xdr:col>
                    <xdr:colOff>0</xdr:colOff>
                    <xdr:row>34</xdr:row>
                    <xdr:rowOff>333375</xdr:rowOff>
                  </to>
                </anchor>
              </controlPr>
            </control>
          </mc:Choice>
        </mc:AlternateContent>
        <mc:AlternateContent xmlns:mc="http://schemas.openxmlformats.org/markup-compatibility/2006">
          <mc:Choice Requires="x14">
            <control shapeId="1840" r:id="rId50" name="Spinner 816">
              <controlPr defaultSize="0" autoPict="0">
                <anchor moveWithCells="1" sizeWithCells="1">
                  <from>
                    <xdr:col>14</xdr:col>
                    <xdr:colOff>1085850</xdr:colOff>
                    <xdr:row>36</xdr:row>
                    <xdr:rowOff>19050</xdr:rowOff>
                  </from>
                  <to>
                    <xdr:col>15</xdr:col>
                    <xdr:colOff>0</xdr:colOff>
                    <xdr:row>36</xdr:row>
                    <xdr:rowOff>333375</xdr:rowOff>
                  </to>
                </anchor>
              </controlPr>
            </control>
          </mc:Choice>
        </mc:AlternateContent>
        <mc:AlternateContent xmlns:mc="http://schemas.openxmlformats.org/markup-compatibility/2006">
          <mc:Choice Requires="x14">
            <control shapeId="1841" r:id="rId51" name="Spinner 817">
              <controlPr defaultSize="0" autoPict="0">
                <anchor moveWithCells="1" sizeWithCells="1">
                  <from>
                    <xdr:col>14</xdr:col>
                    <xdr:colOff>1085850</xdr:colOff>
                    <xdr:row>37</xdr:row>
                    <xdr:rowOff>19050</xdr:rowOff>
                  </from>
                  <to>
                    <xdr:col>15</xdr:col>
                    <xdr:colOff>0</xdr:colOff>
                    <xdr:row>37</xdr:row>
                    <xdr:rowOff>333375</xdr:rowOff>
                  </to>
                </anchor>
              </controlPr>
            </control>
          </mc:Choice>
        </mc:AlternateContent>
        <mc:AlternateContent xmlns:mc="http://schemas.openxmlformats.org/markup-compatibility/2006">
          <mc:Choice Requires="x14">
            <control shapeId="1842" r:id="rId52" name="Spinner 818">
              <controlPr defaultSize="0" autoPict="0">
                <anchor moveWithCells="1" sizeWithCells="1">
                  <from>
                    <xdr:col>14</xdr:col>
                    <xdr:colOff>1085850</xdr:colOff>
                    <xdr:row>38</xdr:row>
                    <xdr:rowOff>19050</xdr:rowOff>
                  </from>
                  <to>
                    <xdr:col>15</xdr:col>
                    <xdr:colOff>0</xdr:colOff>
                    <xdr:row>38</xdr:row>
                    <xdr:rowOff>333375</xdr:rowOff>
                  </to>
                </anchor>
              </controlPr>
            </control>
          </mc:Choice>
        </mc:AlternateContent>
        <mc:AlternateContent xmlns:mc="http://schemas.openxmlformats.org/markup-compatibility/2006">
          <mc:Choice Requires="x14">
            <control shapeId="1843" r:id="rId53" name="Spinner 819">
              <controlPr defaultSize="0" autoPict="0">
                <anchor moveWithCells="1" sizeWithCells="1">
                  <from>
                    <xdr:col>14</xdr:col>
                    <xdr:colOff>1085850</xdr:colOff>
                    <xdr:row>39</xdr:row>
                    <xdr:rowOff>19050</xdr:rowOff>
                  </from>
                  <to>
                    <xdr:col>15</xdr:col>
                    <xdr:colOff>0</xdr:colOff>
                    <xdr:row>39</xdr:row>
                    <xdr:rowOff>333375</xdr:rowOff>
                  </to>
                </anchor>
              </controlPr>
            </control>
          </mc:Choice>
        </mc:AlternateContent>
        <mc:AlternateContent xmlns:mc="http://schemas.openxmlformats.org/markup-compatibility/2006">
          <mc:Choice Requires="x14">
            <control shapeId="1844" r:id="rId54" name="Spinner 820">
              <controlPr defaultSize="0" autoPict="0">
                <anchor moveWithCells="1" sizeWithCells="1">
                  <from>
                    <xdr:col>14</xdr:col>
                    <xdr:colOff>1085850</xdr:colOff>
                    <xdr:row>40</xdr:row>
                    <xdr:rowOff>19050</xdr:rowOff>
                  </from>
                  <to>
                    <xdr:col>15</xdr:col>
                    <xdr:colOff>0</xdr:colOff>
                    <xdr:row>40</xdr:row>
                    <xdr:rowOff>333375</xdr:rowOff>
                  </to>
                </anchor>
              </controlPr>
            </control>
          </mc:Choice>
        </mc:AlternateContent>
        <mc:AlternateContent xmlns:mc="http://schemas.openxmlformats.org/markup-compatibility/2006">
          <mc:Choice Requires="x14">
            <control shapeId="1845" r:id="rId55" name="Spinner 821">
              <controlPr defaultSize="0" autoPict="0">
                <anchor moveWithCells="1" sizeWithCells="1">
                  <from>
                    <xdr:col>14</xdr:col>
                    <xdr:colOff>1085850</xdr:colOff>
                    <xdr:row>41</xdr:row>
                    <xdr:rowOff>19050</xdr:rowOff>
                  </from>
                  <to>
                    <xdr:col>15</xdr:col>
                    <xdr:colOff>0</xdr:colOff>
                    <xdr:row>41</xdr:row>
                    <xdr:rowOff>333375</xdr:rowOff>
                  </to>
                </anchor>
              </controlPr>
            </control>
          </mc:Choice>
        </mc:AlternateContent>
        <mc:AlternateContent xmlns:mc="http://schemas.openxmlformats.org/markup-compatibility/2006">
          <mc:Choice Requires="x14">
            <control shapeId="1846" r:id="rId56" name="Spinner 822">
              <controlPr defaultSize="0" autoPict="0">
                <anchor moveWithCells="1" sizeWithCells="1">
                  <from>
                    <xdr:col>14</xdr:col>
                    <xdr:colOff>1085850</xdr:colOff>
                    <xdr:row>42</xdr:row>
                    <xdr:rowOff>19050</xdr:rowOff>
                  </from>
                  <to>
                    <xdr:col>15</xdr:col>
                    <xdr:colOff>0</xdr:colOff>
                    <xdr:row>42</xdr:row>
                    <xdr:rowOff>333375</xdr:rowOff>
                  </to>
                </anchor>
              </controlPr>
            </control>
          </mc:Choice>
        </mc:AlternateContent>
        <mc:AlternateContent xmlns:mc="http://schemas.openxmlformats.org/markup-compatibility/2006">
          <mc:Choice Requires="x14">
            <control shapeId="1847" r:id="rId57" name="Spinner 823">
              <controlPr defaultSize="0" autoPict="0">
                <anchor moveWithCells="1" sizeWithCells="1">
                  <from>
                    <xdr:col>14</xdr:col>
                    <xdr:colOff>1085850</xdr:colOff>
                    <xdr:row>43</xdr:row>
                    <xdr:rowOff>19050</xdr:rowOff>
                  </from>
                  <to>
                    <xdr:col>15</xdr:col>
                    <xdr:colOff>0</xdr:colOff>
                    <xdr:row>43</xdr:row>
                    <xdr:rowOff>333375</xdr:rowOff>
                  </to>
                </anchor>
              </controlPr>
            </control>
          </mc:Choice>
        </mc:AlternateContent>
        <mc:AlternateContent xmlns:mc="http://schemas.openxmlformats.org/markup-compatibility/2006">
          <mc:Choice Requires="x14">
            <control shapeId="1848" r:id="rId58" name="Spinner 824">
              <controlPr defaultSize="0" autoPict="0">
                <anchor moveWithCells="1" sizeWithCells="1">
                  <from>
                    <xdr:col>14</xdr:col>
                    <xdr:colOff>1085850</xdr:colOff>
                    <xdr:row>44</xdr:row>
                    <xdr:rowOff>19050</xdr:rowOff>
                  </from>
                  <to>
                    <xdr:col>15</xdr:col>
                    <xdr:colOff>0</xdr:colOff>
                    <xdr:row>44</xdr:row>
                    <xdr:rowOff>333375</xdr:rowOff>
                  </to>
                </anchor>
              </controlPr>
            </control>
          </mc:Choice>
        </mc:AlternateContent>
        <mc:AlternateContent xmlns:mc="http://schemas.openxmlformats.org/markup-compatibility/2006">
          <mc:Choice Requires="x14">
            <control shapeId="1849" r:id="rId59" name="Spinner 825">
              <controlPr defaultSize="0" autoPict="0">
                <anchor moveWithCells="1" sizeWithCells="1">
                  <from>
                    <xdr:col>14</xdr:col>
                    <xdr:colOff>1085850</xdr:colOff>
                    <xdr:row>45</xdr:row>
                    <xdr:rowOff>76200</xdr:rowOff>
                  </from>
                  <to>
                    <xdr:col>15</xdr:col>
                    <xdr:colOff>0</xdr:colOff>
                    <xdr:row>45</xdr:row>
                    <xdr:rowOff>390525</xdr:rowOff>
                  </to>
                </anchor>
              </controlPr>
            </control>
          </mc:Choice>
        </mc:AlternateContent>
        <mc:AlternateContent xmlns:mc="http://schemas.openxmlformats.org/markup-compatibility/2006">
          <mc:Choice Requires="x14">
            <control shapeId="1850" r:id="rId60" name="Spinner 826">
              <controlPr defaultSize="0" autoPict="0">
                <anchor moveWithCells="1" sizeWithCells="1">
                  <from>
                    <xdr:col>14</xdr:col>
                    <xdr:colOff>1085850</xdr:colOff>
                    <xdr:row>46</xdr:row>
                    <xdr:rowOff>9525</xdr:rowOff>
                  </from>
                  <to>
                    <xdr:col>14</xdr:col>
                    <xdr:colOff>1323975</xdr:colOff>
                    <xdr:row>46</xdr:row>
                    <xdr:rowOff>333375</xdr:rowOff>
                  </to>
                </anchor>
              </controlPr>
            </control>
          </mc:Choice>
        </mc:AlternateContent>
        <mc:AlternateContent xmlns:mc="http://schemas.openxmlformats.org/markup-compatibility/2006">
          <mc:Choice Requires="x14">
            <control shapeId="1851" r:id="rId61" name="Spinner 827">
              <controlPr defaultSize="0" autoPict="0">
                <anchor moveWithCells="1" sizeWithCells="1">
                  <from>
                    <xdr:col>14</xdr:col>
                    <xdr:colOff>1085850</xdr:colOff>
                    <xdr:row>47</xdr:row>
                    <xdr:rowOff>28575</xdr:rowOff>
                  </from>
                  <to>
                    <xdr:col>15</xdr:col>
                    <xdr:colOff>0</xdr:colOff>
                    <xdr:row>47</xdr:row>
                    <xdr:rowOff>333375</xdr:rowOff>
                  </to>
                </anchor>
              </controlPr>
            </control>
          </mc:Choice>
        </mc:AlternateContent>
        <mc:AlternateContent xmlns:mc="http://schemas.openxmlformats.org/markup-compatibility/2006">
          <mc:Choice Requires="x14">
            <control shapeId="1852" r:id="rId62" name="Spinner 828">
              <controlPr defaultSize="0" autoPict="0">
                <anchor moveWithCells="1" sizeWithCells="1">
                  <from>
                    <xdr:col>14</xdr:col>
                    <xdr:colOff>1085850</xdr:colOff>
                    <xdr:row>48</xdr:row>
                    <xdr:rowOff>19050</xdr:rowOff>
                  </from>
                  <to>
                    <xdr:col>15</xdr:col>
                    <xdr:colOff>0</xdr:colOff>
                    <xdr:row>48</xdr:row>
                    <xdr:rowOff>333375</xdr:rowOff>
                  </to>
                </anchor>
              </controlPr>
            </control>
          </mc:Choice>
        </mc:AlternateContent>
        <mc:AlternateContent xmlns:mc="http://schemas.openxmlformats.org/markup-compatibility/2006">
          <mc:Choice Requires="x14">
            <control shapeId="1853" r:id="rId63" name="Spinner 829">
              <controlPr defaultSize="0" autoPict="0">
                <anchor moveWithCells="1" sizeWithCells="1">
                  <from>
                    <xdr:col>14</xdr:col>
                    <xdr:colOff>1085850</xdr:colOff>
                    <xdr:row>49</xdr:row>
                    <xdr:rowOff>19050</xdr:rowOff>
                  </from>
                  <to>
                    <xdr:col>15</xdr:col>
                    <xdr:colOff>0</xdr:colOff>
                    <xdr:row>49</xdr:row>
                    <xdr:rowOff>333375</xdr:rowOff>
                  </to>
                </anchor>
              </controlPr>
            </control>
          </mc:Choice>
        </mc:AlternateContent>
        <mc:AlternateContent xmlns:mc="http://schemas.openxmlformats.org/markup-compatibility/2006">
          <mc:Choice Requires="x14">
            <control shapeId="1854" r:id="rId64" name="Spinner 830">
              <controlPr defaultSize="0" autoPict="0">
                <anchor moveWithCells="1" sizeWithCells="1">
                  <from>
                    <xdr:col>14</xdr:col>
                    <xdr:colOff>1085850</xdr:colOff>
                    <xdr:row>50</xdr:row>
                    <xdr:rowOff>19050</xdr:rowOff>
                  </from>
                  <to>
                    <xdr:col>15</xdr:col>
                    <xdr:colOff>0</xdr:colOff>
                    <xdr:row>50</xdr:row>
                    <xdr:rowOff>333375</xdr:rowOff>
                  </to>
                </anchor>
              </controlPr>
            </control>
          </mc:Choice>
        </mc:AlternateContent>
        <mc:AlternateContent xmlns:mc="http://schemas.openxmlformats.org/markup-compatibility/2006">
          <mc:Choice Requires="x14">
            <control shapeId="1855" r:id="rId65" name="Spinner 831">
              <controlPr defaultSize="0" autoPict="0">
                <anchor moveWithCells="1" sizeWithCells="1">
                  <from>
                    <xdr:col>14</xdr:col>
                    <xdr:colOff>1085850</xdr:colOff>
                    <xdr:row>51</xdr:row>
                    <xdr:rowOff>19050</xdr:rowOff>
                  </from>
                  <to>
                    <xdr:col>15</xdr:col>
                    <xdr:colOff>0</xdr:colOff>
                    <xdr:row>51</xdr:row>
                    <xdr:rowOff>333375</xdr:rowOff>
                  </to>
                </anchor>
              </controlPr>
            </control>
          </mc:Choice>
        </mc:AlternateContent>
        <mc:AlternateContent xmlns:mc="http://schemas.openxmlformats.org/markup-compatibility/2006">
          <mc:Choice Requires="x14">
            <control shapeId="1856" r:id="rId66" name="Spinner 832">
              <controlPr defaultSize="0" autoPict="0">
                <anchor moveWithCells="1" sizeWithCells="1">
                  <from>
                    <xdr:col>14</xdr:col>
                    <xdr:colOff>1085850</xdr:colOff>
                    <xdr:row>52</xdr:row>
                    <xdr:rowOff>19050</xdr:rowOff>
                  </from>
                  <to>
                    <xdr:col>15</xdr:col>
                    <xdr:colOff>0</xdr:colOff>
                    <xdr:row>52</xdr:row>
                    <xdr:rowOff>333375</xdr:rowOff>
                  </to>
                </anchor>
              </controlPr>
            </control>
          </mc:Choice>
        </mc:AlternateContent>
        <mc:AlternateContent xmlns:mc="http://schemas.openxmlformats.org/markup-compatibility/2006">
          <mc:Choice Requires="x14">
            <control shapeId="1857" r:id="rId67" name="Spinner 833">
              <controlPr defaultSize="0" autoPict="0">
                <anchor moveWithCells="1" sizeWithCells="1">
                  <from>
                    <xdr:col>14</xdr:col>
                    <xdr:colOff>1085850</xdr:colOff>
                    <xdr:row>53</xdr:row>
                    <xdr:rowOff>19050</xdr:rowOff>
                  </from>
                  <to>
                    <xdr:col>15</xdr:col>
                    <xdr:colOff>0</xdr:colOff>
                    <xdr:row>53</xdr:row>
                    <xdr:rowOff>333375</xdr:rowOff>
                  </to>
                </anchor>
              </controlPr>
            </control>
          </mc:Choice>
        </mc:AlternateContent>
        <mc:AlternateContent xmlns:mc="http://schemas.openxmlformats.org/markup-compatibility/2006">
          <mc:Choice Requires="x14">
            <control shapeId="1858" r:id="rId68" name="Spinner 834">
              <controlPr defaultSize="0" autoPict="0">
                <anchor moveWithCells="1" sizeWithCells="1">
                  <from>
                    <xdr:col>14</xdr:col>
                    <xdr:colOff>1085850</xdr:colOff>
                    <xdr:row>54</xdr:row>
                    <xdr:rowOff>19050</xdr:rowOff>
                  </from>
                  <to>
                    <xdr:col>15</xdr:col>
                    <xdr:colOff>0</xdr:colOff>
                    <xdr:row>54</xdr:row>
                    <xdr:rowOff>333375</xdr:rowOff>
                  </to>
                </anchor>
              </controlPr>
            </control>
          </mc:Choice>
        </mc:AlternateContent>
        <mc:AlternateContent xmlns:mc="http://schemas.openxmlformats.org/markup-compatibility/2006">
          <mc:Choice Requires="x14">
            <control shapeId="1859" r:id="rId69" name="Spinner 835">
              <controlPr defaultSize="0" autoPict="0">
                <anchor moveWithCells="1" sizeWithCells="1">
                  <from>
                    <xdr:col>14</xdr:col>
                    <xdr:colOff>1085850</xdr:colOff>
                    <xdr:row>55</xdr:row>
                    <xdr:rowOff>19050</xdr:rowOff>
                  </from>
                  <to>
                    <xdr:col>15</xdr:col>
                    <xdr:colOff>0</xdr:colOff>
                    <xdr:row>55</xdr:row>
                    <xdr:rowOff>333375</xdr:rowOff>
                  </to>
                </anchor>
              </controlPr>
            </control>
          </mc:Choice>
        </mc:AlternateContent>
        <mc:AlternateContent xmlns:mc="http://schemas.openxmlformats.org/markup-compatibility/2006">
          <mc:Choice Requires="x14">
            <control shapeId="1860" r:id="rId70" name="Spinner 836">
              <controlPr defaultSize="0" autoPict="0">
                <anchor moveWithCells="1" sizeWithCells="1">
                  <from>
                    <xdr:col>14</xdr:col>
                    <xdr:colOff>1085850</xdr:colOff>
                    <xdr:row>56</xdr:row>
                    <xdr:rowOff>19050</xdr:rowOff>
                  </from>
                  <to>
                    <xdr:col>15</xdr:col>
                    <xdr:colOff>0</xdr:colOff>
                    <xdr:row>56</xdr:row>
                    <xdr:rowOff>333375</xdr:rowOff>
                  </to>
                </anchor>
              </controlPr>
            </control>
          </mc:Choice>
        </mc:AlternateContent>
        <mc:AlternateContent xmlns:mc="http://schemas.openxmlformats.org/markup-compatibility/2006">
          <mc:Choice Requires="x14">
            <control shapeId="1861" r:id="rId71" name="Spinner 837">
              <controlPr defaultSize="0" autoPict="0">
                <anchor moveWithCells="1" sizeWithCells="1">
                  <from>
                    <xdr:col>14</xdr:col>
                    <xdr:colOff>1085850</xdr:colOff>
                    <xdr:row>57</xdr:row>
                    <xdr:rowOff>38100</xdr:rowOff>
                  </from>
                  <to>
                    <xdr:col>15</xdr:col>
                    <xdr:colOff>0</xdr:colOff>
                    <xdr:row>57</xdr:row>
                    <xdr:rowOff>352425</xdr:rowOff>
                  </to>
                </anchor>
              </controlPr>
            </control>
          </mc:Choice>
        </mc:AlternateContent>
        <mc:AlternateContent xmlns:mc="http://schemas.openxmlformats.org/markup-compatibility/2006">
          <mc:Choice Requires="x14">
            <control shapeId="1862" r:id="rId72" name="Spinner 838">
              <controlPr defaultSize="0" autoPict="0">
                <anchor moveWithCells="1" sizeWithCells="1">
                  <from>
                    <xdr:col>14</xdr:col>
                    <xdr:colOff>1085850</xdr:colOff>
                    <xdr:row>58</xdr:row>
                    <xdr:rowOff>19050</xdr:rowOff>
                  </from>
                  <to>
                    <xdr:col>14</xdr:col>
                    <xdr:colOff>1304925</xdr:colOff>
                    <xdr:row>58</xdr:row>
                    <xdr:rowOff>342900</xdr:rowOff>
                  </to>
                </anchor>
              </controlPr>
            </control>
          </mc:Choice>
        </mc:AlternateContent>
        <mc:AlternateContent xmlns:mc="http://schemas.openxmlformats.org/markup-compatibility/2006">
          <mc:Choice Requires="x14">
            <control shapeId="1863" r:id="rId73" name="Spinner 839">
              <controlPr defaultSize="0" autoPict="0">
                <anchor moveWithCells="1" sizeWithCells="1">
                  <from>
                    <xdr:col>14</xdr:col>
                    <xdr:colOff>1085850</xdr:colOff>
                    <xdr:row>59</xdr:row>
                    <xdr:rowOff>19050</xdr:rowOff>
                  </from>
                  <to>
                    <xdr:col>15</xdr:col>
                    <xdr:colOff>0</xdr:colOff>
                    <xdr:row>59</xdr:row>
                    <xdr:rowOff>333375</xdr:rowOff>
                  </to>
                </anchor>
              </controlPr>
            </control>
          </mc:Choice>
        </mc:AlternateContent>
        <mc:AlternateContent xmlns:mc="http://schemas.openxmlformats.org/markup-compatibility/2006">
          <mc:Choice Requires="x14">
            <control shapeId="1864" r:id="rId74" name="Spinner 840">
              <controlPr defaultSize="0" autoPict="0">
                <anchor moveWithCells="1" sizeWithCells="1">
                  <from>
                    <xdr:col>14</xdr:col>
                    <xdr:colOff>1085850</xdr:colOff>
                    <xdr:row>60</xdr:row>
                    <xdr:rowOff>19050</xdr:rowOff>
                  </from>
                  <to>
                    <xdr:col>15</xdr:col>
                    <xdr:colOff>0</xdr:colOff>
                    <xdr:row>60</xdr:row>
                    <xdr:rowOff>333375</xdr:rowOff>
                  </to>
                </anchor>
              </controlPr>
            </control>
          </mc:Choice>
        </mc:AlternateContent>
        <mc:AlternateContent xmlns:mc="http://schemas.openxmlformats.org/markup-compatibility/2006">
          <mc:Choice Requires="x14">
            <control shapeId="1865" r:id="rId75" name="Spinner 841">
              <controlPr defaultSize="0" autoPict="0">
                <anchor moveWithCells="1" sizeWithCells="1">
                  <from>
                    <xdr:col>14</xdr:col>
                    <xdr:colOff>1085850</xdr:colOff>
                    <xdr:row>61</xdr:row>
                    <xdr:rowOff>57150</xdr:rowOff>
                  </from>
                  <to>
                    <xdr:col>15</xdr:col>
                    <xdr:colOff>0</xdr:colOff>
                    <xdr:row>61</xdr:row>
                    <xdr:rowOff>371475</xdr:rowOff>
                  </to>
                </anchor>
              </controlPr>
            </control>
          </mc:Choice>
        </mc:AlternateContent>
        <mc:AlternateContent xmlns:mc="http://schemas.openxmlformats.org/markup-compatibility/2006">
          <mc:Choice Requires="x14">
            <control shapeId="1866" r:id="rId76" name="Spinner 842">
              <controlPr defaultSize="0" autoPict="0">
                <anchor moveWithCells="1" sizeWithCells="1">
                  <from>
                    <xdr:col>14</xdr:col>
                    <xdr:colOff>1085850</xdr:colOff>
                    <xdr:row>62</xdr:row>
                    <xdr:rowOff>95250</xdr:rowOff>
                  </from>
                  <to>
                    <xdr:col>15</xdr:col>
                    <xdr:colOff>0</xdr:colOff>
                    <xdr:row>62</xdr:row>
                    <xdr:rowOff>409575</xdr:rowOff>
                  </to>
                </anchor>
              </controlPr>
            </control>
          </mc:Choice>
        </mc:AlternateContent>
        <mc:AlternateContent xmlns:mc="http://schemas.openxmlformats.org/markup-compatibility/2006">
          <mc:Choice Requires="x14">
            <control shapeId="1867" r:id="rId77" name="Spinner 843">
              <controlPr defaultSize="0" autoPict="0">
                <anchor moveWithCells="1" sizeWithCells="1">
                  <from>
                    <xdr:col>14</xdr:col>
                    <xdr:colOff>1085850</xdr:colOff>
                    <xdr:row>63</xdr:row>
                    <xdr:rowOff>123825</xdr:rowOff>
                  </from>
                  <to>
                    <xdr:col>15</xdr:col>
                    <xdr:colOff>0</xdr:colOff>
                    <xdr:row>63</xdr:row>
                    <xdr:rowOff>438150</xdr:rowOff>
                  </to>
                </anchor>
              </controlPr>
            </control>
          </mc:Choice>
        </mc:AlternateContent>
        <mc:AlternateContent xmlns:mc="http://schemas.openxmlformats.org/markup-compatibility/2006">
          <mc:Choice Requires="x14">
            <control shapeId="1868" r:id="rId78" name="Spinner 844">
              <controlPr locked="0" defaultSize="0" autoPict="0">
                <anchor moveWithCells="1" sizeWithCells="1">
                  <from>
                    <xdr:col>14</xdr:col>
                    <xdr:colOff>1066800</xdr:colOff>
                    <xdr:row>64</xdr:row>
                    <xdr:rowOff>9525</xdr:rowOff>
                  </from>
                  <to>
                    <xdr:col>14</xdr:col>
                    <xdr:colOff>1323975</xdr:colOff>
                    <xdr:row>64</xdr:row>
                    <xdr:rowOff>352425</xdr:rowOff>
                  </to>
                </anchor>
              </controlPr>
            </control>
          </mc:Choice>
        </mc:AlternateContent>
        <mc:AlternateContent xmlns:mc="http://schemas.openxmlformats.org/markup-compatibility/2006">
          <mc:Choice Requires="x14">
            <control shapeId="1872" r:id="rId79" name="Spinner 848">
              <controlPr defaultSize="0" autoPict="0">
                <anchor moveWithCells="1" sizeWithCells="1">
                  <from>
                    <xdr:col>3</xdr:col>
                    <xdr:colOff>657225</xdr:colOff>
                    <xdr:row>13</xdr:row>
                    <xdr:rowOff>104775</xdr:rowOff>
                  </from>
                  <to>
                    <xdr:col>3</xdr:col>
                    <xdr:colOff>971550</xdr:colOff>
                    <xdr:row>13</xdr:row>
                    <xdr:rowOff>447675</xdr:rowOff>
                  </to>
                </anchor>
              </controlPr>
            </control>
          </mc:Choice>
        </mc:AlternateContent>
        <mc:AlternateContent xmlns:mc="http://schemas.openxmlformats.org/markup-compatibility/2006">
          <mc:Choice Requires="x14">
            <control shapeId="1873" r:id="rId80" name="Spinner 849">
              <controlPr defaultSize="0" autoPict="0">
                <anchor moveWithCells="1" sizeWithCells="1">
                  <from>
                    <xdr:col>3</xdr:col>
                    <xdr:colOff>657225</xdr:colOff>
                    <xdr:row>12</xdr:row>
                    <xdr:rowOff>85725</xdr:rowOff>
                  </from>
                  <to>
                    <xdr:col>3</xdr:col>
                    <xdr:colOff>971550</xdr:colOff>
                    <xdr:row>12</xdr:row>
                    <xdr:rowOff>428625</xdr:rowOff>
                  </to>
                </anchor>
              </controlPr>
            </control>
          </mc:Choice>
        </mc:AlternateContent>
        <mc:AlternateContent xmlns:mc="http://schemas.openxmlformats.org/markup-compatibility/2006">
          <mc:Choice Requires="x14">
            <control shapeId="1874" r:id="rId81" name="Spinner 850">
              <controlPr defaultSize="0" autoPict="0">
                <anchor moveWithCells="1" sizeWithCells="1">
                  <from>
                    <xdr:col>3</xdr:col>
                    <xdr:colOff>657225</xdr:colOff>
                    <xdr:row>11</xdr:row>
                    <xdr:rowOff>85725</xdr:rowOff>
                  </from>
                  <to>
                    <xdr:col>3</xdr:col>
                    <xdr:colOff>971550</xdr:colOff>
                    <xdr:row>11</xdr:row>
                    <xdr:rowOff>428625</xdr:rowOff>
                  </to>
                </anchor>
              </controlPr>
            </control>
          </mc:Choice>
        </mc:AlternateContent>
        <mc:AlternateContent xmlns:mc="http://schemas.openxmlformats.org/markup-compatibility/2006">
          <mc:Choice Requires="x14">
            <control shapeId="1875" r:id="rId82" name="Spinner 851">
              <controlPr defaultSize="0" autoPict="0">
                <anchor moveWithCells="1" sizeWithCells="1">
                  <from>
                    <xdr:col>3</xdr:col>
                    <xdr:colOff>657225</xdr:colOff>
                    <xdr:row>14</xdr:row>
                    <xdr:rowOff>85725</xdr:rowOff>
                  </from>
                  <to>
                    <xdr:col>3</xdr:col>
                    <xdr:colOff>971550</xdr:colOff>
                    <xdr:row>14</xdr:row>
                    <xdr:rowOff>428625</xdr:rowOff>
                  </to>
                </anchor>
              </controlPr>
            </control>
          </mc:Choice>
        </mc:AlternateContent>
        <mc:AlternateContent xmlns:mc="http://schemas.openxmlformats.org/markup-compatibility/2006">
          <mc:Choice Requires="x14">
            <control shapeId="1876" r:id="rId83" name="Spinner 852">
              <controlPr defaultSize="0" autoPict="0">
                <anchor moveWithCells="1" sizeWithCells="1">
                  <from>
                    <xdr:col>3</xdr:col>
                    <xdr:colOff>657225</xdr:colOff>
                    <xdr:row>15</xdr:row>
                    <xdr:rowOff>85725</xdr:rowOff>
                  </from>
                  <to>
                    <xdr:col>3</xdr:col>
                    <xdr:colOff>971550</xdr:colOff>
                    <xdr:row>15</xdr:row>
                    <xdr:rowOff>428625</xdr:rowOff>
                  </to>
                </anchor>
              </controlPr>
            </control>
          </mc:Choice>
        </mc:AlternateContent>
        <mc:AlternateContent xmlns:mc="http://schemas.openxmlformats.org/markup-compatibility/2006">
          <mc:Choice Requires="x14">
            <control shapeId="1877" r:id="rId84" name="Spinner 853">
              <controlPr defaultSize="0" autoPict="0">
                <anchor moveWithCells="1" sizeWithCells="1">
                  <from>
                    <xdr:col>3</xdr:col>
                    <xdr:colOff>657225</xdr:colOff>
                    <xdr:row>16</xdr:row>
                    <xdr:rowOff>85725</xdr:rowOff>
                  </from>
                  <to>
                    <xdr:col>3</xdr:col>
                    <xdr:colOff>971550</xdr:colOff>
                    <xdr:row>16</xdr:row>
                    <xdr:rowOff>428625</xdr:rowOff>
                  </to>
                </anchor>
              </controlPr>
            </control>
          </mc:Choice>
        </mc:AlternateContent>
        <mc:AlternateContent xmlns:mc="http://schemas.openxmlformats.org/markup-compatibility/2006">
          <mc:Choice Requires="x14">
            <control shapeId="1878" r:id="rId85" name="Spinner 854">
              <controlPr defaultSize="0" autoPict="0">
                <anchor moveWithCells="1" sizeWithCells="1">
                  <from>
                    <xdr:col>14</xdr:col>
                    <xdr:colOff>1085850</xdr:colOff>
                    <xdr:row>35</xdr:row>
                    <xdr:rowOff>19050</xdr:rowOff>
                  </from>
                  <to>
                    <xdr:col>15</xdr:col>
                    <xdr:colOff>0</xdr:colOff>
                    <xdr:row>35</xdr:row>
                    <xdr:rowOff>333375</xdr:rowOff>
                  </to>
                </anchor>
              </controlPr>
            </control>
          </mc:Choice>
        </mc:AlternateContent>
        <mc:AlternateContent xmlns:mc="http://schemas.openxmlformats.org/markup-compatibility/2006">
          <mc:Choice Requires="x14">
            <control shapeId="1909" r:id="rId86" name="Check Box 885">
              <controlPr defaultSize="0" autoFill="0" autoLine="0" autoPict="0">
                <anchor moveWithCells="1">
                  <from>
                    <xdr:col>20</xdr:col>
                    <xdr:colOff>533400</xdr:colOff>
                    <xdr:row>76</xdr:row>
                    <xdr:rowOff>314325</xdr:rowOff>
                  </from>
                  <to>
                    <xdr:col>20</xdr:col>
                    <xdr:colOff>800100</xdr:colOff>
                    <xdr:row>78</xdr:row>
                    <xdr:rowOff>85725</xdr:rowOff>
                  </to>
                </anchor>
              </controlPr>
            </control>
          </mc:Choice>
        </mc:AlternateContent>
        <mc:AlternateContent xmlns:mc="http://schemas.openxmlformats.org/markup-compatibility/2006">
          <mc:Choice Requires="x14">
            <control shapeId="1910" r:id="rId87" name="Check Box 886">
              <controlPr defaultSize="0" autoFill="0" autoLine="0" autoPict="0">
                <anchor moveWithCells="1">
                  <from>
                    <xdr:col>20</xdr:col>
                    <xdr:colOff>1104900</xdr:colOff>
                    <xdr:row>76</xdr:row>
                    <xdr:rowOff>314325</xdr:rowOff>
                  </from>
                  <to>
                    <xdr:col>20</xdr:col>
                    <xdr:colOff>1371600</xdr:colOff>
                    <xdr:row>78</xdr:row>
                    <xdr:rowOff>85725</xdr:rowOff>
                  </to>
                </anchor>
              </controlPr>
            </control>
          </mc:Choice>
        </mc:AlternateContent>
        <mc:AlternateContent xmlns:mc="http://schemas.openxmlformats.org/markup-compatibility/2006">
          <mc:Choice Requires="x14">
            <control shapeId="1911" r:id="rId88" name="Check Box 887">
              <controlPr defaultSize="0" autoFill="0" autoLine="0" autoPict="0">
                <anchor moveWithCells="1">
                  <from>
                    <xdr:col>20</xdr:col>
                    <xdr:colOff>723900</xdr:colOff>
                    <xdr:row>76</xdr:row>
                    <xdr:rowOff>314325</xdr:rowOff>
                  </from>
                  <to>
                    <xdr:col>20</xdr:col>
                    <xdr:colOff>990600</xdr:colOff>
                    <xdr:row>78</xdr:row>
                    <xdr:rowOff>85725</xdr:rowOff>
                  </to>
                </anchor>
              </controlPr>
            </control>
          </mc:Choice>
        </mc:AlternateContent>
        <mc:AlternateContent xmlns:mc="http://schemas.openxmlformats.org/markup-compatibility/2006">
          <mc:Choice Requires="x14">
            <control shapeId="1912" r:id="rId89" name="Check Box 888">
              <controlPr defaultSize="0" autoFill="0" autoLine="0" autoPict="0">
                <anchor moveWithCells="1">
                  <from>
                    <xdr:col>20</xdr:col>
                    <xdr:colOff>942975</xdr:colOff>
                    <xdr:row>76</xdr:row>
                    <xdr:rowOff>314325</xdr:rowOff>
                  </from>
                  <to>
                    <xdr:col>20</xdr:col>
                    <xdr:colOff>1219200</xdr:colOff>
                    <xdr:row>78</xdr:row>
                    <xdr:rowOff>85725</xdr:rowOff>
                  </to>
                </anchor>
              </controlPr>
            </control>
          </mc:Choice>
        </mc:AlternateContent>
        <mc:AlternateContent xmlns:mc="http://schemas.openxmlformats.org/markup-compatibility/2006">
          <mc:Choice Requires="x14">
            <control shapeId="1913" r:id="rId90" name="Check Box 889">
              <controlPr defaultSize="0" autoFill="0" autoLine="0" autoPict="0">
                <anchor moveWithCells="1">
                  <from>
                    <xdr:col>20</xdr:col>
                    <xdr:colOff>1314450</xdr:colOff>
                    <xdr:row>76</xdr:row>
                    <xdr:rowOff>314325</xdr:rowOff>
                  </from>
                  <to>
                    <xdr:col>21</xdr:col>
                    <xdr:colOff>38100</xdr:colOff>
                    <xdr:row>78</xdr:row>
                    <xdr:rowOff>85725</xdr:rowOff>
                  </to>
                </anchor>
              </controlPr>
            </control>
          </mc:Choice>
        </mc:AlternateContent>
        <mc:AlternateContent xmlns:mc="http://schemas.openxmlformats.org/markup-compatibility/2006">
          <mc:Choice Requires="x14">
            <control shapeId="1914" r:id="rId91" name="Check Box 890">
              <controlPr defaultSize="0" autoFill="0" autoLine="0" autoPict="0">
                <anchor moveWithCells="1">
                  <from>
                    <xdr:col>21</xdr:col>
                    <xdr:colOff>47625</xdr:colOff>
                    <xdr:row>76</xdr:row>
                    <xdr:rowOff>314325</xdr:rowOff>
                  </from>
                  <to>
                    <xdr:col>21</xdr:col>
                    <xdr:colOff>314325</xdr:colOff>
                    <xdr:row>78</xdr:row>
                    <xdr:rowOff>85725</xdr:rowOff>
                  </to>
                </anchor>
              </controlPr>
            </control>
          </mc:Choice>
        </mc:AlternateContent>
        <mc:AlternateContent xmlns:mc="http://schemas.openxmlformats.org/markup-compatibility/2006">
          <mc:Choice Requires="x14">
            <control shapeId="1915" r:id="rId92" name="Check Box 891">
              <controlPr defaultSize="0" autoFill="0" autoLine="0" autoPict="0">
                <anchor moveWithCells="1">
                  <from>
                    <xdr:col>21</xdr:col>
                    <xdr:colOff>600075</xdr:colOff>
                    <xdr:row>76</xdr:row>
                    <xdr:rowOff>314325</xdr:rowOff>
                  </from>
                  <to>
                    <xdr:col>21</xdr:col>
                    <xdr:colOff>866775</xdr:colOff>
                    <xdr:row>78</xdr:row>
                    <xdr:rowOff>85725</xdr:rowOff>
                  </to>
                </anchor>
              </controlPr>
            </control>
          </mc:Choice>
        </mc:AlternateContent>
        <mc:AlternateContent xmlns:mc="http://schemas.openxmlformats.org/markup-compatibility/2006">
          <mc:Choice Requires="x14">
            <control shapeId="1916" r:id="rId93" name="Check Box 892">
              <controlPr defaultSize="0" autoFill="0" autoLine="0" autoPict="0">
                <anchor moveWithCells="1">
                  <from>
                    <xdr:col>21</xdr:col>
                    <xdr:colOff>238125</xdr:colOff>
                    <xdr:row>76</xdr:row>
                    <xdr:rowOff>314325</xdr:rowOff>
                  </from>
                  <to>
                    <xdr:col>21</xdr:col>
                    <xdr:colOff>504825</xdr:colOff>
                    <xdr:row>78</xdr:row>
                    <xdr:rowOff>85725</xdr:rowOff>
                  </to>
                </anchor>
              </controlPr>
            </control>
          </mc:Choice>
        </mc:AlternateContent>
        <mc:AlternateContent xmlns:mc="http://schemas.openxmlformats.org/markup-compatibility/2006">
          <mc:Choice Requires="x14">
            <control shapeId="1917" r:id="rId94" name="Check Box 893">
              <controlPr defaultSize="0" autoFill="0" autoLine="0" autoPict="0">
                <anchor moveWithCells="1">
                  <from>
                    <xdr:col>21</xdr:col>
                    <xdr:colOff>428625</xdr:colOff>
                    <xdr:row>76</xdr:row>
                    <xdr:rowOff>314325</xdr:rowOff>
                  </from>
                  <to>
                    <xdr:col>21</xdr:col>
                    <xdr:colOff>695325</xdr:colOff>
                    <xdr:row>78</xdr:row>
                    <xdr:rowOff>85725</xdr:rowOff>
                  </to>
                </anchor>
              </controlPr>
            </control>
          </mc:Choice>
        </mc:AlternateContent>
        <mc:AlternateContent xmlns:mc="http://schemas.openxmlformats.org/markup-compatibility/2006">
          <mc:Choice Requires="x14">
            <control shapeId="1918" r:id="rId95" name="Check Box 894">
              <controlPr defaultSize="0" autoFill="0" autoLine="0" autoPict="0">
                <anchor moveWithCells="1">
                  <from>
                    <xdr:col>22</xdr:col>
                    <xdr:colOff>47625</xdr:colOff>
                    <xdr:row>76</xdr:row>
                    <xdr:rowOff>314325</xdr:rowOff>
                  </from>
                  <to>
                    <xdr:col>22</xdr:col>
                    <xdr:colOff>314325</xdr:colOff>
                    <xdr:row>78</xdr:row>
                    <xdr:rowOff>85725</xdr:rowOff>
                  </to>
                </anchor>
              </controlPr>
            </control>
          </mc:Choice>
        </mc:AlternateContent>
        <mc:AlternateContent xmlns:mc="http://schemas.openxmlformats.org/markup-compatibility/2006">
          <mc:Choice Requires="x14">
            <control shapeId="1919" r:id="rId96" name="Check Box 895">
              <controlPr defaultSize="0" autoFill="0" autoLine="0" autoPict="0">
                <anchor moveWithCells="1">
                  <from>
                    <xdr:col>22</xdr:col>
                    <xdr:colOff>619125</xdr:colOff>
                    <xdr:row>76</xdr:row>
                    <xdr:rowOff>314325</xdr:rowOff>
                  </from>
                  <to>
                    <xdr:col>22</xdr:col>
                    <xdr:colOff>885825</xdr:colOff>
                    <xdr:row>78</xdr:row>
                    <xdr:rowOff>85725</xdr:rowOff>
                  </to>
                </anchor>
              </controlPr>
            </control>
          </mc:Choice>
        </mc:AlternateContent>
        <mc:AlternateContent xmlns:mc="http://schemas.openxmlformats.org/markup-compatibility/2006">
          <mc:Choice Requires="x14">
            <control shapeId="1920" r:id="rId97" name="Check Box 896">
              <controlPr defaultSize="0" autoFill="0" autoLine="0" autoPict="0">
                <anchor moveWithCells="1">
                  <from>
                    <xdr:col>22</xdr:col>
                    <xdr:colOff>238125</xdr:colOff>
                    <xdr:row>76</xdr:row>
                    <xdr:rowOff>314325</xdr:rowOff>
                  </from>
                  <to>
                    <xdr:col>22</xdr:col>
                    <xdr:colOff>504825</xdr:colOff>
                    <xdr:row>78</xdr:row>
                    <xdr:rowOff>85725</xdr:rowOff>
                  </to>
                </anchor>
              </controlPr>
            </control>
          </mc:Choice>
        </mc:AlternateContent>
        <mc:AlternateContent xmlns:mc="http://schemas.openxmlformats.org/markup-compatibility/2006">
          <mc:Choice Requires="x14">
            <control shapeId="1921" r:id="rId98" name="Check Box 897">
              <controlPr defaultSize="0" autoFill="0" autoLine="0" autoPict="0">
                <anchor moveWithCells="1">
                  <from>
                    <xdr:col>22</xdr:col>
                    <xdr:colOff>428625</xdr:colOff>
                    <xdr:row>76</xdr:row>
                    <xdr:rowOff>314325</xdr:rowOff>
                  </from>
                  <to>
                    <xdr:col>22</xdr:col>
                    <xdr:colOff>695325</xdr:colOff>
                    <xdr:row>78</xdr:row>
                    <xdr:rowOff>85725</xdr:rowOff>
                  </to>
                </anchor>
              </controlPr>
            </control>
          </mc:Choice>
        </mc:AlternateContent>
        <mc:AlternateContent xmlns:mc="http://schemas.openxmlformats.org/markup-compatibility/2006">
          <mc:Choice Requires="x14">
            <control shapeId="1922" r:id="rId99" name="Check Box 898">
              <controlPr defaultSize="0" autoFill="0" autoLine="0" autoPict="0">
                <anchor moveWithCells="1">
                  <from>
                    <xdr:col>23</xdr:col>
                    <xdr:colOff>47625</xdr:colOff>
                    <xdr:row>76</xdr:row>
                    <xdr:rowOff>314325</xdr:rowOff>
                  </from>
                  <to>
                    <xdr:col>23</xdr:col>
                    <xdr:colOff>314325</xdr:colOff>
                    <xdr:row>78</xdr:row>
                    <xdr:rowOff>85725</xdr:rowOff>
                  </to>
                </anchor>
              </controlPr>
            </control>
          </mc:Choice>
        </mc:AlternateContent>
        <mc:AlternateContent xmlns:mc="http://schemas.openxmlformats.org/markup-compatibility/2006">
          <mc:Choice Requires="x14">
            <control shapeId="1923" r:id="rId100" name="Check Box 899">
              <controlPr defaultSize="0" autoFill="0" autoLine="0" autoPict="0">
                <anchor moveWithCells="1">
                  <from>
                    <xdr:col>23</xdr:col>
                    <xdr:colOff>619125</xdr:colOff>
                    <xdr:row>76</xdr:row>
                    <xdr:rowOff>314325</xdr:rowOff>
                  </from>
                  <to>
                    <xdr:col>23</xdr:col>
                    <xdr:colOff>885825</xdr:colOff>
                    <xdr:row>78</xdr:row>
                    <xdr:rowOff>85725</xdr:rowOff>
                  </to>
                </anchor>
              </controlPr>
            </control>
          </mc:Choice>
        </mc:AlternateContent>
        <mc:AlternateContent xmlns:mc="http://schemas.openxmlformats.org/markup-compatibility/2006">
          <mc:Choice Requires="x14">
            <control shapeId="1924" r:id="rId101" name="Check Box 900">
              <controlPr defaultSize="0" autoFill="0" autoLine="0" autoPict="0">
                <anchor moveWithCells="1">
                  <from>
                    <xdr:col>23</xdr:col>
                    <xdr:colOff>238125</xdr:colOff>
                    <xdr:row>76</xdr:row>
                    <xdr:rowOff>314325</xdr:rowOff>
                  </from>
                  <to>
                    <xdr:col>23</xdr:col>
                    <xdr:colOff>504825</xdr:colOff>
                    <xdr:row>78</xdr:row>
                    <xdr:rowOff>85725</xdr:rowOff>
                  </to>
                </anchor>
              </controlPr>
            </control>
          </mc:Choice>
        </mc:AlternateContent>
        <mc:AlternateContent xmlns:mc="http://schemas.openxmlformats.org/markup-compatibility/2006">
          <mc:Choice Requires="x14">
            <control shapeId="1925" r:id="rId102" name="Check Box 901">
              <controlPr defaultSize="0" autoFill="0" autoLine="0" autoPict="0">
                <anchor moveWithCells="1">
                  <from>
                    <xdr:col>23</xdr:col>
                    <xdr:colOff>428625</xdr:colOff>
                    <xdr:row>76</xdr:row>
                    <xdr:rowOff>314325</xdr:rowOff>
                  </from>
                  <to>
                    <xdr:col>23</xdr:col>
                    <xdr:colOff>695325</xdr:colOff>
                    <xdr:row>78</xdr:row>
                    <xdr:rowOff>85725</xdr:rowOff>
                  </to>
                </anchor>
              </controlPr>
            </control>
          </mc:Choice>
        </mc:AlternateContent>
        <mc:AlternateContent xmlns:mc="http://schemas.openxmlformats.org/markup-compatibility/2006">
          <mc:Choice Requires="x14">
            <control shapeId="1926" r:id="rId103" name="Check Box 902">
              <controlPr defaultSize="0" autoFill="0" autoLine="0" autoPict="0">
                <anchor moveWithCells="1">
                  <from>
                    <xdr:col>23</xdr:col>
                    <xdr:colOff>800100</xdr:colOff>
                    <xdr:row>76</xdr:row>
                    <xdr:rowOff>314325</xdr:rowOff>
                  </from>
                  <to>
                    <xdr:col>23</xdr:col>
                    <xdr:colOff>981075</xdr:colOff>
                    <xdr:row>78</xdr:row>
                    <xdr:rowOff>85725</xdr:rowOff>
                  </to>
                </anchor>
              </controlPr>
            </control>
          </mc:Choice>
        </mc:AlternateContent>
        <mc:AlternateContent xmlns:mc="http://schemas.openxmlformats.org/markup-compatibility/2006">
          <mc:Choice Requires="x14">
            <control shapeId="1927" r:id="rId104" name="Check Box 903">
              <controlPr defaultSize="0" autoFill="0" autoLine="0" autoPict="0">
                <anchor moveWithCells="1">
                  <from>
                    <xdr:col>24</xdr:col>
                    <xdr:colOff>47625</xdr:colOff>
                    <xdr:row>76</xdr:row>
                    <xdr:rowOff>314325</xdr:rowOff>
                  </from>
                  <to>
                    <xdr:col>24</xdr:col>
                    <xdr:colOff>314325</xdr:colOff>
                    <xdr:row>78</xdr:row>
                    <xdr:rowOff>85725</xdr:rowOff>
                  </to>
                </anchor>
              </controlPr>
            </control>
          </mc:Choice>
        </mc:AlternateContent>
        <mc:AlternateContent xmlns:mc="http://schemas.openxmlformats.org/markup-compatibility/2006">
          <mc:Choice Requires="x14">
            <control shapeId="1928" r:id="rId105" name="Check Box 904">
              <controlPr defaultSize="0" autoFill="0" autoLine="0" autoPict="0">
                <anchor moveWithCells="1">
                  <from>
                    <xdr:col>24</xdr:col>
                    <xdr:colOff>619125</xdr:colOff>
                    <xdr:row>76</xdr:row>
                    <xdr:rowOff>314325</xdr:rowOff>
                  </from>
                  <to>
                    <xdr:col>24</xdr:col>
                    <xdr:colOff>885825</xdr:colOff>
                    <xdr:row>78</xdr:row>
                    <xdr:rowOff>85725</xdr:rowOff>
                  </to>
                </anchor>
              </controlPr>
            </control>
          </mc:Choice>
        </mc:AlternateContent>
        <mc:AlternateContent xmlns:mc="http://schemas.openxmlformats.org/markup-compatibility/2006">
          <mc:Choice Requires="x14">
            <control shapeId="1929" r:id="rId106" name="Check Box 905">
              <controlPr defaultSize="0" autoFill="0" autoLine="0" autoPict="0">
                <anchor moveWithCells="1">
                  <from>
                    <xdr:col>24</xdr:col>
                    <xdr:colOff>238125</xdr:colOff>
                    <xdr:row>76</xdr:row>
                    <xdr:rowOff>314325</xdr:rowOff>
                  </from>
                  <to>
                    <xdr:col>24</xdr:col>
                    <xdr:colOff>504825</xdr:colOff>
                    <xdr:row>78</xdr:row>
                    <xdr:rowOff>85725</xdr:rowOff>
                  </to>
                </anchor>
              </controlPr>
            </control>
          </mc:Choice>
        </mc:AlternateContent>
        <mc:AlternateContent xmlns:mc="http://schemas.openxmlformats.org/markup-compatibility/2006">
          <mc:Choice Requires="x14">
            <control shapeId="1930" r:id="rId107" name="Check Box 906">
              <controlPr defaultSize="0" autoFill="0" autoLine="0" autoPict="0">
                <anchor moveWithCells="1">
                  <from>
                    <xdr:col>24</xdr:col>
                    <xdr:colOff>428625</xdr:colOff>
                    <xdr:row>76</xdr:row>
                    <xdr:rowOff>314325</xdr:rowOff>
                  </from>
                  <to>
                    <xdr:col>24</xdr:col>
                    <xdr:colOff>695325</xdr:colOff>
                    <xdr:row>78</xdr:row>
                    <xdr:rowOff>85725</xdr:rowOff>
                  </to>
                </anchor>
              </controlPr>
            </control>
          </mc:Choice>
        </mc:AlternateContent>
        <mc:AlternateContent xmlns:mc="http://schemas.openxmlformats.org/markup-compatibility/2006">
          <mc:Choice Requires="x14">
            <control shapeId="1931" r:id="rId108" name="Check Box 907">
              <controlPr defaultSize="0" autoFill="0" autoLine="0" autoPict="0">
                <anchor moveWithCells="1">
                  <from>
                    <xdr:col>24</xdr:col>
                    <xdr:colOff>800100</xdr:colOff>
                    <xdr:row>76</xdr:row>
                    <xdr:rowOff>314325</xdr:rowOff>
                  </from>
                  <to>
                    <xdr:col>24</xdr:col>
                    <xdr:colOff>981075</xdr:colOff>
                    <xdr:row>78</xdr:row>
                    <xdr:rowOff>85725</xdr:rowOff>
                  </to>
                </anchor>
              </controlPr>
            </control>
          </mc:Choice>
        </mc:AlternateContent>
        <mc:AlternateContent xmlns:mc="http://schemas.openxmlformats.org/markup-compatibility/2006">
          <mc:Choice Requires="x14">
            <control shapeId="1932" r:id="rId109" name="Check Box 908">
              <controlPr defaultSize="0" autoFill="0" autoLine="0" autoPict="0">
                <anchor moveWithCells="1">
                  <from>
                    <xdr:col>25</xdr:col>
                    <xdr:colOff>47625</xdr:colOff>
                    <xdr:row>76</xdr:row>
                    <xdr:rowOff>314325</xdr:rowOff>
                  </from>
                  <to>
                    <xdr:col>25</xdr:col>
                    <xdr:colOff>314325</xdr:colOff>
                    <xdr:row>78</xdr:row>
                    <xdr:rowOff>85725</xdr:rowOff>
                  </to>
                </anchor>
              </controlPr>
            </control>
          </mc:Choice>
        </mc:AlternateContent>
        <mc:AlternateContent xmlns:mc="http://schemas.openxmlformats.org/markup-compatibility/2006">
          <mc:Choice Requires="x14">
            <control shapeId="1933" r:id="rId110" name="Check Box 909">
              <controlPr defaultSize="0" autoFill="0" autoLine="0" autoPict="0">
                <anchor moveWithCells="1">
                  <from>
                    <xdr:col>25</xdr:col>
                    <xdr:colOff>619125</xdr:colOff>
                    <xdr:row>76</xdr:row>
                    <xdr:rowOff>314325</xdr:rowOff>
                  </from>
                  <to>
                    <xdr:col>25</xdr:col>
                    <xdr:colOff>885825</xdr:colOff>
                    <xdr:row>78</xdr:row>
                    <xdr:rowOff>85725</xdr:rowOff>
                  </to>
                </anchor>
              </controlPr>
            </control>
          </mc:Choice>
        </mc:AlternateContent>
        <mc:AlternateContent xmlns:mc="http://schemas.openxmlformats.org/markup-compatibility/2006">
          <mc:Choice Requires="x14">
            <control shapeId="1934" r:id="rId111" name="Check Box 910">
              <controlPr defaultSize="0" autoFill="0" autoLine="0" autoPict="0">
                <anchor moveWithCells="1">
                  <from>
                    <xdr:col>25</xdr:col>
                    <xdr:colOff>238125</xdr:colOff>
                    <xdr:row>76</xdr:row>
                    <xdr:rowOff>314325</xdr:rowOff>
                  </from>
                  <to>
                    <xdr:col>25</xdr:col>
                    <xdr:colOff>504825</xdr:colOff>
                    <xdr:row>78</xdr:row>
                    <xdr:rowOff>85725</xdr:rowOff>
                  </to>
                </anchor>
              </controlPr>
            </control>
          </mc:Choice>
        </mc:AlternateContent>
        <mc:AlternateContent xmlns:mc="http://schemas.openxmlformats.org/markup-compatibility/2006">
          <mc:Choice Requires="x14">
            <control shapeId="1935" r:id="rId112" name="Check Box 911">
              <controlPr defaultSize="0" autoFill="0" autoLine="0" autoPict="0">
                <anchor moveWithCells="1">
                  <from>
                    <xdr:col>25</xdr:col>
                    <xdr:colOff>428625</xdr:colOff>
                    <xdr:row>76</xdr:row>
                    <xdr:rowOff>314325</xdr:rowOff>
                  </from>
                  <to>
                    <xdr:col>25</xdr:col>
                    <xdr:colOff>695325</xdr:colOff>
                    <xdr:row>78</xdr:row>
                    <xdr:rowOff>85725</xdr:rowOff>
                  </to>
                </anchor>
              </controlPr>
            </control>
          </mc:Choice>
        </mc:AlternateContent>
        <mc:AlternateContent xmlns:mc="http://schemas.openxmlformats.org/markup-compatibility/2006">
          <mc:Choice Requires="x14">
            <control shapeId="1936" r:id="rId113" name="Check Box 912">
              <controlPr defaultSize="0" autoFill="0" autoLine="0" autoPict="0">
                <anchor moveWithCells="1">
                  <from>
                    <xdr:col>25</xdr:col>
                    <xdr:colOff>800100</xdr:colOff>
                    <xdr:row>76</xdr:row>
                    <xdr:rowOff>314325</xdr:rowOff>
                  </from>
                  <to>
                    <xdr:col>25</xdr:col>
                    <xdr:colOff>981075</xdr:colOff>
                    <xdr:row>78</xdr:row>
                    <xdr:rowOff>85725</xdr:rowOff>
                  </to>
                </anchor>
              </controlPr>
            </control>
          </mc:Choice>
        </mc:AlternateContent>
        <mc:AlternateContent xmlns:mc="http://schemas.openxmlformats.org/markup-compatibility/2006">
          <mc:Choice Requires="x14">
            <control shapeId="1937" r:id="rId114" name="Check Box 913">
              <controlPr defaultSize="0" autoFill="0" autoLine="0" autoPict="0">
                <anchor moveWithCells="1">
                  <from>
                    <xdr:col>22</xdr:col>
                    <xdr:colOff>800100</xdr:colOff>
                    <xdr:row>76</xdr:row>
                    <xdr:rowOff>314325</xdr:rowOff>
                  </from>
                  <to>
                    <xdr:col>22</xdr:col>
                    <xdr:colOff>981075</xdr:colOff>
                    <xdr:row>78</xdr:row>
                    <xdr:rowOff>85725</xdr:rowOff>
                  </to>
                </anchor>
              </controlPr>
            </control>
          </mc:Choice>
        </mc:AlternateContent>
        <mc:AlternateContent xmlns:mc="http://schemas.openxmlformats.org/markup-compatibility/2006">
          <mc:Choice Requires="x14">
            <control shapeId="1938" r:id="rId115" name="Check Box 914">
              <controlPr defaultSize="0" autoFill="0" autoLine="0" autoPict="0">
                <anchor moveWithCells="1">
                  <from>
                    <xdr:col>21</xdr:col>
                    <xdr:colOff>771525</xdr:colOff>
                    <xdr:row>76</xdr:row>
                    <xdr:rowOff>314325</xdr:rowOff>
                  </from>
                  <to>
                    <xdr:col>22</xdr:col>
                    <xdr:colOff>9525</xdr:colOff>
                    <xdr:row>78</xdr:row>
                    <xdr:rowOff>85725</xdr:rowOff>
                  </to>
                </anchor>
              </controlPr>
            </control>
          </mc:Choice>
        </mc:AlternateContent>
        <mc:AlternateContent xmlns:mc="http://schemas.openxmlformats.org/markup-compatibility/2006">
          <mc:Choice Requires="x14">
            <control shapeId="1939" r:id="rId116" name="Check Box 915">
              <controlPr defaultSize="0" autoFill="0" autoLine="0" autoPict="0">
                <anchor moveWithCells="1">
                  <from>
                    <xdr:col>20</xdr:col>
                    <xdr:colOff>495300</xdr:colOff>
                    <xdr:row>90</xdr:row>
                    <xdr:rowOff>314325</xdr:rowOff>
                  </from>
                  <to>
                    <xdr:col>20</xdr:col>
                    <xdr:colOff>762000</xdr:colOff>
                    <xdr:row>92</xdr:row>
                    <xdr:rowOff>85725</xdr:rowOff>
                  </to>
                </anchor>
              </controlPr>
            </control>
          </mc:Choice>
        </mc:AlternateContent>
        <mc:AlternateContent xmlns:mc="http://schemas.openxmlformats.org/markup-compatibility/2006">
          <mc:Choice Requires="x14">
            <control shapeId="1940" r:id="rId117" name="Check Box 916">
              <controlPr defaultSize="0" autoFill="0" autoLine="0" autoPict="0">
                <anchor moveWithCells="1">
                  <from>
                    <xdr:col>20</xdr:col>
                    <xdr:colOff>1066800</xdr:colOff>
                    <xdr:row>90</xdr:row>
                    <xdr:rowOff>314325</xdr:rowOff>
                  </from>
                  <to>
                    <xdr:col>20</xdr:col>
                    <xdr:colOff>1333500</xdr:colOff>
                    <xdr:row>92</xdr:row>
                    <xdr:rowOff>85725</xdr:rowOff>
                  </to>
                </anchor>
              </controlPr>
            </control>
          </mc:Choice>
        </mc:AlternateContent>
        <mc:AlternateContent xmlns:mc="http://schemas.openxmlformats.org/markup-compatibility/2006">
          <mc:Choice Requires="x14">
            <control shapeId="1941" r:id="rId118" name="Check Box 917">
              <controlPr defaultSize="0" autoFill="0" autoLine="0" autoPict="0">
                <anchor moveWithCells="1">
                  <from>
                    <xdr:col>20</xdr:col>
                    <xdr:colOff>685800</xdr:colOff>
                    <xdr:row>90</xdr:row>
                    <xdr:rowOff>314325</xdr:rowOff>
                  </from>
                  <to>
                    <xdr:col>20</xdr:col>
                    <xdr:colOff>952500</xdr:colOff>
                    <xdr:row>92</xdr:row>
                    <xdr:rowOff>85725</xdr:rowOff>
                  </to>
                </anchor>
              </controlPr>
            </control>
          </mc:Choice>
        </mc:AlternateContent>
        <mc:AlternateContent xmlns:mc="http://schemas.openxmlformats.org/markup-compatibility/2006">
          <mc:Choice Requires="x14">
            <control shapeId="1942" r:id="rId119" name="Check Box 918">
              <controlPr defaultSize="0" autoFill="0" autoLine="0" autoPict="0">
                <anchor moveWithCells="1">
                  <from>
                    <xdr:col>20</xdr:col>
                    <xdr:colOff>876300</xdr:colOff>
                    <xdr:row>90</xdr:row>
                    <xdr:rowOff>314325</xdr:rowOff>
                  </from>
                  <to>
                    <xdr:col>20</xdr:col>
                    <xdr:colOff>1143000</xdr:colOff>
                    <xdr:row>92</xdr:row>
                    <xdr:rowOff>85725</xdr:rowOff>
                  </to>
                </anchor>
              </controlPr>
            </control>
          </mc:Choice>
        </mc:AlternateContent>
        <mc:AlternateContent xmlns:mc="http://schemas.openxmlformats.org/markup-compatibility/2006">
          <mc:Choice Requires="x14">
            <control shapeId="1943" r:id="rId120" name="Check Box 919">
              <controlPr defaultSize="0" autoFill="0" autoLine="0" autoPict="0">
                <anchor moveWithCells="1">
                  <from>
                    <xdr:col>20</xdr:col>
                    <xdr:colOff>1247775</xdr:colOff>
                    <xdr:row>90</xdr:row>
                    <xdr:rowOff>314325</xdr:rowOff>
                  </from>
                  <to>
                    <xdr:col>20</xdr:col>
                    <xdr:colOff>1428750</xdr:colOff>
                    <xdr:row>92</xdr:row>
                    <xdr:rowOff>85725</xdr:rowOff>
                  </to>
                </anchor>
              </controlPr>
            </control>
          </mc:Choice>
        </mc:AlternateContent>
        <mc:AlternateContent xmlns:mc="http://schemas.openxmlformats.org/markup-compatibility/2006">
          <mc:Choice Requires="x14">
            <control shapeId="1944" r:id="rId121" name="Check Box 920">
              <controlPr defaultSize="0" autoFill="0" autoLine="0" autoPict="0">
                <anchor moveWithCells="1">
                  <from>
                    <xdr:col>21</xdr:col>
                    <xdr:colOff>47625</xdr:colOff>
                    <xdr:row>90</xdr:row>
                    <xdr:rowOff>314325</xdr:rowOff>
                  </from>
                  <to>
                    <xdr:col>21</xdr:col>
                    <xdr:colOff>314325</xdr:colOff>
                    <xdr:row>92</xdr:row>
                    <xdr:rowOff>85725</xdr:rowOff>
                  </to>
                </anchor>
              </controlPr>
            </control>
          </mc:Choice>
        </mc:AlternateContent>
        <mc:AlternateContent xmlns:mc="http://schemas.openxmlformats.org/markup-compatibility/2006">
          <mc:Choice Requires="x14">
            <control shapeId="1945" r:id="rId122" name="Check Box 921">
              <controlPr defaultSize="0" autoFill="0" autoLine="0" autoPict="0">
                <anchor moveWithCells="1">
                  <from>
                    <xdr:col>21</xdr:col>
                    <xdr:colOff>600075</xdr:colOff>
                    <xdr:row>90</xdr:row>
                    <xdr:rowOff>314325</xdr:rowOff>
                  </from>
                  <to>
                    <xdr:col>21</xdr:col>
                    <xdr:colOff>866775</xdr:colOff>
                    <xdr:row>92</xdr:row>
                    <xdr:rowOff>85725</xdr:rowOff>
                  </to>
                </anchor>
              </controlPr>
            </control>
          </mc:Choice>
        </mc:AlternateContent>
        <mc:AlternateContent xmlns:mc="http://schemas.openxmlformats.org/markup-compatibility/2006">
          <mc:Choice Requires="x14">
            <control shapeId="1946" r:id="rId123" name="Check Box 922">
              <controlPr defaultSize="0" autoFill="0" autoLine="0" autoPict="0">
                <anchor moveWithCells="1">
                  <from>
                    <xdr:col>21</xdr:col>
                    <xdr:colOff>238125</xdr:colOff>
                    <xdr:row>90</xdr:row>
                    <xdr:rowOff>314325</xdr:rowOff>
                  </from>
                  <to>
                    <xdr:col>21</xdr:col>
                    <xdr:colOff>504825</xdr:colOff>
                    <xdr:row>92</xdr:row>
                    <xdr:rowOff>85725</xdr:rowOff>
                  </to>
                </anchor>
              </controlPr>
            </control>
          </mc:Choice>
        </mc:AlternateContent>
        <mc:AlternateContent xmlns:mc="http://schemas.openxmlformats.org/markup-compatibility/2006">
          <mc:Choice Requires="x14">
            <control shapeId="1947" r:id="rId124" name="Check Box 923">
              <controlPr defaultSize="0" autoFill="0" autoLine="0" autoPict="0">
                <anchor moveWithCells="1">
                  <from>
                    <xdr:col>21</xdr:col>
                    <xdr:colOff>428625</xdr:colOff>
                    <xdr:row>90</xdr:row>
                    <xdr:rowOff>314325</xdr:rowOff>
                  </from>
                  <to>
                    <xdr:col>21</xdr:col>
                    <xdr:colOff>695325</xdr:colOff>
                    <xdr:row>92</xdr:row>
                    <xdr:rowOff>85725</xdr:rowOff>
                  </to>
                </anchor>
              </controlPr>
            </control>
          </mc:Choice>
        </mc:AlternateContent>
        <mc:AlternateContent xmlns:mc="http://schemas.openxmlformats.org/markup-compatibility/2006">
          <mc:Choice Requires="x14">
            <control shapeId="1948" r:id="rId125" name="Check Box 924">
              <controlPr defaultSize="0" autoFill="0" autoLine="0" autoPict="0">
                <anchor moveWithCells="1">
                  <from>
                    <xdr:col>22</xdr:col>
                    <xdr:colOff>47625</xdr:colOff>
                    <xdr:row>90</xdr:row>
                    <xdr:rowOff>314325</xdr:rowOff>
                  </from>
                  <to>
                    <xdr:col>22</xdr:col>
                    <xdr:colOff>314325</xdr:colOff>
                    <xdr:row>92</xdr:row>
                    <xdr:rowOff>85725</xdr:rowOff>
                  </to>
                </anchor>
              </controlPr>
            </control>
          </mc:Choice>
        </mc:AlternateContent>
        <mc:AlternateContent xmlns:mc="http://schemas.openxmlformats.org/markup-compatibility/2006">
          <mc:Choice Requires="x14">
            <control shapeId="1949" r:id="rId126" name="Check Box 925">
              <controlPr defaultSize="0" autoFill="0" autoLine="0" autoPict="0">
                <anchor moveWithCells="1">
                  <from>
                    <xdr:col>22</xdr:col>
                    <xdr:colOff>619125</xdr:colOff>
                    <xdr:row>90</xdr:row>
                    <xdr:rowOff>314325</xdr:rowOff>
                  </from>
                  <to>
                    <xdr:col>22</xdr:col>
                    <xdr:colOff>885825</xdr:colOff>
                    <xdr:row>92</xdr:row>
                    <xdr:rowOff>85725</xdr:rowOff>
                  </to>
                </anchor>
              </controlPr>
            </control>
          </mc:Choice>
        </mc:AlternateContent>
        <mc:AlternateContent xmlns:mc="http://schemas.openxmlformats.org/markup-compatibility/2006">
          <mc:Choice Requires="x14">
            <control shapeId="1950" r:id="rId127" name="Check Box 926">
              <controlPr defaultSize="0" autoFill="0" autoLine="0" autoPict="0">
                <anchor moveWithCells="1">
                  <from>
                    <xdr:col>22</xdr:col>
                    <xdr:colOff>238125</xdr:colOff>
                    <xdr:row>90</xdr:row>
                    <xdr:rowOff>314325</xdr:rowOff>
                  </from>
                  <to>
                    <xdr:col>22</xdr:col>
                    <xdr:colOff>504825</xdr:colOff>
                    <xdr:row>92</xdr:row>
                    <xdr:rowOff>85725</xdr:rowOff>
                  </to>
                </anchor>
              </controlPr>
            </control>
          </mc:Choice>
        </mc:AlternateContent>
        <mc:AlternateContent xmlns:mc="http://schemas.openxmlformats.org/markup-compatibility/2006">
          <mc:Choice Requires="x14">
            <control shapeId="1951" r:id="rId128" name="Check Box 927">
              <controlPr defaultSize="0" autoFill="0" autoLine="0" autoPict="0">
                <anchor moveWithCells="1">
                  <from>
                    <xdr:col>22</xdr:col>
                    <xdr:colOff>428625</xdr:colOff>
                    <xdr:row>90</xdr:row>
                    <xdr:rowOff>314325</xdr:rowOff>
                  </from>
                  <to>
                    <xdr:col>22</xdr:col>
                    <xdr:colOff>695325</xdr:colOff>
                    <xdr:row>92</xdr:row>
                    <xdr:rowOff>85725</xdr:rowOff>
                  </to>
                </anchor>
              </controlPr>
            </control>
          </mc:Choice>
        </mc:AlternateContent>
        <mc:AlternateContent xmlns:mc="http://schemas.openxmlformats.org/markup-compatibility/2006">
          <mc:Choice Requires="x14">
            <control shapeId="1952" r:id="rId129" name="Check Box 928">
              <controlPr defaultSize="0" autoFill="0" autoLine="0" autoPict="0">
                <anchor moveWithCells="1">
                  <from>
                    <xdr:col>23</xdr:col>
                    <xdr:colOff>47625</xdr:colOff>
                    <xdr:row>90</xdr:row>
                    <xdr:rowOff>314325</xdr:rowOff>
                  </from>
                  <to>
                    <xdr:col>23</xdr:col>
                    <xdr:colOff>314325</xdr:colOff>
                    <xdr:row>92</xdr:row>
                    <xdr:rowOff>85725</xdr:rowOff>
                  </to>
                </anchor>
              </controlPr>
            </control>
          </mc:Choice>
        </mc:AlternateContent>
        <mc:AlternateContent xmlns:mc="http://schemas.openxmlformats.org/markup-compatibility/2006">
          <mc:Choice Requires="x14">
            <control shapeId="1953" r:id="rId130" name="Check Box 929">
              <controlPr defaultSize="0" autoFill="0" autoLine="0" autoPict="0">
                <anchor moveWithCells="1">
                  <from>
                    <xdr:col>23</xdr:col>
                    <xdr:colOff>619125</xdr:colOff>
                    <xdr:row>90</xdr:row>
                    <xdr:rowOff>314325</xdr:rowOff>
                  </from>
                  <to>
                    <xdr:col>23</xdr:col>
                    <xdr:colOff>885825</xdr:colOff>
                    <xdr:row>92</xdr:row>
                    <xdr:rowOff>85725</xdr:rowOff>
                  </to>
                </anchor>
              </controlPr>
            </control>
          </mc:Choice>
        </mc:AlternateContent>
        <mc:AlternateContent xmlns:mc="http://schemas.openxmlformats.org/markup-compatibility/2006">
          <mc:Choice Requires="x14">
            <control shapeId="1954" r:id="rId131" name="Check Box 930">
              <controlPr defaultSize="0" autoFill="0" autoLine="0" autoPict="0">
                <anchor moveWithCells="1">
                  <from>
                    <xdr:col>23</xdr:col>
                    <xdr:colOff>238125</xdr:colOff>
                    <xdr:row>90</xdr:row>
                    <xdr:rowOff>314325</xdr:rowOff>
                  </from>
                  <to>
                    <xdr:col>23</xdr:col>
                    <xdr:colOff>504825</xdr:colOff>
                    <xdr:row>92</xdr:row>
                    <xdr:rowOff>85725</xdr:rowOff>
                  </to>
                </anchor>
              </controlPr>
            </control>
          </mc:Choice>
        </mc:AlternateContent>
        <mc:AlternateContent xmlns:mc="http://schemas.openxmlformats.org/markup-compatibility/2006">
          <mc:Choice Requires="x14">
            <control shapeId="1955" r:id="rId132" name="Check Box 931">
              <controlPr defaultSize="0" autoFill="0" autoLine="0" autoPict="0">
                <anchor moveWithCells="1">
                  <from>
                    <xdr:col>23</xdr:col>
                    <xdr:colOff>428625</xdr:colOff>
                    <xdr:row>90</xdr:row>
                    <xdr:rowOff>314325</xdr:rowOff>
                  </from>
                  <to>
                    <xdr:col>23</xdr:col>
                    <xdr:colOff>695325</xdr:colOff>
                    <xdr:row>92</xdr:row>
                    <xdr:rowOff>85725</xdr:rowOff>
                  </to>
                </anchor>
              </controlPr>
            </control>
          </mc:Choice>
        </mc:AlternateContent>
        <mc:AlternateContent xmlns:mc="http://schemas.openxmlformats.org/markup-compatibility/2006">
          <mc:Choice Requires="x14">
            <control shapeId="1956" r:id="rId133" name="Check Box 932">
              <controlPr defaultSize="0" autoFill="0" autoLine="0" autoPict="0">
                <anchor moveWithCells="1">
                  <from>
                    <xdr:col>23</xdr:col>
                    <xdr:colOff>800100</xdr:colOff>
                    <xdr:row>90</xdr:row>
                    <xdr:rowOff>314325</xdr:rowOff>
                  </from>
                  <to>
                    <xdr:col>23</xdr:col>
                    <xdr:colOff>981075</xdr:colOff>
                    <xdr:row>92</xdr:row>
                    <xdr:rowOff>85725</xdr:rowOff>
                  </to>
                </anchor>
              </controlPr>
            </control>
          </mc:Choice>
        </mc:AlternateContent>
        <mc:AlternateContent xmlns:mc="http://schemas.openxmlformats.org/markup-compatibility/2006">
          <mc:Choice Requires="x14">
            <control shapeId="1957" r:id="rId134" name="Check Box 933">
              <controlPr defaultSize="0" autoFill="0" autoLine="0" autoPict="0">
                <anchor moveWithCells="1">
                  <from>
                    <xdr:col>24</xdr:col>
                    <xdr:colOff>47625</xdr:colOff>
                    <xdr:row>90</xdr:row>
                    <xdr:rowOff>314325</xdr:rowOff>
                  </from>
                  <to>
                    <xdr:col>24</xdr:col>
                    <xdr:colOff>314325</xdr:colOff>
                    <xdr:row>92</xdr:row>
                    <xdr:rowOff>85725</xdr:rowOff>
                  </to>
                </anchor>
              </controlPr>
            </control>
          </mc:Choice>
        </mc:AlternateContent>
        <mc:AlternateContent xmlns:mc="http://schemas.openxmlformats.org/markup-compatibility/2006">
          <mc:Choice Requires="x14">
            <control shapeId="1958" r:id="rId135" name="Check Box 934">
              <controlPr defaultSize="0" autoFill="0" autoLine="0" autoPict="0">
                <anchor moveWithCells="1">
                  <from>
                    <xdr:col>24</xdr:col>
                    <xdr:colOff>619125</xdr:colOff>
                    <xdr:row>90</xdr:row>
                    <xdr:rowOff>314325</xdr:rowOff>
                  </from>
                  <to>
                    <xdr:col>24</xdr:col>
                    <xdr:colOff>885825</xdr:colOff>
                    <xdr:row>92</xdr:row>
                    <xdr:rowOff>85725</xdr:rowOff>
                  </to>
                </anchor>
              </controlPr>
            </control>
          </mc:Choice>
        </mc:AlternateContent>
        <mc:AlternateContent xmlns:mc="http://schemas.openxmlformats.org/markup-compatibility/2006">
          <mc:Choice Requires="x14">
            <control shapeId="1959" r:id="rId136" name="Check Box 935">
              <controlPr defaultSize="0" autoFill="0" autoLine="0" autoPict="0">
                <anchor moveWithCells="1">
                  <from>
                    <xdr:col>24</xdr:col>
                    <xdr:colOff>238125</xdr:colOff>
                    <xdr:row>90</xdr:row>
                    <xdr:rowOff>314325</xdr:rowOff>
                  </from>
                  <to>
                    <xdr:col>24</xdr:col>
                    <xdr:colOff>504825</xdr:colOff>
                    <xdr:row>92</xdr:row>
                    <xdr:rowOff>85725</xdr:rowOff>
                  </to>
                </anchor>
              </controlPr>
            </control>
          </mc:Choice>
        </mc:AlternateContent>
        <mc:AlternateContent xmlns:mc="http://schemas.openxmlformats.org/markup-compatibility/2006">
          <mc:Choice Requires="x14">
            <control shapeId="1960" r:id="rId137" name="Check Box 936">
              <controlPr defaultSize="0" autoFill="0" autoLine="0" autoPict="0">
                <anchor moveWithCells="1">
                  <from>
                    <xdr:col>24</xdr:col>
                    <xdr:colOff>428625</xdr:colOff>
                    <xdr:row>90</xdr:row>
                    <xdr:rowOff>314325</xdr:rowOff>
                  </from>
                  <to>
                    <xdr:col>24</xdr:col>
                    <xdr:colOff>695325</xdr:colOff>
                    <xdr:row>92</xdr:row>
                    <xdr:rowOff>85725</xdr:rowOff>
                  </to>
                </anchor>
              </controlPr>
            </control>
          </mc:Choice>
        </mc:AlternateContent>
        <mc:AlternateContent xmlns:mc="http://schemas.openxmlformats.org/markup-compatibility/2006">
          <mc:Choice Requires="x14">
            <control shapeId="1961" r:id="rId138" name="Check Box 937">
              <controlPr defaultSize="0" autoFill="0" autoLine="0" autoPict="0">
                <anchor moveWithCells="1">
                  <from>
                    <xdr:col>24</xdr:col>
                    <xdr:colOff>800100</xdr:colOff>
                    <xdr:row>90</xdr:row>
                    <xdr:rowOff>314325</xdr:rowOff>
                  </from>
                  <to>
                    <xdr:col>24</xdr:col>
                    <xdr:colOff>981075</xdr:colOff>
                    <xdr:row>92</xdr:row>
                    <xdr:rowOff>85725</xdr:rowOff>
                  </to>
                </anchor>
              </controlPr>
            </control>
          </mc:Choice>
        </mc:AlternateContent>
        <mc:AlternateContent xmlns:mc="http://schemas.openxmlformats.org/markup-compatibility/2006">
          <mc:Choice Requires="x14">
            <control shapeId="1962" r:id="rId139" name="Check Box 938">
              <controlPr defaultSize="0" autoFill="0" autoLine="0" autoPict="0">
                <anchor moveWithCells="1">
                  <from>
                    <xdr:col>25</xdr:col>
                    <xdr:colOff>47625</xdr:colOff>
                    <xdr:row>90</xdr:row>
                    <xdr:rowOff>314325</xdr:rowOff>
                  </from>
                  <to>
                    <xdr:col>25</xdr:col>
                    <xdr:colOff>314325</xdr:colOff>
                    <xdr:row>92</xdr:row>
                    <xdr:rowOff>85725</xdr:rowOff>
                  </to>
                </anchor>
              </controlPr>
            </control>
          </mc:Choice>
        </mc:AlternateContent>
        <mc:AlternateContent xmlns:mc="http://schemas.openxmlformats.org/markup-compatibility/2006">
          <mc:Choice Requires="x14">
            <control shapeId="1963" r:id="rId140" name="Check Box 939">
              <controlPr defaultSize="0" autoFill="0" autoLine="0" autoPict="0">
                <anchor moveWithCells="1">
                  <from>
                    <xdr:col>25</xdr:col>
                    <xdr:colOff>619125</xdr:colOff>
                    <xdr:row>90</xdr:row>
                    <xdr:rowOff>314325</xdr:rowOff>
                  </from>
                  <to>
                    <xdr:col>25</xdr:col>
                    <xdr:colOff>885825</xdr:colOff>
                    <xdr:row>92</xdr:row>
                    <xdr:rowOff>85725</xdr:rowOff>
                  </to>
                </anchor>
              </controlPr>
            </control>
          </mc:Choice>
        </mc:AlternateContent>
        <mc:AlternateContent xmlns:mc="http://schemas.openxmlformats.org/markup-compatibility/2006">
          <mc:Choice Requires="x14">
            <control shapeId="1964" r:id="rId141" name="Check Box 940">
              <controlPr defaultSize="0" autoFill="0" autoLine="0" autoPict="0">
                <anchor moveWithCells="1">
                  <from>
                    <xdr:col>25</xdr:col>
                    <xdr:colOff>238125</xdr:colOff>
                    <xdr:row>90</xdr:row>
                    <xdr:rowOff>314325</xdr:rowOff>
                  </from>
                  <to>
                    <xdr:col>25</xdr:col>
                    <xdr:colOff>504825</xdr:colOff>
                    <xdr:row>92</xdr:row>
                    <xdr:rowOff>85725</xdr:rowOff>
                  </to>
                </anchor>
              </controlPr>
            </control>
          </mc:Choice>
        </mc:AlternateContent>
        <mc:AlternateContent xmlns:mc="http://schemas.openxmlformats.org/markup-compatibility/2006">
          <mc:Choice Requires="x14">
            <control shapeId="1965" r:id="rId142" name="Check Box 941">
              <controlPr defaultSize="0" autoFill="0" autoLine="0" autoPict="0">
                <anchor moveWithCells="1">
                  <from>
                    <xdr:col>25</xdr:col>
                    <xdr:colOff>428625</xdr:colOff>
                    <xdr:row>90</xdr:row>
                    <xdr:rowOff>314325</xdr:rowOff>
                  </from>
                  <to>
                    <xdr:col>25</xdr:col>
                    <xdr:colOff>695325</xdr:colOff>
                    <xdr:row>92</xdr:row>
                    <xdr:rowOff>85725</xdr:rowOff>
                  </to>
                </anchor>
              </controlPr>
            </control>
          </mc:Choice>
        </mc:AlternateContent>
        <mc:AlternateContent xmlns:mc="http://schemas.openxmlformats.org/markup-compatibility/2006">
          <mc:Choice Requires="x14">
            <control shapeId="1966" r:id="rId143" name="Check Box 942">
              <controlPr defaultSize="0" autoFill="0" autoLine="0" autoPict="0">
                <anchor moveWithCells="1">
                  <from>
                    <xdr:col>25</xdr:col>
                    <xdr:colOff>800100</xdr:colOff>
                    <xdr:row>90</xdr:row>
                    <xdr:rowOff>314325</xdr:rowOff>
                  </from>
                  <to>
                    <xdr:col>25</xdr:col>
                    <xdr:colOff>981075</xdr:colOff>
                    <xdr:row>92</xdr:row>
                    <xdr:rowOff>85725</xdr:rowOff>
                  </to>
                </anchor>
              </controlPr>
            </control>
          </mc:Choice>
        </mc:AlternateContent>
        <mc:AlternateContent xmlns:mc="http://schemas.openxmlformats.org/markup-compatibility/2006">
          <mc:Choice Requires="x14">
            <control shapeId="1967" r:id="rId144" name="Check Box 943">
              <controlPr defaultSize="0" autoFill="0" autoLine="0" autoPict="0">
                <anchor moveWithCells="1">
                  <from>
                    <xdr:col>22</xdr:col>
                    <xdr:colOff>800100</xdr:colOff>
                    <xdr:row>90</xdr:row>
                    <xdr:rowOff>314325</xdr:rowOff>
                  </from>
                  <to>
                    <xdr:col>22</xdr:col>
                    <xdr:colOff>981075</xdr:colOff>
                    <xdr:row>92</xdr:row>
                    <xdr:rowOff>85725</xdr:rowOff>
                  </to>
                </anchor>
              </controlPr>
            </control>
          </mc:Choice>
        </mc:AlternateContent>
        <mc:AlternateContent xmlns:mc="http://schemas.openxmlformats.org/markup-compatibility/2006">
          <mc:Choice Requires="x14">
            <control shapeId="1968" r:id="rId145" name="Check Box 944">
              <controlPr defaultSize="0" autoFill="0" autoLine="0" autoPict="0">
                <anchor moveWithCells="1">
                  <from>
                    <xdr:col>21</xdr:col>
                    <xdr:colOff>771525</xdr:colOff>
                    <xdr:row>90</xdr:row>
                    <xdr:rowOff>314325</xdr:rowOff>
                  </from>
                  <to>
                    <xdr:col>22</xdr:col>
                    <xdr:colOff>9525</xdr:colOff>
                    <xdr:row>92</xdr:row>
                    <xdr:rowOff>85725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39"/>
  <sheetViews>
    <sheetView showGridLines="0" showRowColHeaders="0" workbookViewId="0">
      <selection activeCell="G3" sqref="G3:H4"/>
    </sheetView>
  </sheetViews>
  <sheetFormatPr defaultRowHeight="15"/>
  <cols>
    <col min="7" max="7" width="9.85546875" customWidth="1"/>
    <col min="12" max="12" width="47.42578125" customWidth="1"/>
    <col min="14" max="15" width="6.42578125" customWidth="1"/>
  </cols>
  <sheetData>
    <row r="1" spans="1:22" ht="16.5" thickTop="1" thickBot="1">
      <c r="A1" s="917" t="s">
        <v>187</v>
      </c>
      <c r="B1" s="917"/>
      <c r="C1" s="917"/>
      <c r="D1" s="917"/>
      <c r="E1" s="917"/>
      <c r="F1" s="917"/>
      <c r="G1" s="899" t="s">
        <v>26</v>
      </c>
      <c r="H1" s="901">
        <v>8</v>
      </c>
    </row>
    <row r="2" spans="1:22" ht="16.5" thickTop="1" thickBot="1">
      <c r="A2" s="917"/>
      <c r="B2" s="917"/>
      <c r="C2" s="917"/>
      <c r="D2" s="917"/>
      <c r="E2" s="917"/>
      <c r="F2" s="917"/>
      <c r="G2" s="899"/>
      <c r="H2" s="901"/>
    </row>
    <row r="3" spans="1:22" ht="16.5" thickTop="1" thickBot="1">
      <c r="A3" s="917"/>
      <c r="B3" s="917"/>
      <c r="C3" s="917"/>
      <c r="D3" s="917"/>
      <c r="E3" s="917"/>
      <c r="F3" s="917"/>
      <c r="G3" s="907" t="s">
        <v>107</v>
      </c>
      <c r="H3" s="907"/>
      <c r="I3" s="910" t="s">
        <v>580</v>
      </c>
      <c r="J3" s="910" t="s">
        <v>581</v>
      </c>
      <c r="K3" s="910" t="s">
        <v>197</v>
      </c>
      <c r="L3" s="911" t="s">
        <v>468</v>
      </c>
      <c r="M3" s="913" t="s">
        <v>582</v>
      </c>
      <c r="N3" s="914"/>
      <c r="O3" s="914"/>
      <c r="P3" s="914"/>
      <c r="Q3" s="914"/>
      <c r="R3" s="914"/>
      <c r="S3" s="914"/>
      <c r="T3" s="914"/>
      <c r="U3" s="914"/>
      <c r="V3" s="914"/>
    </row>
    <row r="4" spans="1:22" ht="16.5" thickTop="1" thickBot="1">
      <c r="A4" s="850" t="s">
        <v>44</v>
      </c>
      <c r="B4" s="850"/>
      <c r="C4" s="850"/>
      <c r="D4" s="850"/>
      <c r="E4" s="850"/>
      <c r="F4" s="850"/>
      <c r="G4" s="918"/>
      <c r="H4" s="918"/>
      <c r="I4" s="910"/>
      <c r="J4" s="910"/>
      <c r="K4" s="910"/>
      <c r="L4" s="912"/>
      <c r="M4" s="914"/>
      <c r="N4" s="914"/>
      <c r="O4" s="914"/>
      <c r="P4" s="914"/>
      <c r="Q4" s="914"/>
      <c r="R4" s="914"/>
      <c r="S4" s="914"/>
      <c r="T4" s="914"/>
      <c r="U4" s="914"/>
      <c r="V4" s="914"/>
    </row>
    <row r="5" spans="1:22" ht="41.25" customHeight="1" thickTop="1" thickBot="1">
      <c r="A5" s="919"/>
      <c r="B5" s="919"/>
      <c r="C5" s="919"/>
      <c r="D5" s="919"/>
      <c r="E5" s="919"/>
      <c r="F5" s="920"/>
      <c r="G5" s="373" t="s">
        <v>466</v>
      </c>
      <c r="H5" s="373" t="s">
        <v>467</v>
      </c>
      <c r="I5" s="910"/>
      <c r="J5" s="910"/>
      <c r="K5" s="910"/>
      <c r="L5" s="912"/>
      <c r="M5" s="372">
        <v>0</v>
      </c>
      <c r="N5" s="372">
        <v>1</v>
      </c>
      <c r="O5" s="372">
        <v>2</v>
      </c>
      <c r="P5" s="372">
        <v>3</v>
      </c>
      <c r="Q5" s="372">
        <v>4</v>
      </c>
      <c r="R5" s="372">
        <v>5</v>
      </c>
      <c r="S5" s="372">
        <v>6</v>
      </c>
      <c r="T5" s="372">
        <v>7</v>
      </c>
      <c r="U5" s="372">
        <v>8</v>
      </c>
      <c r="V5" s="372">
        <v>9</v>
      </c>
    </row>
    <row r="6" spans="1:22" ht="31.5" customHeight="1" thickTop="1" thickBot="1">
      <c r="A6" s="229">
        <v>1</v>
      </c>
      <c r="B6" s="915" t="s">
        <v>471</v>
      </c>
      <c r="C6" s="915"/>
      <c r="D6" s="915"/>
      <c r="E6" s="915" t="s">
        <v>166</v>
      </c>
      <c r="F6" s="916"/>
      <c r="G6" s="218">
        <v>1</v>
      </c>
      <c r="H6" s="218">
        <v>0</v>
      </c>
      <c r="I6" s="218">
        <v>2</v>
      </c>
      <c r="J6" s="218">
        <v>0</v>
      </c>
      <c r="K6" s="218">
        <v>2</v>
      </c>
      <c r="L6" s="158" t="s">
        <v>583</v>
      </c>
      <c r="M6" s="151">
        <v>3</v>
      </c>
      <c r="N6" s="151">
        <v>1</v>
      </c>
      <c r="O6" s="151" t="s">
        <v>194</v>
      </c>
      <c r="P6" s="151" t="s">
        <v>194</v>
      </c>
      <c r="Q6" s="151" t="s">
        <v>194</v>
      </c>
      <c r="R6" s="151" t="s">
        <v>194</v>
      </c>
      <c r="S6" s="151" t="s">
        <v>194</v>
      </c>
      <c r="T6" s="151" t="s">
        <v>194</v>
      </c>
      <c r="U6" s="151" t="s">
        <v>194</v>
      </c>
      <c r="V6" s="151" t="s">
        <v>194</v>
      </c>
    </row>
    <row r="7" spans="1:22" ht="21" customHeight="1" thickTop="1" thickBot="1">
      <c r="A7" s="229">
        <v>2</v>
      </c>
      <c r="B7" s="915" t="s">
        <v>64</v>
      </c>
      <c r="C7" s="915"/>
      <c r="D7" s="915"/>
      <c r="E7" s="915" t="s">
        <v>584</v>
      </c>
      <c r="F7" s="916"/>
      <c r="G7" s="371">
        <v>2</v>
      </c>
      <c r="H7" s="371">
        <v>1</v>
      </c>
      <c r="I7" s="371">
        <v>3</v>
      </c>
      <c r="J7" s="371">
        <v>0</v>
      </c>
      <c r="K7" s="371">
        <v>3</v>
      </c>
      <c r="L7" s="209" t="s">
        <v>585</v>
      </c>
      <c r="M7" s="210">
        <v>4</v>
      </c>
      <c r="N7" s="210">
        <v>2</v>
      </c>
      <c r="O7" s="210" t="s">
        <v>194</v>
      </c>
      <c r="P7" s="210" t="s">
        <v>194</v>
      </c>
      <c r="Q7" s="210" t="s">
        <v>194</v>
      </c>
      <c r="R7" s="210" t="s">
        <v>194</v>
      </c>
      <c r="S7" s="210" t="s">
        <v>194</v>
      </c>
      <c r="T7" s="210" t="s">
        <v>194</v>
      </c>
      <c r="U7" s="210" t="s">
        <v>194</v>
      </c>
      <c r="V7" s="210" t="s">
        <v>194</v>
      </c>
    </row>
    <row r="8" spans="1:22" ht="19.5" customHeight="1" thickTop="1" thickBot="1">
      <c r="A8" s="229">
        <v>3</v>
      </c>
      <c r="B8" s="915" t="s">
        <v>475</v>
      </c>
      <c r="C8" s="915"/>
      <c r="D8" s="915"/>
      <c r="E8" s="915" t="s">
        <v>503</v>
      </c>
      <c r="F8" s="916"/>
      <c r="G8" s="218">
        <v>3</v>
      </c>
      <c r="H8" s="218">
        <v>2</v>
      </c>
      <c r="I8" s="218">
        <v>3</v>
      </c>
      <c r="J8" s="218">
        <v>1</v>
      </c>
      <c r="K8" s="218">
        <v>3</v>
      </c>
      <c r="L8" s="158" t="s">
        <v>586</v>
      </c>
      <c r="M8" s="151">
        <v>4</v>
      </c>
      <c r="N8" s="151">
        <v>2</v>
      </c>
      <c r="O8" s="151">
        <v>1</v>
      </c>
      <c r="P8" s="151" t="s">
        <v>194</v>
      </c>
      <c r="Q8" s="151" t="s">
        <v>194</v>
      </c>
      <c r="R8" s="151" t="s">
        <v>194</v>
      </c>
      <c r="S8" s="151" t="s">
        <v>194</v>
      </c>
      <c r="T8" s="151" t="s">
        <v>194</v>
      </c>
      <c r="U8" s="151" t="s">
        <v>194</v>
      </c>
      <c r="V8" s="151" t="s">
        <v>194</v>
      </c>
    </row>
    <row r="9" spans="1:22" ht="19.5" customHeight="1" thickTop="1" thickBot="1">
      <c r="A9" s="229">
        <v>4</v>
      </c>
      <c r="B9" s="915" t="s">
        <v>57</v>
      </c>
      <c r="C9" s="915"/>
      <c r="D9" s="915"/>
      <c r="E9" s="915" t="s">
        <v>495</v>
      </c>
      <c r="F9" s="916"/>
      <c r="G9" s="371">
        <v>4</v>
      </c>
      <c r="H9" s="371">
        <v>3</v>
      </c>
      <c r="I9" s="371">
        <v>4</v>
      </c>
      <c r="J9" s="371">
        <v>1</v>
      </c>
      <c r="K9" s="371">
        <v>4</v>
      </c>
      <c r="L9" s="209" t="s">
        <v>587</v>
      </c>
      <c r="M9" s="210">
        <v>5</v>
      </c>
      <c r="N9" s="210">
        <v>3</v>
      </c>
      <c r="O9" s="210">
        <v>2</v>
      </c>
      <c r="P9" s="210" t="s">
        <v>194</v>
      </c>
      <c r="Q9" s="210" t="s">
        <v>194</v>
      </c>
      <c r="R9" s="210" t="s">
        <v>194</v>
      </c>
      <c r="S9" s="210" t="s">
        <v>194</v>
      </c>
      <c r="T9" s="210" t="s">
        <v>194</v>
      </c>
      <c r="U9" s="210" t="s">
        <v>194</v>
      </c>
      <c r="V9" s="210" t="s">
        <v>194</v>
      </c>
    </row>
    <row r="10" spans="1:22" ht="24" customHeight="1" thickTop="1" thickBot="1">
      <c r="A10" s="229">
        <v>5</v>
      </c>
      <c r="B10" s="915" t="s">
        <v>588</v>
      </c>
      <c r="C10" s="915"/>
      <c r="D10" s="915"/>
      <c r="E10" s="915" t="s">
        <v>168</v>
      </c>
      <c r="F10" s="916"/>
      <c r="G10" s="215">
        <v>5</v>
      </c>
      <c r="H10" s="215">
        <v>3</v>
      </c>
      <c r="I10" s="215">
        <v>4</v>
      </c>
      <c r="J10" s="215">
        <v>1</v>
      </c>
      <c r="K10" s="215">
        <v>4</v>
      </c>
      <c r="L10" s="158" t="s">
        <v>589</v>
      </c>
      <c r="M10" s="151">
        <v>5</v>
      </c>
      <c r="N10" s="151">
        <v>3</v>
      </c>
      <c r="O10" s="151">
        <v>2</v>
      </c>
      <c r="P10" s="151">
        <v>1</v>
      </c>
      <c r="Q10" s="151" t="s">
        <v>194</v>
      </c>
      <c r="R10" s="151" t="s">
        <v>194</v>
      </c>
      <c r="S10" s="151" t="s">
        <v>194</v>
      </c>
      <c r="T10" s="151" t="s">
        <v>194</v>
      </c>
      <c r="U10" s="151" t="s">
        <v>194</v>
      </c>
      <c r="V10" s="151" t="s">
        <v>194</v>
      </c>
    </row>
    <row r="11" spans="1:22" ht="20.25" customHeight="1" thickTop="1" thickBot="1">
      <c r="A11" s="229">
        <v>6</v>
      </c>
      <c r="B11" s="915" t="s">
        <v>590</v>
      </c>
      <c r="C11" s="915"/>
      <c r="D11" s="915"/>
      <c r="E11" s="915" t="s">
        <v>503</v>
      </c>
      <c r="F11" s="916"/>
      <c r="G11" s="371">
        <v>6</v>
      </c>
      <c r="H11" s="371">
        <v>4</v>
      </c>
      <c r="I11" s="371">
        <v>5</v>
      </c>
      <c r="J11" s="371">
        <v>2</v>
      </c>
      <c r="K11" s="371">
        <v>5</v>
      </c>
      <c r="L11" s="209" t="s">
        <v>591</v>
      </c>
      <c r="M11" s="210">
        <v>5</v>
      </c>
      <c r="N11" s="210">
        <v>3</v>
      </c>
      <c r="O11" s="210">
        <v>3</v>
      </c>
      <c r="P11" s="210">
        <v>2</v>
      </c>
      <c r="Q11" s="210" t="s">
        <v>194</v>
      </c>
      <c r="R11" s="210" t="s">
        <v>194</v>
      </c>
      <c r="S11" s="210" t="s">
        <v>194</v>
      </c>
      <c r="T11" s="210" t="s">
        <v>194</v>
      </c>
      <c r="U11" s="210" t="s">
        <v>194</v>
      </c>
      <c r="V11" s="210" t="s">
        <v>194</v>
      </c>
    </row>
    <row r="12" spans="1:22" ht="19.5" customHeight="1" thickTop="1" thickBot="1">
      <c r="A12" s="229">
        <v>7</v>
      </c>
      <c r="B12" s="915" t="s">
        <v>68</v>
      </c>
      <c r="C12" s="915"/>
      <c r="D12" s="915"/>
      <c r="E12" s="915" t="s">
        <v>168</v>
      </c>
      <c r="F12" s="916"/>
      <c r="G12" s="218">
        <v>7</v>
      </c>
      <c r="H12" s="218">
        <v>5</v>
      </c>
      <c r="I12" s="218">
        <v>5</v>
      </c>
      <c r="J12" s="218">
        <v>2</v>
      </c>
      <c r="K12" s="218">
        <v>5</v>
      </c>
      <c r="L12" s="158" t="s">
        <v>592</v>
      </c>
      <c r="M12" s="151">
        <v>6</v>
      </c>
      <c r="N12" s="151">
        <v>4</v>
      </c>
      <c r="O12" s="151">
        <v>3</v>
      </c>
      <c r="P12" s="151">
        <v>2</v>
      </c>
      <c r="Q12" s="151">
        <v>1</v>
      </c>
      <c r="R12" s="151" t="s">
        <v>194</v>
      </c>
      <c r="S12" s="151" t="s">
        <v>194</v>
      </c>
      <c r="T12" s="151" t="s">
        <v>194</v>
      </c>
      <c r="U12" s="151" t="s">
        <v>194</v>
      </c>
      <c r="V12" s="151" t="s">
        <v>194</v>
      </c>
    </row>
    <row r="13" spans="1:22" ht="22.5" customHeight="1" thickTop="1" thickBot="1">
      <c r="A13" s="229">
        <v>8</v>
      </c>
      <c r="B13" s="915" t="s">
        <v>593</v>
      </c>
      <c r="C13" s="915"/>
      <c r="D13" s="915"/>
      <c r="E13" s="915" t="s">
        <v>168</v>
      </c>
      <c r="F13" s="916"/>
      <c r="G13" s="371">
        <v>8</v>
      </c>
      <c r="H13" s="371">
        <v>6</v>
      </c>
      <c r="I13" s="371">
        <v>6</v>
      </c>
      <c r="J13" s="371">
        <v>2</v>
      </c>
      <c r="K13" s="371">
        <v>6</v>
      </c>
      <c r="L13" s="209" t="s">
        <v>594</v>
      </c>
      <c r="M13" s="210">
        <v>6</v>
      </c>
      <c r="N13" s="210">
        <v>4</v>
      </c>
      <c r="O13" s="210">
        <v>3</v>
      </c>
      <c r="P13" s="210">
        <v>3</v>
      </c>
      <c r="Q13" s="210">
        <v>2</v>
      </c>
      <c r="R13" s="210" t="s">
        <v>194</v>
      </c>
      <c r="S13" s="210" t="s">
        <v>194</v>
      </c>
      <c r="T13" s="210" t="s">
        <v>194</v>
      </c>
      <c r="U13" s="210" t="s">
        <v>194</v>
      </c>
      <c r="V13" s="210" t="s">
        <v>194</v>
      </c>
    </row>
    <row r="14" spans="1:22" ht="25.5" customHeight="1" thickTop="1" thickBot="1">
      <c r="A14" s="229">
        <v>9</v>
      </c>
      <c r="B14" s="915" t="s">
        <v>561</v>
      </c>
      <c r="C14" s="915"/>
      <c r="D14" s="915"/>
      <c r="E14" s="915" t="s">
        <v>168</v>
      </c>
      <c r="F14" s="916"/>
      <c r="G14" s="218">
        <v>9</v>
      </c>
      <c r="H14" s="218">
        <v>6</v>
      </c>
      <c r="I14" s="218">
        <v>6</v>
      </c>
      <c r="J14" s="218">
        <v>3</v>
      </c>
      <c r="K14" s="218">
        <v>6</v>
      </c>
      <c r="L14" s="158" t="s">
        <v>595</v>
      </c>
      <c r="M14" s="151">
        <v>6</v>
      </c>
      <c r="N14" s="151">
        <v>4</v>
      </c>
      <c r="O14" s="151">
        <v>4</v>
      </c>
      <c r="P14" s="151">
        <v>3</v>
      </c>
      <c r="Q14" s="151">
        <v>2</v>
      </c>
      <c r="R14" s="151">
        <v>1</v>
      </c>
      <c r="S14" s="151" t="s">
        <v>194</v>
      </c>
      <c r="T14" s="151" t="s">
        <v>194</v>
      </c>
      <c r="U14" s="151" t="s">
        <v>194</v>
      </c>
      <c r="V14" s="151" t="s">
        <v>194</v>
      </c>
    </row>
    <row r="15" spans="1:22" ht="30.75" customHeight="1" thickTop="1" thickBot="1">
      <c r="A15" s="229">
        <v>10</v>
      </c>
      <c r="B15" s="915" t="s">
        <v>596</v>
      </c>
      <c r="C15" s="915"/>
      <c r="D15" s="915"/>
      <c r="E15" s="915" t="s">
        <v>168</v>
      </c>
      <c r="F15" s="916"/>
      <c r="G15" s="371">
        <v>10</v>
      </c>
      <c r="H15" s="371">
        <v>7</v>
      </c>
      <c r="I15" s="371">
        <v>7</v>
      </c>
      <c r="J15" s="371">
        <v>3</v>
      </c>
      <c r="K15" s="371">
        <v>7</v>
      </c>
      <c r="L15" s="209" t="s">
        <v>597</v>
      </c>
      <c r="M15" s="210">
        <v>6</v>
      </c>
      <c r="N15" s="210">
        <v>4</v>
      </c>
      <c r="O15" s="210">
        <v>4</v>
      </c>
      <c r="P15" s="210">
        <v>3</v>
      </c>
      <c r="Q15" s="210">
        <v>3</v>
      </c>
      <c r="R15" s="210">
        <v>2</v>
      </c>
      <c r="S15" s="210" t="s">
        <v>194</v>
      </c>
      <c r="T15" s="210" t="s">
        <v>194</v>
      </c>
      <c r="U15" s="210" t="s">
        <v>194</v>
      </c>
      <c r="V15" s="210" t="s">
        <v>194</v>
      </c>
    </row>
    <row r="16" spans="1:22" ht="30.75" customHeight="1" thickTop="1" thickBot="1">
      <c r="A16" s="229">
        <v>11</v>
      </c>
      <c r="B16" s="915" t="s">
        <v>76</v>
      </c>
      <c r="C16" s="915"/>
      <c r="D16" s="915"/>
      <c r="E16" s="915" t="s">
        <v>25</v>
      </c>
      <c r="F16" s="916"/>
      <c r="G16" s="218">
        <v>11</v>
      </c>
      <c r="H16" s="218">
        <v>8</v>
      </c>
      <c r="I16" s="218">
        <v>7</v>
      </c>
      <c r="J16" s="218">
        <v>3</v>
      </c>
      <c r="K16" s="218">
        <v>7</v>
      </c>
      <c r="L16" s="158" t="s">
        <v>598</v>
      </c>
      <c r="M16" s="151">
        <v>6</v>
      </c>
      <c r="N16" s="151">
        <v>5</v>
      </c>
      <c r="O16" s="151">
        <v>4</v>
      </c>
      <c r="P16" s="151">
        <v>4</v>
      </c>
      <c r="Q16" s="151">
        <v>3</v>
      </c>
      <c r="R16" s="151">
        <v>2</v>
      </c>
      <c r="S16" s="151">
        <v>1</v>
      </c>
      <c r="T16" s="151" t="s">
        <v>194</v>
      </c>
      <c r="U16" s="151" t="s">
        <v>194</v>
      </c>
      <c r="V16" s="151" t="s">
        <v>194</v>
      </c>
    </row>
    <row r="17" spans="1:22" ht="36" customHeight="1" thickTop="1" thickBot="1">
      <c r="A17" s="229">
        <v>12</v>
      </c>
      <c r="B17" s="915" t="s">
        <v>599</v>
      </c>
      <c r="C17" s="915"/>
      <c r="D17" s="915"/>
      <c r="E17" s="915" t="s">
        <v>495</v>
      </c>
      <c r="F17" s="916"/>
      <c r="G17" s="371">
        <v>12</v>
      </c>
      <c r="H17" s="371">
        <v>9</v>
      </c>
      <c r="I17" s="371">
        <v>8</v>
      </c>
      <c r="J17" s="371">
        <v>4</v>
      </c>
      <c r="K17" s="371">
        <v>8</v>
      </c>
      <c r="L17" s="209" t="s">
        <v>600</v>
      </c>
      <c r="M17" s="210">
        <v>6</v>
      </c>
      <c r="N17" s="210">
        <v>5</v>
      </c>
      <c r="O17" s="210">
        <v>4</v>
      </c>
      <c r="P17" s="210">
        <v>4</v>
      </c>
      <c r="Q17" s="210">
        <v>3</v>
      </c>
      <c r="R17" s="210">
        <v>3</v>
      </c>
      <c r="S17" s="210">
        <v>2</v>
      </c>
      <c r="T17" s="210" t="s">
        <v>194</v>
      </c>
      <c r="U17" s="210" t="s">
        <v>194</v>
      </c>
      <c r="V17" s="210" t="s">
        <v>194</v>
      </c>
    </row>
    <row r="18" spans="1:22" ht="30.75" customHeight="1" thickTop="1" thickBot="1">
      <c r="A18" s="229">
        <v>13</v>
      </c>
      <c r="B18" s="915" t="s">
        <v>529</v>
      </c>
      <c r="C18" s="915"/>
      <c r="D18" s="915"/>
      <c r="E18" s="915" t="s">
        <v>168</v>
      </c>
      <c r="F18" s="916"/>
      <c r="G18" s="218">
        <v>13</v>
      </c>
      <c r="H18" s="218">
        <v>9</v>
      </c>
      <c r="I18" s="218">
        <v>8</v>
      </c>
      <c r="J18" s="218">
        <v>4</v>
      </c>
      <c r="K18" s="218">
        <v>8</v>
      </c>
      <c r="L18" s="158" t="s">
        <v>601</v>
      </c>
      <c r="M18" s="151">
        <v>6</v>
      </c>
      <c r="N18" s="151">
        <v>5</v>
      </c>
      <c r="O18" s="151">
        <v>5</v>
      </c>
      <c r="P18" s="151">
        <v>4</v>
      </c>
      <c r="Q18" s="151">
        <v>4</v>
      </c>
      <c r="R18" s="151">
        <v>3</v>
      </c>
      <c r="S18" s="151">
        <v>2</v>
      </c>
      <c r="T18" s="151">
        <v>1</v>
      </c>
      <c r="U18" s="151" t="s">
        <v>194</v>
      </c>
      <c r="V18" s="151" t="s">
        <v>194</v>
      </c>
    </row>
    <row r="19" spans="1:22" ht="28.5" customHeight="1" thickTop="1" thickBot="1">
      <c r="G19" s="371">
        <v>14</v>
      </c>
      <c r="H19" s="371">
        <v>10</v>
      </c>
      <c r="I19" s="371">
        <v>9</v>
      </c>
      <c r="J19" s="371">
        <v>4</v>
      </c>
      <c r="K19" s="371">
        <v>9</v>
      </c>
      <c r="L19" s="209" t="s">
        <v>602</v>
      </c>
      <c r="M19" s="210">
        <v>6</v>
      </c>
      <c r="N19" s="210">
        <v>5</v>
      </c>
      <c r="O19" s="210">
        <v>5</v>
      </c>
      <c r="P19" s="210">
        <v>4</v>
      </c>
      <c r="Q19" s="210">
        <v>4</v>
      </c>
      <c r="R19" s="210">
        <v>3</v>
      </c>
      <c r="S19" s="210">
        <v>3</v>
      </c>
      <c r="T19" s="210">
        <v>2</v>
      </c>
      <c r="U19" s="210" t="s">
        <v>194</v>
      </c>
      <c r="V19" s="210" t="s">
        <v>194</v>
      </c>
    </row>
    <row r="20" spans="1:22" ht="28.5" customHeight="1" thickTop="1" thickBot="1">
      <c r="G20" s="218">
        <v>15</v>
      </c>
      <c r="H20" s="218">
        <v>11</v>
      </c>
      <c r="I20" s="218">
        <v>9</v>
      </c>
      <c r="J20" s="218">
        <v>5</v>
      </c>
      <c r="K20" s="218">
        <v>9</v>
      </c>
      <c r="L20" s="158" t="s">
        <v>603</v>
      </c>
      <c r="M20" s="151">
        <v>6</v>
      </c>
      <c r="N20" s="151">
        <v>5</v>
      </c>
      <c r="O20" s="151">
        <v>5</v>
      </c>
      <c r="P20" s="151">
        <v>4</v>
      </c>
      <c r="Q20" s="151">
        <v>4</v>
      </c>
      <c r="R20" s="151">
        <v>4</v>
      </c>
      <c r="S20" s="151">
        <v>3</v>
      </c>
      <c r="T20" s="151">
        <v>2</v>
      </c>
      <c r="U20" s="151">
        <v>1</v>
      </c>
      <c r="V20" s="151" t="s">
        <v>194</v>
      </c>
    </row>
    <row r="21" spans="1:22" ht="28.5" customHeight="1" thickTop="1" thickBot="1">
      <c r="G21" s="371">
        <v>16</v>
      </c>
      <c r="H21" s="371">
        <v>12</v>
      </c>
      <c r="I21" s="371">
        <v>10</v>
      </c>
      <c r="J21" s="371">
        <v>5</v>
      </c>
      <c r="K21" s="371">
        <v>10</v>
      </c>
      <c r="L21" s="209" t="s">
        <v>604</v>
      </c>
      <c r="M21" s="210">
        <v>6</v>
      </c>
      <c r="N21" s="210">
        <v>5</v>
      </c>
      <c r="O21" s="210">
        <v>5</v>
      </c>
      <c r="P21" s="210">
        <v>5</v>
      </c>
      <c r="Q21" s="210">
        <v>4</v>
      </c>
      <c r="R21" s="210">
        <v>4</v>
      </c>
      <c r="S21" s="210">
        <v>3</v>
      </c>
      <c r="T21" s="210">
        <v>3</v>
      </c>
      <c r="U21" s="210">
        <v>2</v>
      </c>
      <c r="V21" s="210" t="s">
        <v>194</v>
      </c>
    </row>
    <row r="22" spans="1:22" ht="28.5" customHeight="1" thickTop="1" thickBot="1">
      <c r="G22" s="218">
        <v>17</v>
      </c>
      <c r="H22" s="218">
        <v>12</v>
      </c>
      <c r="I22" s="218">
        <v>10</v>
      </c>
      <c r="J22" s="218">
        <v>5</v>
      </c>
      <c r="K22" s="218">
        <v>10</v>
      </c>
      <c r="L22" s="158"/>
      <c r="M22" s="151">
        <v>6</v>
      </c>
      <c r="N22" s="151">
        <v>5</v>
      </c>
      <c r="O22" s="151">
        <v>5</v>
      </c>
      <c r="P22" s="151">
        <v>5</v>
      </c>
      <c r="Q22" s="151">
        <v>5</v>
      </c>
      <c r="R22" s="151">
        <v>4</v>
      </c>
      <c r="S22" s="151">
        <v>4</v>
      </c>
      <c r="T22" s="151">
        <v>3</v>
      </c>
      <c r="U22" s="151">
        <v>2</v>
      </c>
      <c r="V22" s="151">
        <v>1</v>
      </c>
    </row>
    <row r="23" spans="1:22" ht="28.5" customHeight="1" thickTop="1" thickBot="1">
      <c r="G23" s="371">
        <v>18</v>
      </c>
      <c r="H23" s="371">
        <v>13</v>
      </c>
      <c r="I23" s="371">
        <v>11</v>
      </c>
      <c r="J23" s="371">
        <v>6</v>
      </c>
      <c r="K23" s="371">
        <v>11</v>
      </c>
      <c r="L23" s="209" t="s">
        <v>605</v>
      </c>
      <c r="M23" s="210">
        <v>6</v>
      </c>
      <c r="N23" s="210">
        <v>5</v>
      </c>
      <c r="O23" s="210">
        <v>5</v>
      </c>
      <c r="P23" s="210">
        <v>5</v>
      </c>
      <c r="Q23" s="210">
        <v>5</v>
      </c>
      <c r="R23" s="210">
        <v>4</v>
      </c>
      <c r="S23" s="210">
        <v>4</v>
      </c>
      <c r="T23" s="210">
        <v>3</v>
      </c>
      <c r="U23" s="210">
        <v>3</v>
      </c>
      <c r="V23" s="210">
        <v>2</v>
      </c>
    </row>
    <row r="24" spans="1:22" ht="28.5" customHeight="1" thickTop="1" thickBot="1">
      <c r="G24" s="218">
        <v>19</v>
      </c>
      <c r="H24" s="218">
        <v>14</v>
      </c>
      <c r="I24" s="218">
        <v>11</v>
      </c>
      <c r="J24" s="218">
        <v>6</v>
      </c>
      <c r="K24" s="218">
        <v>11</v>
      </c>
      <c r="L24" s="158"/>
      <c r="M24" s="151">
        <v>6</v>
      </c>
      <c r="N24" s="151">
        <v>5</v>
      </c>
      <c r="O24" s="151">
        <v>5</v>
      </c>
      <c r="P24" s="151">
        <v>5</v>
      </c>
      <c r="Q24" s="151">
        <v>5</v>
      </c>
      <c r="R24" s="151">
        <v>5</v>
      </c>
      <c r="S24" s="151">
        <v>4</v>
      </c>
      <c r="T24" s="151">
        <v>4</v>
      </c>
      <c r="U24" s="151">
        <v>3</v>
      </c>
      <c r="V24" s="151">
        <v>3</v>
      </c>
    </row>
    <row r="25" spans="1:22" ht="28.5" customHeight="1" thickTop="1" thickBot="1">
      <c r="G25" s="371">
        <v>20</v>
      </c>
      <c r="H25" s="371">
        <v>15</v>
      </c>
      <c r="I25" s="371">
        <v>12</v>
      </c>
      <c r="J25" s="371">
        <v>6</v>
      </c>
      <c r="K25" s="371">
        <v>12</v>
      </c>
      <c r="L25" s="209" t="s">
        <v>606</v>
      </c>
      <c r="M25" s="210">
        <v>6</v>
      </c>
      <c r="N25" s="210">
        <v>5</v>
      </c>
      <c r="O25" s="210">
        <v>5</v>
      </c>
      <c r="P25" s="210">
        <v>5</v>
      </c>
      <c r="Q25" s="210">
        <v>5</v>
      </c>
      <c r="R25" s="210">
        <v>5</v>
      </c>
      <c r="S25" s="210">
        <v>4</v>
      </c>
      <c r="T25" s="210">
        <v>4</v>
      </c>
      <c r="U25" s="210">
        <v>4</v>
      </c>
      <c r="V25" s="210">
        <v>4</v>
      </c>
    </row>
    <row r="26" spans="1:22" ht="15.75" thickTop="1">
      <c r="G26" s="908" t="s">
        <v>607</v>
      </c>
      <c r="H26" s="908"/>
      <c r="I26" s="908"/>
      <c r="J26" s="908"/>
      <c r="K26" s="908"/>
      <c r="L26" s="908"/>
    </row>
    <row r="27" spans="1:22">
      <c r="G27" s="909"/>
      <c r="H27" s="909"/>
      <c r="I27" s="909"/>
      <c r="J27" s="909"/>
      <c r="K27" s="909"/>
      <c r="L27" s="909"/>
    </row>
    <row r="28" spans="1:22" ht="45" customHeight="1">
      <c r="G28" s="235" t="s">
        <v>608</v>
      </c>
      <c r="H28" s="235" t="s">
        <v>609</v>
      </c>
      <c r="I28" s="235" t="s">
        <v>610</v>
      </c>
      <c r="J28" s="235" t="s">
        <v>611</v>
      </c>
      <c r="K28" s="235" t="s">
        <v>612</v>
      </c>
      <c r="L28" s="235" t="s">
        <v>468</v>
      </c>
    </row>
    <row r="29" spans="1:22" ht="24" customHeight="1">
      <c r="G29" s="236" t="s">
        <v>613</v>
      </c>
      <c r="H29" s="236">
        <v>0</v>
      </c>
      <c r="I29" s="236">
        <v>0</v>
      </c>
      <c r="J29" s="236">
        <v>0</v>
      </c>
      <c r="K29" s="236">
        <v>1</v>
      </c>
      <c r="L29" s="236" t="s">
        <v>614</v>
      </c>
    </row>
    <row r="30" spans="1:22" ht="24" customHeight="1">
      <c r="G30" s="235" t="s">
        <v>615</v>
      </c>
      <c r="H30" s="235">
        <v>2</v>
      </c>
      <c r="I30" s="235">
        <v>2</v>
      </c>
      <c r="J30" s="235">
        <v>1</v>
      </c>
      <c r="K30" s="235">
        <v>2</v>
      </c>
      <c r="L30" s="235" t="s">
        <v>544</v>
      </c>
    </row>
    <row r="31" spans="1:22" ht="24" customHeight="1">
      <c r="G31" s="236" t="s">
        <v>616</v>
      </c>
      <c r="H31" s="236">
        <v>4</v>
      </c>
      <c r="I31" s="236">
        <v>4</v>
      </c>
      <c r="J31" s="236">
        <v>2</v>
      </c>
      <c r="K31" s="236">
        <v>3</v>
      </c>
      <c r="L31" s="236" t="s">
        <v>617</v>
      </c>
    </row>
    <row r="32" spans="1:22" ht="24" customHeight="1">
      <c r="G32" s="235" t="s">
        <v>618</v>
      </c>
      <c r="H32" s="235">
        <v>6</v>
      </c>
      <c r="I32" s="235">
        <v>6</v>
      </c>
      <c r="J32" s="235">
        <v>3</v>
      </c>
      <c r="K32" s="235">
        <v>4</v>
      </c>
      <c r="L32" s="235" t="s">
        <v>619</v>
      </c>
    </row>
    <row r="33" spans="7:12" ht="24" customHeight="1">
      <c r="G33" s="236" t="s">
        <v>620</v>
      </c>
      <c r="H33" s="236">
        <v>8</v>
      </c>
      <c r="I33" s="236">
        <v>8</v>
      </c>
      <c r="J33" s="236">
        <v>4</v>
      </c>
      <c r="K33" s="236">
        <v>5</v>
      </c>
      <c r="L33" s="236"/>
    </row>
    <row r="34" spans="7:12" ht="24" customHeight="1">
      <c r="G34" s="235" t="s">
        <v>621</v>
      </c>
      <c r="H34" s="235">
        <v>10</v>
      </c>
      <c r="I34" s="235">
        <v>10</v>
      </c>
      <c r="J34" s="235">
        <v>5</v>
      </c>
      <c r="K34" s="235">
        <v>6</v>
      </c>
      <c r="L34" s="235" t="s">
        <v>622</v>
      </c>
    </row>
    <row r="35" spans="7:12" ht="24" customHeight="1">
      <c r="G35" s="236" t="s">
        <v>623</v>
      </c>
      <c r="H35" s="236">
        <v>12</v>
      </c>
      <c r="I35" s="236">
        <v>12</v>
      </c>
      <c r="J35" s="236">
        <v>6</v>
      </c>
      <c r="K35" s="236">
        <v>7</v>
      </c>
      <c r="L35" s="236"/>
    </row>
    <row r="36" spans="7:12">
      <c r="G36" s="142"/>
      <c r="H36" s="142"/>
      <c r="I36" s="142"/>
      <c r="J36" s="142"/>
      <c r="K36" s="142"/>
      <c r="L36" s="142"/>
    </row>
    <row r="37" spans="7:12">
      <c r="G37" s="142"/>
      <c r="H37" s="142"/>
      <c r="I37" s="142"/>
      <c r="J37" s="142"/>
      <c r="K37" s="142"/>
      <c r="L37" s="142"/>
    </row>
    <row r="38" spans="7:12">
      <c r="G38" s="142"/>
      <c r="H38" s="142"/>
      <c r="I38" s="142"/>
      <c r="J38" s="142"/>
      <c r="K38" s="142"/>
      <c r="L38" s="142"/>
    </row>
    <row r="39" spans="7:12">
      <c r="G39" s="142"/>
      <c r="H39" s="142"/>
      <c r="I39" s="142"/>
      <c r="J39" s="142"/>
      <c r="K39" s="142"/>
      <c r="L39" s="142"/>
    </row>
  </sheetData>
  <mergeCells count="37">
    <mergeCell ref="A1:F3"/>
    <mergeCell ref="G1:G2"/>
    <mergeCell ref="H1:H2"/>
    <mergeCell ref="G3:H4"/>
    <mergeCell ref="A4:F5"/>
    <mergeCell ref="B6:D6"/>
    <mergeCell ref="B7:D7"/>
    <mergeCell ref="B8:D8"/>
    <mergeCell ref="B9:D9"/>
    <mergeCell ref="B10:D10"/>
    <mergeCell ref="E18:F18"/>
    <mergeCell ref="B11:D11"/>
    <mergeCell ref="B12:D12"/>
    <mergeCell ref="B13:D13"/>
    <mergeCell ref="B14:D14"/>
    <mergeCell ref="B15:D15"/>
    <mergeCell ref="M3:V4"/>
    <mergeCell ref="B16:D16"/>
    <mergeCell ref="B17:D17"/>
    <mergeCell ref="B18:D18"/>
    <mergeCell ref="E6:F6"/>
    <mergeCell ref="E7:F7"/>
    <mergeCell ref="E8:F8"/>
    <mergeCell ref="E9:F9"/>
    <mergeCell ref="E10:F10"/>
    <mergeCell ref="E11:F11"/>
    <mergeCell ref="E12:F12"/>
    <mergeCell ref="E13:F13"/>
    <mergeCell ref="E14:F14"/>
    <mergeCell ref="E15:F15"/>
    <mergeCell ref="E16:F16"/>
    <mergeCell ref="E17:F17"/>
    <mergeCell ref="G26:L27"/>
    <mergeCell ref="I3:I5"/>
    <mergeCell ref="J3:J5"/>
    <mergeCell ref="K3:K5"/>
    <mergeCell ref="L3:L5"/>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B97"/>
  <sheetViews>
    <sheetView showGridLines="0" topLeftCell="B1" workbookViewId="0">
      <selection activeCell="B10" sqref="B10:D12"/>
    </sheetView>
  </sheetViews>
  <sheetFormatPr defaultRowHeight="15"/>
  <cols>
    <col min="12" max="12" width="28" customWidth="1"/>
    <col min="24" max="24" width="23" customWidth="1"/>
    <col min="25" max="25" width="24.42578125" customWidth="1"/>
    <col min="26" max="26" width="20" customWidth="1"/>
    <col min="27" max="27" width="33.28515625" customWidth="1"/>
    <col min="28" max="28" width="37.7109375" customWidth="1"/>
  </cols>
  <sheetData>
    <row r="1" spans="1:80" ht="16.5" thickTop="1" thickBot="1">
      <c r="A1" s="937" t="s">
        <v>185</v>
      </c>
      <c r="B1" s="937"/>
      <c r="C1" s="937"/>
      <c r="D1" s="937"/>
      <c r="E1" s="937"/>
      <c r="F1" s="937"/>
      <c r="G1" s="938" t="s">
        <v>26</v>
      </c>
      <c r="H1" s="939">
        <v>8</v>
      </c>
    </row>
    <row r="2" spans="1:80" ht="22.5" customHeight="1" thickTop="1" thickBot="1">
      <c r="A2" s="937"/>
      <c r="B2" s="937"/>
      <c r="C2" s="937"/>
      <c r="D2" s="937"/>
      <c r="E2" s="937"/>
      <c r="F2" s="937"/>
      <c r="G2" s="938"/>
      <c r="H2" s="939"/>
      <c r="CB2" s="157" t="s">
        <v>628</v>
      </c>
    </row>
    <row r="3" spans="1:80" ht="16.5" thickTop="1" thickBot="1">
      <c r="A3" s="937"/>
      <c r="B3" s="937"/>
      <c r="C3" s="937"/>
      <c r="D3" s="937"/>
      <c r="E3" s="937"/>
      <c r="F3" s="937"/>
      <c r="G3" s="934" t="s">
        <v>107</v>
      </c>
      <c r="H3" s="934"/>
      <c r="I3" s="933" t="s">
        <v>580</v>
      </c>
      <c r="J3" s="910" t="s">
        <v>581</v>
      </c>
      <c r="K3" s="910" t="s">
        <v>197</v>
      </c>
      <c r="L3" s="934" t="s">
        <v>468</v>
      </c>
      <c r="M3" s="935" t="s">
        <v>582</v>
      </c>
      <c r="N3" s="936"/>
      <c r="O3" s="936"/>
      <c r="P3" s="936"/>
      <c r="Q3" s="936"/>
      <c r="R3" s="936"/>
      <c r="S3" s="936"/>
      <c r="T3" s="936"/>
      <c r="U3" s="936"/>
      <c r="V3" s="936"/>
      <c r="X3" s="929" t="s">
        <v>1098</v>
      </c>
      <c r="Y3" s="930"/>
      <c r="Z3" s="930"/>
      <c r="AA3" s="930"/>
      <c r="AB3" s="930"/>
      <c r="CB3" s="155" t="s">
        <v>638</v>
      </c>
    </row>
    <row r="4" spans="1:80" ht="16.5" thickTop="1" thickBot="1">
      <c r="A4" s="850" t="s">
        <v>44</v>
      </c>
      <c r="B4" s="850"/>
      <c r="C4" s="850"/>
      <c r="D4" s="850"/>
      <c r="E4" s="850"/>
      <c r="F4" s="850"/>
      <c r="G4" s="934"/>
      <c r="H4" s="934"/>
      <c r="I4" s="933"/>
      <c r="J4" s="910"/>
      <c r="K4" s="910"/>
      <c r="L4" s="934"/>
      <c r="M4" s="936"/>
      <c r="N4" s="936"/>
      <c r="O4" s="936"/>
      <c r="P4" s="936"/>
      <c r="Q4" s="936"/>
      <c r="R4" s="936"/>
      <c r="S4" s="936"/>
      <c r="T4" s="936"/>
      <c r="U4" s="936"/>
      <c r="V4" s="936"/>
      <c r="X4" s="931"/>
      <c r="Y4" s="932"/>
      <c r="Z4" s="932"/>
      <c r="AA4" s="932"/>
      <c r="AB4" s="932"/>
      <c r="CB4" s="157" t="s">
        <v>647</v>
      </c>
    </row>
    <row r="5" spans="1:80" ht="20.25" thickTop="1" thickBot="1">
      <c r="A5" s="850"/>
      <c r="B5" s="850"/>
      <c r="C5" s="850"/>
      <c r="D5" s="850"/>
      <c r="E5" s="850"/>
      <c r="F5" s="850"/>
      <c r="G5" s="373" t="s">
        <v>466</v>
      </c>
      <c r="H5" s="373" t="s">
        <v>467</v>
      </c>
      <c r="I5" s="933"/>
      <c r="J5" s="910"/>
      <c r="K5" s="910"/>
      <c r="L5" s="934"/>
      <c r="M5" s="372">
        <v>0</v>
      </c>
      <c r="N5" s="372">
        <v>1</v>
      </c>
      <c r="O5" s="372">
        <v>2</v>
      </c>
      <c r="P5" s="372">
        <v>3</v>
      </c>
      <c r="Q5" s="372">
        <v>4</v>
      </c>
      <c r="R5" s="372">
        <v>5</v>
      </c>
      <c r="S5" s="372">
        <v>6</v>
      </c>
      <c r="T5" s="372">
        <v>7</v>
      </c>
      <c r="U5" s="372">
        <v>8</v>
      </c>
      <c r="V5" s="372">
        <v>9</v>
      </c>
      <c r="X5" s="921" t="s">
        <v>624</v>
      </c>
      <c r="Y5" s="922"/>
      <c r="Z5" s="156" t="s">
        <v>625</v>
      </c>
      <c r="AA5" s="156" t="s">
        <v>626</v>
      </c>
      <c r="AB5" s="156" t="s">
        <v>627</v>
      </c>
      <c r="CB5" s="157" t="s">
        <v>655</v>
      </c>
    </row>
    <row r="6" spans="1:80" ht="24.75" customHeight="1" thickTop="1" thickBot="1">
      <c r="A6" s="229">
        <v>1</v>
      </c>
      <c r="B6" s="915" t="s">
        <v>64</v>
      </c>
      <c r="C6" s="915"/>
      <c r="D6" s="915"/>
      <c r="E6" s="915" t="s">
        <v>584</v>
      </c>
      <c r="F6" s="915"/>
      <c r="G6" s="220">
        <v>1</v>
      </c>
      <c r="H6" s="220">
        <v>0</v>
      </c>
      <c r="I6" s="218">
        <v>2</v>
      </c>
      <c r="J6" s="218">
        <v>0</v>
      </c>
      <c r="K6" s="218">
        <v>2</v>
      </c>
      <c r="L6" s="218" t="s">
        <v>633</v>
      </c>
      <c r="M6" s="151">
        <v>3</v>
      </c>
      <c r="N6" s="151" t="s">
        <v>634</v>
      </c>
      <c r="O6" s="151" t="s">
        <v>194</v>
      </c>
      <c r="P6" s="151" t="s">
        <v>194</v>
      </c>
      <c r="Q6" s="151" t="s">
        <v>194</v>
      </c>
      <c r="R6" s="151" t="s">
        <v>194</v>
      </c>
      <c r="S6" s="151" t="s">
        <v>194</v>
      </c>
      <c r="T6" s="151" t="s">
        <v>194</v>
      </c>
      <c r="U6" s="151" t="s">
        <v>194</v>
      </c>
      <c r="V6" s="151" t="s">
        <v>194</v>
      </c>
      <c r="X6" s="157" t="s">
        <v>931</v>
      </c>
      <c r="Y6" s="157" t="s">
        <v>932</v>
      </c>
      <c r="Z6" s="157" t="s">
        <v>628</v>
      </c>
      <c r="AA6" s="157" t="s">
        <v>629</v>
      </c>
      <c r="AB6" s="157" t="s">
        <v>630</v>
      </c>
      <c r="CB6" s="157" t="s">
        <v>660</v>
      </c>
    </row>
    <row r="7" spans="1:80" ht="20.25" thickTop="1" thickBot="1">
      <c r="A7" s="229">
        <v>2</v>
      </c>
      <c r="B7" s="915" t="s">
        <v>475</v>
      </c>
      <c r="C7" s="915"/>
      <c r="D7" s="915"/>
      <c r="E7" s="915" t="s">
        <v>503</v>
      </c>
      <c r="F7" s="915"/>
      <c r="G7" s="371">
        <v>2</v>
      </c>
      <c r="H7" s="371">
        <v>1</v>
      </c>
      <c r="I7" s="371">
        <v>3</v>
      </c>
      <c r="J7" s="371">
        <v>0</v>
      </c>
      <c r="K7" s="371">
        <v>3</v>
      </c>
      <c r="L7" s="371"/>
      <c r="M7" s="210">
        <v>4</v>
      </c>
      <c r="N7" s="210" t="s">
        <v>637</v>
      </c>
      <c r="O7" s="210" t="s">
        <v>194</v>
      </c>
      <c r="P7" s="210" t="s">
        <v>194</v>
      </c>
      <c r="Q7" s="210" t="s">
        <v>194</v>
      </c>
      <c r="R7" s="210" t="s">
        <v>194</v>
      </c>
      <c r="S7" s="210" t="s">
        <v>194</v>
      </c>
      <c r="T7" s="210" t="s">
        <v>194</v>
      </c>
      <c r="U7" s="210" t="s">
        <v>194</v>
      </c>
      <c r="V7" s="210" t="s">
        <v>194</v>
      </c>
      <c r="X7" s="155" t="s">
        <v>933</v>
      </c>
      <c r="Y7" s="155" t="s">
        <v>934</v>
      </c>
      <c r="Z7" s="155" t="s">
        <v>628</v>
      </c>
      <c r="AA7" s="155" t="s">
        <v>631</v>
      </c>
      <c r="AB7" s="155" t="s">
        <v>632</v>
      </c>
      <c r="CB7" s="155" t="s">
        <v>668</v>
      </c>
    </row>
    <row r="8" spans="1:80" ht="31.5" customHeight="1" thickTop="1" thickBot="1">
      <c r="A8" s="229">
        <v>3</v>
      </c>
      <c r="B8" s="915" t="s">
        <v>57</v>
      </c>
      <c r="C8" s="915"/>
      <c r="D8" s="915"/>
      <c r="E8" s="915" t="s">
        <v>495</v>
      </c>
      <c r="F8" s="915"/>
      <c r="G8" s="218">
        <v>3</v>
      </c>
      <c r="H8" s="218">
        <v>2</v>
      </c>
      <c r="I8" s="218">
        <v>3</v>
      </c>
      <c r="J8" s="218">
        <v>1</v>
      </c>
      <c r="K8" s="218">
        <v>3</v>
      </c>
      <c r="L8" s="218"/>
      <c r="M8" s="151">
        <v>4</v>
      </c>
      <c r="N8" s="151" t="s">
        <v>637</v>
      </c>
      <c r="O8" s="151" t="s">
        <v>634</v>
      </c>
      <c r="P8" s="151" t="s">
        <v>194</v>
      </c>
      <c r="Q8" s="151" t="s">
        <v>194</v>
      </c>
      <c r="R8" s="151" t="s">
        <v>194</v>
      </c>
      <c r="S8" s="151" t="s">
        <v>194</v>
      </c>
      <c r="T8" s="151" t="s">
        <v>194</v>
      </c>
      <c r="U8" s="151" t="s">
        <v>194</v>
      </c>
      <c r="V8" s="151" t="s">
        <v>194</v>
      </c>
      <c r="X8" s="157" t="s">
        <v>935</v>
      </c>
      <c r="Y8" s="157" t="s">
        <v>936</v>
      </c>
      <c r="Z8" s="157" t="s">
        <v>628</v>
      </c>
      <c r="AA8" s="157" t="s">
        <v>635</v>
      </c>
      <c r="AB8" s="157" t="s">
        <v>636</v>
      </c>
      <c r="CB8" s="157" t="s">
        <v>671</v>
      </c>
    </row>
    <row r="9" spans="1:80" ht="28.5" customHeight="1" thickTop="1" thickBot="1">
      <c r="A9" s="229">
        <v>4</v>
      </c>
      <c r="B9" s="915" t="s">
        <v>68</v>
      </c>
      <c r="C9" s="915"/>
      <c r="D9" s="915"/>
      <c r="E9" s="915" t="s">
        <v>168</v>
      </c>
      <c r="F9" s="915"/>
      <c r="G9" s="371">
        <v>4</v>
      </c>
      <c r="H9" s="371">
        <v>3</v>
      </c>
      <c r="I9" s="371">
        <v>4</v>
      </c>
      <c r="J9" s="371">
        <v>1</v>
      </c>
      <c r="K9" s="371">
        <v>4</v>
      </c>
      <c r="L9" s="371"/>
      <c r="M9" s="210">
        <v>5</v>
      </c>
      <c r="N9" s="210" t="s">
        <v>643</v>
      </c>
      <c r="O9" s="210" t="s">
        <v>637</v>
      </c>
      <c r="P9" s="210" t="s">
        <v>194</v>
      </c>
      <c r="Q9" s="210" t="s">
        <v>194</v>
      </c>
      <c r="R9" s="210" t="s">
        <v>194</v>
      </c>
      <c r="S9" s="210" t="s">
        <v>194</v>
      </c>
      <c r="T9" s="210" t="s">
        <v>194</v>
      </c>
      <c r="U9" s="210" t="s">
        <v>194</v>
      </c>
      <c r="V9" s="210" t="s">
        <v>194</v>
      </c>
      <c r="X9" s="155" t="s">
        <v>937</v>
      </c>
      <c r="Y9" s="155" t="s">
        <v>938</v>
      </c>
      <c r="Z9" s="155" t="s">
        <v>638</v>
      </c>
      <c r="AA9" s="155" t="s">
        <v>639</v>
      </c>
      <c r="AB9" s="155" t="s">
        <v>640</v>
      </c>
      <c r="CB9" s="155" t="s">
        <v>674</v>
      </c>
    </row>
    <row r="10" spans="1:80" ht="24.75" customHeight="1" thickTop="1" thickBot="1">
      <c r="A10" s="229">
        <v>5</v>
      </c>
      <c r="B10" s="915" t="s">
        <v>646</v>
      </c>
      <c r="C10" s="915"/>
      <c r="D10" s="915"/>
      <c r="E10" s="915" t="s">
        <v>503</v>
      </c>
      <c r="F10" s="915"/>
      <c r="G10" s="215">
        <v>5</v>
      </c>
      <c r="H10" s="218">
        <v>3</v>
      </c>
      <c r="I10" s="218">
        <v>4</v>
      </c>
      <c r="J10" s="218">
        <v>1</v>
      </c>
      <c r="K10" s="218">
        <v>4</v>
      </c>
      <c r="L10" s="218"/>
      <c r="M10" s="151">
        <v>5</v>
      </c>
      <c r="N10" s="151" t="s">
        <v>643</v>
      </c>
      <c r="O10" s="151" t="s">
        <v>637</v>
      </c>
      <c r="P10" s="151" t="s">
        <v>634</v>
      </c>
      <c r="Q10" s="151" t="s">
        <v>194</v>
      </c>
      <c r="R10" s="151" t="s">
        <v>194</v>
      </c>
      <c r="S10" s="151" t="s">
        <v>194</v>
      </c>
      <c r="T10" s="151" t="s">
        <v>194</v>
      </c>
      <c r="U10" s="151" t="s">
        <v>194</v>
      </c>
      <c r="V10" s="151" t="s">
        <v>194</v>
      </c>
      <c r="X10" s="157" t="s">
        <v>939</v>
      </c>
      <c r="Y10" s="157" t="s">
        <v>940</v>
      </c>
      <c r="Z10" s="157" t="s">
        <v>638</v>
      </c>
      <c r="AA10" s="157" t="s">
        <v>641</v>
      </c>
      <c r="AB10" s="157" t="s">
        <v>642</v>
      </c>
      <c r="CB10" s="155" t="s">
        <v>679</v>
      </c>
    </row>
    <row r="11" spans="1:80" ht="24" customHeight="1" thickTop="1" thickBot="1">
      <c r="A11" s="229">
        <v>6</v>
      </c>
      <c r="B11" s="915" t="s">
        <v>650</v>
      </c>
      <c r="C11" s="915"/>
      <c r="D11" s="915"/>
      <c r="E11" s="915" t="s">
        <v>503</v>
      </c>
      <c r="F11" s="915"/>
      <c r="G11" s="371">
        <v>6</v>
      </c>
      <c r="H11" s="371">
        <v>4</v>
      </c>
      <c r="I11" s="371">
        <v>5</v>
      </c>
      <c r="J11" s="371">
        <v>2</v>
      </c>
      <c r="K11" s="371">
        <v>5</v>
      </c>
      <c r="L11" s="371"/>
      <c r="M11" s="210">
        <v>5</v>
      </c>
      <c r="N11" s="210" t="s">
        <v>643</v>
      </c>
      <c r="O11" s="210" t="s">
        <v>643</v>
      </c>
      <c r="P11" s="210" t="s">
        <v>637</v>
      </c>
      <c r="Q11" s="210" t="s">
        <v>194</v>
      </c>
      <c r="R11" s="210" t="s">
        <v>194</v>
      </c>
      <c r="S11" s="210" t="s">
        <v>194</v>
      </c>
      <c r="T11" s="210" t="s">
        <v>194</v>
      </c>
      <c r="U11" s="210" t="s">
        <v>194</v>
      </c>
      <c r="V11" s="210" t="s">
        <v>194</v>
      </c>
      <c r="X11" s="155" t="s">
        <v>941</v>
      </c>
      <c r="Y11" s="155" t="s">
        <v>942</v>
      </c>
      <c r="Z11" s="155" t="s">
        <v>638</v>
      </c>
      <c r="AA11" s="155" t="s">
        <v>644</v>
      </c>
      <c r="AB11" s="155" t="s">
        <v>645</v>
      </c>
    </row>
    <row r="12" spans="1:80" ht="24" customHeight="1" thickTop="1" thickBot="1">
      <c r="A12" s="229">
        <v>7</v>
      </c>
      <c r="B12" s="915" t="s">
        <v>653</v>
      </c>
      <c r="C12" s="915"/>
      <c r="D12" s="915"/>
      <c r="E12" s="915" t="s">
        <v>503</v>
      </c>
      <c r="F12" s="915"/>
      <c r="G12" s="218">
        <v>7</v>
      </c>
      <c r="H12" s="218">
        <v>5</v>
      </c>
      <c r="I12" s="218">
        <v>5</v>
      </c>
      <c r="J12" s="218">
        <v>2</v>
      </c>
      <c r="K12" s="218">
        <v>5</v>
      </c>
      <c r="L12" s="218"/>
      <c r="M12" s="151">
        <v>6</v>
      </c>
      <c r="N12" s="151" t="s">
        <v>654</v>
      </c>
      <c r="O12" s="151" t="s">
        <v>643</v>
      </c>
      <c r="P12" s="151" t="s">
        <v>637</v>
      </c>
      <c r="Q12" s="151" t="s">
        <v>634</v>
      </c>
      <c r="R12" s="151" t="s">
        <v>194</v>
      </c>
      <c r="S12" s="151" t="s">
        <v>194</v>
      </c>
      <c r="T12" s="151" t="s">
        <v>194</v>
      </c>
      <c r="U12" s="151" t="s">
        <v>194</v>
      </c>
      <c r="V12" s="151" t="s">
        <v>194</v>
      </c>
      <c r="X12" s="157" t="s">
        <v>943</v>
      </c>
      <c r="Y12" s="157" t="s">
        <v>944</v>
      </c>
      <c r="Z12" s="157" t="s">
        <v>647</v>
      </c>
      <c r="AA12" s="157" t="s">
        <v>648</v>
      </c>
      <c r="AB12" s="157" t="s">
        <v>649</v>
      </c>
    </row>
    <row r="13" spans="1:80" ht="25.5" customHeight="1" thickTop="1" thickBot="1">
      <c r="A13" s="229">
        <v>8</v>
      </c>
      <c r="B13" s="915" t="s">
        <v>475</v>
      </c>
      <c r="C13" s="915"/>
      <c r="D13" s="915"/>
      <c r="E13" s="915" t="s">
        <v>503</v>
      </c>
      <c r="F13" s="915"/>
      <c r="G13" s="371">
        <v>8</v>
      </c>
      <c r="H13" s="371">
        <v>6</v>
      </c>
      <c r="I13" s="371">
        <v>6</v>
      </c>
      <c r="J13" s="371">
        <v>2</v>
      </c>
      <c r="K13" s="371">
        <v>6</v>
      </c>
      <c r="L13" s="371"/>
      <c r="M13" s="210">
        <v>6</v>
      </c>
      <c r="N13" s="210" t="s">
        <v>654</v>
      </c>
      <c r="O13" s="210" t="s">
        <v>643</v>
      </c>
      <c r="P13" s="210" t="s">
        <v>643</v>
      </c>
      <c r="Q13" s="210" t="s">
        <v>637</v>
      </c>
      <c r="R13" s="210" t="s">
        <v>194</v>
      </c>
      <c r="S13" s="210" t="s">
        <v>194</v>
      </c>
      <c r="T13" s="210" t="s">
        <v>194</v>
      </c>
      <c r="U13" s="210" t="s">
        <v>194</v>
      </c>
      <c r="V13" s="210" t="s">
        <v>194</v>
      </c>
      <c r="X13" s="155" t="s">
        <v>945</v>
      </c>
      <c r="Y13" s="155" t="s">
        <v>946</v>
      </c>
      <c r="Z13" s="155" t="s">
        <v>647</v>
      </c>
      <c r="AA13" s="155" t="s">
        <v>651</v>
      </c>
      <c r="AB13" s="155" t="s">
        <v>652</v>
      </c>
    </row>
    <row r="14" spans="1:80" ht="27.75" customHeight="1" thickTop="1" thickBot="1">
      <c r="A14" s="229">
        <v>9</v>
      </c>
      <c r="B14" s="915" t="s">
        <v>596</v>
      </c>
      <c r="C14" s="915"/>
      <c r="D14" s="915"/>
      <c r="E14" s="915" t="s">
        <v>168</v>
      </c>
      <c r="F14" s="915"/>
      <c r="G14" s="218">
        <v>9</v>
      </c>
      <c r="H14" s="218">
        <v>6</v>
      </c>
      <c r="I14" s="218">
        <v>6</v>
      </c>
      <c r="J14" s="218">
        <v>3</v>
      </c>
      <c r="K14" s="218">
        <v>6</v>
      </c>
      <c r="L14" s="218"/>
      <c r="M14" s="151">
        <v>6</v>
      </c>
      <c r="N14" s="151" t="s">
        <v>654</v>
      </c>
      <c r="O14" s="151" t="s">
        <v>654</v>
      </c>
      <c r="P14" s="151" t="s">
        <v>643</v>
      </c>
      <c r="Q14" s="151" t="s">
        <v>637</v>
      </c>
      <c r="R14" s="151" t="s">
        <v>634</v>
      </c>
      <c r="S14" s="151" t="s">
        <v>194</v>
      </c>
      <c r="T14" s="151" t="s">
        <v>194</v>
      </c>
      <c r="U14" s="151" t="s">
        <v>194</v>
      </c>
      <c r="V14" s="151" t="s">
        <v>194</v>
      </c>
      <c r="X14" s="157" t="s">
        <v>947</v>
      </c>
      <c r="Y14" s="157" t="s">
        <v>968</v>
      </c>
      <c r="Z14" s="157" t="s">
        <v>655</v>
      </c>
      <c r="AA14" s="157" t="s">
        <v>656</v>
      </c>
      <c r="AB14" s="157" t="s">
        <v>657</v>
      </c>
    </row>
    <row r="15" spans="1:80" ht="22.5" customHeight="1" thickTop="1" thickBot="1">
      <c r="A15" s="229">
        <v>10</v>
      </c>
      <c r="B15" s="915" t="s">
        <v>590</v>
      </c>
      <c r="C15" s="915"/>
      <c r="D15" s="915"/>
      <c r="E15" s="915" t="s">
        <v>503</v>
      </c>
      <c r="F15" s="915"/>
      <c r="G15" s="371">
        <v>10</v>
      </c>
      <c r="H15" s="371">
        <v>7</v>
      </c>
      <c r="I15" s="371">
        <v>7</v>
      </c>
      <c r="J15" s="371">
        <v>3</v>
      </c>
      <c r="K15" s="371">
        <v>7</v>
      </c>
      <c r="L15" s="371"/>
      <c r="M15" s="210">
        <v>6</v>
      </c>
      <c r="N15" s="210" t="s">
        <v>654</v>
      </c>
      <c r="O15" s="210" t="s">
        <v>654</v>
      </c>
      <c r="P15" s="210" t="s">
        <v>643</v>
      </c>
      <c r="Q15" s="210" t="s">
        <v>643</v>
      </c>
      <c r="R15" s="210" t="s">
        <v>637</v>
      </c>
      <c r="S15" s="210" t="s">
        <v>194</v>
      </c>
      <c r="T15" s="210" t="s">
        <v>194</v>
      </c>
      <c r="U15" s="210" t="s">
        <v>194</v>
      </c>
      <c r="V15" s="210" t="s">
        <v>194</v>
      </c>
      <c r="X15" s="155" t="s">
        <v>948</v>
      </c>
      <c r="Y15" s="155" t="s">
        <v>949</v>
      </c>
      <c r="Z15" s="155" t="s">
        <v>655</v>
      </c>
      <c r="AA15" s="155" t="s">
        <v>658</v>
      </c>
      <c r="AB15" s="155" t="s">
        <v>659</v>
      </c>
    </row>
    <row r="16" spans="1:80" ht="20.25" thickTop="1" thickBot="1">
      <c r="G16" s="218">
        <v>11</v>
      </c>
      <c r="H16" s="218">
        <v>8</v>
      </c>
      <c r="I16" s="218">
        <v>7</v>
      </c>
      <c r="J16" s="218">
        <v>3</v>
      </c>
      <c r="K16" s="218">
        <v>7</v>
      </c>
      <c r="L16" s="218"/>
      <c r="M16" s="151">
        <v>6</v>
      </c>
      <c r="N16" s="151" t="s">
        <v>665</v>
      </c>
      <c r="O16" s="151" t="s">
        <v>654</v>
      </c>
      <c r="P16" s="151" t="s">
        <v>654</v>
      </c>
      <c r="Q16" s="151" t="s">
        <v>643</v>
      </c>
      <c r="R16" s="151" t="s">
        <v>637</v>
      </c>
      <c r="S16" s="151" t="s">
        <v>634</v>
      </c>
      <c r="T16" s="151" t="s">
        <v>194</v>
      </c>
      <c r="U16" s="151" t="s">
        <v>194</v>
      </c>
      <c r="V16" s="151" t="s">
        <v>194</v>
      </c>
      <c r="X16" s="157" t="s">
        <v>950</v>
      </c>
      <c r="Y16" s="157" t="s">
        <v>951</v>
      </c>
      <c r="Z16" s="157" t="s">
        <v>660</v>
      </c>
      <c r="AA16" s="157" t="s">
        <v>661</v>
      </c>
      <c r="AB16" s="157" t="s">
        <v>662</v>
      </c>
    </row>
    <row r="17" spans="7:28" ht="20.25" thickTop="1" thickBot="1">
      <c r="G17" s="371">
        <v>12</v>
      </c>
      <c r="H17" s="371">
        <v>9</v>
      </c>
      <c r="I17" s="371">
        <v>8</v>
      </c>
      <c r="J17" s="371">
        <v>4</v>
      </c>
      <c r="K17" s="371">
        <v>8</v>
      </c>
      <c r="L17" s="371"/>
      <c r="M17" s="210">
        <v>6</v>
      </c>
      <c r="N17" s="210" t="s">
        <v>665</v>
      </c>
      <c r="O17" s="210" t="s">
        <v>654</v>
      </c>
      <c r="P17" s="210" t="s">
        <v>654</v>
      </c>
      <c r="Q17" s="210" t="s">
        <v>643</v>
      </c>
      <c r="R17" s="210" t="s">
        <v>643</v>
      </c>
      <c r="S17" s="210" t="s">
        <v>637</v>
      </c>
      <c r="T17" s="210" t="s">
        <v>194</v>
      </c>
      <c r="U17" s="210" t="s">
        <v>194</v>
      </c>
      <c r="V17" s="210" t="s">
        <v>194</v>
      </c>
      <c r="X17" s="155" t="s">
        <v>952</v>
      </c>
      <c r="Y17" s="155" t="s">
        <v>953</v>
      </c>
      <c r="Z17" s="155" t="s">
        <v>660</v>
      </c>
      <c r="AA17" s="155" t="s">
        <v>663</v>
      </c>
      <c r="AB17" s="155" t="s">
        <v>664</v>
      </c>
    </row>
    <row r="18" spans="7:28" ht="31.5" thickTop="1" thickBot="1">
      <c r="G18" s="218">
        <v>13</v>
      </c>
      <c r="H18" s="218">
        <v>9</v>
      </c>
      <c r="I18" s="218">
        <v>8</v>
      </c>
      <c r="J18" s="218">
        <v>4</v>
      </c>
      <c r="K18" s="218">
        <v>8</v>
      </c>
      <c r="L18" s="218"/>
      <c r="M18" s="151">
        <v>6</v>
      </c>
      <c r="N18" s="151" t="s">
        <v>665</v>
      </c>
      <c r="O18" s="151" t="s">
        <v>665</v>
      </c>
      <c r="P18" s="151" t="s">
        <v>654</v>
      </c>
      <c r="Q18" s="151" t="s">
        <v>654</v>
      </c>
      <c r="R18" s="151" t="s">
        <v>643</v>
      </c>
      <c r="S18" s="151" t="s">
        <v>637</v>
      </c>
      <c r="T18" s="151" t="s">
        <v>634</v>
      </c>
      <c r="U18" s="151" t="s">
        <v>194</v>
      </c>
      <c r="V18" s="151" t="s">
        <v>194</v>
      </c>
      <c r="X18" s="157" t="s">
        <v>954</v>
      </c>
      <c r="Y18" s="157" t="s">
        <v>955</v>
      </c>
      <c r="Z18" s="157" t="s">
        <v>660</v>
      </c>
      <c r="AA18" s="157" t="s">
        <v>666</v>
      </c>
      <c r="AB18" s="157" t="s">
        <v>667</v>
      </c>
    </row>
    <row r="19" spans="7:28" ht="20.25" thickTop="1" thickBot="1">
      <c r="G19" s="371">
        <v>14</v>
      </c>
      <c r="H19" s="371">
        <v>10</v>
      </c>
      <c r="I19" s="371">
        <v>9</v>
      </c>
      <c r="J19" s="371">
        <v>4</v>
      </c>
      <c r="K19" s="371">
        <v>9</v>
      </c>
      <c r="L19" s="371"/>
      <c r="M19" s="210">
        <v>6</v>
      </c>
      <c r="N19" s="210" t="s">
        <v>665</v>
      </c>
      <c r="O19" s="210" t="s">
        <v>665</v>
      </c>
      <c r="P19" s="210" t="s">
        <v>654</v>
      </c>
      <c r="Q19" s="210" t="s">
        <v>654</v>
      </c>
      <c r="R19" s="210" t="s">
        <v>643</v>
      </c>
      <c r="S19" s="210" t="s">
        <v>643</v>
      </c>
      <c r="T19" s="210" t="s">
        <v>637</v>
      </c>
      <c r="U19" s="210" t="s">
        <v>194</v>
      </c>
      <c r="V19" s="210" t="s">
        <v>194</v>
      </c>
      <c r="X19" s="155" t="s">
        <v>956</v>
      </c>
      <c r="Y19" s="155" t="s">
        <v>957</v>
      </c>
      <c r="Z19" s="155" t="s">
        <v>668</v>
      </c>
      <c r="AA19" s="155" t="s">
        <v>669</v>
      </c>
      <c r="AB19" s="155" t="s">
        <v>670</v>
      </c>
    </row>
    <row r="20" spans="7:28" ht="20.25" thickTop="1" thickBot="1">
      <c r="G20" s="218">
        <v>15</v>
      </c>
      <c r="H20" s="218">
        <v>11</v>
      </c>
      <c r="I20" s="218">
        <v>9</v>
      </c>
      <c r="J20" s="218">
        <v>5</v>
      </c>
      <c r="K20" s="218">
        <v>9</v>
      </c>
      <c r="L20" s="218"/>
      <c r="M20" s="151">
        <v>6</v>
      </c>
      <c r="N20" s="151" t="s">
        <v>665</v>
      </c>
      <c r="O20" s="151" t="s">
        <v>665</v>
      </c>
      <c r="P20" s="151" t="s">
        <v>665</v>
      </c>
      <c r="Q20" s="151" t="s">
        <v>654</v>
      </c>
      <c r="R20" s="151" t="s">
        <v>654</v>
      </c>
      <c r="S20" s="151" t="s">
        <v>643</v>
      </c>
      <c r="T20" s="151" t="s">
        <v>637</v>
      </c>
      <c r="U20" s="151" t="s">
        <v>634</v>
      </c>
      <c r="V20" s="151" t="s">
        <v>194</v>
      </c>
      <c r="X20" s="157" t="s">
        <v>958</v>
      </c>
      <c r="Y20" s="157" t="s">
        <v>959</v>
      </c>
      <c r="Z20" s="157" t="s">
        <v>671</v>
      </c>
      <c r="AA20" s="157" t="s">
        <v>672</v>
      </c>
      <c r="AB20" s="157" t="s">
        <v>673</v>
      </c>
    </row>
    <row r="21" spans="7:28" ht="20.25" thickTop="1" thickBot="1">
      <c r="G21" s="371">
        <v>16</v>
      </c>
      <c r="H21" s="371">
        <v>12</v>
      </c>
      <c r="I21" s="371">
        <v>10</v>
      </c>
      <c r="J21" s="371">
        <v>5</v>
      </c>
      <c r="K21" s="371">
        <v>10</v>
      </c>
      <c r="L21" s="371"/>
      <c r="M21" s="210">
        <v>6</v>
      </c>
      <c r="N21" s="210" t="s">
        <v>665</v>
      </c>
      <c r="O21" s="210" t="s">
        <v>665</v>
      </c>
      <c r="P21" s="210" t="s">
        <v>665</v>
      </c>
      <c r="Q21" s="210" t="s">
        <v>654</v>
      </c>
      <c r="R21" s="210" t="s">
        <v>654</v>
      </c>
      <c r="S21" s="210" t="s">
        <v>643</v>
      </c>
      <c r="T21" s="210" t="s">
        <v>643</v>
      </c>
      <c r="U21" s="210" t="s">
        <v>637</v>
      </c>
      <c r="V21" s="210" t="s">
        <v>194</v>
      </c>
      <c r="X21" s="155" t="s">
        <v>960</v>
      </c>
      <c r="Y21" s="155" t="s">
        <v>961</v>
      </c>
      <c r="Z21" s="155" t="s">
        <v>674</v>
      </c>
      <c r="AA21" s="155" t="s">
        <v>675</v>
      </c>
      <c r="AB21" s="155" t="s">
        <v>676</v>
      </c>
    </row>
    <row r="22" spans="7:28" ht="20.25" thickTop="1" thickBot="1">
      <c r="G22" s="218">
        <v>17</v>
      </c>
      <c r="H22" s="218">
        <v>12</v>
      </c>
      <c r="I22" s="218">
        <v>10</v>
      </c>
      <c r="J22" s="218">
        <v>5</v>
      </c>
      <c r="K22" s="218">
        <v>10</v>
      </c>
      <c r="L22" s="218"/>
      <c r="M22" s="151">
        <v>6</v>
      </c>
      <c r="N22" s="151" t="s">
        <v>665</v>
      </c>
      <c r="O22" s="151" t="s">
        <v>665</v>
      </c>
      <c r="P22" s="151" t="s">
        <v>665</v>
      </c>
      <c r="Q22" s="151" t="s">
        <v>665</v>
      </c>
      <c r="R22" s="151" t="s">
        <v>654</v>
      </c>
      <c r="S22" s="151" t="s">
        <v>654</v>
      </c>
      <c r="T22" s="151" t="s">
        <v>643</v>
      </c>
      <c r="U22" s="151" t="s">
        <v>637</v>
      </c>
      <c r="V22" s="151" t="s">
        <v>634</v>
      </c>
      <c r="X22" s="157" t="s">
        <v>962</v>
      </c>
      <c r="Y22" s="157" t="s">
        <v>963</v>
      </c>
      <c r="Z22" s="157" t="s">
        <v>674</v>
      </c>
      <c r="AA22" s="157" t="s">
        <v>677</v>
      </c>
      <c r="AB22" s="157" t="s">
        <v>678</v>
      </c>
    </row>
    <row r="23" spans="7:28" ht="20.25" thickTop="1" thickBot="1">
      <c r="G23" s="371">
        <v>18</v>
      </c>
      <c r="H23" s="371">
        <v>13</v>
      </c>
      <c r="I23" s="371">
        <v>11</v>
      </c>
      <c r="J23" s="371">
        <v>6</v>
      </c>
      <c r="K23" s="371">
        <v>11</v>
      </c>
      <c r="L23" s="371"/>
      <c r="M23" s="210">
        <v>6</v>
      </c>
      <c r="N23" s="210" t="s">
        <v>665</v>
      </c>
      <c r="O23" s="210" t="s">
        <v>665</v>
      </c>
      <c r="P23" s="210" t="s">
        <v>665</v>
      </c>
      <c r="Q23" s="210" t="s">
        <v>665</v>
      </c>
      <c r="R23" s="210" t="s">
        <v>654</v>
      </c>
      <c r="S23" s="210" t="s">
        <v>654</v>
      </c>
      <c r="T23" s="210" t="s">
        <v>643</v>
      </c>
      <c r="U23" s="210" t="s">
        <v>643</v>
      </c>
      <c r="V23" s="210" t="s">
        <v>637</v>
      </c>
      <c r="X23" s="155" t="s">
        <v>964</v>
      </c>
      <c r="Y23" s="155" t="s">
        <v>965</v>
      </c>
      <c r="Z23" s="155" t="s">
        <v>679</v>
      </c>
      <c r="AA23" s="155" t="s">
        <v>680</v>
      </c>
      <c r="AB23" s="155" t="s">
        <v>681</v>
      </c>
    </row>
    <row r="24" spans="7:28" ht="20.25" thickTop="1" thickBot="1">
      <c r="G24" s="218">
        <v>19</v>
      </c>
      <c r="H24" s="218">
        <v>14</v>
      </c>
      <c r="I24" s="218">
        <v>11</v>
      </c>
      <c r="J24" s="218">
        <v>6</v>
      </c>
      <c r="K24" s="218">
        <v>11</v>
      </c>
      <c r="L24" s="218"/>
      <c r="M24" s="151">
        <v>6</v>
      </c>
      <c r="N24" s="151" t="s">
        <v>665</v>
      </c>
      <c r="O24" s="151" t="s">
        <v>665</v>
      </c>
      <c r="P24" s="151" t="s">
        <v>665</v>
      </c>
      <c r="Q24" s="151" t="s">
        <v>665</v>
      </c>
      <c r="R24" s="151" t="s">
        <v>665</v>
      </c>
      <c r="S24" s="151" t="s">
        <v>654</v>
      </c>
      <c r="T24" s="151" t="s">
        <v>654</v>
      </c>
      <c r="U24" s="151" t="s">
        <v>643</v>
      </c>
      <c r="V24" s="151" t="s">
        <v>643</v>
      </c>
      <c r="X24" s="157" t="s">
        <v>966</v>
      </c>
      <c r="Y24" s="157" t="s">
        <v>967</v>
      </c>
      <c r="Z24" s="157" t="s">
        <v>679</v>
      </c>
      <c r="AA24" s="157" t="s">
        <v>682</v>
      </c>
      <c r="AB24" s="157" t="s">
        <v>683</v>
      </c>
    </row>
    <row r="25" spans="7:28" ht="20.25" thickTop="1" thickBot="1">
      <c r="G25" s="371">
        <v>20</v>
      </c>
      <c r="H25" s="371">
        <v>15</v>
      </c>
      <c r="I25" s="371">
        <v>12</v>
      </c>
      <c r="J25" s="371">
        <v>6</v>
      </c>
      <c r="K25" s="371">
        <v>12</v>
      </c>
      <c r="L25" s="371"/>
      <c r="M25" s="210">
        <v>6</v>
      </c>
      <c r="N25" s="210" t="s">
        <v>665</v>
      </c>
      <c r="O25" s="210" t="s">
        <v>665</v>
      </c>
      <c r="P25" s="210" t="s">
        <v>665</v>
      </c>
      <c r="Q25" s="210" t="s">
        <v>665</v>
      </c>
      <c r="R25" s="210" t="s">
        <v>665</v>
      </c>
      <c r="S25" s="210" t="s">
        <v>654</v>
      </c>
      <c r="T25" s="210" t="s">
        <v>654</v>
      </c>
      <c r="U25" s="210" t="s">
        <v>654</v>
      </c>
      <c r="V25" s="210" t="s">
        <v>654</v>
      </c>
    </row>
    <row r="26" spans="7:28" ht="15.75" thickTop="1"/>
    <row r="28" spans="7:28">
      <c r="X28" s="927" t="s">
        <v>1099</v>
      </c>
      <c r="Y28" s="927"/>
      <c r="Z28" s="927"/>
      <c r="AA28" s="927"/>
      <c r="AB28" s="927"/>
    </row>
    <row r="29" spans="7:28">
      <c r="X29" s="928"/>
      <c r="Y29" s="928"/>
      <c r="Z29" s="928"/>
      <c r="AA29" s="928"/>
      <c r="AB29" s="928"/>
    </row>
    <row r="30" spans="7:28">
      <c r="X30" s="926" t="s">
        <v>969</v>
      </c>
      <c r="Y30" s="926"/>
      <c r="Z30" s="926"/>
      <c r="AA30" s="926"/>
      <c r="AB30" s="926"/>
    </row>
    <row r="31" spans="7:28">
      <c r="X31" s="921" t="s">
        <v>624</v>
      </c>
      <c r="Y31" s="922"/>
      <c r="Z31" s="156" t="s">
        <v>625</v>
      </c>
      <c r="AA31" s="156" t="s">
        <v>626</v>
      </c>
      <c r="AB31" s="156" t="s">
        <v>627</v>
      </c>
    </row>
    <row r="32" spans="7:28" ht="45">
      <c r="X32" s="157" t="s">
        <v>974</v>
      </c>
      <c r="Y32" s="157" t="s">
        <v>975</v>
      </c>
      <c r="Z32" s="157" t="s">
        <v>660</v>
      </c>
      <c r="AA32" s="157" t="s">
        <v>1100</v>
      </c>
      <c r="AB32" s="157" t="s">
        <v>1101</v>
      </c>
    </row>
    <row r="33" spans="24:28" ht="30">
      <c r="X33" s="155" t="s">
        <v>976</v>
      </c>
      <c r="Y33" s="155" t="s">
        <v>977</v>
      </c>
      <c r="Z33" s="155" t="s">
        <v>671</v>
      </c>
      <c r="AA33" s="155" t="s">
        <v>1102</v>
      </c>
      <c r="AB33" s="155" t="s">
        <v>1103</v>
      </c>
    </row>
    <row r="34" spans="24:28" ht="30">
      <c r="X34" s="157" t="s">
        <v>978</v>
      </c>
      <c r="Y34" s="157" t="s">
        <v>979</v>
      </c>
      <c r="Z34" s="157" t="s">
        <v>660</v>
      </c>
      <c r="AA34" s="157" t="s">
        <v>1104</v>
      </c>
      <c r="AB34" s="157" t="s">
        <v>1105</v>
      </c>
    </row>
    <row r="35" spans="24:28" ht="39.75" customHeight="1">
      <c r="X35" s="155" t="s">
        <v>980</v>
      </c>
      <c r="Y35" s="155" t="s">
        <v>981</v>
      </c>
      <c r="Z35" s="155" t="s">
        <v>660</v>
      </c>
      <c r="AA35" s="155" t="s">
        <v>1106</v>
      </c>
      <c r="AB35" s="155" t="s">
        <v>1107</v>
      </c>
    </row>
    <row r="36" spans="24:28" ht="47.25" customHeight="1">
      <c r="X36" s="157" t="s">
        <v>982</v>
      </c>
      <c r="Y36" s="157" t="s">
        <v>983</v>
      </c>
      <c r="Z36" s="157" t="s">
        <v>655</v>
      </c>
      <c r="AA36" s="157" t="s">
        <v>1108</v>
      </c>
      <c r="AB36" s="157" t="s">
        <v>1109</v>
      </c>
    </row>
    <row r="37" spans="24:28" ht="32.25" customHeight="1">
      <c r="X37" s="155" t="s">
        <v>984</v>
      </c>
      <c r="Y37" s="155" t="s">
        <v>985</v>
      </c>
      <c r="Z37" s="155" t="s">
        <v>660</v>
      </c>
      <c r="AA37" s="155" t="s">
        <v>1110</v>
      </c>
      <c r="AB37" s="155" t="s">
        <v>1111</v>
      </c>
    </row>
    <row r="38" spans="24:28" ht="60">
      <c r="X38" s="157" t="s">
        <v>986</v>
      </c>
      <c r="Y38" s="157" t="s">
        <v>987</v>
      </c>
      <c r="Z38" s="157" t="s">
        <v>638</v>
      </c>
      <c r="AA38" s="157" t="s">
        <v>1112</v>
      </c>
      <c r="AB38" s="157" t="s">
        <v>1113</v>
      </c>
    </row>
    <row r="39" spans="24:28" ht="45">
      <c r="X39" s="155" t="s">
        <v>988</v>
      </c>
      <c r="Y39" s="155" t="s">
        <v>989</v>
      </c>
      <c r="Z39" s="155" t="s">
        <v>679</v>
      </c>
      <c r="AA39" s="155" t="s">
        <v>1114</v>
      </c>
      <c r="AB39" s="155" t="s">
        <v>1115</v>
      </c>
    </row>
    <row r="40" spans="24:28" ht="81.75" customHeight="1">
      <c r="X40" s="157" t="s">
        <v>990</v>
      </c>
      <c r="Y40" s="157" t="s">
        <v>991</v>
      </c>
      <c r="Z40" s="157" t="s">
        <v>638</v>
      </c>
      <c r="AA40" s="157" t="s">
        <v>1116</v>
      </c>
      <c r="AB40" s="157" t="s">
        <v>1117</v>
      </c>
    </row>
    <row r="41" spans="24:28" ht="45">
      <c r="X41" s="155" t="s">
        <v>992</v>
      </c>
      <c r="Y41" s="155" t="s">
        <v>993</v>
      </c>
      <c r="Z41" s="155" t="s">
        <v>660</v>
      </c>
      <c r="AA41" s="155" t="s">
        <v>1118</v>
      </c>
      <c r="AB41" s="155" t="s">
        <v>1119</v>
      </c>
    </row>
    <row r="42" spans="24:28" ht="30">
      <c r="X42" s="157" t="s">
        <v>994</v>
      </c>
      <c r="Y42" s="157" t="s">
        <v>995</v>
      </c>
      <c r="Z42" s="157" t="s">
        <v>660</v>
      </c>
      <c r="AA42" s="157" t="s">
        <v>1120</v>
      </c>
      <c r="AB42" s="157" t="s">
        <v>1121</v>
      </c>
    </row>
    <row r="43" spans="24:28" ht="45">
      <c r="X43" s="155" t="s">
        <v>996</v>
      </c>
      <c r="Y43" s="155" t="s">
        <v>997</v>
      </c>
      <c r="Z43" s="155" t="s">
        <v>679</v>
      </c>
      <c r="AA43" s="155" t="s">
        <v>1122</v>
      </c>
      <c r="AB43" s="155" t="s">
        <v>1123</v>
      </c>
    </row>
    <row r="44" spans="24:28" ht="45">
      <c r="X44" s="157" t="s">
        <v>998</v>
      </c>
      <c r="Y44" s="157" t="s">
        <v>999</v>
      </c>
      <c r="Z44" s="157" t="s">
        <v>647</v>
      </c>
      <c r="AA44" s="157" t="s">
        <v>1124</v>
      </c>
      <c r="AB44" s="157" t="s">
        <v>1125</v>
      </c>
    </row>
    <row r="45" spans="24:28" ht="60">
      <c r="X45" s="155" t="s">
        <v>1000</v>
      </c>
      <c r="Y45" s="155" t="s">
        <v>1001</v>
      </c>
      <c r="Z45" s="155" t="s">
        <v>647</v>
      </c>
      <c r="AA45" s="155" t="s">
        <v>1126</v>
      </c>
      <c r="AB45" s="155" t="s">
        <v>1127</v>
      </c>
    </row>
    <row r="46" spans="24:28" ht="45">
      <c r="X46" s="157" t="s">
        <v>1002</v>
      </c>
      <c r="Y46" s="157" t="s">
        <v>1003</v>
      </c>
      <c r="Z46" s="157" t="s">
        <v>679</v>
      </c>
      <c r="AA46" s="157" t="s">
        <v>1128</v>
      </c>
      <c r="AB46" s="157" t="s">
        <v>1129</v>
      </c>
    </row>
    <row r="47" spans="24:28" ht="30">
      <c r="X47" s="155" t="s">
        <v>1004</v>
      </c>
      <c r="Y47" s="155" t="s">
        <v>1005</v>
      </c>
      <c r="Z47" s="155" t="s">
        <v>668</v>
      </c>
      <c r="AA47" s="155" t="s">
        <v>1130</v>
      </c>
      <c r="AB47" s="155" t="s">
        <v>1131</v>
      </c>
    </row>
    <row r="48" spans="24:28" ht="30">
      <c r="X48" s="157" t="s">
        <v>1006</v>
      </c>
      <c r="Y48" s="157" t="s">
        <v>1007</v>
      </c>
      <c r="Z48" s="157" t="s">
        <v>655</v>
      </c>
      <c r="AA48" s="157" t="s">
        <v>1132</v>
      </c>
      <c r="AB48" s="157" t="s">
        <v>1133</v>
      </c>
    </row>
    <row r="49" spans="24:28" ht="30">
      <c r="X49" s="155" t="s">
        <v>1008</v>
      </c>
      <c r="Y49" s="155" t="s">
        <v>1009</v>
      </c>
      <c r="Z49" s="155" t="s">
        <v>660</v>
      </c>
      <c r="AA49" s="155" t="s">
        <v>1134</v>
      </c>
      <c r="AB49" s="155" t="s">
        <v>1135</v>
      </c>
    </row>
    <row r="50" spans="24:28" ht="45">
      <c r="X50" s="157" t="s">
        <v>1010</v>
      </c>
      <c r="Y50" s="157" t="s">
        <v>1011</v>
      </c>
      <c r="Z50" s="157" t="s">
        <v>638</v>
      </c>
      <c r="AA50" s="157" t="s">
        <v>1136</v>
      </c>
      <c r="AB50" s="157" t="s">
        <v>1137</v>
      </c>
    </row>
    <row r="51" spans="24:28" ht="60">
      <c r="X51" s="155" t="s">
        <v>1012</v>
      </c>
      <c r="Y51" s="155" t="s">
        <v>1013</v>
      </c>
      <c r="Z51" s="155" t="s">
        <v>674</v>
      </c>
      <c r="AA51" s="155" t="s">
        <v>1138</v>
      </c>
      <c r="AB51" s="155" t="s">
        <v>1139</v>
      </c>
    </row>
    <row r="52" spans="24:28" ht="60">
      <c r="X52" s="157" t="s">
        <v>1014</v>
      </c>
      <c r="Y52" s="157" t="s">
        <v>1015</v>
      </c>
      <c r="Z52" s="157" t="s">
        <v>671</v>
      </c>
      <c r="AA52" s="157" t="s">
        <v>1140</v>
      </c>
      <c r="AB52" s="157" t="s">
        <v>1141</v>
      </c>
    </row>
    <row r="53" spans="24:28">
      <c r="X53" s="923" t="s">
        <v>970</v>
      </c>
      <c r="Y53" s="924"/>
      <c r="Z53" s="924"/>
      <c r="AA53" s="924"/>
      <c r="AB53" s="925"/>
    </row>
    <row r="54" spans="24:28" ht="30">
      <c r="X54" s="157" t="s">
        <v>1016</v>
      </c>
      <c r="Y54" s="157" t="s">
        <v>1017</v>
      </c>
      <c r="Z54" s="157"/>
      <c r="AA54" s="157"/>
      <c r="AB54" s="157"/>
    </row>
    <row r="55" spans="24:28" ht="60">
      <c r="X55" s="155" t="s">
        <v>1018</v>
      </c>
      <c r="Y55" s="155" t="s">
        <v>1019</v>
      </c>
      <c r="Z55" s="155"/>
      <c r="AA55" s="155"/>
      <c r="AB55" s="155"/>
    </row>
    <row r="56" spans="24:28" ht="45">
      <c r="X56" s="157" t="s">
        <v>1020</v>
      </c>
      <c r="Y56" s="157" t="s">
        <v>1021</v>
      </c>
      <c r="Z56" s="157"/>
      <c r="AA56" s="157"/>
      <c r="AB56" s="157"/>
    </row>
    <row r="57" spans="24:28" ht="45">
      <c r="X57" s="155" t="s">
        <v>1022</v>
      </c>
      <c r="Y57" s="155" t="s">
        <v>1023</v>
      </c>
      <c r="Z57" s="155"/>
      <c r="AA57" s="155"/>
      <c r="AB57" s="155"/>
    </row>
    <row r="58" spans="24:28" ht="45">
      <c r="X58" s="157" t="s">
        <v>1024</v>
      </c>
      <c r="Y58" s="157" t="s">
        <v>1025</v>
      </c>
      <c r="Z58" s="157"/>
      <c r="AA58" s="157"/>
      <c r="AB58" s="157"/>
    </row>
    <row r="59" spans="24:28" ht="30">
      <c r="X59" s="155" t="s">
        <v>1026</v>
      </c>
      <c r="Y59" s="155" t="s">
        <v>1027</v>
      </c>
      <c r="Z59" s="155"/>
      <c r="AA59" s="155"/>
      <c r="AB59" s="155"/>
    </row>
    <row r="60" spans="24:28" ht="45">
      <c r="X60" s="157" t="s">
        <v>1028</v>
      </c>
      <c r="Y60" s="157" t="s">
        <v>1029</v>
      </c>
      <c r="Z60" s="157"/>
      <c r="AA60" s="157"/>
      <c r="AB60" s="157"/>
    </row>
    <row r="61" spans="24:28">
      <c r="X61" s="155" t="s">
        <v>971</v>
      </c>
      <c r="Y61" s="155"/>
      <c r="Z61" s="155"/>
      <c r="AA61" s="155"/>
      <c r="AB61" s="155"/>
    </row>
    <row r="62" spans="24:28" ht="30">
      <c r="X62" s="157" t="s">
        <v>1030</v>
      </c>
      <c r="Y62" s="157" t="s">
        <v>1031</v>
      </c>
      <c r="Z62" s="157"/>
      <c r="AA62" s="157"/>
      <c r="AB62" s="157"/>
    </row>
    <row r="63" spans="24:28" ht="45">
      <c r="X63" s="155" t="s">
        <v>1032</v>
      </c>
      <c r="Y63" s="155" t="s">
        <v>1033</v>
      </c>
      <c r="Z63" s="155"/>
      <c r="AA63" s="155"/>
      <c r="AB63" s="155"/>
    </row>
    <row r="64" spans="24:28" ht="45">
      <c r="X64" s="157" t="s">
        <v>1034</v>
      </c>
      <c r="Y64" s="157" t="s">
        <v>1035</v>
      </c>
      <c r="Z64" s="157"/>
      <c r="AA64" s="157"/>
      <c r="AB64" s="157"/>
    </row>
    <row r="65" spans="24:28" ht="30">
      <c r="X65" s="155" t="s">
        <v>1036</v>
      </c>
      <c r="Y65" s="155" t="s">
        <v>1037</v>
      </c>
      <c r="Z65" s="155"/>
      <c r="AA65" s="155"/>
      <c r="AB65" s="155"/>
    </row>
    <row r="66" spans="24:28" ht="30">
      <c r="X66" s="157" t="s">
        <v>1038</v>
      </c>
      <c r="Y66" s="157" t="s">
        <v>1039</v>
      </c>
      <c r="Z66" s="157"/>
      <c r="AA66" s="157"/>
      <c r="AB66" s="157"/>
    </row>
    <row r="67" spans="24:28">
      <c r="X67" s="155" t="s">
        <v>1040</v>
      </c>
      <c r="Y67" s="155" t="s">
        <v>1041</v>
      </c>
      <c r="Z67" s="155"/>
      <c r="AA67" s="155"/>
      <c r="AB67" s="155"/>
    </row>
    <row r="68" spans="24:28" ht="30">
      <c r="X68" s="157" t="s">
        <v>1042</v>
      </c>
      <c r="Y68" s="157" t="s">
        <v>1043</v>
      </c>
      <c r="Z68" s="157"/>
      <c r="AA68" s="157"/>
      <c r="AB68" s="157"/>
    </row>
    <row r="69" spans="24:28">
      <c r="X69" s="155" t="s">
        <v>1044</v>
      </c>
      <c r="Y69" s="155" t="s">
        <v>1045</v>
      </c>
      <c r="Z69" s="155"/>
      <c r="AA69" s="155"/>
      <c r="AB69" s="155"/>
    </row>
    <row r="70" spans="24:28">
      <c r="X70" s="157" t="s">
        <v>1046</v>
      </c>
      <c r="Y70" s="157" t="s">
        <v>1047</v>
      </c>
      <c r="Z70" s="157"/>
      <c r="AA70" s="157"/>
      <c r="AB70" s="157"/>
    </row>
    <row r="71" spans="24:28" ht="45">
      <c r="X71" s="155" t="s">
        <v>1048</v>
      </c>
      <c r="Y71" s="155" t="s">
        <v>1049</v>
      </c>
      <c r="Z71" s="155"/>
      <c r="AA71" s="155"/>
      <c r="AB71" s="155"/>
    </row>
    <row r="72" spans="24:28" ht="45">
      <c r="X72" s="157" t="s">
        <v>1050</v>
      </c>
      <c r="Y72" s="157" t="s">
        <v>1051</v>
      </c>
      <c r="Z72" s="157"/>
      <c r="AA72" s="157"/>
      <c r="AB72" s="157"/>
    </row>
    <row r="73" spans="24:28" ht="30">
      <c r="X73" s="155" t="s">
        <v>1052</v>
      </c>
      <c r="Y73" s="155" t="s">
        <v>1053</v>
      </c>
      <c r="Z73" s="155"/>
      <c r="AA73" s="155"/>
      <c r="AB73" s="155"/>
    </row>
    <row r="74" spans="24:28" ht="45">
      <c r="X74" s="157" t="s">
        <v>1054</v>
      </c>
      <c r="Y74" s="157" t="s">
        <v>1055</v>
      </c>
      <c r="Z74" s="157"/>
      <c r="AA74" s="157"/>
      <c r="AB74" s="157"/>
    </row>
    <row r="75" spans="24:28" ht="45">
      <c r="X75" s="155" t="s">
        <v>1056</v>
      </c>
      <c r="Y75" s="155" t="s">
        <v>1057</v>
      </c>
      <c r="Z75" s="155"/>
      <c r="AA75" s="155"/>
      <c r="AB75" s="155"/>
    </row>
    <row r="76" spans="24:28">
      <c r="X76" s="923" t="s">
        <v>972</v>
      </c>
      <c r="Y76" s="924"/>
      <c r="Z76" s="924"/>
      <c r="AA76" s="924"/>
      <c r="AB76" s="925"/>
    </row>
    <row r="77" spans="24:28" ht="45">
      <c r="X77" s="157" t="s">
        <v>1058</v>
      </c>
      <c r="Y77" s="157" t="s">
        <v>1059</v>
      </c>
      <c r="Z77" s="157"/>
      <c r="AA77" s="157"/>
      <c r="AB77" s="157"/>
    </row>
    <row r="78" spans="24:28" ht="45">
      <c r="X78" s="155" t="s">
        <v>1060</v>
      </c>
      <c r="Y78" s="155" t="s">
        <v>1061</v>
      </c>
      <c r="Z78" s="155"/>
      <c r="AA78" s="155"/>
      <c r="AB78" s="155"/>
    </row>
    <row r="79" spans="24:28" ht="45">
      <c r="X79" s="157" t="s">
        <v>1062</v>
      </c>
      <c r="Y79" s="157" t="s">
        <v>1063</v>
      </c>
      <c r="Z79" s="157"/>
      <c r="AA79" s="157"/>
      <c r="AB79" s="157"/>
    </row>
    <row r="80" spans="24:28" ht="45">
      <c r="X80" s="155" t="s">
        <v>1064</v>
      </c>
      <c r="Y80" s="155" t="s">
        <v>1065</v>
      </c>
      <c r="Z80" s="155"/>
      <c r="AA80" s="155"/>
      <c r="AB80" s="155"/>
    </row>
    <row r="81" spans="24:28" ht="30">
      <c r="X81" s="157" t="s">
        <v>1066</v>
      </c>
      <c r="Y81" s="157" t="s">
        <v>1067</v>
      </c>
      <c r="Z81" s="157"/>
      <c r="AA81" s="157"/>
      <c r="AB81" s="157"/>
    </row>
    <row r="82" spans="24:28" ht="45">
      <c r="X82" s="155" t="s">
        <v>1068</v>
      </c>
      <c r="Y82" s="155" t="s">
        <v>1069</v>
      </c>
      <c r="Z82" s="155"/>
      <c r="AA82" s="155"/>
      <c r="AB82" s="155"/>
    </row>
    <row r="83" spans="24:28" ht="30">
      <c r="X83" s="157" t="s">
        <v>1070</v>
      </c>
      <c r="Y83" s="157" t="s">
        <v>1071</v>
      </c>
      <c r="Z83" s="157"/>
      <c r="AA83" s="157"/>
      <c r="AB83" s="157"/>
    </row>
    <row r="84" spans="24:28" ht="45">
      <c r="X84" s="155" t="s">
        <v>1072</v>
      </c>
      <c r="Y84" s="155" t="s">
        <v>1073</v>
      </c>
      <c r="Z84" s="155"/>
      <c r="AA84" s="155"/>
      <c r="AB84" s="155"/>
    </row>
    <row r="85" spans="24:28" ht="30">
      <c r="X85" s="157" t="s">
        <v>1074</v>
      </c>
      <c r="Y85" s="157" t="s">
        <v>1075</v>
      </c>
      <c r="Z85" s="157"/>
      <c r="AA85" s="157"/>
      <c r="AB85" s="157"/>
    </row>
    <row r="86" spans="24:28" ht="30">
      <c r="X86" s="155" t="s">
        <v>1076</v>
      </c>
      <c r="Y86" s="155" t="s">
        <v>1077</v>
      </c>
      <c r="Z86" s="155"/>
      <c r="AA86" s="155"/>
      <c r="AB86" s="155"/>
    </row>
    <row r="87" spans="24:28">
      <c r="X87" s="157" t="s">
        <v>1078</v>
      </c>
      <c r="Y87" s="157" t="s">
        <v>1079</v>
      </c>
      <c r="Z87" s="157"/>
      <c r="AA87" s="157"/>
      <c r="AB87" s="157"/>
    </row>
    <row r="88" spans="24:28" ht="30">
      <c r="X88" s="155" t="s">
        <v>1080</v>
      </c>
      <c r="Y88" s="155" t="s">
        <v>1081</v>
      </c>
      <c r="Z88" s="155"/>
      <c r="AA88" s="155"/>
      <c r="AB88" s="155"/>
    </row>
    <row r="89" spans="24:28" ht="30">
      <c r="X89" s="157" t="s">
        <v>1082</v>
      </c>
      <c r="Y89" s="157" t="s">
        <v>1083</v>
      </c>
      <c r="Z89" s="157"/>
      <c r="AA89" s="157"/>
      <c r="AB89" s="157"/>
    </row>
    <row r="90" spans="24:28" ht="45">
      <c r="X90" s="155" t="s">
        <v>1084</v>
      </c>
      <c r="Y90" s="155" t="s">
        <v>1085</v>
      </c>
      <c r="Z90" s="155"/>
      <c r="AA90" s="155"/>
      <c r="AB90" s="155"/>
    </row>
    <row r="91" spans="24:28" ht="30">
      <c r="X91" s="157" t="s">
        <v>1086</v>
      </c>
      <c r="Y91" s="157" t="s">
        <v>1087</v>
      </c>
      <c r="Z91" s="157"/>
      <c r="AA91" s="157"/>
      <c r="AB91" s="157"/>
    </row>
    <row r="92" spans="24:28" ht="75">
      <c r="X92" s="155" t="s">
        <v>1088</v>
      </c>
      <c r="Y92" s="155" t="s">
        <v>1089</v>
      </c>
      <c r="Z92" s="155"/>
      <c r="AA92" s="155"/>
      <c r="AB92" s="155"/>
    </row>
    <row r="93" spans="24:28" ht="45">
      <c r="X93" s="157" t="s">
        <v>1090</v>
      </c>
      <c r="Y93" s="157" t="s">
        <v>1091</v>
      </c>
      <c r="Z93" s="157"/>
      <c r="AA93" s="157"/>
      <c r="AB93" s="157"/>
    </row>
    <row r="94" spans="24:28">
      <c r="X94" s="923" t="s">
        <v>973</v>
      </c>
      <c r="Y94" s="924"/>
      <c r="Z94" s="924"/>
      <c r="AA94" s="924"/>
      <c r="AB94" s="925"/>
    </row>
    <row r="95" spans="24:28" ht="30">
      <c r="X95" s="157" t="s">
        <v>1092</v>
      </c>
      <c r="Y95" s="157" t="s">
        <v>1093</v>
      </c>
      <c r="Z95" s="157"/>
      <c r="AA95" s="157"/>
      <c r="AB95" s="157"/>
    </row>
    <row r="96" spans="24:28">
      <c r="X96" s="155" t="s">
        <v>1094</v>
      </c>
      <c r="Y96" s="155" t="s">
        <v>1095</v>
      </c>
      <c r="Z96" s="155"/>
      <c r="AA96" s="155"/>
      <c r="AB96" s="155"/>
    </row>
    <row r="97" spans="24:28" ht="30">
      <c r="X97" s="157" t="s">
        <v>1096</v>
      </c>
      <c r="Y97" s="157" t="s">
        <v>1097</v>
      </c>
      <c r="Z97" s="157"/>
      <c r="AA97" s="157"/>
      <c r="AB97" s="157"/>
    </row>
  </sheetData>
  <mergeCells count="38">
    <mergeCell ref="X3:AB4"/>
    <mergeCell ref="B14:D14"/>
    <mergeCell ref="X5:Y5"/>
    <mergeCell ref="B6:D6"/>
    <mergeCell ref="B7:D7"/>
    <mergeCell ref="B8:D8"/>
    <mergeCell ref="B9:D9"/>
    <mergeCell ref="I3:I5"/>
    <mergeCell ref="J3:J5"/>
    <mergeCell ref="K3:K5"/>
    <mergeCell ref="L3:L5"/>
    <mergeCell ref="M3:V4"/>
    <mergeCell ref="A1:F3"/>
    <mergeCell ref="G1:G2"/>
    <mergeCell ref="H1:H2"/>
    <mergeCell ref="G3:H4"/>
    <mergeCell ref="A4:F5"/>
    <mergeCell ref="X28:AB29"/>
    <mergeCell ref="B15:D15"/>
    <mergeCell ref="E6:F6"/>
    <mergeCell ref="E7:F7"/>
    <mergeCell ref="E8:F8"/>
    <mergeCell ref="E9:F9"/>
    <mergeCell ref="E10:F10"/>
    <mergeCell ref="E11:F11"/>
    <mergeCell ref="E12:F12"/>
    <mergeCell ref="E13:F13"/>
    <mergeCell ref="E14:F14"/>
    <mergeCell ref="E15:F15"/>
    <mergeCell ref="B10:D10"/>
    <mergeCell ref="B11:D11"/>
    <mergeCell ref="B12:D12"/>
    <mergeCell ref="B13:D13"/>
    <mergeCell ref="X31:Y31"/>
    <mergeCell ref="X53:AB53"/>
    <mergeCell ref="X76:AB76"/>
    <mergeCell ref="X94:AB94"/>
    <mergeCell ref="X30:AB30"/>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Y41"/>
  <sheetViews>
    <sheetView showGridLines="0" showRowColHeaders="0" topLeftCell="E1" workbookViewId="0">
      <selection activeCell="H1" sqref="H1:H2"/>
    </sheetView>
  </sheetViews>
  <sheetFormatPr defaultRowHeight="15"/>
  <cols>
    <col min="12" max="12" width="38" customWidth="1"/>
    <col min="24" max="24" width="24.28515625" customWidth="1"/>
    <col min="25" max="25" width="38.28515625" customWidth="1"/>
  </cols>
  <sheetData>
    <row r="1" spans="1:25" ht="16.5" thickTop="1" thickBot="1">
      <c r="A1" s="950" t="s">
        <v>188</v>
      </c>
      <c r="B1" s="950"/>
      <c r="C1" s="950"/>
      <c r="D1" s="950"/>
      <c r="E1" s="950"/>
      <c r="F1" s="950"/>
      <c r="G1" s="951" t="s">
        <v>26</v>
      </c>
      <c r="H1" s="952">
        <v>4</v>
      </c>
    </row>
    <row r="2" spans="1:25" ht="16.5" thickTop="1" thickBot="1">
      <c r="A2" s="950"/>
      <c r="B2" s="950"/>
      <c r="C2" s="950"/>
      <c r="D2" s="950"/>
      <c r="E2" s="950"/>
      <c r="F2" s="950"/>
      <c r="G2" s="951"/>
      <c r="H2" s="952"/>
    </row>
    <row r="3" spans="1:25" ht="16.5" thickTop="1" thickBot="1">
      <c r="A3" s="950"/>
      <c r="B3" s="950"/>
      <c r="C3" s="950"/>
      <c r="D3" s="950"/>
      <c r="E3" s="950"/>
      <c r="F3" s="950"/>
      <c r="G3" s="953" t="s">
        <v>107</v>
      </c>
      <c r="H3" s="954"/>
      <c r="I3" s="943" t="s">
        <v>580</v>
      </c>
      <c r="J3" s="945" t="s">
        <v>581</v>
      </c>
      <c r="K3" s="945" t="s">
        <v>197</v>
      </c>
      <c r="L3" s="945" t="s">
        <v>468</v>
      </c>
      <c r="M3" s="947" t="s">
        <v>192</v>
      </c>
      <c r="N3" s="948"/>
      <c r="O3" s="948"/>
      <c r="P3" s="948"/>
      <c r="Q3" s="948"/>
      <c r="R3" s="948"/>
      <c r="S3" s="948"/>
      <c r="T3" s="948"/>
      <c r="U3" s="948"/>
      <c r="V3" s="948"/>
    </row>
    <row r="4" spans="1:25" ht="16.5" thickTop="1" thickBot="1">
      <c r="A4" s="955" t="s">
        <v>44</v>
      </c>
      <c r="B4" s="955"/>
      <c r="C4" s="955"/>
      <c r="D4" s="955"/>
      <c r="E4" s="955"/>
      <c r="F4" s="955"/>
      <c r="G4" s="953"/>
      <c r="H4" s="954"/>
      <c r="I4" s="943"/>
      <c r="J4" s="945"/>
      <c r="K4" s="945"/>
      <c r="L4" s="945"/>
      <c r="M4" s="949"/>
      <c r="N4" s="949"/>
      <c r="O4" s="949"/>
      <c r="P4" s="949"/>
      <c r="Q4" s="949"/>
      <c r="R4" s="949"/>
      <c r="S4" s="949"/>
      <c r="T4" s="949"/>
      <c r="U4" s="949"/>
      <c r="V4" s="949"/>
    </row>
    <row r="5" spans="1:25" ht="18.75" customHeight="1" thickTop="1" thickBot="1">
      <c r="A5" s="955"/>
      <c r="B5" s="955"/>
      <c r="C5" s="955"/>
      <c r="D5" s="955"/>
      <c r="E5" s="955"/>
      <c r="F5" s="955"/>
      <c r="G5" s="374" t="s">
        <v>466</v>
      </c>
      <c r="H5" s="375" t="s">
        <v>467</v>
      </c>
      <c r="I5" s="944"/>
      <c r="J5" s="946"/>
      <c r="K5" s="946"/>
      <c r="L5" s="946"/>
      <c r="M5" s="211">
        <v>0</v>
      </c>
      <c r="N5" s="211">
        <v>1</v>
      </c>
      <c r="O5" s="211">
        <v>2</v>
      </c>
      <c r="P5" s="211">
        <v>3</v>
      </c>
      <c r="Q5" s="211">
        <v>4</v>
      </c>
      <c r="R5" s="211">
        <v>5</v>
      </c>
      <c r="S5" s="211">
        <v>6</v>
      </c>
      <c r="T5" s="211">
        <v>7</v>
      </c>
      <c r="U5" s="211">
        <v>8</v>
      </c>
      <c r="V5" s="211">
        <v>9</v>
      </c>
      <c r="X5" s="233" t="s">
        <v>684</v>
      </c>
      <c r="Y5" s="233" t="s">
        <v>468</v>
      </c>
    </row>
    <row r="6" spans="1:25" ht="29.25" customHeight="1" thickTop="1" thickBot="1">
      <c r="A6" s="230">
        <v>1</v>
      </c>
      <c r="B6" s="940" t="s">
        <v>685</v>
      </c>
      <c r="C6" s="940"/>
      <c r="D6" s="940" t="s">
        <v>686</v>
      </c>
      <c r="E6" s="940"/>
      <c r="F6" s="940"/>
      <c r="G6" s="221">
        <v>1</v>
      </c>
      <c r="H6" s="222">
        <v>0</v>
      </c>
      <c r="I6" s="221">
        <v>0</v>
      </c>
      <c r="J6" s="221">
        <v>0</v>
      </c>
      <c r="K6" s="221">
        <v>2</v>
      </c>
      <c r="L6" s="221" t="s">
        <v>687</v>
      </c>
      <c r="M6" s="153">
        <v>3</v>
      </c>
      <c r="N6" s="153">
        <v>1</v>
      </c>
      <c r="O6" s="153" t="s">
        <v>194</v>
      </c>
      <c r="P6" s="153" t="s">
        <v>194</v>
      </c>
      <c r="Q6" s="153" t="s">
        <v>194</v>
      </c>
      <c r="R6" s="153" t="s">
        <v>194</v>
      </c>
      <c r="S6" s="153" t="s">
        <v>194</v>
      </c>
      <c r="T6" s="153" t="s">
        <v>194</v>
      </c>
      <c r="U6" s="153" t="s">
        <v>194</v>
      </c>
      <c r="V6" s="153" t="s">
        <v>194</v>
      </c>
      <c r="X6" s="234" t="s">
        <v>688</v>
      </c>
      <c r="Y6" s="234" t="s">
        <v>689</v>
      </c>
    </row>
    <row r="7" spans="1:25" ht="29.25" customHeight="1" thickTop="1" thickBot="1">
      <c r="A7" s="230">
        <v>2</v>
      </c>
      <c r="B7" s="940" t="s">
        <v>590</v>
      </c>
      <c r="C7" s="940"/>
      <c r="D7" s="940" t="s">
        <v>503</v>
      </c>
      <c r="E7" s="940"/>
      <c r="F7" s="940"/>
      <c r="G7" s="200">
        <v>2</v>
      </c>
      <c r="H7" s="201">
        <v>1</v>
      </c>
      <c r="I7" s="200">
        <v>0</v>
      </c>
      <c r="J7" s="200">
        <v>0</v>
      </c>
      <c r="K7" s="200">
        <v>3</v>
      </c>
      <c r="L7" s="200"/>
      <c r="M7" s="212">
        <v>4</v>
      </c>
      <c r="N7" s="212">
        <v>2</v>
      </c>
      <c r="O7" s="212" t="s">
        <v>194</v>
      </c>
      <c r="P7" s="212" t="s">
        <v>194</v>
      </c>
      <c r="Q7" s="212" t="s">
        <v>194</v>
      </c>
      <c r="R7" s="212" t="s">
        <v>194</v>
      </c>
      <c r="S7" s="212" t="s">
        <v>194</v>
      </c>
      <c r="T7" s="212" t="s">
        <v>194</v>
      </c>
      <c r="U7" s="212" t="s">
        <v>194</v>
      </c>
      <c r="V7" s="212" t="s">
        <v>194</v>
      </c>
      <c r="X7" s="234" t="s">
        <v>690</v>
      </c>
      <c r="Y7" s="234" t="s">
        <v>691</v>
      </c>
    </row>
    <row r="8" spans="1:25" ht="22.5" customHeight="1" thickTop="1" thickBot="1">
      <c r="A8" s="230">
        <v>3</v>
      </c>
      <c r="B8" s="940" t="s">
        <v>64</v>
      </c>
      <c r="C8" s="940"/>
      <c r="D8" s="940" t="s">
        <v>584</v>
      </c>
      <c r="E8" s="940"/>
      <c r="F8" s="940"/>
      <c r="G8" s="221">
        <v>3</v>
      </c>
      <c r="H8" s="223">
        <v>1</v>
      </c>
      <c r="I8" s="221">
        <v>1</v>
      </c>
      <c r="J8" s="221">
        <v>1</v>
      </c>
      <c r="K8" s="221">
        <v>3</v>
      </c>
      <c r="L8" s="221"/>
      <c r="M8" s="153">
        <v>4</v>
      </c>
      <c r="N8" s="153">
        <v>2</v>
      </c>
      <c r="O8" s="153">
        <v>1</v>
      </c>
      <c r="P8" s="153" t="s">
        <v>194</v>
      </c>
      <c r="Q8" s="153" t="s">
        <v>194</v>
      </c>
      <c r="R8" s="153" t="s">
        <v>194</v>
      </c>
      <c r="S8" s="153" t="s">
        <v>194</v>
      </c>
      <c r="T8" s="153" t="s">
        <v>194</v>
      </c>
      <c r="U8" s="153" t="s">
        <v>194</v>
      </c>
      <c r="V8" s="153" t="s">
        <v>194</v>
      </c>
      <c r="X8" s="234" t="s">
        <v>692</v>
      </c>
      <c r="Y8" s="234" t="s">
        <v>693</v>
      </c>
    </row>
    <row r="9" spans="1:25" ht="29.25" customHeight="1" thickTop="1" thickBot="1">
      <c r="A9" s="230">
        <v>4</v>
      </c>
      <c r="B9" s="940" t="s">
        <v>596</v>
      </c>
      <c r="C9" s="940"/>
      <c r="D9" s="940" t="s">
        <v>168</v>
      </c>
      <c r="E9" s="940"/>
      <c r="F9" s="940"/>
      <c r="G9" s="200">
        <v>4</v>
      </c>
      <c r="H9" s="201">
        <v>2</v>
      </c>
      <c r="I9" s="200">
        <v>1</v>
      </c>
      <c r="J9" s="200">
        <v>1</v>
      </c>
      <c r="K9" s="200">
        <v>4</v>
      </c>
      <c r="L9" s="200"/>
      <c r="M9" s="212">
        <v>4</v>
      </c>
      <c r="N9" s="212">
        <v>3</v>
      </c>
      <c r="O9" s="212">
        <v>2</v>
      </c>
      <c r="P9" s="212" t="s">
        <v>194</v>
      </c>
      <c r="Q9" s="212" t="s">
        <v>194</v>
      </c>
      <c r="R9" s="212" t="s">
        <v>194</v>
      </c>
      <c r="S9" s="212" t="s">
        <v>194</v>
      </c>
      <c r="T9" s="212" t="s">
        <v>194</v>
      </c>
      <c r="U9" s="212" t="s">
        <v>194</v>
      </c>
      <c r="V9" s="212" t="s">
        <v>194</v>
      </c>
      <c r="X9" s="234" t="s">
        <v>694</v>
      </c>
      <c r="Y9" s="234" t="s">
        <v>695</v>
      </c>
    </row>
    <row r="10" spans="1:25" ht="29.25" customHeight="1" thickTop="1" thickBot="1">
      <c r="A10" s="230">
        <v>5</v>
      </c>
      <c r="B10" s="940" t="s">
        <v>696</v>
      </c>
      <c r="C10" s="940"/>
      <c r="D10" s="940" t="s">
        <v>503</v>
      </c>
      <c r="E10" s="940"/>
      <c r="F10" s="940"/>
      <c r="G10" s="221">
        <v>5</v>
      </c>
      <c r="H10" s="223">
        <v>2</v>
      </c>
      <c r="I10" s="221">
        <v>1</v>
      </c>
      <c r="J10" s="221">
        <v>1</v>
      </c>
      <c r="K10" s="221">
        <v>4</v>
      </c>
      <c r="L10" s="221" t="s">
        <v>697</v>
      </c>
      <c r="M10" s="153">
        <v>4</v>
      </c>
      <c r="N10" s="153">
        <v>3</v>
      </c>
      <c r="O10" s="153">
        <v>2</v>
      </c>
      <c r="P10" s="153">
        <v>1</v>
      </c>
      <c r="Q10" s="153" t="s">
        <v>194</v>
      </c>
      <c r="R10" s="153" t="s">
        <v>194</v>
      </c>
      <c r="S10" s="153" t="s">
        <v>194</v>
      </c>
      <c r="T10" s="153" t="s">
        <v>194</v>
      </c>
      <c r="U10" s="153" t="s">
        <v>194</v>
      </c>
      <c r="V10" s="153" t="s">
        <v>194</v>
      </c>
      <c r="X10" s="234" t="s">
        <v>698</v>
      </c>
      <c r="Y10" s="234" t="s">
        <v>699</v>
      </c>
    </row>
    <row r="11" spans="1:25" ht="29.25" customHeight="1" thickTop="1" thickBot="1">
      <c r="A11" s="230">
        <v>6</v>
      </c>
      <c r="B11" s="940" t="s">
        <v>475</v>
      </c>
      <c r="C11" s="940"/>
      <c r="D11" s="940" t="s">
        <v>503</v>
      </c>
      <c r="E11" s="940"/>
      <c r="F11" s="940"/>
      <c r="G11" s="200">
        <v>6</v>
      </c>
      <c r="H11" s="201">
        <v>3</v>
      </c>
      <c r="I11" s="200">
        <v>2</v>
      </c>
      <c r="J11" s="200">
        <v>2</v>
      </c>
      <c r="K11" s="200">
        <v>5</v>
      </c>
      <c r="L11" s="200"/>
      <c r="M11" s="212">
        <v>4</v>
      </c>
      <c r="N11" s="212">
        <v>3</v>
      </c>
      <c r="O11" s="212">
        <v>3</v>
      </c>
      <c r="P11" s="212">
        <v>2</v>
      </c>
      <c r="Q11" s="212" t="s">
        <v>194</v>
      </c>
      <c r="R11" s="212" t="s">
        <v>194</v>
      </c>
      <c r="S11" s="212" t="s">
        <v>194</v>
      </c>
      <c r="T11" s="212" t="s">
        <v>194</v>
      </c>
      <c r="U11" s="212" t="s">
        <v>194</v>
      </c>
      <c r="V11" s="212" t="s">
        <v>194</v>
      </c>
      <c r="X11" s="234" t="s">
        <v>700</v>
      </c>
      <c r="Y11" s="234" t="s">
        <v>701</v>
      </c>
    </row>
    <row r="12" spans="1:25" ht="21.75" customHeight="1" thickTop="1" thickBot="1">
      <c r="G12" s="223">
        <v>7</v>
      </c>
      <c r="H12" s="223">
        <v>3</v>
      </c>
      <c r="I12" s="221">
        <v>2</v>
      </c>
      <c r="J12" s="221">
        <v>2</v>
      </c>
      <c r="K12" s="221">
        <v>5</v>
      </c>
      <c r="L12" s="221"/>
      <c r="M12" s="153">
        <v>4</v>
      </c>
      <c r="N12" s="153">
        <v>4</v>
      </c>
      <c r="O12" s="153">
        <v>3</v>
      </c>
      <c r="P12" s="153">
        <v>2</v>
      </c>
      <c r="Q12" s="153">
        <v>1</v>
      </c>
      <c r="R12" s="153" t="s">
        <v>194</v>
      </c>
      <c r="S12" s="153" t="s">
        <v>194</v>
      </c>
      <c r="T12" s="153" t="s">
        <v>194</v>
      </c>
      <c r="U12" s="153" t="s">
        <v>194</v>
      </c>
      <c r="V12" s="153" t="s">
        <v>194</v>
      </c>
      <c r="X12" s="234" t="s">
        <v>702</v>
      </c>
      <c r="Y12" s="234" t="s">
        <v>703</v>
      </c>
    </row>
    <row r="13" spans="1:25" ht="29.25" customHeight="1" thickTop="1" thickBot="1">
      <c r="G13" s="201">
        <v>8</v>
      </c>
      <c r="H13" s="201">
        <v>4</v>
      </c>
      <c r="I13" s="200">
        <v>2</v>
      </c>
      <c r="J13" s="200">
        <v>2</v>
      </c>
      <c r="K13" s="200">
        <v>6</v>
      </c>
      <c r="L13" s="200"/>
      <c r="M13" s="212">
        <v>4</v>
      </c>
      <c r="N13" s="212">
        <v>4</v>
      </c>
      <c r="O13" s="212">
        <v>3</v>
      </c>
      <c r="P13" s="212">
        <v>3</v>
      </c>
      <c r="Q13" s="212">
        <v>2</v>
      </c>
      <c r="R13" s="212" t="s">
        <v>194</v>
      </c>
      <c r="S13" s="212" t="s">
        <v>194</v>
      </c>
      <c r="T13" s="212" t="s">
        <v>194</v>
      </c>
      <c r="U13" s="212" t="s">
        <v>194</v>
      </c>
      <c r="V13" s="212" t="s">
        <v>194</v>
      </c>
      <c r="X13" s="234" t="s">
        <v>704</v>
      </c>
      <c r="Y13" s="234" t="s">
        <v>705</v>
      </c>
    </row>
    <row r="14" spans="1:25" ht="33.75" customHeight="1" thickTop="1" thickBot="1">
      <c r="G14" s="223">
        <v>9</v>
      </c>
      <c r="H14" s="223">
        <v>4</v>
      </c>
      <c r="I14" s="221">
        <v>3</v>
      </c>
      <c r="J14" s="221">
        <v>3</v>
      </c>
      <c r="K14" s="221">
        <v>6</v>
      </c>
      <c r="L14" s="221"/>
      <c r="M14" s="153">
        <v>4</v>
      </c>
      <c r="N14" s="153">
        <v>4</v>
      </c>
      <c r="O14" s="153">
        <v>4</v>
      </c>
      <c r="P14" s="153">
        <v>3</v>
      </c>
      <c r="Q14" s="153">
        <v>2</v>
      </c>
      <c r="R14" s="153">
        <v>1</v>
      </c>
      <c r="S14" s="153" t="s">
        <v>194</v>
      </c>
      <c r="T14" s="153" t="s">
        <v>194</v>
      </c>
      <c r="U14" s="153" t="s">
        <v>194</v>
      </c>
      <c r="V14" s="153" t="s">
        <v>194</v>
      </c>
      <c r="X14" s="234" t="s">
        <v>706</v>
      </c>
      <c r="Y14" s="234" t="s">
        <v>707</v>
      </c>
    </row>
    <row r="15" spans="1:25" ht="23.25" customHeight="1" thickTop="1" thickBot="1">
      <c r="G15" s="201">
        <v>10</v>
      </c>
      <c r="H15" s="201">
        <v>5</v>
      </c>
      <c r="I15" s="200">
        <v>3</v>
      </c>
      <c r="J15" s="200">
        <v>3</v>
      </c>
      <c r="K15" s="200">
        <v>7</v>
      </c>
      <c r="L15" s="200" t="s">
        <v>470</v>
      </c>
      <c r="M15" s="212">
        <v>4</v>
      </c>
      <c r="N15" s="212">
        <v>4</v>
      </c>
      <c r="O15" s="212">
        <v>4</v>
      </c>
      <c r="P15" s="212">
        <v>3</v>
      </c>
      <c r="Q15" s="212">
        <v>3</v>
      </c>
      <c r="R15" s="212">
        <v>2</v>
      </c>
      <c r="S15" s="212" t="s">
        <v>194</v>
      </c>
      <c r="T15" s="212" t="s">
        <v>194</v>
      </c>
      <c r="U15" s="212" t="s">
        <v>194</v>
      </c>
      <c r="V15" s="212" t="s">
        <v>194</v>
      </c>
      <c r="X15" s="234" t="s">
        <v>708</v>
      </c>
      <c r="Y15" s="234" t="s">
        <v>709</v>
      </c>
    </row>
    <row r="16" spans="1:25" ht="19.5" customHeight="1" thickBot="1">
      <c r="G16" s="223">
        <v>11</v>
      </c>
      <c r="H16" s="223">
        <v>5</v>
      </c>
      <c r="I16" s="221">
        <v>3</v>
      </c>
      <c r="J16" s="221">
        <v>3</v>
      </c>
      <c r="K16" s="221">
        <v>7</v>
      </c>
      <c r="L16" s="221"/>
      <c r="M16" s="153">
        <v>4</v>
      </c>
      <c r="N16" s="153">
        <v>4</v>
      </c>
      <c r="O16" s="153">
        <v>4</v>
      </c>
      <c r="P16" s="153">
        <v>4</v>
      </c>
      <c r="Q16" s="153">
        <v>3</v>
      </c>
      <c r="R16" s="153">
        <v>2</v>
      </c>
      <c r="S16" s="153">
        <v>1</v>
      </c>
      <c r="T16" s="153" t="s">
        <v>194</v>
      </c>
      <c r="U16" s="153" t="s">
        <v>194</v>
      </c>
      <c r="V16" s="153" t="s">
        <v>194</v>
      </c>
    </row>
    <row r="17" spans="7:22" ht="19.5" customHeight="1" thickBot="1">
      <c r="G17" s="201">
        <v>12</v>
      </c>
      <c r="H17" s="201">
        <v>6</v>
      </c>
      <c r="I17" s="200">
        <v>4</v>
      </c>
      <c r="J17" s="200">
        <v>4</v>
      </c>
      <c r="K17" s="200">
        <v>8</v>
      </c>
      <c r="L17" s="200"/>
      <c r="M17" s="212">
        <v>4</v>
      </c>
      <c r="N17" s="212">
        <v>4</v>
      </c>
      <c r="O17" s="212">
        <v>4</v>
      </c>
      <c r="P17" s="212">
        <v>4</v>
      </c>
      <c r="Q17" s="212">
        <v>3</v>
      </c>
      <c r="R17" s="212">
        <v>3</v>
      </c>
      <c r="S17" s="212">
        <v>2</v>
      </c>
      <c r="T17" s="212" t="s">
        <v>194</v>
      </c>
      <c r="U17" s="212" t="s">
        <v>194</v>
      </c>
      <c r="V17" s="212" t="s">
        <v>194</v>
      </c>
    </row>
    <row r="18" spans="7:22" ht="19.5" customHeight="1" thickBot="1">
      <c r="G18" s="223">
        <v>13</v>
      </c>
      <c r="H18" s="223">
        <v>6</v>
      </c>
      <c r="I18" s="221">
        <v>4</v>
      </c>
      <c r="J18" s="221">
        <v>4</v>
      </c>
      <c r="K18" s="221">
        <v>8</v>
      </c>
      <c r="L18" s="221"/>
      <c r="M18" s="153">
        <v>4</v>
      </c>
      <c r="N18" s="153">
        <v>4</v>
      </c>
      <c r="O18" s="153">
        <v>4</v>
      </c>
      <c r="P18" s="153">
        <v>4</v>
      </c>
      <c r="Q18" s="153">
        <v>4</v>
      </c>
      <c r="R18" s="153">
        <v>3</v>
      </c>
      <c r="S18" s="153">
        <v>2</v>
      </c>
      <c r="T18" s="153">
        <v>1</v>
      </c>
      <c r="U18" s="153" t="s">
        <v>194</v>
      </c>
      <c r="V18" s="153" t="s">
        <v>194</v>
      </c>
    </row>
    <row r="19" spans="7:22" ht="19.5" customHeight="1" thickBot="1">
      <c r="G19" s="201">
        <v>14</v>
      </c>
      <c r="H19" s="201">
        <v>7</v>
      </c>
      <c r="I19" s="200">
        <v>4</v>
      </c>
      <c r="J19" s="200">
        <v>4</v>
      </c>
      <c r="K19" s="200">
        <v>9</v>
      </c>
      <c r="L19" s="200" t="s">
        <v>482</v>
      </c>
      <c r="M19" s="212">
        <v>4</v>
      </c>
      <c r="N19" s="212">
        <v>4</v>
      </c>
      <c r="O19" s="212">
        <v>4</v>
      </c>
      <c r="P19" s="212">
        <v>4</v>
      </c>
      <c r="Q19" s="212">
        <v>4</v>
      </c>
      <c r="R19" s="212">
        <v>3</v>
      </c>
      <c r="S19" s="212">
        <v>3</v>
      </c>
      <c r="T19" s="212">
        <v>2</v>
      </c>
      <c r="U19" s="212" t="s">
        <v>194</v>
      </c>
      <c r="V19" s="212" t="s">
        <v>194</v>
      </c>
    </row>
    <row r="20" spans="7:22" ht="19.5" customHeight="1" thickBot="1">
      <c r="G20" s="223">
        <v>15</v>
      </c>
      <c r="H20" s="223">
        <v>7</v>
      </c>
      <c r="I20" s="221">
        <v>5</v>
      </c>
      <c r="J20" s="221">
        <v>5</v>
      </c>
      <c r="K20" s="221">
        <v>9</v>
      </c>
      <c r="L20" s="221" t="s">
        <v>470</v>
      </c>
      <c r="M20" s="153">
        <v>4</v>
      </c>
      <c r="N20" s="153">
        <v>4</v>
      </c>
      <c r="O20" s="153">
        <v>4</v>
      </c>
      <c r="P20" s="153">
        <v>4</v>
      </c>
      <c r="Q20" s="153">
        <v>4</v>
      </c>
      <c r="R20" s="153">
        <v>4</v>
      </c>
      <c r="S20" s="153">
        <v>3</v>
      </c>
      <c r="T20" s="153">
        <v>2</v>
      </c>
      <c r="U20" s="153">
        <v>1</v>
      </c>
      <c r="V20" s="153" t="s">
        <v>194</v>
      </c>
    </row>
    <row r="21" spans="7:22" ht="19.5" customHeight="1" thickBot="1">
      <c r="G21" s="201">
        <v>16</v>
      </c>
      <c r="H21" s="201">
        <v>8</v>
      </c>
      <c r="I21" s="200">
        <v>5</v>
      </c>
      <c r="J21" s="200">
        <v>5</v>
      </c>
      <c r="K21" s="200">
        <v>10</v>
      </c>
      <c r="L21" s="200"/>
      <c r="M21" s="212">
        <v>4</v>
      </c>
      <c r="N21" s="212">
        <v>4</v>
      </c>
      <c r="O21" s="212">
        <v>4</v>
      </c>
      <c r="P21" s="212">
        <v>4</v>
      </c>
      <c r="Q21" s="212">
        <v>4</v>
      </c>
      <c r="R21" s="212">
        <v>4</v>
      </c>
      <c r="S21" s="212">
        <v>3</v>
      </c>
      <c r="T21" s="212">
        <v>3</v>
      </c>
      <c r="U21" s="212">
        <v>2</v>
      </c>
      <c r="V21" s="212" t="s">
        <v>194</v>
      </c>
    </row>
    <row r="22" spans="7:22" ht="19.5" customHeight="1" thickBot="1">
      <c r="G22" s="223">
        <v>17</v>
      </c>
      <c r="H22" s="223">
        <v>8</v>
      </c>
      <c r="I22" s="221">
        <v>5</v>
      </c>
      <c r="J22" s="221">
        <v>5</v>
      </c>
      <c r="K22" s="221">
        <v>10</v>
      </c>
      <c r="L22" s="221"/>
      <c r="M22" s="153">
        <v>4</v>
      </c>
      <c r="N22" s="153">
        <v>4</v>
      </c>
      <c r="O22" s="153">
        <v>4</v>
      </c>
      <c r="P22" s="153">
        <v>4</v>
      </c>
      <c r="Q22" s="153">
        <v>4</v>
      </c>
      <c r="R22" s="153">
        <v>4</v>
      </c>
      <c r="S22" s="153">
        <v>4</v>
      </c>
      <c r="T22" s="153">
        <v>3</v>
      </c>
      <c r="U22" s="153">
        <v>2</v>
      </c>
      <c r="V22" s="153">
        <v>1</v>
      </c>
    </row>
    <row r="23" spans="7:22" ht="19.5" customHeight="1" thickBot="1">
      <c r="G23" s="201">
        <v>18</v>
      </c>
      <c r="H23" s="201">
        <v>9</v>
      </c>
      <c r="I23" s="200">
        <v>6</v>
      </c>
      <c r="J23" s="200">
        <v>6</v>
      </c>
      <c r="K23" s="200">
        <v>11</v>
      </c>
      <c r="L23" s="200"/>
      <c r="M23" s="212">
        <v>4</v>
      </c>
      <c r="N23" s="212">
        <v>4</v>
      </c>
      <c r="O23" s="212">
        <v>4</v>
      </c>
      <c r="P23" s="212">
        <v>4</v>
      </c>
      <c r="Q23" s="212">
        <v>4</v>
      </c>
      <c r="R23" s="212">
        <v>4</v>
      </c>
      <c r="S23" s="212">
        <v>4</v>
      </c>
      <c r="T23" s="212">
        <v>3</v>
      </c>
      <c r="U23" s="212">
        <v>3</v>
      </c>
      <c r="V23" s="212">
        <v>2</v>
      </c>
    </row>
    <row r="24" spans="7:22" ht="19.5" customHeight="1" thickBot="1">
      <c r="G24" s="223">
        <v>19</v>
      </c>
      <c r="H24" s="223">
        <v>9</v>
      </c>
      <c r="I24" s="221">
        <v>6</v>
      </c>
      <c r="J24" s="221">
        <v>6</v>
      </c>
      <c r="K24" s="221">
        <v>11</v>
      </c>
      <c r="L24" s="221"/>
      <c r="M24" s="153">
        <v>4</v>
      </c>
      <c r="N24" s="153">
        <v>4</v>
      </c>
      <c r="O24" s="153">
        <v>4</v>
      </c>
      <c r="P24" s="153">
        <v>4</v>
      </c>
      <c r="Q24" s="153">
        <v>4</v>
      </c>
      <c r="R24" s="153">
        <v>4</v>
      </c>
      <c r="S24" s="153">
        <v>4</v>
      </c>
      <c r="T24" s="153">
        <v>4</v>
      </c>
      <c r="U24" s="153">
        <v>3</v>
      </c>
      <c r="V24" s="153">
        <v>3</v>
      </c>
    </row>
    <row r="25" spans="7:22" ht="19.5" customHeight="1" thickBot="1">
      <c r="G25" s="201">
        <v>20</v>
      </c>
      <c r="H25" s="201">
        <v>10</v>
      </c>
      <c r="I25" s="200">
        <v>6</v>
      </c>
      <c r="J25" s="200">
        <v>6</v>
      </c>
      <c r="K25" s="200">
        <v>12</v>
      </c>
      <c r="L25" s="200" t="s">
        <v>470</v>
      </c>
      <c r="M25" s="212">
        <v>4</v>
      </c>
      <c r="N25" s="212">
        <v>4</v>
      </c>
      <c r="O25" s="212">
        <v>4</v>
      </c>
      <c r="P25" s="212">
        <v>4</v>
      </c>
      <c r="Q25" s="212">
        <v>4</v>
      </c>
      <c r="R25" s="212">
        <v>4</v>
      </c>
      <c r="S25" s="212">
        <v>4</v>
      </c>
      <c r="T25" s="212">
        <v>4</v>
      </c>
      <c r="U25" s="212">
        <v>4</v>
      </c>
      <c r="V25" s="212">
        <v>4</v>
      </c>
    </row>
    <row r="26" spans="7:22" ht="15.75" thickBot="1"/>
    <row r="27" spans="7:22" ht="16.5" thickTop="1" thickBot="1">
      <c r="I27" s="941" t="s">
        <v>710</v>
      </c>
      <c r="J27" s="942"/>
      <c r="K27" s="942"/>
      <c r="L27" s="942"/>
      <c r="N27" s="196"/>
    </row>
    <row r="28" spans="7:22" ht="23.25" customHeight="1" thickTop="1" thickBot="1">
      <c r="I28" s="942"/>
      <c r="J28" s="942"/>
      <c r="K28" s="942"/>
      <c r="L28" s="942"/>
    </row>
    <row r="29" spans="7:22" ht="24.75" customHeight="1" thickTop="1" thickBot="1">
      <c r="I29" s="942"/>
      <c r="J29" s="942"/>
      <c r="K29" s="942"/>
      <c r="L29" s="942"/>
    </row>
    <row r="30" spans="7:22" ht="61.5" thickTop="1" thickBot="1">
      <c r="I30" s="234" t="s">
        <v>711</v>
      </c>
      <c r="J30" s="234" t="s">
        <v>712</v>
      </c>
      <c r="K30" s="234" t="s">
        <v>503</v>
      </c>
      <c r="L30" s="234" t="s">
        <v>468</v>
      </c>
    </row>
    <row r="31" spans="7:22" ht="46.5" thickTop="1" thickBot="1">
      <c r="I31" s="154" t="s">
        <v>713</v>
      </c>
      <c r="J31" s="154">
        <v>1</v>
      </c>
      <c r="K31" s="154">
        <v>6</v>
      </c>
      <c r="L31" s="154" t="s">
        <v>714</v>
      </c>
    </row>
    <row r="32" spans="7:22" ht="16.5" thickTop="1" thickBot="1">
      <c r="I32" s="234" t="s">
        <v>715</v>
      </c>
      <c r="J32" s="234">
        <v>2</v>
      </c>
      <c r="K32" s="234">
        <v>7</v>
      </c>
      <c r="L32" s="234" t="s">
        <v>716</v>
      </c>
    </row>
    <row r="33" spans="9:12" ht="16.5" thickTop="1" thickBot="1">
      <c r="I33" s="154" t="s">
        <v>717</v>
      </c>
      <c r="J33" s="154">
        <v>3</v>
      </c>
      <c r="K33" s="154">
        <v>8</v>
      </c>
      <c r="L33" s="154" t="s">
        <v>718</v>
      </c>
    </row>
    <row r="34" spans="9:12" ht="16.5" thickTop="1" thickBot="1">
      <c r="I34" s="234" t="s">
        <v>719</v>
      </c>
      <c r="J34" s="234">
        <v>4</v>
      </c>
      <c r="K34" s="234">
        <v>9</v>
      </c>
      <c r="L34" s="234" t="s">
        <v>720</v>
      </c>
    </row>
    <row r="35" spans="9:12" ht="16.5" thickTop="1" thickBot="1">
      <c r="I35" s="154" t="s">
        <v>721</v>
      </c>
      <c r="J35" s="154">
        <v>5</v>
      </c>
      <c r="K35" s="154">
        <v>10</v>
      </c>
      <c r="L35" s="154" t="s">
        <v>194</v>
      </c>
    </row>
    <row r="36" spans="9:12" ht="16.5" thickTop="1" thickBot="1">
      <c r="I36" s="234" t="s">
        <v>722</v>
      </c>
      <c r="J36" s="234">
        <v>6</v>
      </c>
      <c r="K36" s="234">
        <v>11</v>
      </c>
      <c r="L36" s="234" t="s">
        <v>723</v>
      </c>
    </row>
    <row r="37" spans="9:12" ht="16.5" thickTop="1" thickBot="1">
      <c r="I37" s="154" t="s">
        <v>724</v>
      </c>
      <c r="J37" s="154">
        <v>7</v>
      </c>
      <c r="K37" s="154">
        <v>12</v>
      </c>
      <c r="L37" s="154" t="s">
        <v>725</v>
      </c>
    </row>
    <row r="38" spans="9:12" ht="16.5" thickTop="1" thickBot="1">
      <c r="I38" s="234" t="s">
        <v>726</v>
      </c>
      <c r="J38" s="234">
        <v>8</v>
      </c>
      <c r="K38" s="234">
        <v>13</v>
      </c>
      <c r="L38" s="234" t="s">
        <v>194</v>
      </c>
    </row>
    <row r="39" spans="9:12" ht="16.5" thickTop="1" thickBot="1">
      <c r="I39" s="154" t="s">
        <v>727</v>
      </c>
      <c r="J39" s="154">
        <v>9</v>
      </c>
      <c r="K39" s="154">
        <v>14</v>
      </c>
      <c r="L39" s="154" t="s">
        <v>194</v>
      </c>
    </row>
    <row r="40" spans="9:12" ht="16.5" thickTop="1" thickBot="1">
      <c r="I40" s="234" t="s">
        <v>728</v>
      </c>
      <c r="J40" s="234">
        <v>10</v>
      </c>
      <c r="K40" s="234">
        <v>15</v>
      </c>
      <c r="L40" s="234" t="s">
        <v>194</v>
      </c>
    </row>
    <row r="41" spans="9:12" ht="15.75" thickTop="1"/>
  </sheetData>
  <mergeCells count="23">
    <mergeCell ref="A1:F3"/>
    <mergeCell ref="G1:G2"/>
    <mergeCell ref="H1:H2"/>
    <mergeCell ref="G3:H4"/>
    <mergeCell ref="A4:F5"/>
    <mergeCell ref="I3:I5"/>
    <mergeCell ref="J3:J5"/>
    <mergeCell ref="K3:K5"/>
    <mergeCell ref="L3:L5"/>
    <mergeCell ref="M3:V4"/>
    <mergeCell ref="I27:L29"/>
    <mergeCell ref="D6:F6"/>
    <mergeCell ref="D7:F7"/>
    <mergeCell ref="D8:F8"/>
    <mergeCell ref="D9:F9"/>
    <mergeCell ref="D10:F10"/>
    <mergeCell ref="D11:F11"/>
    <mergeCell ref="B11:C11"/>
    <mergeCell ref="B6:C6"/>
    <mergeCell ref="B7:C7"/>
    <mergeCell ref="B8:C8"/>
    <mergeCell ref="B9:C9"/>
    <mergeCell ref="B10:C10"/>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T47"/>
  <sheetViews>
    <sheetView showGridLines="0" workbookViewId="0">
      <selection activeCell="O32" sqref="O32"/>
    </sheetView>
  </sheetViews>
  <sheetFormatPr defaultRowHeight="15"/>
  <cols>
    <col min="7" max="11" width="9.42578125" bestFit="1" customWidth="1"/>
    <col min="12" max="12" width="48.5703125" customWidth="1"/>
    <col min="13" max="13" width="15" bestFit="1" customWidth="1"/>
    <col min="14" max="14" width="18.85546875" customWidth="1"/>
    <col min="15" max="15" width="14.7109375" customWidth="1"/>
    <col min="16" max="16" width="16" customWidth="1"/>
    <col min="18" max="18" width="16.42578125" customWidth="1"/>
    <col min="19" max="19" width="16.85546875" customWidth="1"/>
    <col min="20" max="20" width="15.85546875" customWidth="1"/>
  </cols>
  <sheetData>
    <row r="1" spans="1:20" ht="16.5" thickTop="1" thickBot="1">
      <c r="A1" s="959" t="s">
        <v>729</v>
      </c>
      <c r="B1" s="959"/>
      <c r="C1" s="959"/>
      <c r="D1" s="959"/>
      <c r="E1" s="959"/>
      <c r="F1" s="959"/>
      <c r="G1" s="951" t="s">
        <v>26</v>
      </c>
      <c r="H1" s="952">
        <v>8</v>
      </c>
    </row>
    <row r="2" spans="1:20" ht="16.5" thickTop="1" thickBot="1">
      <c r="A2" s="959"/>
      <c r="B2" s="959"/>
      <c r="C2" s="959"/>
      <c r="D2" s="959"/>
      <c r="E2" s="959"/>
      <c r="F2" s="959"/>
      <c r="G2" s="951"/>
      <c r="H2" s="952"/>
    </row>
    <row r="3" spans="1:20" ht="16.5" customHeight="1" thickTop="1" thickBot="1">
      <c r="A3" s="959"/>
      <c r="B3" s="959"/>
      <c r="C3" s="959"/>
      <c r="D3" s="959"/>
      <c r="E3" s="959"/>
      <c r="F3" s="959"/>
      <c r="G3" s="851" t="s">
        <v>107</v>
      </c>
      <c r="H3" s="852"/>
      <c r="I3" s="852"/>
      <c r="J3" s="852"/>
      <c r="K3" s="852"/>
      <c r="L3" s="852"/>
      <c r="M3" s="852"/>
      <c r="N3" s="852"/>
      <c r="O3" s="852"/>
      <c r="P3" s="852"/>
      <c r="Q3" s="852"/>
      <c r="R3" s="852"/>
      <c r="S3" s="852"/>
      <c r="T3" s="852"/>
    </row>
    <row r="4" spans="1:20" ht="16.5" customHeight="1" thickTop="1" thickBot="1">
      <c r="A4" s="955" t="s">
        <v>44</v>
      </c>
      <c r="B4" s="955"/>
      <c r="C4" s="955"/>
      <c r="D4" s="955"/>
      <c r="E4" s="955"/>
      <c r="F4" s="955"/>
      <c r="G4" s="851"/>
      <c r="H4" s="852"/>
      <c r="I4" s="852"/>
      <c r="J4" s="852"/>
      <c r="K4" s="852"/>
      <c r="L4" s="852"/>
      <c r="M4" s="852"/>
      <c r="N4" s="852"/>
      <c r="O4" s="852"/>
      <c r="P4" s="852"/>
      <c r="Q4" s="852"/>
      <c r="R4" s="852"/>
      <c r="S4" s="852"/>
      <c r="T4" s="852"/>
    </row>
    <row r="5" spans="1:20" ht="31.5" thickTop="1" thickBot="1">
      <c r="A5" s="955"/>
      <c r="B5" s="955"/>
      <c r="C5" s="955"/>
      <c r="D5" s="955"/>
      <c r="E5" s="955"/>
      <c r="F5" s="955"/>
      <c r="G5" s="202" t="s">
        <v>466</v>
      </c>
      <c r="H5" s="203" t="s">
        <v>467</v>
      </c>
      <c r="I5" s="204" t="s">
        <v>580</v>
      </c>
      <c r="J5" s="204" t="s">
        <v>581</v>
      </c>
      <c r="K5" s="204" t="s">
        <v>197</v>
      </c>
      <c r="L5" s="204" t="s">
        <v>468</v>
      </c>
      <c r="M5" s="956" t="s">
        <v>730</v>
      </c>
      <c r="N5" s="957"/>
      <c r="O5" s="957"/>
      <c r="P5" s="957"/>
      <c r="Q5" s="958"/>
      <c r="R5" s="204" t="s">
        <v>731</v>
      </c>
      <c r="S5" s="204" t="s">
        <v>732</v>
      </c>
      <c r="T5" s="204" t="s">
        <v>733</v>
      </c>
    </row>
    <row r="6" spans="1:20" s="145" customFormat="1" ht="36" customHeight="1" thickTop="1" thickBot="1">
      <c r="A6" s="229">
        <v>1</v>
      </c>
      <c r="B6" s="940" t="s">
        <v>734</v>
      </c>
      <c r="C6" s="940"/>
      <c r="D6" s="940"/>
      <c r="E6" s="940" t="s">
        <v>495</v>
      </c>
      <c r="F6" s="940"/>
      <c r="G6" s="224">
        <v>1</v>
      </c>
      <c r="H6" s="225">
        <v>0</v>
      </c>
      <c r="I6" s="224">
        <v>2</v>
      </c>
      <c r="J6" s="224">
        <v>2</v>
      </c>
      <c r="K6" s="224">
        <v>2</v>
      </c>
      <c r="L6" s="224" t="s">
        <v>735</v>
      </c>
      <c r="M6" s="416" t="s">
        <v>1154</v>
      </c>
      <c r="N6" s="417" t="s">
        <v>1155</v>
      </c>
      <c r="O6" s="417" t="s">
        <v>1158</v>
      </c>
      <c r="P6" s="417" t="s">
        <v>1158</v>
      </c>
      <c r="Q6" s="417" t="s">
        <v>1158</v>
      </c>
      <c r="R6" s="224" t="s">
        <v>736</v>
      </c>
      <c r="S6" s="224">
        <v>0</v>
      </c>
      <c r="T6" s="224" t="s">
        <v>737</v>
      </c>
    </row>
    <row r="7" spans="1:20" s="145" customFormat="1" ht="36" customHeight="1" thickTop="1" thickBot="1">
      <c r="A7" s="229">
        <v>2</v>
      </c>
      <c r="B7" s="940" t="s">
        <v>53</v>
      </c>
      <c r="C7" s="940"/>
      <c r="D7" s="940"/>
      <c r="E7" s="940" t="s">
        <v>166</v>
      </c>
      <c r="F7" s="940"/>
      <c r="G7" s="205">
        <v>2</v>
      </c>
      <c r="H7" s="206">
        <v>1</v>
      </c>
      <c r="I7" s="207">
        <v>3</v>
      </c>
      <c r="J7" s="207">
        <v>3</v>
      </c>
      <c r="K7" s="207">
        <v>3</v>
      </c>
      <c r="L7" s="207" t="s">
        <v>738</v>
      </c>
      <c r="M7" s="415" t="s">
        <v>1156</v>
      </c>
      <c r="N7" s="418" t="s">
        <v>1157</v>
      </c>
      <c r="O7" s="417" t="s">
        <v>1158</v>
      </c>
      <c r="P7" s="417" t="s">
        <v>1158</v>
      </c>
      <c r="Q7" s="417" t="s">
        <v>1158</v>
      </c>
      <c r="R7" s="207" t="s">
        <v>736</v>
      </c>
      <c r="S7" s="207">
        <v>0</v>
      </c>
      <c r="T7" s="207" t="s">
        <v>737</v>
      </c>
    </row>
    <row r="8" spans="1:20" s="145" customFormat="1" ht="36" customHeight="1" thickTop="1" thickBot="1">
      <c r="A8" s="229">
        <v>3</v>
      </c>
      <c r="B8" s="940" t="s">
        <v>545</v>
      </c>
      <c r="C8" s="940"/>
      <c r="D8" s="940"/>
      <c r="E8" s="940" t="s">
        <v>166</v>
      </c>
      <c r="F8" s="940"/>
      <c r="G8" s="226">
        <v>3</v>
      </c>
      <c r="H8" s="227">
        <v>2</v>
      </c>
      <c r="I8" s="224">
        <v>3</v>
      </c>
      <c r="J8" s="224">
        <v>3</v>
      </c>
      <c r="K8" s="224">
        <v>3</v>
      </c>
      <c r="L8" s="224" t="s">
        <v>739</v>
      </c>
      <c r="M8" s="416">
        <v>0</v>
      </c>
      <c r="N8" s="417">
        <v>0</v>
      </c>
      <c r="O8" s="417" t="s">
        <v>1158</v>
      </c>
      <c r="P8" s="417" t="s">
        <v>1158</v>
      </c>
      <c r="Q8" s="417" t="s">
        <v>1158</v>
      </c>
      <c r="R8" s="224" t="s">
        <v>736</v>
      </c>
      <c r="S8" s="224">
        <v>0</v>
      </c>
      <c r="T8" s="224" t="s">
        <v>740</v>
      </c>
    </row>
    <row r="9" spans="1:20" s="145" customFormat="1" ht="36" customHeight="1" thickTop="1" thickBot="1">
      <c r="A9" s="229">
        <v>4</v>
      </c>
      <c r="B9" s="940" t="s">
        <v>469</v>
      </c>
      <c r="C9" s="940"/>
      <c r="D9" s="940"/>
      <c r="E9" s="940" t="s">
        <v>25</v>
      </c>
      <c r="F9" s="940"/>
      <c r="G9" s="205">
        <v>4</v>
      </c>
      <c r="H9" s="206">
        <v>3</v>
      </c>
      <c r="I9" s="207">
        <v>4</v>
      </c>
      <c r="J9" s="207">
        <v>4</v>
      </c>
      <c r="K9" s="207">
        <v>4</v>
      </c>
      <c r="L9" s="207" t="s">
        <v>741</v>
      </c>
      <c r="M9" s="415">
        <v>1</v>
      </c>
      <c r="N9" s="418">
        <v>1</v>
      </c>
      <c r="O9" s="417" t="s">
        <v>1158</v>
      </c>
      <c r="P9" s="417" t="s">
        <v>1158</v>
      </c>
      <c r="Q9" s="417" t="s">
        <v>1158</v>
      </c>
      <c r="R9" s="207" t="s">
        <v>742</v>
      </c>
      <c r="S9" s="207">
        <v>0</v>
      </c>
      <c r="T9" s="207" t="s">
        <v>740</v>
      </c>
    </row>
    <row r="10" spans="1:20" s="145" customFormat="1" ht="36" customHeight="1" thickTop="1" thickBot="1">
      <c r="A10" s="229">
        <v>5</v>
      </c>
      <c r="B10" s="940" t="s">
        <v>57</v>
      </c>
      <c r="C10" s="940"/>
      <c r="D10" s="940"/>
      <c r="E10" s="940" t="s">
        <v>495</v>
      </c>
      <c r="F10" s="940"/>
      <c r="G10" s="226">
        <v>5</v>
      </c>
      <c r="H10" s="227">
        <v>3</v>
      </c>
      <c r="I10" s="224">
        <v>4</v>
      </c>
      <c r="J10" s="224">
        <v>4</v>
      </c>
      <c r="K10" s="224">
        <v>4</v>
      </c>
      <c r="L10" s="224" t="s">
        <v>743</v>
      </c>
      <c r="M10" s="416">
        <v>2</v>
      </c>
      <c r="N10" s="417">
        <v>2</v>
      </c>
      <c r="O10" s="417" t="s">
        <v>1158</v>
      </c>
      <c r="P10" s="417" t="s">
        <v>1158</v>
      </c>
      <c r="Q10" s="417" t="s">
        <v>1158</v>
      </c>
      <c r="R10" s="224" t="s">
        <v>742</v>
      </c>
      <c r="S10" s="224">
        <v>1</v>
      </c>
      <c r="T10" s="224" t="s">
        <v>740</v>
      </c>
    </row>
    <row r="11" spans="1:20" s="145" customFormat="1" ht="36" customHeight="1" thickTop="1" thickBot="1">
      <c r="A11" s="229">
        <v>6</v>
      </c>
      <c r="B11" s="940" t="s">
        <v>646</v>
      </c>
      <c r="C11" s="940"/>
      <c r="D11" s="940"/>
      <c r="E11" s="940" t="s">
        <v>503</v>
      </c>
      <c r="F11" s="940"/>
      <c r="G11" s="205">
        <v>6</v>
      </c>
      <c r="H11" s="206">
        <v>4</v>
      </c>
      <c r="I11" s="207">
        <v>5</v>
      </c>
      <c r="J11" s="207">
        <v>5</v>
      </c>
      <c r="K11" s="207">
        <v>5</v>
      </c>
      <c r="L11" s="207" t="s">
        <v>744</v>
      </c>
      <c r="M11" s="415">
        <v>3</v>
      </c>
      <c r="N11" s="418">
        <v>3</v>
      </c>
      <c r="O11" s="417" t="s">
        <v>1158</v>
      </c>
      <c r="P11" s="417" t="s">
        <v>1158</v>
      </c>
      <c r="Q11" s="417" t="s">
        <v>1158</v>
      </c>
      <c r="R11" s="207" t="s">
        <v>742</v>
      </c>
      <c r="S11" s="207">
        <v>1</v>
      </c>
      <c r="T11" s="207" t="s">
        <v>745</v>
      </c>
    </row>
    <row r="12" spans="1:20" s="145" customFormat="1" ht="36" customHeight="1" thickTop="1" thickBot="1">
      <c r="A12" s="229">
        <v>7</v>
      </c>
      <c r="B12" s="940" t="s">
        <v>650</v>
      </c>
      <c r="C12" s="940"/>
      <c r="D12" s="940"/>
      <c r="E12" s="940" t="s">
        <v>503</v>
      </c>
      <c r="F12" s="940"/>
      <c r="G12" s="226">
        <v>7</v>
      </c>
      <c r="H12" s="227">
        <v>5</v>
      </c>
      <c r="I12" s="224">
        <v>5</v>
      </c>
      <c r="J12" s="224">
        <v>5</v>
      </c>
      <c r="K12" s="224">
        <v>5</v>
      </c>
      <c r="L12" s="224" t="s">
        <v>746</v>
      </c>
      <c r="M12" s="416">
        <v>4</v>
      </c>
      <c r="N12" s="417">
        <v>4</v>
      </c>
      <c r="O12" s="417" t="s">
        <v>1158</v>
      </c>
      <c r="P12" s="417" t="s">
        <v>1158</v>
      </c>
      <c r="Q12" s="417" t="s">
        <v>1158</v>
      </c>
      <c r="R12" s="224" t="s">
        <v>742</v>
      </c>
      <c r="S12" s="224">
        <v>1</v>
      </c>
      <c r="T12" s="224" t="s">
        <v>745</v>
      </c>
    </row>
    <row r="13" spans="1:20" s="145" customFormat="1" ht="36" customHeight="1" thickTop="1" thickBot="1">
      <c r="A13" s="229">
        <v>8</v>
      </c>
      <c r="B13" s="940" t="s">
        <v>747</v>
      </c>
      <c r="C13" s="940"/>
      <c r="D13" s="940"/>
      <c r="E13" s="940" t="s">
        <v>166</v>
      </c>
      <c r="F13" s="940"/>
      <c r="G13" s="205">
        <v>8</v>
      </c>
      <c r="H13" s="206">
        <v>6</v>
      </c>
      <c r="I13" s="207">
        <v>6</v>
      </c>
      <c r="J13" s="207">
        <v>6</v>
      </c>
      <c r="K13" s="207">
        <v>6</v>
      </c>
      <c r="L13" s="207" t="s">
        <v>748</v>
      </c>
      <c r="M13" s="415">
        <v>5</v>
      </c>
      <c r="N13" s="418">
        <v>5</v>
      </c>
      <c r="O13" s="417">
        <v>0</v>
      </c>
      <c r="P13" s="417" t="s">
        <v>1158</v>
      </c>
      <c r="Q13" s="417" t="s">
        <v>1158</v>
      </c>
      <c r="R13" s="207" t="s">
        <v>749</v>
      </c>
      <c r="S13" s="207">
        <v>1</v>
      </c>
      <c r="T13" s="207" t="s">
        <v>745</v>
      </c>
    </row>
    <row r="14" spans="1:20" s="145" customFormat="1" ht="36" customHeight="1" thickTop="1" thickBot="1">
      <c r="A14" s="229">
        <v>9</v>
      </c>
      <c r="B14" s="940" t="s">
        <v>64</v>
      </c>
      <c r="C14" s="940"/>
      <c r="D14" s="940"/>
      <c r="E14" s="940" t="s">
        <v>584</v>
      </c>
      <c r="F14" s="940"/>
      <c r="G14" s="226">
        <v>9</v>
      </c>
      <c r="H14" s="227">
        <v>6</v>
      </c>
      <c r="I14" s="224">
        <v>6</v>
      </c>
      <c r="J14" s="224">
        <v>6</v>
      </c>
      <c r="K14" s="224">
        <v>6</v>
      </c>
      <c r="L14" s="224" t="s">
        <v>750</v>
      </c>
      <c r="M14" s="416">
        <v>6</v>
      </c>
      <c r="N14" s="417">
        <v>6</v>
      </c>
      <c r="O14" s="417">
        <v>1</v>
      </c>
      <c r="P14" s="417" t="s">
        <v>1158</v>
      </c>
      <c r="Q14" s="417" t="s">
        <v>1158</v>
      </c>
      <c r="R14" s="224" t="s">
        <v>749</v>
      </c>
      <c r="S14" s="224">
        <v>1</v>
      </c>
      <c r="T14" s="224" t="s">
        <v>751</v>
      </c>
    </row>
    <row r="15" spans="1:20" s="145" customFormat="1" ht="36" customHeight="1" thickTop="1" thickBot="1">
      <c r="A15" s="229">
        <v>10</v>
      </c>
      <c r="B15" s="940" t="s">
        <v>561</v>
      </c>
      <c r="C15" s="940"/>
      <c r="D15" s="940"/>
      <c r="E15" s="940" t="s">
        <v>168</v>
      </c>
      <c r="F15" s="940"/>
      <c r="G15" s="205">
        <v>10</v>
      </c>
      <c r="H15" s="206">
        <v>7</v>
      </c>
      <c r="I15" s="207">
        <v>7</v>
      </c>
      <c r="J15" s="207">
        <v>7</v>
      </c>
      <c r="K15" s="207">
        <v>7</v>
      </c>
      <c r="L15" s="207" t="s">
        <v>752</v>
      </c>
      <c r="M15" s="415">
        <v>7</v>
      </c>
      <c r="N15" s="418">
        <v>7</v>
      </c>
      <c r="O15" s="418">
        <v>2</v>
      </c>
      <c r="P15" s="417" t="s">
        <v>1158</v>
      </c>
      <c r="Q15" s="417" t="s">
        <v>1158</v>
      </c>
      <c r="R15" s="207" t="s">
        <v>749</v>
      </c>
      <c r="S15" s="207">
        <v>2</v>
      </c>
      <c r="T15" s="207" t="s">
        <v>751</v>
      </c>
    </row>
    <row r="16" spans="1:20" s="145" customFormat="1" ht="36" customHeight="1" thickTop="1" thickBot="1">
      <c r="A16" s="229">
        <v>11</v>
      </c>
      <c r="B16" s="940" t="s">
        <v>76</v>
      </c>
      <c r="C16" s="940"/>
      <c r="D16" s="940"/>
      <c r="E16" s="940" t="s">
        <v>25</v>
      </c>
      <c r="F16" s="940"/>
      <c r="G16" s="226">
        <v>11</v>
      </c>
      <c r="H16" s="227">
        <v>8</v>
      </c>
      <c r="I16" s="224">
        <v>7</v>
      </c>
      <c r="J16" s="224">
        <v>7</v>
      </c>
      <c r="K16" s="224">
        <v>7</v>
      </c>
      <c r="L16" s="224" t="s">
        <v>753</v>
      </c>
      <c r="M16" s="416">
        <v>8</v>
      </c>
      <c r="N16" s="417">
        <v>8</v>
      </c>
      <c r="O16" s="417">
        <v>8</v>
      </c>
      <c r="P16" s="417">
        <v>3</v>
      </c>
      <c r="Q16" s="417" t="s">
        <v>1158</v>
      </c>
      <c r="R16" s="224" t="s">
        <v>749</v>
      </c>
      <c r="S16" s="224">
        <v>2</v>
      </c>
      <c r="T16" s="224" t="s">
        <v>751</v>
      </c>
    </row>
    <row r="17" spans="1:20" s="145" customFormat="1" ht="36" customHeight="1" thickTop="1" thickBot="1">
      <c r="A17" s="229">
        <v>12</v>
      </c>
      <c r="B17" s="940" t="s">
        <v>529</v>
      </c>
      <c r="C17" s="940"/>
      <c r="D17" s="940"/>
      <c r="E17" s="940" t="s">
        <v>168</v>
      </c>
      <c r="F17" s="940"/>
      <c r="G17" s="205">
        <v>12</v>
      </c>
      <c r="H17" s="206">
        <v>9</v>
      </c>
      <c r="I17" s="207">
        <v>8</v>
      </c>
      <c r="J17" s="207">
        <v>8</v>
      </c>
      <c r="K17" s="207">
        <v>8</v>
      </c>
      <c r="L17" s="207" t="s">
        <v>754</v>
      </c>
      <c r="M17" s="415">
        <v>9</v>
      </c>
      <c r="N17" s="418">
        <v>9</v>
      </c>
      <c r="O17" s="418">
        <v>9</v>
      </c>
      <c r="P17" s="418">
        <v>4</v>
      </c>
      <c r="Q17" s="417" t="s">
        <v>1158</v>
      </c>
      <c r="R17" s="207" t="s">
        <v>755</v>
      </c>
      <c r="S17" s="207">
        <v>2</v>
      </c>
      <c r="T17" s="207" t="s">
        <v>756</v>
      </c>
    </row>
    <row r="18" spans="1:20" s="145" customFormat="1" ht="36" customHeight="1" thickTop="1" thickBot="1">
      <c r="A18" s="229">
        <v>13</v>
      </c>
      <c r="B18" s="940" t="s">
        <v>596</v>
      </c>
      <c r="C18" s="940"/>
      <c r="D18" s="940"/>
      <c r="E18" s="940" t="s">
        <v>168</v>
      </c>
      <c r="F18" s="940"/>
      <c r="G18" s="226">
        <v>13</v>
      </c>
      <c r="H18" s="227">
        <v>9</v>
      </c>
      <c r="I18" s="224">
        <v>8</v>
      </c>
      <c r="J18" s="224">
        <v>8</v>
      </c>
      <c r="K18" s="224">
        <v>8</v>
      </c>
      <c r="L18" s="224" t="s">
        <v>757</v>
      </c>
      <c r="M18" s="416">
        <v>9</v>
      </c>
      <c r="N18" s="417">
        <v>9</v>
      </c>
      <c r="O18" s="417">
        <v>9</v>
      </c>
      <c r="P18" s="417">
        <v>4</v>
      </c>
      <c r="Q18" s="417" t="s">
        <v>1158</v>
      </c>
      <c r="R18" s="224" t="s">
        <v>755</v>
      </c>
      <c r="S18" s="224">
        <v>2</v>
      </c>
      <c r="T18" s="224" t="s">
        <v>756</v>
      </c>
    </row>
    <row r="19" spans="1:20" s="145" customFormat="1" ht="36" customHeight="1" thickTop="1" thickBot="1">
      <c r="A19" s="229">
        <v>14</v>
      </c>
      <c r="B19" s="940" t="s">
        <v>473</v>
      </c>
      <c r="C19" s="940"/>
      <c r="D19" s="940"/>
      <c r="E19" s="940" t="s">
        <v>25</v>
      </c>
      <c r="F19" s="940"/>
      <c r="G19" s="205">
        <v>14</v>
      </c>
      <c r="H19" s="206">
        <v>10</v>
      </c>
      <c r="I19" s="207">
        <v>9</v>
      </c>
      <c r="J19" s="207">
        <v>9</v>
      </c>
      <c r="K19" s="207">
        <v>9</v>
      </c>
      <c r="L19" s="207" t="s">
        <v>758</v>
      </c>
      <c r="M19" s="415">
        <v>10</v>
      </c>
      <c r="N19" s="418">
        <v>10</v>
      </c>
      <c r="O19" s="418">
        <v>10</v>
      </c>
      <c r="P19" s="418">
        <v>5</v>
      </c>
      <c r="Q19" s="417" t="s">
        <v>1158</v>
      </c>
      <c r="R19" s="207" t="s">
        <v>755</v>
      </c>
      <c r="S19" s="207">
        <v>2</v>
      </c>
      <c r="T19" s="207" t="s">
        <v>756</v>
      </c>
    </row>
    <row r="20" spans="1:20" s="145" customFormat="1" ht="36" customHeight="1" thickTop="1" thickBot="1">
      <c r="A20" s="229">
        <v>15</v>
      </c>
      <c r="B20" s="940" t="s">
        <v>475</v>
      </c>
      <c r="C20" s="940"/>
      <c r="D20" s="940"/>
      <c r="E20" s="940" t="s">
        <v>503</v>
      </c>
      <c r="F20" s="940"/>
      <c r="G20" s="226">
        <v>15</v>
      </c>
      <c r="H20" s="227">
        <v>11</v>
      </c>
      <c r="I20" s="224">
        <v>9</v>
      </c>
      <c r="J20" s="224">
        <v>9</v>
      </c>
      <c r="K20" s="224">
        <v>9</v>
      </c>
      <c r="L20" s="224" t="s">
        <v>759</v>
      </c>
      <c r="M20" s="416">
        <v>11</v>
      </c>
      <c r="N20" s="417">
        <v>11</v>
      </c>
      <c r="O20" s="417">
        <v>11</v>
      </c>
      <c r="P20" s="417">
        <v>6</v>
      </c>
      <c r="Q20" s="417">
        <v>1</v>
      </c>
      <c r="R20" s="224" t="s">
        <v>755</v>
      </c>
      <c r="S20" s="224">
        <v>3</v>
      </c>
      <c r="T20" s="224" t="s">
        <v>760</v>
      </c>
    </row>
    <row r="21" spans="1:20" s="145" customFormat="1" ht="36" customHeight="1" thickTop="1" thickBot="1">
      <c r="A21" s="229">
        <v>16</v>
      </c>
      <c r="B21" s="940" t="s">
        <v>761</v>
      </c>
      <c r="C21" s="940"/>
      <c r="D21" s="940"/>
      <c r="E21" s="940" t="s">
        <v>166</v>
      </c>
      <c r="F21" s="940"/>
      <c r="G21" s="205">
        <v>16</v>
      </c>
      <c r="H21" s="206">
        <v>12</v>
      </c>
      <c r="I21" s="207">
        <v>10</v>
      </c>
      <c r="J21" s="207">
        <v>10</v>
      </c>
      <c r="K21" s="207">
        <v>10</v>
      </c>
      <c r="L21" s="207" t="s">
        <v>762</v>
      </c>
      <c r="M21" s="415">
        <v>12</v>
      </c>
      <c r="N21" s="418">
        <v>12</v>
      </c>
      <c r="O21" s="418">
        <v>12</v>
      </c>
      <c r="P21" s="418">
        <v>7</v>
      </c>
      <c r="Q21" s="418">
        <v>2</v>
      </c>
      <c r="R21" s="207" t="s">
        <v>763</v>
      </c>
      <c r="S21" s="207">
        <v>3</v>
      </c>
      <c r="T21" s="207" t="s">
        <v>760</v>
      </c>
    </row>
    <row r="22" spans="1:20" s="145" customFormat="1" ht="36" customHeight="1" thickTop="1" thickBot="1">
      <c r="A22" s="229">
        <v>17</v>
      </c>
      <c r="B22" s="940" t="s">
        <v>764</v>
      </c>
      <c r="C22" s="940"/>
      <c r="D22" s="940"/>
      <c r="E22" s="940" t="s">
        <v>166</v>
      </c>
      <c r="F22" s="940"/>
      <c r="G22" s="226">
        <v>17</v>
      </c>
      <c r="H22" s="227">
        <v>12</v>
      </c>
      <c r="I22" s="224">
        <v>10</v>
      </c>
      <c r="J22" s="224">
        <v>10</v>
      </c>
      <c r="K22" s="224">
        <v>10</v>
      </c>
      <c r="L22" s="224" t="s">
        <v>765</v>
      </c>
      <c r="M22" s="416">
        <v>12</v>
      </c>
      <c r="N22" s="417">
        <v>12</v>
      </c>
      <c r="O22" s="417">
        <v>12</v>
      </c>
      <c r="P22" s="417">
        <v>7</v>
      </c>
      <c r="Q22" s="417">
        <v>2</v>
      </c>
      <c r="R22" s="224" t="s">
        <v>763</v>
      </c>
      <c r="S22" s="224">
        <v>3</v>
      </c>
      <c r="T22" s="224" t="s">
        <v>760</v>
      </c>
    </row>
    <row r="23" spans="1:20" s="145" customFormat="1" ht="36" customHeight="1" thickTop="1" thickBot="1">
      <c r="G23" s="208">
        <v>18</v>
      </c>
      <c r="H23" s="206">
        <v>13</v>
      </c>
      <c r="I23" s="207">
        <v>11</v>
      </c>
      <c r="J23" s="207">
        <v>11</v>
      </c>
      <c r="K23" s="207">
        <v>11</v>
      </c>
      <c r="L23" s="207" t="s">
        <v>766</v>
      </c>
      <c r="M23" s="415">
        <v>13</v>
      </c>
      <c r="N23" s="418">
        <v>13</v>
      </c>
      <c r="O23" s="418">
        <v>13</v>
      </c>
      <c r="P23" s="418">
        <v>8</v>
      </c>
      <c r="Q23" s="418">
        <v>3</v>
      </c>
      <c r="R23" s="207" t="s">
        <v>763</v>
      </c>
      <c r="S23" s="207">
        <v>3</v>
      </c>
      <c r="T23" s="207" t="s">
        <v>767</v>
      </c>
    </row>
    <row r="24" spans="1:20" s="145" customFormat="1" ht="36" customHeight="1" thickBot="1">
      <c r="B24"/>
      <c r="G24" s="228">
        <v>19</v>
      </c>
      <c r="H24" s="227">
        <v>14</v>
      </c>
      <c r="I24" s="224">
        <v>11</v>
      </c>
      <c r="J24" s="224">
        <v>11</v>
      </c>
      <c r="K24" s="224">
        <v>11</v>
      </c>
      <c r="L24" s="224" t="s">
        <v>768</v>
      </c>
      <c r="M24" s="416">
        <v>14</v>
      </c>
      <c r="N24" s="417">
        <v>14</v>
      </c>
      <c r="O24" s="417">
        <v>14</v>
      </c>
      <c r="P24" s="417">
        <v>9</v>
      </c>
      <c r="Q24" s="417">
        <v>4</v>
      </c>
      <c r="R24" s="224" t="s">
        <v>763</v>
      </c>
      <c r="S24" s="224">
        <v>3</v>
      </c>
      <c r="T24" s="224" t="s">
        <v>767</v>
      </c>
    </row>
    <row r="25" spans="1:20" s="145" customFormat="1" ht="36" customHeight="1" thickBot="1">
      <c r="G25" s="208">
        <v>20</v>
      </c>
      <c r="H25" s="206">
        <v>15</v>
      </c>
      <c r="I25" s="207">
        <v>12</v>
      </c>
      <c r="J25" s="207">
        <v>12</v>
      </c>
      <c r="K25" s="207">
        <v>12</v>
      </c>
      <c r="L25" s="207" t="s">
        <v>769</v>
      </c>
      <c r="M25" s="415">
        <v>15</v>
      </c>
      <c r="N25" s="418">
        <v>15</v>
      </c>
      <c r="O25" s="418">
        <v>15</v>
      </c>
      <c r="P25" s="418">
        <v>10</v>
      </c>
      <c r="Q25" s="418">
        <v>5</v>
      </c>
      <c r="R25" s="207" t="s">
        <v>770</v>
      </c>
      <c r="S25" s="207">
        <v>4</v>
      </c>
      <c r="T25" s="207" t="s">
        <v>767</v>
      </c>
    </row>
    <row r="26" spans="1:20" ht="15.75" thickBot="1"/>
    <row r="27" spans="1:20" ht="63" customHeight="1" thickBot="1">
      <c r="M27" s="194" t="s">
        <v>2</v>
      </c>
      <c r="N27" s="194" t="s">
        <v>771</v>
      </c>
      <c r="O27" s="194" t="s">
        <v>772</v>
      </c>
    </row>
    <row r="28" spans="1:20" ht="19.5" thickBot="1">
      <c r="M28" s="225">
        <v>1</v>
      </c>
      <c r="N28" s="225" t="s">
        <v>773</v>
      </c>
      <c r="O28" s="225" t="s">
        <v>742</v>
      </c>
    </row>
    <row r="29" spans="1:20" ht="19.5" thickBot="1">
      <c r="M29" s="421">
        <v>2</v>
      </c>
      <c r="N29" s="225" t="s">
        <v>773</v>
      </c>
      <c r="O29" s="225" t="s">
        <v>742</v>
      </c>
    </row>
    <row r="30" spans="1:20" ht="19.5" thickBot="1">
      <c r="M30" s="422">
        <v>3</v>
      </c>
      <c r="N30" s="225" t="s">
        <v>773</v>
      </c>
      <c r="O30" s="225" t="s">
        <v>742</v>
      </c>
    </row>
    <row r="31" spans="1:20" ht="19.5" thickBot="1">
      <c r="M31" s="421">
        <v>4</v>
      </c>
      <c r="N31" s="415" t="s">
        <v>736</v>
      </c>
      <c r="O31" s="415" t="s">
        <v>755</v>
      </c>
    </row>
    <row r="32" spans="1:20" ht="19.5" thickBot="1">
      <c r="M32" s="422">
        <v>5</v>
      </c>
      <c r="N32" s="415" t="s">
        <v>736</v>
      </c>
      <c r="O32" s="415" t="s">
        <v>755</v>
      </c>
    </row>
    <row r="33" spans="13:15" ht="19.5" thickBot="1">
      <c r="M33" s="421">
        <v>6</v>
      </c>
      <c r="N33" s="415" t="s">
        <v>736</v>
      </c>
      <c r="O33" s="415" t="s">
        <v>755</v>
      </c>
    </row>
    <row r="34" spans="13:15" ht="19.5" thickBot="1">
      <c r="M34" s="422">
        <v>7</v>
      </c>
      <c r="N34" s="415" t="s">
        <v>736</v>
      </c>
      <c r="O34" s="415" t="s">
        <v>755</v>
      </c>
    </row>
    <row r="35" spans="13:15" ht="19.5" thickBot="1">
      <c r="M35" s="421">
        <v>8</v>
      </c>
      <c r="N35" s="225" t="s">
        <v>742</v>
      </c>
      <c r="O35" s="225" t="s">
        <v>763</v>
      </c>
    </row>
    <row r="36" spans="13:15" ht="19.5" thickBot="1">
      <c r="M36" s="422">
        <v>9</v>
      </c>
      <c r="N36" s="225" t="s">
        <v>742</v>
      </c>
      <c r="O36" s="225" t="s">
        <v>763</v>
      </c>
    </row>
    <row r="37" spans="13:15" ht="19.5" thickBot="1">
      <c r="M37" s="421">
        <v>10</v>
      </c>
      <c r="N37" s="225" t="s">
        <v>742</v>
      </c>
      <c r="O37" s="225" t="s">
        <v>763</v>
      </c>
    </row>
    <row r="38" spans="13:15" ht="19.5" thickBot="1">
      <c r="M38" s="422">
        <v>11</v>
      </c>
      <c r="N38" s="225" t="s">
        <v>742</v>
      </c>
      <c r="O38" s="225" t="s">
        <v>763</v>
      </c>
    </row>
    <row r="39" spans="13:15" ht="19.5" thickBot="1">
      <c r="M39" s="421">
        <v>12</v>
      </c>
      <c r="N39" s="415" t="s">
        <v>749</v>
      </c>
      <c r="O39" s="415" t="s">
        <v>774</v>
      </c>
    </row>
    <row r="40" spans="13:15" ht="19.5" thickBot="1">
      <c r="M40" s="422">
        <v>13</v>
      </c>
      <c r="N40" s="415" t="s">
        <v>749</v>
      </c>
      <c r="O40" s="415" t="s">
        <v>774</v>
      </c>
    </row>
    <row r="41" spans="13:15" ht="19.5" thickBot="1">
      <c r="M41" s="421">
        <v>14</v>
      </c>
      <c r="N41" s="415" t="s">
        <v>749</v>
      </c>
      <c r="O41" s="415" t="s">
        <v>774</v>
      </c>
    </row>
    <row r="42" spans="13:15" ht="19.5" thickBot="1">
      <c r="M42" s="422">
        <v>15</v>
      </c>
      <c r="N42" s="415" t="s">
        <v>749</v>
      </c>
      <c r="O42" s="415" t="s">
        <v>774</v>
      </c>
    </row>
    <row r="43" spans="13:15" ht="19.5" thickBot="1">
      <c r="M43" s="421">
        <v>16</v>
      </c>
      <c r="N43" s="225" t="s">
        <v>755</v>
      </c>
      <c r="O43" s="225" t="s">
        <v>775</v>
      </c>
    </row>
    <row r="44" spans="13:15" ht="19.5" thickBot="1">
      <c r="M44" s="422">
        <v>17</v>
      </c>
      <c r="N44" s="225" t="s">
        <v>755</v>
      </c>
      <c r="O44" s="225" t="s">
        <v>775</v>
      </c>
    </row>
    <row r="45" spans="13:15" ht="19.5" thickBot="1">
      <c r="M45" s="421">
        <v>18</v>
      </c>
      <c r="N45" s="225" t="s">
        <v>755</v>
      </c>
      <c r="O45" s="225" t="s">
        <v>775</v>
      </c>
    </row>
    <row r="46" spans="13:15" ht="19.5" thickBot="1">
      <c r="M46" s="422">
        <v>19</v>
      </c>
      <c r="N46" s="225" t="s">
        <v>755</v>
      </c>
      <c r="O46" s="225" t="s">
        <v>775</v>
      </c>
    </row>
    <row r="47" spans="13:15" ht="19.5" thickBot="1">
      <c r="M47" s="421">
        <v>20</v>
      </c>
      <c r="N47" s="415" t="s">
        <v>763</v>
      </c>
      <c r="O47" s="415" t="s">
        <v>776</v>
      </c>
    </row>
  </sheetData>
  <mergeCells count="40">
    <mergeCell ref="M5:Q5"/>
    <mergeCell ref="G3:T4"/>
    <mergeCell ref="A1:F3"/>
    <mergeCell ref="G1:G2"/>
    <mergeCell ref="H1:H2"/>
    <mergeCell ref="A4:F5"/>
    <mergeCell ref="E6:F6"/>
    <mergeCell ref="E7:F7"/>
    <mergeCell ref="E8:F8"/>
    <mergeCell ref="E9:F9"/>
    <mergeCell ref="E10:F10"/>
    <mergeCell ref="E11:F11"/>
    <mergeCell ref="E12:F12"/>
    <mergeCell ref="E13:F13"/>
    <mergeCell ref="E14:F14"/>
    <mergeCell ref="E15:F15"/>
    <mergeCell ref="B16:D16"/>
    <mergeCell ref="B17:D17"/>
    <mergeCell ref="B18:D18"/>
    <mergeCell ref="B19:D19"/>
    <mergeCell ref="E16:F16"/>
    <mergeCell ref="E17:F17"/>
    <mergeCell ref="E18:F18"/>
    <mergeCell ref="E19:F19"/>
    <mergeCell ref="B20:D20"/>
    <mergeCell ref="B21:D21"/>
    <mergeCell ref="B22:D22"/>
    <mergeCell ref="E21:F21"/>
    <mergeCell ref="E22:F22"/>
    <mergeCell ref="E20:F20"/>
    <mergeCell ref="B6:D6"/>
    <mergeCell ref="B7:D7"/>
    <mergeCell ref="B8:D8"/>
    <mergeCell ref="B9:D9"/>
    <mergeCell ref="B10:D10"/>
    <mergeCell ref="B11:D11"/>
    <mergeCell ref="B12:D12"/>
    <mergeCell ref="B13:D13"/>
    <mergeCell ref="B14:D14"/>
    <mergeCell ref="B15:D15"/>
  </mergeCells>
  <phoneticPr fontId="107" type="noConversion"/>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P33"/>
  <sheetViews>
    <sheetView showGridLines="0" showRowColHeaders="0" workbookViewId="0">
      <selection activeCell="G3" sqref="G3:H4"/>
    </sheetView>
  </sheetViews>
  <sheetFormatPr defaultRowHeight="15"/>
  <cols>
    <col min="7" max="7" width="14" customWidth="1"/>
    <col min="9" max="9" width="12.42578125" customWidth="1"/>
    <col min="12" max="12" width="68.42578125" customWidth="1"/>
    <col min="14" max="14" width="8.85546875" customWidth="1"/>
  </cols>
  <sheetData>
    <row r="1" spans="1:16" ht="16.5" thickTop="1" thickBot="1">
      <c r="A1" s="962" t="s">
        <v>189</v>
      </c>
      <c r="B1" s="963"/>
      <c r="C1" s="963"/>
      <c r="D1" s="963"/>
      <c r="E1" s="963"/>
      <c r="F1" s="964"/>
      <c r="G1" s="965" t="s">
        <v>26</v>
      </c>
      <c r="H1" s="967">
        <v>10</v>
      </c>
    </row>
    <row r="2" spans="1:16" ht="16.5" thickTop="1" thickBot="1">
      <c r="A2" s="962"/>
      <c r="B2" s="963"/>
      <c r="C2" s="963"/>
      <c r="D2" s="963"/>
      <c r="E2" s="963"/>
      <c r="F2" s="964"/>
      <c r="G2" s="966"/>
      <c r="H2" s="968"/>
    </row>
    <row r="3" spans="1:16" ht="16.5" thickTop="1" thickBot="1">
      <c r="A3" s="962"/>
      <c r="B3" s="963"/>
      <c r="C3" s="963"/>
      <c r="D3" s="963"/>
      <c r="E3" s="963"/>
      <c r="F3" s="964"/>
      <c r="G3" s="907" t="s">
        <v>107</v>
      </c>
      <c r="H3" s="907"/>
      <c r="I3" s="934" t="s">
        <v>777</v>
      </c>
      <c r="J3" s="934" t="s">
        <v>778</v>
      </c>
      <c r="K3" s="934" t="s">
        <v>779</v>
      </c>
      <c r="L3" s="934" t="s">
        <v>468</v>
      </c>
      <c r="M3" s="935" t="s">
        <v>582</v>
      </c>
      <c r="N3" s="936"/>
      <c r="O3" s="936"/>
      <c r="P3" s="936"/>
    </row>
    <row r="4" spans="1:16" ht="16.5" thickTop="1" thickBot="1">
      <c r="A4" s="969" t="s">
        <v>44</v>
      </c>
      <c r="B4" s="970"/>
      <c r="C4" s="970"/>
      <c r="D4" s="970"/>
      <c r="E4" s="970"/>
      <c r="F4" s="971"/>
      <c r="G4" s="907"/>
      <c r="H4" s="907"/>
      <c r="I4" s="934"/>
      <c r="J4" s="934"/>
      <c r="K4" s="934"/>
      <c r="L4" s="934"/>
      <c r="M4" s="936"/>
      <c r="N4" s="936"/>
      <c r="O4" s="936"/>
      <c r="P4" s="936"/>
    </row>
    <row r="5" spans="1:16" ht="52.5" customHeight="1" thickTop="1" thickBot="1">
      <c r="A5" s="969"/>
      <c r="B5" s="970"/>
      <c r="C5" s="970"/>
      <c r="D5" s="970"/>
      <c r="E5" s="970"/>
      <c r="F5" s="971"/>
      <c r="G5" s="373" t="s">
        <v>466</v>
      </c>
      <c r="H5" s="373" t="s">
        <v>467</v>
      </c>
      <c r="I5" s="934"/>
      <c r="J5" s="934"/>
      <c r="K5" s="934"/>
      <c r="L5" s="934"/>
      <c r="M5" s="372">
        <v>1</v>
      </c>
      <c r="N5" s="372">
        <v>2</v>
      </c>
      <c r="O5" s="372">
        <v>3</v>
      </c>
      <c r="P5" s="372">
        <v>4</v>
      </c>
    </row>
    <row r="6" spans="1:16" ht="27" customHeight="1" thickTop="1" thickBot="1">
      <c r="A6" s="231">
        <v>1</v>
      </c>
      <c r="B6" s="961" t="s">
        <v>57</v>
      </c>
      <c r="C6" s="961"/>
      <c r="D6" s="961"/>
      <c r="E6" s="961" t="s">
        <v>495</v>
      </c>
      <c r="F6" s="961"/>
      <c r="G6" s="218">
        <v>1</v>
      </c>
      <c r="H6" s="218">
        <v>1</v>
      </c>
      <c r="I6" s="218">
        <v>2</v>
      </c>
      <c r="J6" s="218">
        <v>0</v>
      </c>
      <c r="K6" s="218">
        <v>0</v>
      </c>
      <c r="L6" s="218" t="s">
        <v>780</v>
      </c>
      <c r="M6" s="151" t="s">
        <v>194</v>
      </c>
      <c r="N6" s="151" t="s">
        <v>194</v>
      </c>
      <c r="O6" s="151" t="s">
        <v>194</v>
      </c>
      <c r="P6" s="151" t="s">
        <v>194</v>
      </c>
    </row>
    <row r="7" spans="1:16" ht="22.5" customHeight="1" thickTop="1" thickBot="1">
      <c r="A7" s="231">
        <v>2</v>
      </c>
      <c r="B7" s="961" t="s">
        <v>471</v>
      </c>
      <c r="C7" s="961"/>
      <c r="D7" s="961"/>
      <c r="E7" s="961" t="s">
        <v>166</v>
      </c>
      <c r="F7" s="961"/>
      <c r="G7" s="371">
        <v>2</v>
      </c>
      <c r="H7" s="371">
        <v>2</v>
      </c>
      <c r="I7" s="371">
        <v>3</v>
      </c>
      <c r="J7" s="371">
        <v>0</v>
      </c>
      <c r="K7" s="371">
        <v>0</v>
      </c>
      <c r="L7" s="371" t="s">
        <v>781</v>
      </c>
      <c r="M7" s="210" t="s">
        <v>194</v>
      </c>
      <c r="N7" s="210" t="s">
        <v>194</v>
      </c>
      <c r="O7" s="210" t="s">
        <v>194</v>
      </c>
      <c r="P7" s="210" t="s">
        <v>194</v>
      </c>
    </row>
    <row r="8" spans="1:16" ht="35.25" customHeight="1" thickTop="1" thickBot="1">
      <c r="A8" s="231">
        <v>3</v>
      </c>
      <c r="B8" s="961" t="s">
        <v>782</v>
      </c>
      <c r="C8" s="961"/>
      <c r="D8" s="961"/>
      <c r="E8" s="961"/>
      <c r="F8" s="961"/>
      <c r="G8" s="218">
        <v>3</v>
      </c>
      <c r="H8" s="218">
        <v>3</v>
      </c>
      <c r="I8" s="218">
        <v>3</v>
      </c>
      <c r="J8" s="218">
        <v>1</v>
      </c>
      <c r="K8" s="218">
        <v>1</v>
      </c>
      <c r="L8" s="218" t="s">
        <v>783</v>
      </c>
      <c r="M8" s="151" t="s">
        <v>194</v>
      </c>
      <c r="N8" s="151" t="s">
        <v>194</v>
      </c>
      <c r="O8" s="151" t="s">
        <v>194</v>
      </c>
      <c r="P8" s="151" t="s">
        <v>194</v>
      </c>
    </row>
    <row r="9" spans="1:16" ht="22.5" customHeight="1" thickTop="1" thickBot="1">
      <c r="A9" s="231">
        <v>4</v>
      </c>
      <c r="B9" s="961" t="s">
        <v>650</v>
      </c>
      <c r="C9" s="961"/>
      <c r="D9" s="961"/>
      <c r="E9" s="961"/>
      <c r="F9" s="961"/>
      <c r="G9" s="371">
        <v>4</v>
      </c>
      <c r="H9" s="371">
        <v>4</v>
      </c>
      <c r="I9" s="371">
        <v>4</v>
      </c>
      <c r="J9" s="371">
        <v>1</v>
      </c>
      <c r="K9" s="371">
        <v>1</v>
      </c>
      <c r="L9" s="371" t="s">
        <v>784</v>
      </c>
      <c r="M9" s="210">
        <v>0</v>
      </c>
      <c r="N9" s="210" t="s">
        <v>194</v>
      </c>
      <c r="O9" s="210" t="s">
        <v>194</v>
      </c>
      <c r="P9" s="210" t="s">
        <v>194</v>
      </c>
    </row>
    <row r="10" spans="1:16" ht="22.5" customHeight="1" thickTop="1" thickBot="1">
      <c r="A10" s="231">
        <v>5</v>
      </c>
      <c r="B10" s="961" t="s">
        <v>64</v>
      </c>
      <c r="C10" s="961"/>
      <c r="D10" s="961"/>
      <c r="E10" s="961" t="s">
        <v>584</v>
      </c>
      <c r="F10" s="961"/>
      <c r="G10" s="218">
        <v>5</v>
      </c>
      <c r="H10" s="218">
        <v>5</v>
      </c>
      <c r="I10" s="218">
        <v>4</v>
      </c>
      <c r="J10" s="218">
        <v>1</v>
      </c>
      <c r="K10" s="218">
        <v>1</v>
      </c>
      <c r="L10" s="218" t="s">
        <v>785</v>
      </c>
      <c r="M10" s="151">
        <v>0</v>
      </c>
      <c r="N10" s="151" t="s">
        <v>194</v>
      </c>
      <c r="O10" s="151" t="s">
        <v>194</v>
      </c>
      <c r="P10" s="151" t="s">
        <v>194</v>
      </c>
    </row>
    <row r="11" spans="1:16" ht="22.5" customHeight="1" thickTop="1" thickBot="1">
      <c r="A11" s="231">
        <v>6</v>
      </c>
      <c r="B11" s="961" t="s">
        <v>68</v>
      </c>
      <c r="C11" s="961"/>
      <c r="D11" s="961"/>
      <c r="E11" s="961" t="s">
        <v>168</v>
      </c>
      <c r="F11" s="961"/>
      <c r="G11" s="371">
        <v>6</v>
      </c>
      <c r="H11" s="371">
        <v>6</v>
      </c>
      <c r="I11" s="371">
        <v>5</v>
      </c>
      <c r="J11" s="371">
        <v>2</v>
      </c>
      <c r="K11" s="371">
        <v>2</v>
      </c>
      <c r="L11" s="371" t="s">
        <v>786</v>
      </c>
      <c r="M11" s="210">
        <v>1</v>
      </c>
      <c r="N11" s="210" t="s">
        <v>194</v>
      </c>
      <c r="O11" s="210" t="s">
        <v>194</v>
      </c>
      <c r="P11" s="210" t="s">
        <v>194</v>
      </c>
    </row>
    <row r="12" spans="1:16" ht="35.25" customHeight="1" thickTop="1" thickBot="1">
      <c r="A12" s="231">
        <v>7</v>
      </c>
      <c r="B12" s="961" t="s">
        <v>599</v>
      </c>
      <c r="C12" s="961"/>
      <c r="D12" s="961"/>
      <c r="E12" s="961" t="s">
        <v>787</v>
      </c>
      <c r="F12" s="961"/>
      <c r="G12" s="218">
        <v>7</v>
      </c>
      <c r="H12" s="218">
        <v>7</v>
      </c>
      <c r="I12" s="218">
        <v>5</v>
      </c>
      <c r="J12" s="218">
        <v>2</v>
      </c>
      <c r="K12" s="218">
        <v>2</v>
      </c>
      <c r="L12" s="218"/>
      <c r="M12" s="151">
        <v>1</v>
      </c>
      <c r="N12" s="151" t="s">
        <v>194</v>
      </c>
      <c r="O12" s="151" t="s">
        <v>194</v>
      </c>
      <c r="P12" s="151" t="s">
        <v>194</v>
      </c>
    </row>
    <row r="13" spans="1:16" ht="22.5" customHeight="1" thickTop="1" thickBot="1">
      <c r="A13" s="231">
        <v>8</v>
      </c>
      <c r="B13" s="961" t="s">
        <v>596</v>
      </c>
      <c r="C13" s="961"/>
      <c r="D13" s="961"/>
      <c r="E13" s="961" t="s">
        <v>168</v>
      </c>
      <c r="F13" s="961"/>
      <c r="G13" s="371">
        <v>8</v>
      </c>
      <c r="H13" s="371">
        <v>8</v>
      </c>
      <c r="I13" s="371">
        <v>6</v>
      </c>
      <c r="J13" s="371">
        <v>2</v>
      </c>
      <c r="K13" s="371">
        <v>2</v>
      </c>
      <c r="L13" s="371"/>
      <c r="M13" s="210">
        <v>1</v>
      </c>
      <c r="N13" s="210">
        <v>0</v>
      </c>
      <c r="O13" s="210" t="s">
        <v>194</v>
      </c>
      <c r="P13" s="210" t="s">
        <v>194</v>
      </c>
    </row>
    <row r="14" spans="1:16" ht="22.5" customHeight="1" thickTop="1" thickBot="1">
      <c r="A14" s="231">
        <v>9</v>
      </c>
      <c r="B14" s="961" t="s">
        <v>475</v>
      </c>
      <c r="C14" s="961"/>
      <c r="D14" s="961"/>
      <c r="E14" s="961" t="s">
        <v>503</v>
      </c>
      <c r="F14" s="961"/>
      <c r="G14" s="218">
        <v>9</v>
      </c>
      <c r="H14" s="218">
        <v>9</v>
      </c>
      <c r="I14" s="218">
        <v>6</v>
      </c>
      <c r="J14" s="218">
        <v>3</v>
      </c>
      <c r="K14" s="218">
        <v>3</v>
      </c>
      <c r="L14" s="218" t="s">
        <v>788</v>
      </c>
      <c r="M14" s="151">
        <v>1</v>
      </c>
      <c r="N14" s="151">
        <v>0</v>
      </c>
      <c r="O14" s="151" t="s">
        <v>194</v>
      </c>
      <c r="P14" s="151" t="s">
        <v>194</v>
      </c>
    </row>
    <row r="15" spans="1:16" ht="22.5" customHeight="1" thickTop="1" thickBot="1">
      <c r="A15" s="231">
        <v>10</v>
      </c>
      <c r="B15" s="961" t="s">
        <v>789</v>
      </c>
      <c r="C15" s="961"/>
      <c r="D15" s="961"/>
      <c r="E15" s="961" t="s">
        <v>168</v>
      </c>
      <c r="F15" s="961"/>
      <c r="G15" s="371">
        <v>10</v>
      </c>
      <c r="H15" s="371">
        <v>10</v>
      </c>
      <c r="I15" s="371">
        <v>7</v>
      </c>
      <c r="J15" s="371">
        <v>3</v>
      </c>
      <c r="K15" s="371">
        <v>3</v>
      </c>
      <c r="L15" s="371" t="s">
        <v>790</v>
      </c>
      <c r="M15" s="210">
        <v>1</v>
      </c>
      <c r="N15" s="210">
        <v>1</v>
      </c>
      <c r="O15" s="210" t="s">
        <v>194</v>
      </c>
      <c r="P15" s="210" t="s">
        <v>194</v>
      </c>
    </row>
    <row r="16" spans="1:16" ht="22.5" customHeight="1" thickTop="1" thickBot="1">
      <c r="G16" s="218">
        <v>11</v>
      </c>
      <c r="H16" s="218">
        <v>11</v>
      </c>
      <c r="I16" s="218">
        <v>7</v>
      </c>
      <c r="J16" s="218">
        <v>3</v>
      </c>
      <c r="K16" s="218">
        <v>3</v>
      </c>
      <c r="L16" s="218" t="s">
        <v>482</v>
      </c>
      <c r="M16" s="151">
        <v>1</v>
      </c>
      <c r="N16" s="151">
        <v>1</v>
      </c>
      <c r="O16" s="151">
        <v>0</v>
      </c>
      <c r="P16" s="151" t="s">
        <v>194</v>
      </c>
    </row>
    <row r="17" spans="7:16" ht="22.5" customHeight="1" thickTop="1" thickBot="1">
      <c r="G17" s="371">
        <v>12</v>
      </c>
      <c r="H17" s="371">
        <v>12</v>
      </c>
      <c r="I17" s="371">
        <v>8</v>
      </c>
      <c r="J17" s="371">
        <v>4</v>
      </c>
      <c r="K17" s="371">
        <v>4</v>
      </c>
      <c r="L17" s="371" t="s">
        <v>791</v>
      </c>
      <c r="M17" s="210">
        <v>1</v>
      </c>
      <c r="N17" s="210">
        <v>1</v>
      </c>
      <c r="O17" s="210">
        <v>1</v>
      </c>
      <c r="P17" s="210" t="s">
        <v>194</v>
      </c>
    </row>
    <row r="18" spans="7:16" ht="22.5" customHeight="1" thickTop="1" thickBot="1">
      <c r="G18" s="218">
        <v>13</v>
      </c>
      <c r="H18" s="218">
        <v>13</v>
      </c>
      <c r="I18" s="218">
        <v>8</v>
      </c>
      <c r="J18" s="218">
        <v>4</v>
      </c>
      <c r="K18" s="218">
        <v>4</v>
      </c>
      <c r="L18" s="218"/>
      <c r="M18" s="151">
        <v>1</v>
      </c>
      <c r="N18" s="151">
        <v>1</v>
      </c>
      <c r="O18" s="151">
        <v>1</v>
      </c>
      <c r="P18" s="151" t="s">
        <v>194</v>
      </c>
    </row>
    <row r="19" spans="7:16" ht="22.5" customHeight="1" thickTop="1" thickBot="1">
      <c r="G19" s="371">
        <v>14</v>
      </c>
      <c r="H19" s="371">
        <v>14</v>
      </c>
      <c r="I19" s="371">
        <v>9</v>
      </c>
      <c r="J19" s="371">
        <v>4</v>
      </c>
      <c r="K19" s="371">
        <v>4</v>
      </c>
      <c r="L19" s="371" t="s">
        <v>482</v>
      </c>
      <c r="M19" s="210">
        <v>2</v>
      </c>
      <c r="N19" s="210">
        <v>1</v>
      </c>
      <c r="O19" s="210">
        <v>1</v>
      </c>
      <c r="P19" s="210">
        <v>0</v>
      </c>
    </row>
    <row r="20" spans="7:16" ht="22.5" customHeight="1" thickTop="1" thickBot="1">
      <c r="G20" s="218">
        <v>15</v>
      </c>
      <c r="H20" s="218">
        <v>15</v>
      </c>
      <c r="I20" s="218">
        <v>9</v>
      </c>
      <c r="J20" s="218">
        <v>5</v>
      </c>
      <c r="K20" s="218">
        <v>5</v>
      </c>
      <c r="L20" s="218" t="s">
        <v>792</v>
      </c>
      <c r="M20" s="151">
        <v>2</v>
      </c>
      <c r="N20" s="151">
        <v>1</v>
      </c>
      <c r="O20" s="151">
        <v>1</v>
      </c>
      <c r="P20" s="151">
        <v>1</v>
      </c>
    </row>
    <row r="21" spans="7:16" ht="22.5" customHeight="1" thickTop="1" thickBot="1">
      <c r="G21" s="371">
        <v>16</v>
      </c>
      <c r="H21" s="371">
        <v>16</v>
      </c>
      <c r="I21" s="371">
        <v>10</v>
      </c>
      <c r="J21" s="371">
        <v>5</v>
      </c>
      <c r="K21" s="371">
        <v>5</v>
      </c>
      <c r="L21" s="371"/>
      <c r="M21" s="210">
        <v>2</v>
      </c>
      <c r="N21" s="210">
        <v>2</v>
      </c>
      <c r="O21" s="210">
        <v>1</v>
      </c>
      <c r="P21" s="210">
        <v>1</v>
      </c>
    </row>
    <row r="22" spans="7:16" ht="22.5" customHeight="1" thickTop="1" thickBot="1">
      <c r="G22" s="218">
        <v>17</v>
      </c>
      <c r="H22" s="218">
        <v>17</v>
      </c>
      <c r="I22" s="218">
        <v>10</v>
      </c>
      <c r="J22" s="218">
        <v>5</v>
      </c>
      <c r="K22" s="218">
        <v>5</v>
      </c>
      <c r="L22" s="218"/>
      <c r="M22" s="151">
        <v>2</v>
      </c>
      <c r="N22" s="151">
        <v>2</v>
      </c>
      <c r="O22" s="151">
        <v>2</v>
      </c>
      <c r="P22" s="151">
        <v>1</v>
      </c>
    </row>
    <row r="23" spans="7:16" ht="22.5" customHeight="1" thickTop="1" thickBot="1">
      <c r="G23" s="371">
        <v>18</v>
      </c>
      <c r="H23" s="371">
        <v>18</v>
      </c>
      <c r="I23" s="371">
        <v>11</v>
      </c>
      <c r="J23" s="371">
        <v>6</v>
      </c>
      <c r="K23" s="371">
        <v>6</v>
      </c>
      <c r="L23" s="371" t="s">
        <v>793</v>
      </c>
      <c r="M23" s="210">
        <v>3</v>
      </c>
      <c r="N23" s="210">
        <v>2</v>
      </c>
      <c r="O23" s="210">
        <v>2</v>
      </c>
      <c r="P23" s="210">
        <v>1</v>
      </c>
    </row>
    <row r="24" spans="7:16" ht="22.5" customHeight="1" thickTop="1" thickBot="1">
      <c r="G24" s="218">
        <v>19</v>
      </c>
      <c r="H24" s="218">
        <v>19</v>
      </c>
      <c r="I24" s="218">
        <v>11</v>
      </c>
      <c r="J24" s="218">
        <v>6</v>
      </c>
      <c r="K24" s="218">
        <v>6</v>
      </c>
      <c r="L24" s="218"/>
      <c r="M24" s="151">
        <v>3</v>
      </c>
      <c r="N24" s="151">
        <v>3</v>
      </c>
      <c r="O24" s="151">
        <v>3</v>
      </c>
      <c r="P24" s="151">
        <v>2</v>
      </c>
    </row>
    <row r="25" spans="7:16" ht="22.5" customHeight="1" thickTop="1" thickBot="1">
      <c r="G25" s="371">
        <v>20</v>
      </c>
      <c r="H25" s="371">
        <v>20</v>
      </c>
      <c r="I25" s="371">
        <v>12</v>
      </c>
      <c r="J25" s="371">
        <v>6</v>
      </c>
      <c r="K25" s="371">
        <v>6</v>
      </c>
      <c r="L25" s="371" t="s">
        <v>794</v>
      </c>
      <c r="M25" s="210">
        <v>3</v>
      </c>
      <c r="N25" s="210">
        <v>3</v>
      </c>
      <c r="O25" s="210">
        <v>3</v>
      </c>
      <c r="P25" s="210">
        <v>3</v>
      </c>
    </row>
    <row r="26" spans="7:16" ht="16.5" thickTop="1" thickBot="1"/>
    <row r="27" spans="7:16" ht="42" customHeight="1" thickTop="1" thickBot="1">
      <c r="G27" s="960" t="s">
        <v>795</v>
      </c>
      <c r="H27" s="960"/>
      <c r="I27" s="960"/>
      <c r="J27" s="960"/>
      <c r="K27" s="960"/>
      <c r="L27" s="960"/>
    </row>
    <row r="28" spans="7:16" ht="57.75" thickTop="1" thickBot="1">
      <c r="G28" s="146" t="s">
        <v>796</v>
      </c>
      <c r="H28" s="146" t="s">
        <v>797</v>
      </c>
      <c r="I28" s="146" t="s">
        <v>798</v>
      </c>
      <c r="J28" s="146" t="s">
        <v>799</v>
      </c>
      <c r="K28" s="146" t="s">
        <v>503</v>
      </c>
      <c r="L28" s="146" t="s">
        <v>468</v>
      </c>
    </row>
    <row r="29" spans="7:16" ht="39" thickTop="1" thickBot="1">
      <c r="G29" s="147" t="s">
        <v>800</v>
      </c>
      <c r="H29" s="147">
        <v>2</v>
      </c>
      <c r="I29" s="147">
        <v>4</v>
      </c>
      <c r="J29" s="147">
        <v>1</v>
      </c>
      <c r="K29" s="147">
        <v>6</v>
      </c>
      <c r="L29" s="147" t="s">
        <v>801</v>
      </c>
    </row>
    <row r="30" spans="7:16" ht="20.25" thickTop="1" thickBot="1">
      <c r="G30" s="147" t="s">
        <v>802</v>
      </c>
      <c r="H30" s="147">
        <v>4</v>
      </c>
      <c r="I30" s="147">
        <v>6</v>
      </c>
      <c r="J30" s="147">
        <v>2</v>
      </c>
      <c r="K30" s="147">
        <v>7</v>
      </c>
      <c r="L30" s="147" t="s">
        <v>803</v>
      </c>
    </row>
    <row r="31" spans="7:16" ht="20.25" thickTop="1" thickBot="1">
      <c r="G31" s="147" t="s">
        <v>804</v>
      </c>
      <c r="H31" s="147">
        <v>6</v>
      </c>
      <c r="I31" s="147">
        <v>8</v>
      </c>
      <c r="J31" s="147">
        <v>3</v>
      </c>
      <c r="K31" s="147">
        <v>8</v>
      </c>
      <c r="L31" s="147" t="s">
        <v>805</v>
      </c>
    </row>
    <row r="32" spans="7:16" ht="20.25" thickTop="1" thickBot="1">
      <c r="G32" s="147" t="s">
        <v>806</v>
      </c>
      <c r="H32" s="147">
        <v>8</v>
      </c>
      <c r="I32" s="147">
        <v>10</v>
      </c>
      <c r="J32" s="147">
        <v>4</v>
      </c>
      <c r="K32" s="147">
        <v>9</v>
      </c>
      <c r="L32" s="147" t="s">
        <v>723</v>
      </c>
    </row>
    <row r="33" ht="15.75" thickTop="1"/>
  </sheetData>
  <mergeCells count="31">
    <mergeCell ref="A1:F3"/>
    <mergeCell ref="G1:G2"/>
    <mergeCell ref="H1:H2"/>
    <mergeCell ref="G3:H4"/>
    <mergeCell ref="A4:F5"/>
    <mergeCell ref="M3:P4"/>
    <mergeCell ref="I3:I5"/>
    <mergeCell ref="J3:J5"/>
    <mergeCell ref="K3:K5"/>
    <mergeCell ref="L3:L5"/>
    <mergeCell ref="E6:F6"/>
    <mergeCell ref="E7:F7"/>
    <mergeCell ref="E8:F8"/>
    <mergeCell ref="E9:F9"/>
    <mergeCell ref="E10:F10"/>
    <mergeCell ref="B6:D6"/>
    <mergeCell ref="B7:D7"/>
    <mergeCell ref="B8:D8"/>
    <mergeCell ref="B9:D9"/>
    <mergeCell ref="B10:D10"/>
    <mergeCell ref="G27:L27"/>
    <mergeCell ref="B11:D11"/>
    <mergeCell ref="B12:D12"/>
    <mergeCell ref="B13:D13"/>
    <mergeCell ref="B14:D14"/>
    <mergeCell ref="B15:D15"/>
    <mergeCell ref="E11:F11"/>
    <mergeCell ref="E12:F12"/>
    <mergeCell ref="E13:F13"/>
    <mergeCell ref="E14:F14"/>
    <mergeCell ref="E15:F15"/>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S35"/>
  <sheetViews>
    <sheetView showGridLines="0" showRowColHeaders="0" workbookViewId="0">
      <selection activeCell="G3" sqref="G3:H4"/>
    </sheetView>
  </sheetViews>
  <sheetFormatPr defaultRowHeight="15"/>
  <cols>
    <col min="9" max="9" width="10.42578125" customWidth="1"/>
    <col min="10" max="10" width="15.85546875" customWidth="1"/>
    <col min="11" max="11" width="9.42578125" customWidth="1"/>
    <col min="12" max="12" width="46.140625" customWidth="1"/>
    <col min="13" max="13" width="6.42578125" customWidth="1"/>
    <col min="14" max="14" width="5.7109375" customWidth="1"/>
    <col min="15" max="15" width="12.85546875" customWidth="1"/>
    <col min="16" max="16" width="11" customWidth="1"/>
    <col min="17" max="17" width="9.7109375" customWidth="1"/>
    <col min="18" max="18" width="32" customWidth="1"/>
    <col min="19" max="19" width="27.7109375" customWidth="1"/>
  </cols>
  <sheetData>
    <row r="1" spans="1:19" ht="16.5" thickTop="1" thickBot="1">
      <c r="A1" s="973" t="s">
        <v>190</v>
      </c>
      <c r="B1" s="974"/>
      <c r="C1" s="974"/>
      <c r="D1" s="974"/>
      <c r="E1" s="974"/>
      <c r="F1" s="975"/>
      <c r="G1" s="976" t="s">
        <v>26</v>
      </c>
      <c r="H1" s="978">
        <v>8</v>
      </c>
      <c r="R1" s="972" t="s">
        <v>807</v>
      </c>
      <c r="S1" s="972"/>
    </row>
    <row r="2" spans="1:19" ht="16.5" thickTop="1" thickBot="1">
      <c r="A2" s="973"/>
      <c r="B2" s="974"/>
      <c r="C2" s="974"/>
      <c r="D2" s="974"/>
      <c r="E2" s="974"/>
      <c r="F2" s="975"/>
      <c r="G2" s="977"/>
      <c r="H2" s="979"/>
      <c r="R2" s="972"/>
      <c r="S2" s="972"/>
    </row>
    <row r="3" spans="1:19" ht="20.25" thickTop="1" thickBot="1">
      <c r="A3" s="973"/>
      <c r="B3" s="974"/>
      <c r="C3" s="974"/>
      <c r="D3" s="974"/>
      <c r="E3" s="974"/>
      <c r="F3" s="975"/>
      <c r="G3" s="980" t="s">
        <v>107</v>
      </c>
      <c r="H3" s="907"/>
      <c r="I3" s="934" t="s">
        <v>777</v>
      </c>
      <c r="J3" s="934" t="s">
        <v>778</v>
      </c>
      <c r="K3" s="934" t="s">
        <v>779</v>
      </c>
      <c r="L3" s="934" t="s">
        <v>468</v>
      </c>
      <c r="M3" s="935" t="s">
        <v>192</v>
      </c>
      <c r="N3" s="936"/>
      <c r="O3" s="936"/>
      <c r="P3" s="936"/>
      <c r="R3" s="376" t="s">
        <v>808</v>
      </c>
      <c r="S3" s="376" t="s">
        <v>809</v>
      </c>
    </row>
    <row r="4" spans="1:19" ht="20.25" thickTop="1" thickBot="1">
      <c r="A4" s="969" t="s">
        <v>44</v>
      </c>
      <c r="B4" s="970"/>
      <c r="C4" s="970"/>
      <c r="D4" s="970"/>
      <c r="E4" s="970"/>
      <c r="F4" s="971"/>
      <c r="G4" s="980"/>
      <c r="H4" s="907"/>
      <c r="I4" s="934"/>
      <c r="J4" s="934"/>
      <c r="K4" s="934"/>
      <c r="L4" s="934"/>
      <c r="M4" s="936"/>
      <c r="N4" s="936"/>
      <c r="O4" s="936"/>
      <c r="P4" s="936"/>
      <c r="Q4" s="148"/>
      <c r="R4" s="149" t="s">
        <v>810</v>
      </c>
      <c r="S4" s="149" t="s">
        <v>811</v>
      </c>
    </row>
    <row r="5" spans="1:19" ht="20.25" customHeight="1" thickTop="1" thickBot="1">
      <c r="A5" s="969"/>
      <c r="B5" s="970"/>
      <c r="C5" s="970"/>
      <c r="D5" s="970"/>
      <c r="E5" s="970"/>
      <c r="F5" s="971"/>
      <c r="G5" s="377" t="s">
        <v>466</v>
      </c>
      <c r="H5" s="369" t="s">
        <v>467</v>
      </c>
      <c r="I5" s="934"/>
      <c r="J5" s="934"/>
      <c r="K5" s="934"/>
      <c r="L5" s="934"/>
      <c r="M5" s="213">
        <v>1</v>
      </c>
      <c r="N5" s="213">
        <v>2</v>
      </c>
      <c r="O5" s="213">
        <v>3</v>
      </c>
      <c r="P5" s="213">
        <v>4</v>
      </c>
      <c r="R5" s="149" t="s">
        <v>812</v>
      </c>
      <c r="S5" s="149" t="s">
        <v>813</v>
      </c>
    </row>
    <row r="6" spans="1:19" s="145" customFormat="1" ht="32.25" customHeight="1" thickTop="1" thickBot="1">
      <c r="A6" s="370"/>
      <c r="B6" s="961" t="s">
        <v>545</v>
      </c>
      <c r="C6" s="961"/>
      <c r="D6" s="961"/>
      <c r="E6" s="961" t="s">
        <v>166</v>
      </c>
      <c r="F6" s="961"/>
      <c r="G6" s="218">
        <v>1</v>
      </c>
      <c r="H6" s="218">
        <v>1</v>
      </c>
      <c r="I6" s="218">
        <v>2</v>
      </c>
      <c r="J6" s="218">
        <v>2</v>
      </c>
      <c r="K6" s="218">
        <v>0</v>
      </c>
      <c r="L6" s="218" t="s">
        <v>814</v>
      </c>
      <c r="M6" s="152" t="s">
        <v>194</v>
      </c>
      <c r="N6" s="152" t="s">
        <v>194</v>
      </c>
      <c r="O6" s="152" t="s">
        <v>194</v>
      </c>
      <c r="P6" s="152" t="s">
        <v>194</v>
      </c>
      <c r="R6" s="149" t="s">
        <v>815</v>
      </c>
      <c r="S6" s="149" t="s">
        <v>816</v>
      </c>
    </row>
    <row r="7" spans="1:19" s="145" customFormat="1" ht="30" customHeight="1" thickTop="1" thickBot="1">
      <c r="A7" s="370"/>
      <c r="B7" s="961" t="s">
        <v>469</v>
      </c>
      <c r="C7" s="961"/>
      <c r="D7" s="961"/>
      <c r="E7" s="961" t="s">
        <v>25</v>
      </c>
      <c r="F7" s="961"/>
      <c r="G7" s="371">
        <v>2</v>
      </c>
      <c r="H7" s="371">
        <v>2</v>
      </c>
      <c r="I7" s="371">
        <v>3</v>
      </c>
      <c r="J7" s="371">
        <v>3</v>
      </c>
      <c r="K7" s="371">
        <v>0</v>
      </c>
      <c r="L7" s="371" t="s">
        <v>817</v>
      </c>
      <c r="M7" s="214" t="s">
        <v>194</v>
      </c>
      <c r="N7" s="214" t="s">
        <v>194</v>
      </c>
      <c r="O7" s="214" t="s">
        <v>194</v>
      </c>
      <c r="P7" s="214" t="s">
        <v>194</v>
      </c>
      <c r="R7" s="149" t="s">
        <v>818</v>
      </c>
      <c r="S7" s="149" t="s">
        <v>819</v>
      </c>
    </row>
    <row r="8" spans="1:19" s="145" customFormat="1" ht="21" customHeight="1" thickTop="1" thickBot="1">
      <c r="A8" s="370"/>
      <c r="B8" s="961" t="s">
        <v>471</v>
      </c>
      <c r="C8" s="961"/>
      <c r="D8" s="961"/>
      <c r="E8" s="961" t="s">
        <v>166</v>
      </c>
      <c r="F8" s="961"/>
      <c r="G8" s="218">
        <v>3</v>
      </c>
      <c r="H8" s="218">
        <v>3</v>
      </c>
      <c r="I8" s="218">
        <v>3</v>
      </c>
      <c r="J8" s="218">
        <v>3</v>
      </c>
      <c r="K8" s="218">
        <v>1</v>
      </c>
      <c r="L8" s="218" t="s">
        <v>65</v>
      </c>
      <c r="M8" s="152" t="s">
        <v>194</v>
      </c>
      <c r="N8" s="152" t="s">
        <v>194</v>
      </c>
      <c r="O8" s="152" t="s">
        <v>194</v>
      </c>
      <c r="P8" s="152" t="s">
        <v>194</v>
      </c>
      <c r="R8" s="149" t="s">
        <v>820</v>
      </c>
      <c r="S8" s="149" t="s">
        <v>821</v>
      </c>
    </row>
    <row r="9" spans="1:19" s="145" customFormat="1" ht="21" customHeight="1" thickTop="1" thickBot="1">
      <c r="A9" s="370"/>
      <c r="B9" s="961" t="s">
        <v>822</v>
      </c>
      <c r="C9" s="961"/>
      <c r="D9" s="961"/>
      <c r="E9" s="961" t="s">
        <v>503</v>
      </c>
      <c r="F9" s="961"/>
      <c r="G9" s="371">
        <v>4</v>
      </c>
      <c r="H9" s="371">
        <v>4</v>
      </c>
      <c r="I9" s="371">
        <v>4</v>
      </c>
      <c r="J9" s="371">
        <v>3</v>
      </c>
      <c r="K9" s="371">
        <v>1</v>
      </c>
      <c r="L9" s="371" t="s">
        <v>823</v>
      </c>
      <c r="M9" s="210">
        <v>0</v>
      </c>
      <c r="N9" s="214" t="s">
        <v>194</v>
      </c>
      <c r="O9" s="214" t="s">
        <v>194</v>
      </c>
      <c r="P9" s="214" t="s">
        <v>194</v>
      </c>
      <c r="R9" s="149" t="s">
        <v>824</v>
      </c>
      <c r="S9" s="149" t="s">
        <v>825</v>
      </c>
    </row>
    <row r="10" spans="1:19" s="145" customFormat="1" ht="31.5" customHeight="1" thickTop="1" thickBot="1">
      <c r="A10" s="370"/>
      <c r="B10" s="961" t="s">
        <v>593</v>
      </c>
      <c r="C10" s="961"/>
      <c r="D10" s="961"/>
      <c r="E10" s="961" t="s">
        <v>503</v>
      </c>
      <c r="F10" s="961"/>
      <c r="G10" s="218">
        <v>5</v>
      </c>
      <c r="H10" s="218">
        <v>5</v>
      </c>
      <c r="I10" s="218">
        <v>4</v>
      </c>
      <c r="J10" s="218">
        <v>4</v>
      </c>
      <c r="K10" s="218">
        <v>1</v>
      </c>
      <c r="L10" s="218" t="s">
        <v>826</v>
      </c>
      <c r="M10" s="151">
        <v>0</v>
      </c>
      <c r="N10" s="152" t="s">
        <v>194</v>
      </c>
      <c r="O10" s="152" t="s">
        <v>194</v>
      </c>
      <c r="P10" s="152" t="s">
        <v>194</v>
      </c>
      <c r="R10" s="149" t="s">
        <v>827</v>
      </c>
      <c r="S10" s="149" t="s">
        <v>828</v>
      </c>
    </row>
    <row r="11" spans="1:19" s="145" customFormat="1" ht="38.25" customHeight="1" thickTop="1" thickBot="1">
      <c r="A11" s="370"/>
      <c r="B11" s="961" t="s">
        <v>829</v>
      </c>
      <c r="C11" s="961"/>
      <c r="D11" s="961"/>
      <c r="E11" s="961" t="s">
        <v>503</v>
      </c>
      <c r="F11" s="961"/>
      <c r="G11" s="371">
        <v>6</v>
      </c>
      <c r="H11" s="371">
        <v>6</v>
      </c>
      <c r="I11" s="371">
        <v>5</v>
      </c>
      <c r="J11" s="371">
        <v>4</v>
      </c>
      <c r="K11" s="371">
        <v>2</v>
      </c>
      <c r="L11" s="371" t="s">
        <v>830</v>
      </c>
      <c r="M11" s="210">
        <v>1</v>
      </c>
      <c r="N11" s="214" t="s">
        <v>194</v>
      </c>
      <c r="O11" s="214" t="s">
        <v>194</v>
      </c>
      <c r="P11" s="214" t="s">
        <v>194</v>
      </c>
      <c r="R11" s="149" t="s">
        <v>831</v>
      </c>
      <c r="S11" s="149" t="s">
        <v>832</v>
      </c>
    </row>
    <row r="12" spans="1:19" s="145" customFormat="1" ht="21" customHeight="1" thickTop="1" thickBot="1">
      <c r="A12" s="370"/>
      <c r="B12" s="961" t="s">
        <v>588</v>
      </c>
      <c r="C12" s="961"/>
      <c r="D12" s="961"/>
      <c r="E12" s="961" t="s">
        <v>168</v>
      </c>
      <c r="F12" s="961"/>
      <c r="G12" s="218">
        <v>7</v>
      </c>
      <c r="H12" s="218">
        <v>7</v>
      </c>
      <c r="I12" s="218">
        <v>5</v>
      </c>
      <c r="J12" s="218">
        <v>5</v>
      </c>
      <c r="K12" s="218">
        <v>2</v>
      </c>
      <c r="L12" s="218" t="s">
        <v>833</v>
      </c>
      <c r="M12" s="151">
        <v>1</v>
      </c>
      <c r="N12" s="152" t="s">
        <v>194</v>
      </c>
      <c r="O12" s="152" t="s">
        <v>194</v>
      </c>
      <c r="P12" s="152" t="s">
        <v>194</v>
      </c>
      <c r="R12" s="149" t="s">
        <v>834</v>
      </c>
      <c r="S12" s="149" t="s">
        <v>835</v>
      </c>
    </row>
    <row r="13" spans="1:19" s="145" customFormat="1" ht="33" customHeight="1" thickTop="1" thickBot="1">
      <c r="A13" s="370"/>
      <c r="B13" s="961" t="s">
        <v>836</v>
      </c>
      <c r="C13" s="961"/>
      <c r="D13" s="961"/>
      <c r="E13" s="961" t="s">
        <v>166</v>
      </c>
      <c r="F13" s="961"/>
      <c r="G13" s="371">
        <v>8</v>
      </c>
      <c r="H13" s="371">
        <v>8</v>
      </c>
      <c r="I13" s="371">
        <v>6</v>
      </c>
      <c r="J13" s="371">
        <v>6</v>
      </c>
      <c r="K13" s="371">
        <v>2</v>
      </c>
      <c r="L13" s="371" t="s">
        <v>837</v>
      </c>
      <c r="M13" s="210">
        <v>1</v>
      </c>
      <c r="N13" s="210">
        <v>0</v>
      </c>
      <c r="O13" s="214" t="s">
        <v>194</v>
      </c>
      <c r="P13" s="214" t="s">
        <v>194</v>
      </c>
      <c r="R13" s="149" t="s">
        <v>838</v>
      </c>
      <c r="S13" s="149" t="s">
        <v>839</v>
      </c>
    </row>
    <row r="14" spans="1:19" s="145" customFormat="1" ht="21" customHeight="1" thickTop="1" thickBot="1">
      <c r="A14" s="370"/>
      <c r="B14" s="961" t="s">
        <v>64</v>
      </c>
      <c r="C14" s="961"/>
      <c r="D14" s="961"/>
      <c r="E14" s="961" t="s">
        <v>584</v>
      </c>
      <c r="F14" s="961"/>
      <c r="G14" s="218">
        <v>9</v>
      </c>
      <c r="H14" s="218">
        <v>9</v>
      </c>
      <c r="I14" s="218">
        <v>6</v>
      </c>
      <c r="J14" s="218">
        <v>6</v>
      </c>
      <c r="K14" s="218">
        <v>3</v>
      </c>
      <c r="L14" s="218" t="s">
        <v>840</v>
      </c>
      <c r="M14" s="151">
        <v>1</v>
      </c>
      <c r="N14" s="151">
        <v>0</v>
      </c>
      <c r="O14" s="152" t="s">
        <v>194</v>
      </c>
      <c r="P14" s="152" t="s">
        <v>194</v>
      </c>
      <c r="R14" s="149" t="s">
        <v>841</v>
      </c>
      <c r="S14" s="149" t="s">
        <v>842</v>
      </c>
    </row>
    <row r="15" spans="1:19" s="145" customFormat="1" ht="21" customHeight="1" thickTop="1" thickBot="1">
      <c r="A15" s="370"/>
      <c r="B15" s="961" t="s">
        <v>68</v>
      </c>
      <c r="C15" s="961"/>
      <c r="D15" s="961"/>
      <c r="E15" s="961" t="s">
        <v>168</v>
      </c>
      <c r="F15" s="961"/>
      <c r="G15" s="371">
        <v>10</v>
      </c>
      <c r="H15" s="371">
        <v>10</v>
      </c>
      <c r="I15" s="371">
        <v>7</v>
      </c>
      <c r="J15" s="371">
        <v>7</v>
      </c>
      <c r="K15" s="371">
        <v>3</v>
      </c>
      <c r="L15" s="371" t="s">
        <v>843</v>
      </c>
      <c r="M15" s="210">
        <v>1</v>
      </c>
      <c r="N15" s="210">
        <v>1</v>
      </c>
      <c r="O15" s="214" t="s">
        <v>194</v>
      </c>
      <c r="P15" s="214" t="s">
        <v>194</v>
      </c>
      <c r="R15" s="149" t="s">
        <v>844</v>
      </c>
      <c r="S15" s="149" t="s">
        <v>845</v>
      </c>
    </row>
    <row r="16" spans="1:19" s="145" customFormat="1" ht="21" customHeight="1" thickTop="1" thickBot="1">
      <c r="A16" s="370"/>
      <c r="B16" s="961" t="s">
        <v>561</v>
      </c>
      <c r="C16" s="961"/>
      <c r="D16" s="961"/>
      <c r="E16" s="961" t="s">
        <v>168</v>
      </c>
      <c r="F16" s="961"/>
      <c r="G16" s="218">
        <v>11</v>
      </c>
      <c r="H16" s="218">
        <v>11</v>
      </c>
      <c r="I16" s="218">
        <v>7</v>
      </c>
      <c r="J16" s="218">
        <v>7</v>
      </c>
      <c r="K16" s="218">
        <v>3</v>
      </c>
      <c r="L16" s="218" t="s">
        <v>846</v>
      </c>
      <c r="M16" s="151">
        <v>1</v>
      </c>
      <c r="N16" s="151">
        <v>1</v>
      </c>
      <c r="O16" s="151">
        <v>0</v>
      </c>
      <c r="P16" s="152" t="s">
        <v>194</v>
      </c>
      <c r="R16" s="149" t="s">
        <v>847</v>
      </c>
      <c r="S16" s="149" t="s">
        <v>848</v>
      </c>
    </row>
    <row r="17" spans="1:19" s="145" customFormat="1" ht="21" customHeight="1" thickTop="1" thickBot="1">
      <c r="A17" s="370"/>
      <c r="B17" s="961" t="s">
        <v>76</v>
      </c>
      <c r="C17" s="961"/>
      <c r="D17" s="961"/>
      <c r="E17" s="961" t="s">
        <v>25</v>
      </c>
      <c r="F17" s="961"/>
      <c r="G17" s="371">
        <v>12</v>
      </c>
      <c r="H17" s="371">
        <v>12</v>
      </c>
      <c r="I17" s="371">
        <v>8</v>
      </c>
      <c r="J17" s="371">
        <v>8</v>
      </c>
      <c r="K17" s="371">
        <v>4</v>
      </c>
      <c r="L17" s="371"/>
      <c r="M17" s="210">
        <v>1</v>
      </c>
      <c r="N17" s="210">
        <v>1</v>
      </c>
      <c r="O17" s="210">
        <v>1</v>
      </c>
      <c r="P17" s="214" t="s">
        <v>194</v>
      </c>
      <c r="R17" s="149" t="s">
        <v>849</v>
      </c>
      <c r="S17" s="149" t="s">
        <v>850</v>
      </c>
    </row>
    <row r="18" spans="1:19" s="145" customFormat="1" ht="21" customHeight="1" thickTop="1" thickBot="1">
      <c r="A18" s="370"/>
      <c r="B18" s="961" t="s">
        <v>78</v>
      </c>
      <c r="C18" s="961"/>
      <c r="D18" s="961"/>
      <c r="E18" s="961" t="s">
        <v>503</v>
      </c>
      <c r="F18" s="961"/>
      <c r="G18" s="218">
        <v>13</v>
      </c>
      <c r="H18" s="218">
        <v>13</v>
      </c>
      <c r="I18" s="218">
        <v>8</v>
      </c>
      <c r="J18" s="218">
        <v>8</v>
      </c>
      <c r="K18" s="218">
        <v>4</v>
      </c>
      <c r="L18" s="218" t="s">
        <v>851</v>
      </c>
      <c r="M18" s="151">
        <v>1</v>
      </c>
      <c r="N18" s="151">
        <v>1</v>
      </c>
      <c r="O18" s="151">
        <v>1</v>
      </c>
      <c r="P18" s="152" t="s">
        <v>194</v>
      </c>
      <c r="R18" s="149" t="s">
        <v>852</v>
      </c>
      <c r="S18" s="149" t="s">
        <v>853</v>
      </c>
    </row>
    <row r="19" spans="1:19" s="145" customFormat="1" ht="34.5" customHeight="1" thickTop="1" thickBot="1">
      <c r="A19" s="370"/>
      <c r="B19" s="961" t="s">
        <v>599</v>
      </c>
      <c r="C19" s="961"/>
      <c r="D19" s="961"/>
      <c r="E19" s="961" t="s">
        <v>495</v>
      </c>
      <c r="F19" s="961"/>
      <c r="G19" s="371">
        <v>14</v>
      </c>
      <c r="H19" s="371">
        <v>14</v>
      </c>
      <c r="I19" s="371">
        <v>9</v>
      </c>
      <c r="J19" s="371">
        <v>9</v>
      </c>
      <c r="K19" s="371">
        <v>4</v>
      </c>
      <c r="L19" s="371"/>
      <c r="M19" s="210">
        <v>2</v>
      </c>
      <c r="N19" s="210">
        <v>1</v>
      </c>
      <c r="O19" s="210">
        <v>1</v>
      </c>
      <c r="P19" s="210">
        <v>0</v>
      </c>
      <c r="R19" s="149" t="s">
        <v>854</v>
      </c>
      <c r="S19" s="149" t="s">
        <v>855</v>
      </c>
    </row>
    <row r="20" spans="1:19" s="145" customFormat="1" ht="40.5" customHeight="1" thickTop="1" thickBot="1">
      <c r="A20" s="370"/>
      <c r="B20" s="961" t="s">
        <v>529</v>
      </c>
      <c r="C20" s="961"/>
      <c r="D20" s="961"/>
      <c r="E20" s="961" t="s">
        <v>168</v>
      </c>
      <c r="F20" s="961"/>
      <c r="G20" s="218">
        <v>15</v>
      </c>
      <c r="H20" s="218">
        <v>15</v>
      </c>
      <c r="I20" s="218">
        <v>9</v>
      </c>
      <c r="J20" s="218">
        <v>9</v>
      </c>
      <c r="K20" s="218">
        <v>5</v>
      </c>
      <c r="L20" s="218" t="s">
        <v>856</v>
      </c>
      <c r="M20" s="151">
        <v>2</v>
      </c>
      <c r="N20" s="151">
        <v>1</v>
      </c>
      <c r="O20" s="151">
        <v>1</v>
      </c>
      <c r="P20" s="151">
        <v>1</v>
      </c>
      <c r="R20" s="149" t="s">
        <v>857</v>
      </c>
      <c r="S20" s="149" t="s">
        <v>858</v>
      </c>
    </row>
    <row r="21" spans="1:19" s="145" customFormat="1" ht="21" customHeight="1" thickTop="1" thickBot="1">
      <c r="A21" s="370"/>
      <c r="B21" s="961" t="s">
        <v>596</v>
      </c>
      <c r="C21" s="961"/>
      <c r="D21" s="961"/>
      <c r="E21" s="961" t="s">
        <v>168</v>
      </c>
      <c r="F21" s="961"/>
      <c r="G21" s="371">
        <v>16</v>
      </c>
      <c r="H21" s="371">
        <v>16</v>
      </c>
      <c r="I21" s="371">
        <v>10</v>
      </c>
      <c r="J21" s="371">
        <v>10</v>
      </c>
      <c r="K21" s="371">
        <v>5</v>
      </c>
      <c r="L21" s="371"/>
      <c r="M21" s="210">
        <v>2</v>
      </c>
      <c r="N21" s="210">
        <v>2</v>
      </c>
      <c r="O21" s="210">
        <v>1</v>
      </c>
      <c r="P21" s="210">
        <v>1</v>
      </c>
      <c r="R21" s="149" t="s">
        <v>859</v>
      </c>
      <c r="S21" s="149" t="s">
        <v>860</v>
      </c>
    </row>
    <row r="22" spans="1:19" s="145" customFormat="1" ht="21" customHeight="1" thickTop="1" thickBot="1">
      <c r="A22" s="370"/>
      <c r="B22" s="961" t="s">
        <v>473</v>
      </c>
      <c r="C22" s="961"/>
      <c r="D22" s="961"/>
      <c r="E22" s="961" t="s">
        <v>25</v>
      </c>
      <c r="F22" s="961"/>
      <c r="G22" s="218">
        <v>17</v>
      </c>
      <c r="H22" s="218">
        <v>17</v>
      </c>
      <c r="I22" s="218">
        <v>10</v>
      </c>
      <c r="J22" s="218">
        <v>10</v>
      </c>
      <c r="K22" s="218">
        <v>5</v>
      </c>
      <c r="L22" s="218" t="s">
        <v>861</v>
      </c>
      <c r="M22" s="151">
        <v>2</v>
      </c>
      <c r="N22" s="151">
        <v>2</v>
      </c>
      <c r="O22" s="151">
        <v>2</v>
      </c>
      <c r="P22" s="151">
        <v>1</v>
      </c>
      <c r="R22" s="149" t="s">
        <v>862</v>
      </c>
      <c r="S22" s="149" t="s">
        <v>863</v>
      </c>
    </row>
    <row r="23" spans="1:19" s="145" customFormat="1" ht="21" customHeight="1" thickTop="1" thickBot="1">
      <c r="A23" s="370"/>
      <c r="B23" s="961" t="s">
        <v>475</v>
      </c>
      <c r="C23" s="961"/>
      <c r="D23" s="961"/>
      <c r="E23" s="961" t="s">
        <v>503</v>
      </c>
      <c r="F23" s="961"/>
      <c r="G23" s="371">
        <v>18</v>
      </c>
      <c r="H23" s="371">
        <v>18</v>
      </c>
      <c r="I23" s="371">
        <v>11</v>
      </c>
      <c r="J23" s="371">
        <v>11</v>
      </c>
      <c r="K23" s="371">
        <v>6</v>
      </c>
      <c r="L23" s="371"/>
      <c r="M23" s="210">
        <v>3</v>
      </c>
      <c r="N23" s="210">
        <v>2</v>
      </c>
      <c r="O23" s="210">
        <v>2</v>
      </c>
      <c r="P23" s="210">
        <v>1</v>
      </c>
      <c r="R23" s="149" t="s">
        <v>864</v>
      </c>
      <c r="S23" s="149" t="s">
        <v>865</v>
      </c>
    </row>
    <row r="24" spans="1:19" s="145" customFormat="1" ht="21" customHeight="1" thickTop="1" thickBot="1">
      <c r="A24" s="370"/>
      <c r="B24" s="961" t="s">
        <v>764</v>
      </c>
      <c r="C24" s="961"/>
      <c r="D24" s="961"/>
      <c r="E24" s="961" t="s">
        <v>166</v>
      </c>
      <c r="F24" s="961"/>
      <c r="G24" s="218">
        <v>19</v>
      </c>
      <c r="H24" s="218">
        <v>19</v>
      </c>
      <c r="I24" s="218">
        <v>11</v>
      </c>
      <c r="J24" s="218">
        <v>11</v>
      </c>
      <c r="K24" s="218">
        <v>6</v>
      </c>
      <c r="L24" s="218"/>
      <c r="M24" s="151">
        <v>3</v>
      </c>
      <c r="N24" s="151">
        <v>3</v>
      </c>
      <c r="O24" s="151">
        <v>3</v>
      </c>
      <c r="P24" s="151">
        <v>2</v>
      </c>
      <c r="R24" s="149" t="s">
        <v>866</v>
      </c>
      <c r="S24" s="149" t="s">
        <v>867</v>
      </c>
    </row>
    <row r="25" spans="1:19" s="145" customFormat="1" ht="21" customHeight="1" thickTop="1" thickBot="1">
      <c r="A25" s="150"/>
      <c r="B25" s="150"/>
      <c r="C25" s="150"/>
      <c r="D25" s="150"/>
      <c r="E25" s="150"/>
      <c r="F25" s="150"/>
      <c r="G25" s="371">
        <v>20</v>
      </c>
      <c r="H25" s="371">
        <v>20</v>
      </c>
      <c r="I25" s="371">
        <v>12</v>
      </c>
      <c r="J25" s="371">
        <v>12</v>
      </c>
      <c r="K25" s="371">
        <v>6</v>
      </c>
      <c r="L25" s="371" t="s">
        <v>868</v>
      </c>
      <c r="M25" s="210">
        <v>3</v>
      </c>
      <c r="N25" s="210">
        <v>3</v>
      </c>
      <c r="O25" s="210">
        <v>3</v>
      </c>
      <c r="P25" s="210">
        <v>3</v>
      </c>
      <c r="R25" s="149" t="s">
        <v>869</v>
      </c>
      <c r="S25" s="149" t="s">
        <v>870</v>
      </c>
    </row>
    <row r="26" spans="1:19" ht="20.25" thickTop="1" thickBot="1">
      <c r="R26" s="149" t="s">
        <v>871</v>
      </c>
      <c r="S26" s="149" t="s">
        <v>872</v>
      </c>
    </row>
    <row r="27" spans="1:19" ht="20.25" thickTop="1" thickBot="1">
      <c r="R27" s="149" t="s">
        <v>873</v>
      </c>
      <c r="S27" s="149" t="s">
        <v>874</v>
      </c>
    </row>
    <row r="28" spans="1:19" ht="20.25" thickTop="1" thickBot="1">
      <c r="R28" s="149" t="s">
        <v>875</v>
      </c>
      <c r="S28" s="149" t="s">
        <v>876</v>
      </c>
    </row>
    <row r="29" spans="1:19" ht="20.25" thickTop="1" thickBot="1">
      <c r="R29" s="149" t="s">
        <v>877</v>
      </c>
      <c r="S29" s="149" t="s">
        <v>878</v>
      </c>
    </row>
    <row r="30" spans="1:19" ht="20.25" thickTop="1" thickBot="1">
      <c r="R30" s="149" t="s">
        <v>879</v>
      </c>
      <c r="S30" s="149" t="s">
        <v>880</v>
      </c>
    </row>
    <row r="31" spans="1:19" ht="20.25" thickTop="1" thickBot="1">
      <c r="R31" s="149" t="s">
        <v>881</v>
      </c>
      <c r="S31" s="149" t="s">
        <v>882</v>
      </c>
    </row>
    <row r="32" spans="1:19" ht="20.25" thickTop="1" thickBot="1">
      <c r="R32" s="149" t="s">
        <v>883</v>
      </c>
      <c r="S32" s="149" t="s">
        <v>884</v>
      </c>
    </row>
    <row r="33" spans="18:19" ht="20.25" thickTop="1" thickBot="1">
      <c r="R33" s="149" t="s">
        <v>885</v>
      </c>
      <c r="S33" s="149" t="s">
        <v>886</v>
      </c>
    </row>
    <row r="34" spans="18:19" ht="39" thickTop="1" thickBot="1">
      <c r="R34" s="149" t="s">
        <v>887</v>
      </c>
      <c r="S34" s="149" t="s">
        <v>888</v>
      </c>
    </row>
    <row r="35" spans="18:19" ht="15.75" thickTop="1"/>
  </sheetData>
  <mergeCells count="49">
    <mergeCell ref="R1:S2"/>
    <mergeCell ref="E6:F6"/>
    <mergeCell ref="E7:F7"/>
    <mergeCell ref="E8:F8"/>
    <mergeCell ref="E9:F9"/>
    <mergeCell ref="I3:I5"/>
    <mergeCell ref="J3:J5"/>
    <mergeCell ref="K3:K5"/>
    <mergeCell ref="L3:L5"/>
    <mergeCell ref="M3:P4"/>
    <mergeCell ref="A1:F3"/>
    <mergeCell ref="G1:G2"/>
    <mergeCell ref="H1:H2"/>
    <mergeCell ref="G3:H4"/>
    <mergeCell ref="A4:F5"/>
    <mergeCell ref="B6:D6"/>
    <mergeCell ref="E10:F10"/>
    <mergeCell ref="E11:F11"/>
    <mergeCell ref="E12:F12"/>
    <mergeCell ref="E13:F13"/>
    <mergeCell ref="E14:F14"/>
    <mergeCell ref="E15:F15"/>
    <mergeCell ref="E16:F16"/>
    <mergeCell ref="E17:F17"/>
    <mergeCell ref="E18:F18"/>
    <mergeCell ref="E19:F19"/>
    <mergeCell ref="E20:F20"/>
    <mergeCell ref="E21:F21"/>
    <mergeCell ref="E22:F22"/>
    <mergeCell ref="E23:F23"/>
    <mergeCell ref="E24:F24"/>
    <mergeCell ref="B7:D7"/>
    <mergeCell ref="B8:D8"/>
    <mergeCell ref="B9:D9"/>
    <mergeCell ref="B10:D10"/>
    <mergeCell ref="B11:D11"/>
    <mergeCell ref="B12:D12"/>
    <mergeCell ref="B13:D13"/>
    <mergeCell ref="B14:D14"/>
    <mergeCell ref="B15:D15"/>
    <mergeCell ref="B21:D21"/>
    <mergeCell ref="B22:D22"/>
    <mergeCell ref="B23:D23"/>
    <mergeCell ref="B24:D24"/>
    <mergeCell ref="B16:D16"/>
    <mergeCell ref="B17:D17"/>
    <mergeCell ref="B18:D18"/>
    <mergeCell ref="B19:D19"/>
    <mergeCell ref="B20:D20"/>
  </mergeCell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X50"/>
  <sheetViews>
    <sheetView showGridLines="0" showRowColHeaders="0" workbookViewId="0">
      <selection activeCell="G3" sqref="G3:H4"/>
    </sheetView>
  </sheetViews>
  <sheetFormatPr defaultRowHeight="15"/>
  <cols>
    <col min="9" max="9" width="10.42578125" customWidth="1"/>
    <col min="12" max="12" width="19.140625" customWidth="1"/>
  </cols>
  <sheetData>
    <row r="1" spans="1:22">
      <c r="A1" s="983" t="s">
        <v>191</v>
      </c>
      <c r="B1" s="983"/>
      <c r="C1" s="983"/>
      <c r="D1" s="983"/>
      <c r="E1" s="983"/>
      <c r="F1" s="983"/>
      <c r="G1" s="986" t="s">
        <v>26</v>
      </c>
      <c r="H1" s="952">
        <v>4</v>
      </c>
    </row>
    <row r="2" spans="1:22" ht="15.75" thickBot="1">
      <c r="A2" s="983"/>
      <c r="B2" s="983"/>
      <c r="C2" s="983"/>
      <c r="D2" s="983"/>
      <c r="E2" s="983"/>
      <c r="F2" s="983"/>
      <c r="G2" s="987"/>
      <c r="H2" s="988"/>
    </row>
    <row r="3" spans="1:22" ht="15" customHeight="1" thickTop="1" thickBot="1">
      <c r="A3" s="984"/>
      <c r="B3" s="984"/>
      <c r="C3" s="984"/>
      <c r="D3" s="984"/>
      <c r="E3" s="984"/>
      <c r="F3" s="985"/>
      <c r="G3" s="989" t="s">
        <v>107</v>
      </c>
      <c r="H3" s="989"/>
      <c r="I3" s="982" t="s">
        <v>777</v>
      </c>
      <c r="J3" s="982" t="s">
        <v>778</v>
      </c>
      <c r="K3" s="982" t="s">
        <v>779</v>
      </c>
      <c r="L3" s="982" t="s">
        <v>468</v>
      </c>
      <c r="M3" s="935" t="s">
        <v>889</v>
      </c>
      <c r="N3" s="936"/>
      <c r="O3" s="936"/>
      <c r="P3" s="936"/>
      <c r="Q3" s="936"/>
      <c r="R3" s="936"/>
      <c r="S3" s="936"/>
      <c r="T3" s="936"/>
      <c r="U3" s="936"/>
      <c r="V3" s="936"/>
    </row>
    <row r="4" spans="1:22" ht="15" customHeight="1" thickTop="1" thickBot="1">
      <c r="A4" s="850" t="s">
        <v>44</v>
      </c>
      <c r="B4" s="850"/>
      <c r="C4" s="850"/>
      <c r="D4" s="850"/>
      <c r="E4" s="850"/>
      <c r="F4" s="850"/>
      <c r="G4" s="989"/>
      <c r="H4" s="989"/>
      <c r="I4" s="982"/>
      <c r="J4" s="982"/>
      <c r="K4" s="982"/>
      <c r="L4" s="982"/>
      <c r="M4" s="936"/>
      <c r="N4" s="936"/>
      <c r="O4" s="936"/>
      <c r="P4" s="936"/>
      <c r="Q4" s="936"/>
      <c r="R4" s="936"/>
      <c r="S4" s="936"/>
      <c r="T4" s="936"/>
      <c r="U4" s="936"/>
      <c r="V4" s="936"/>
    </row>
    <row r="5" spans="1:22" ht="45" customHeight="1" thickTop="1" thickBot="1">
      <c r="A5" s="850"/>
      <c r="B5" s="850"/>
      <c r="C5" s="850"/>
      <c r="D5" s="850"/>
      <c r="E5" s="850"/>
      <c r="F5" s="850"/>
      <c r="G5" s="378" t="s">
        <v>466</v>
      </c>
      <c r="H5" s="378" t="s">
        <v>467</v>
      </c>
      <c r="I5" s="982"/>
      <c r="J5" s="982"/>
      <c r="K5" s="982"/>
      <c r="L5" s="982"/>
      <c r="M5" s="372">
        <v>0</v>
      </c>
      <c r="N5" s="372">
        <v>1</v>
      </c>
      <c r="O5" s="372">
        <v>2</v>
      </c>
      <c r="P5" s="372">
        <v>3</v>
      </c>
      <c r="Q5" s="372">
        <v>4</v>
      </c>
      <c r="R5" s="372">
        <v>5</v>
      </c>
      <c r="S5" s="372">
        <v>6</v>
      </c>
      <c r="T5" s="372">
        <v>7</v>
      </c>
      <c r="U5" s="372">
        <v>8</v>
      </c>
      <c r="V5" s="372">
        <v>9</v>
      </c>
    </row>
    <row r="6" spans="1:22" ht="39" thickTop="1" thickBot="1">
      <c r="A6" s="232">
        <v>1</v>
      </c>
      <c r="B6" s="981" t="s">
        <v>890</v>
      </c>
      <c r="C6" s="981"/>
      <c r="D6" s="981"/>
      <c r="E6" s="981" t="s">
        <v>495</v>
      </c>
      <c r="F6" s="981"/>
      <c r="G6" s="218">
        <v>1</v>
      </c>
      <c r="H6" s="218">
        <v>0</v>
      </c>
      <c r="I6" s="218">
        <v>0</v>
      </c>
      <c r="J6" s="218">
        <v>0</v>
      </c>
      <c r="K6" s="218">
        <v>2</v>
      </c>
      <c r="L6" s="218" t="s">
        <v>891</v>
      </c>
      <c r="M6" s="151">
        <v>5</v>
      </c>
      <c r="N6" s="151">
        <v>3</v>
      </c>
      <c r="O6" s="151" t="s">
        <v>194</v>
      </c>
      <c r="P6" s="151" t="s">
        <v>194</v>
      </c>
      <c r="Q6" s="151" t="s">
        <v>194</v>
      </c>
      <c r="R6" s="151" t="s">
        <v>194</v>
      </c>
      <c r="S6" s="151" t="s">
        <v>194</v>
      </c>
      <c r="T6" s="151" t="s">
        <v>194</v>
      </c>
      <c r="U6" s="151" t="s">
        <v>194</v>
      </c>
      <c r="V6" s="151" t="s">
        <v>194</v>
      </c>
    </row>
    <row r="7" spans="1:22" ht="31.5" customHeight="1" thickTop="1" thickBot="1">
      <c r="A7" s="232">
        <v>2</v>
      </c>
      <c r="B7" s="981" t="s">
        <v>646</v>
      </c>
      <c r="C7" s="981"/>
      <c r="D7" s="981"/>
      <c r="E7" s="981" t="s">
        <v>503</v>
      </c>
      <c r="F7" s="981"/>
      <c r="G7" s="371">
        <v>2</v>
      </c>
      <c r="H7" s="371">
        <v>1</v>
      </c>
      <c r="I7" s="371">
        <v>0</v>
      </c>
      <c r="J7" s="371">
        <v>0</v>
      </c>
      <c r="K7" s="371">
        <v>3</v>
      </c>
      <c r="L7" s="371"/>
      <c r="M7" s="210">
        <v>6</v>
      </c>
      <c r="N7" s="210">
        <v>4</v>
      </c>
      <c r="O7" s="210" t="s">
        <v>194</v>
      </c>
      <c r="P7" s="210" t="s">
        <v>194</v>
      </c>
      <c r="Q7" s="210" t="s">
        <v>194</v>
      </c>
      <c r="R7" s="210" t="s">
        <v>194</v>
      </c>
      <c r="S7" s="210" t="s">
        <v>194</v>
      </c>
      <c r="T7" s="210" t="s">
        <v>194</v>
      </c>
      <c r="U7" s="210" t="s">
        <v>194</v>
      </c>
      <c r="V7" s="210" t="s">
        <v>194</v>
      </c>
    </row>
    <row r="8" spans="1:22" ht="31.5" customHeight="1" thickTop="1" thickBot="1">
      <c r="A8" s="232">
        <v>3</v>
      </c>
      <c r="B8" s="981" t="s">
        <v>590</v>
      </c>
      <c r="C8" s="981"/>
      <c r="D8" s="981"/>
      <c r="E8" s="981" t="s">
        <v>503</v>
      </c>
      <c r="F8" s="981"/>
      <c r="G8" s="218">
        <v>3</v>
      </c>
      <c r="H8" s="218">
        <v>1</v>
      </c>
      <c r="I8" s="218">
        <v>1</v>
      </c>
      <c r="J8" s="218">
        <v>1</v>
      </c>
      <c r="K8" s="218">
        <v>3</v>
      </c>
      <c r="L8" s="218"/>
      <c r="M8" s="151">
        <v>6</v>
      </c>
      <c r="N8" s="151">
        <v>5</v>
      </c>
      <c r="O8" s="151" t="s">
        <v>194</v>
      </c>
      <c r="P8" s="151" t="s">
        <v>194</v>
      </c>
      <c r="Q8" s="151" t="s">
        <v>194</v>
      </c>
      <c r="R8" s="151" t="s">
        <v>194</v>
      </c>
      <c r="S8" s="151" t="s">
        <v>194</v>
      </c>
      <c r="T8" s="151" t="s">
        <v>194</v>
      </c>
      <c r="U8" s="151" t="s">
        <v>194</v>
      </c>
      <c r="V8" s="151" t="s">
        <v>194</v>
      </c>
    </row>
    <row r="9" spans="1:22" ht="31.5" customHeight="1" thickTop="1" thickBot="1">
      <c r="A9" s="232">
        <v>4</v>
      </c>
      <c r="B9" s="981" t="s">
        <v>64</v>
      </c>
      <c r="C9" s="981"/>
      <c r="D9" s="981"/>
      <c r="E9" s="981" t="s">
        <v>584</v>
      </c>
      <c r="F9" s="981"/>
      <c r="G9" s="371">
        <v>4</v>
      </c>
      <c r="H9" s="371">
        <v>2</v>
      </c>
      <c r="I9" s="371">
        <v>1</v>
      </c>
      <c r="J9" s="371">
        <v>1</v>
      </c>
      <c r="K9" s="371">
        <v>4</v>
      </c>
      <c r="L9" s="371"/>
      <c r="M9" s="210">
        <v>6</v>
      </c>
      <c r="N9" s="210">
        <v>6</v>
      </c>
      <c r="O9" s="210">
        <v>3</v>
      </c>
      <c r="P9" s="210" t="s">
        <v>194</v>
      </c>
      <c r="Q9" s="210" t="s">
        <v>194</v>
      </c>
      <c r="R9" s="210" t="s">
        <v>194</v>
      </c>
      <c r="S9" s="210" t="s">
        <v>194</v>
      </c>
      <c r="T9" s="210" t="s">
        <v>194</v>
      </c>
      <c r="U9" s="210" t="s">
        <v>194</v>
      </c>
      <c r="V9" s="210" t="s">
        <v>194</v>
      </c>
    </row>
    <row r="10" spans="1:22" ht="31.5" customHeight="1" thickTop="1" thickBot="1">
      <c r="A10" s="232">
        <v>5</v>
      </c>
      <c r="B10" s="981" t="s">
        <v>596</v>
      </c>
      <c r="C10" s="981"/>
      <c r="D10" s="981"/>
      <c r="E10" s="981" t="s">
        <v>168</v>
      </c>
      <c r="F10" s="981"/>
      <c r="G10" s="218">
        <v>5</v>
      </c>
      <c r="H10" s="218">
        <v>2</v>
      </c>
      <c r="I10" s="218">
        <v>1</v>
      </c>
      <c r="J10" s="218">
        <v>1</v>
      </c>
      <c r="K10" s="218">
        <v>4</v>
      </c>
      <c r="L10" s="218"/>
      <c r="M10" s="151">
        <v>6</v>
      </c>
      <c r="N10" s="151">
        <v>6</v>
      </c>
      <c r="O10" s="151">
        <v>4</v>
      </c>
      <c r="P10" s="151" t="s">
        <v>194</v>
      </c>
      <c r="Q10" s="151" t="s">
        <v>194</v>
      </c>
      <c r="R10" s="151" t="s">
        <v>194</v>
      </c>
      <c r="S10" s="151" t="s">
        <v>194</v>
      </c>
      <c r="T10" s="151" t="s">
        <v>194</v>
      </c>
      <c r="U10" s="151" t="s">
        <v>194</v>
      </c>
      <c r="V10" s="151" t="s">
        <v>194</v>
      </c>
    </row>
    <row r="11" spans="1:22" ht="20.25" thickTop="1" thickBot="1">
      <c r="A11" s="232">
        <v>6</v>
      </c>
      <c r="B11" s="981" t="s">
        <v>475</v>
      </c>
      <c r="C11" s="981"/>
      <c r="D11" s="981"/>
      <c r="E11" s="981" t="s">
        <v>503</v>
      </c>
      <c r="F11" s="981"/>
      <c r="G11" s="371">
        <v>6</v>
      </c>
      <c r="H11" s="371">
        <v>3</v>
      </c>
      <c r="I11" s="371">
        <v>2</v>
      </c>
      <c r="J11" s="371">
        <v>2</v>
      </c>
      <c r="K11" s="371">
        <v>5</v>
      </c>
      <c r="L11" s="371"/>
      <c r="M11" s="210">
        <v>6</v>
      </c>
      <c r="N11" s="210">
        <v>6</v>
      </c>
      <c r="O11" s="210">
        <v>5</v>
      </c>
      <c r="P11" s="210">
        <v>3</v>
      </c>
      <c r="Q11" s="210" t="s">
        <v>194</v>
      </c>
      <c r="R11" s="210" t="s">
        <v>194</v>
      </c>
      <c r="S11" s="210" t="s">
        <v>194</v>
      </c>
      <c r="T11" s="210" t="s">
        <v>194</v>
      </c>
      <c r="U11" s="210" t="s">
        <v>194</v>
      </c>
      <c r="V11" s="210" t="s">
        <v>194</v>
      </c>
    </row>
    <row r="12" spans="1:22" ht="20.25" thickTop="1" thickBot="1">
      <c r="G12" s="218">
        <v>7</v>
      </c>
      <c r="H12" s="218">
        <v>3</v>
      </c>
      <c r="I12" s="218">
        <v>2</v>
      </c>
      <c r="J12" s="218">
        <v>2</v>
      </c>
      <c r="K12" s="218">
        <v>5</v>
      </c>
      <c r="L12" s="218"/>
      <c r="M12" s="151">
        <v>6</v>
      </c>
      <c r="N12" s="151">
        <v>6</v>
      </c>
      <c r="O12" s="151">
        <v>6</v>
      </c>
      <c r="P12" s="151">
        <v>4</v>
      </c>
      <c r="Q12" s="151" t="s">
        <v>194</v>
      </c>
      <c r="R12" s="151" t="s">
        <v>194</v>
      </c>
      <c r="S12" s="151" t="s">
        <v>194</v>
      </c>
      <c r="T12" s="151" t="s">
        <v>194</v>
      </c>
      <c r="U12" s="151" t="s">
        <v>194</v>
      </c>
      <c r="V12" s="151" t="s">
        <v>194</v>
      </c>
    </row>
    <row r="13" spans="1:22" ht="20.25" thickTop="1" thickBot="1">
      <c r="G13" s="371">
        <v>8</v>
      </c>
      <c r="H13" s="371">
        <v>4</v>
      </c>
      <c r="I13" s="371">
        <v>2</v>
      </c>
      <c r="J13" s="371">
        <v>2</v>
      </c>
      <c r="K13" s="371">
        <v>6</v>
      </c>
      <c r="L13" s="371"/>
      <c r="M13" s="210">
        <v>6</v>
      </c>
      <c r="N13" s="210">
        <v>6</v>
      </c>
      <c r="O13" s="210">
        <v>6</v>
      </c>
      <c r="P13" s="210">
        <v>5</v>
      </c>
      <c r="Q13" s="210">
        <v>3</v>
      </c>
      <c r="R13" s="210" t="s">
        <v>194</v>
      </c>
      <c r="S13" s="210" t="s">
        <v>194</v>
      </c>
      <c r="T13" s="210" t="s">
        <v>194</v>
      </c>
      <c r="U13" s="210" t="s">
        <v>194</v>
      </c>
      <c r="V13" s="210" t="s">
        <v>194</v>
      </c>
    </row>
    <row r="14" spans="1:22" ht="20.25" thickTop="1" thickBot="1">
      <c r="G14" s="218">
        <v>9</v>
      </c>
      <c r="H14" s="218">
        <v>4</v>
      </c>
      <c r="I14" s="218">
        <v>3</v>
      </c>
      <c r="J14" s="218">
        <v>3</v>
      </c>
      <c r="K14" s="218">
        <v>6</v>
      </c>
      <c r="L14" s="218"/>
      <c r="M14" s="151">
        <v>6</v>
      </c>
      <c r="N14" s="151">
        <v>6</v>
      </c>
      <c r="O14" s="151">
        <v>6</v>
      </c>
      <c r="P14" s="151">
        <v>6</v>
      </c>
      <c r="Q14" s="151">
        <v>4</v>
      </c>
      <c r="R14" s="151" t="s">
        <v>194</v>
      </c>
      <c r="S14" s="151" t="s">
        <v>194</v>
      </c>
      <c r="T14" s="151" t="s">
        <v>194</v>
      </c>
      <c r="U14" s="151" t="s">
        <v>194</v>
      </c>
      <c r="V14" s="151" t="s">
        <v>194</v>
      </c>
    </row>
    <row r="15" spans="1:22" ht="20.25" thickTop="1" thickBot="1">
      <c r="G15" s="371">
        <v>10</v>
      </c>
      <c r="H15" s="371">
        <v>5</v>
      </c>
      <c r="I15" s="371">
        <v>3</v>
      </c>
      <c r="J15" s="371">
        <v>3</v>
      </c>
      <c r="K15" s="371">
        <v>7</v>
      </c>
      <c r="L15" s="371"/>
      <c r="M15" s="210">
        <v>6</v>
      </c>
      <c r="N15" s="210">
        <v>6</v>
      </c>
      <c r="O15" s="210">
        <v>6</v>
      </c>
      <c r="P15" s="210">
        <v>6</v>
      </c>
      <c r="Q15" s="210">
        <v>5</v>
      </c>
      <c r="R15" s="210">
        <v>3</v>
      </c>
      <c r="S15" s="210" t="s">
        <v>194</v>
      </c>
      <c r="T15" s="210" t="s">
        <v>194</v>
      </c>
      <c r="U15" s="210" t="s">
        <v>194</v>
      </c>
      <c r="V15" s="210" t="s">
        <v>194</v>
      </c>
    </row>
    <row r="16" spans="1:22" ht="20.25" thickTop="1" thickBot="1">
      <c r="G16" s="218">
        <v>11</v>
      </c>
      <c r="H16" s="218">
        <v>5</v>
      </c>
      <c r="I16" s="218">
        <v>3</v>
      </c>
      <c r="J16" s="218">
        <v>3</v>
      </c>
      <c r="K16" s="218">
        <v>7</v>
      </c>
      <c r="L16" s="218"/>
      <c r="M16" s="151">
        <v>6</v>
      </c>
      <c r="N16" s="151">
        <v>6</v>
      </c>
      <c r="O16" s="151">
        <v>6</v>
      </c>
      <c r="P16" s="151">
        <v>6</v>
      </c>
      <c r="Q16" s="151">
        <v>6</v>
      </c>
      <c r="R16" s="151">
        <v>4</v>
      </c>
      <c r="S16" s="151" t="s">
        <v>194</v>
      </c>
      <c r="T16" s="151" t="s">
        <v>194</v>
      </c>
      <c r="U16" s="151" t="s">
        <v>194</v>
      </c>
      <c r="V16" s="151" t="s">
        <v>194</v>
      </c>
    </row>
    <row r="17" spans="7:24" ht="20.25" thickTop="1" thickBot="1">
      <c r="G17" s="371">
        <v>12</v>
      </c>
      <c r="H17" s="371">
        <v>6</v>
      </c>
      <c r="I17" s="371">
        <v>4</v>
      </c>
      <c r="J17" s="371">
        <v>4</v>
      </c>
      <c r="K17" s="371">
        <v>8</v>
      </c>
      <c r="L17" s="371"/>
      <c r="M17" s="210">
        <v>6</v>
      </c>
      <c r="N17" s="210">
        <v>6</v>
      </c>
      <c r="O17" s="210">
        <v>6</v>
      </c>
      <c r="P17" s="210">
        <v>6</v>
      </c>
      <c r="Q17" s="210">
        <v>6</v>
      </c>
      <c r="R17" s="210">
        <v>5</v>
      </c>
      <c r="S17" s="210">
        <v>3</v>
      </c>
      <c r="T17" s="210" t="s">
        <v>194</v>
      </c>
      <c r="U17" s="210" t="s">
        <v>194</v>
      </c>
      <c r="V17" s="210" t="s">
        <v>194</v>
      </c>
    </row>
    <row r="18" spans="7:24" ht="20.25" thickTop="1" thickBot="1">
      <c r="G18" s="218">
        <v>13</v>
      </c>
      <c r="H18" s="218">
        <v>6</v>
      </c>
      <c r="I18" s="218">
        <v>4</v>
      </c>
      <c r="J18" s="218">
        <v>4</v>
      </c>
      <c r="K18" s="218">
        <v>8</v>
      </c>
      <c r="L18" s="218"/>
      <c r="M18" s="151">
        <v>6</v>
      </c>
      <c r="N18" s="151">
        <v>6</v>
      </c>
      <c r="O18" s="151">
        <v>6</v>
      </c>
      <c r="P18" s="151">
        <v>6</v>
      </c>
      <c r="Q18" s="151">
        <v>6</v>
      </c>
      <c r="R18" s="151">
        <v>6</v>
      </c>
      <c r="S18" s="151">
        <v>4</v>
      </c>
      <c r="T18" s="151" t="s">
        <v>194</v>
      </c>
      <c r="U18" s="151" t="s">
        <v>194</v>
      </c>
      <c r="V18" s="151" t="s">
        <v>194</v>
      </c>
    </row>
    <row r="19" spans="7:24" ht="20.25" thickTop="1" thickBot="1">
      <c r="G19" s="371">
        <v>14</v>
      </c>
      <c r="H19" s="371">
        <v>7</v>
      </c>
      <c r="I19" s="371">
        <v>4</v>
      </c>
      <c r="J19" s="371">
        <v>4</v>
      </c>
      <c r="K19" s="371">
        <v>9</v>
      </c>
      <c r="L19" s="371"/>
      <c r="M19" s="210">
        <v>6</v>
      </c>
      <c r="N19" s="210">
        <v>6</v>
      </c>
      <c r="O19" s="210">
        <v>6</v>
      </c>
      <c r="P19" s="210">
        <v>6</v>
      </c>
      <c r="Q19" s="210">
        <v>6</v>
      </c>
      <c r="R19" s="210">
        <v>6</v>
      </c>
      <c r="S19" s="210">
        <v>5</v>
      </c>
      <c r="T19" s="210">
        <v>3</v>
      </c>
      <c r="U19" s="210" t="s">
        <v>194</v>
      </c>
      <c r="V19" s="210" t="s">
        <v>194</v>
      </c>
    </row>
    <row r="20" spans="7:24" ht="20.25" thickTop="1" thickBot="1">
      <c r="G20" s="218">
        <v>15</v>
      </c>
      <c r="H20" s="218">
        <v>7</v>
      </c>
      <c r="I20" s="218">
        <v>5</v>
      </c>
      <c r="J20" s="218">
        <v>5</v>
      </c>
      <c r="K20" s="218">
        <v>9</v>
      </c>
      <c r="L20" s="218"/>
      <c r="M20" s="151">
        <v>6</v>
      </c>
      <c r="N20" s="151">
        <v>6</v>
      </c>
      <c r="O20" s="151">
        <v>6</v>
      </c>
      <c r="P20" s="151">
        <v>6</v>
      </c>
      <c r="Q20" s="151">
        <v>6</v>
      </c>
      <c r="R20" s="151">
        <v>6</v>
      </c>
      <c r="S20" s="151">
        <v>6</v>
      </c>
      <c r="T20" s="151">
        <v>4</v>
      </c>
      <c r="U20" s="151" t="s">
        <v>194</v>
      </c>
      <c r="V20" s="151" t="s">
        <v>194</v>
      </c>
    </row>
    <row r="21" spans="7:24" ht="20.25" thickTop="1" thickBot="1">
      <c r="G21" s="371">
        <v>16</v>
      </c>
      <c r="H21" s="371">
        <v>8</v>
      </c>
      <c r="I21" s="371">
        <v>5</v>
      </c>
      <c r="J21" s="371">
        <v>5</v>
      </c>
      <c r="K21" s="371">
        <v>10</v>
      </c>
      <c r="L21" s="371"/>
      <c r="M21" s="210">
        <v>6</v>
      </c>
      <c r="N21" s="210">
        <v>6</v>
      </c>
      <c r="O21" s="210">
        <v>6</v>
      </c>
      <c r="P21" s="210">
        <v>6</v>
      </c>
      <c r="Q21" s="210">
        <v>6</v>
      </c>
      <c r="R21" s="210">
        <v>6</v>
      </c>
      <c r="S21" s="210">
        <v>6</v>
      </c>
      <c r="T21" s="210">
        <v>5</v>
      </c>
      <c r="U21" s="210">
        <v>3</v>
      </c>
      <c r="V21" s="210" t="s">
        <v>194</v>
      </c>
      <c r="X21" s="142"/>
    </row>
    <row r="22" spans="7:24" ht="20.25" thickTop="1" thickBot="1">
      <c r="G22" s="218">
        <v>17</v>
      </c>
      <c r="H22" s="218">
        <v>8</v>
      </c>
      <c r="I22" s="218">
        <v>5</v>
      </c>
      <c r="J22" s="218">
        <v>5</v>
      </c>
      <c r="K22" s="218">
        <v>10</v>
      </c>
      <c r="L22" s="218"/>
      <c r="M22" s="151">
        <v>6</v>
      </c>
      <c r="N22" s="151">
        <v>6</v>
      </c>
      <c r="O22" s="151">
        <v>6</v>
      </c>
      <c r="P22" s="151">
        <v>6</v>
      </c>
      <c r="Q22" s="151">
        <v>6</v>
      </c>
      <c r="R22" s="151">
        <v>6</v>
      </c>
      <c r="S22" s="151">
        <v>6</v>
      </c>
      <c r="T22" s="151">
        <v>6</v>
      </c>
      <c r="U22" s="151">
        <v>4</v>
      </c>
      <c r="V22" s="151" t="s">
        <v>194</v>
      </c>
    </row>
    <row r="23" spans="7:24" ht="20.25" thickTop="1" thickBot="1">
      <c r="G23" s="371">
        <v>18</v>
      </c>
      <c r="H23" s="371">
        <v>9</v>
      </c>
      <c r="I23" s="371">
        <v>6</v>
      </c>
      <c r="J23" s="371">
        <v>6</v>
      </c>
      <c r="K23" s="371">
        <v>11</v>
      </c>
      <c r="L23" s="371"/>
      <c r="M23" s="210">
        <v>6</v>
      </c>
      <c r="N23" s="210">
        <v>6</v>
      </c>
      <c r="O23" s="210">
        <v>6</v>
      </c>
      <c r="P23" s="210">
        <v>6</v>
      </c>
      <c r="Q23" s="210">
        <v>6</v>
      </c>
      <c r="R23" s="210">
        <v>6</v>
      </c>
      <c r="S23" s="210">
        <v>6</v>
      </c>
      <c r="T23" s="210">
        <v>6</v>
      </c>
      <c r="U23" s="210">
        <v>5</v>
      </c>
      <c r="V23" s="210">
        <v>3</v>
      </c>
    </row>
    <row r="24" spans="7:24" ht="20.25" thickTop="1" thickBot="1">
      <c r="G24" s="218">
        <v>19</v>
      </c>
      <c r="H24" s="218">
        <v>9</v>
      </c>
      <c r="I24" s="218">
        <v>6</v>
      </c>
      <c r="J24" s="218">
        <v>6</v>
      </c>
      <c r="K24" s="218">
        <v>11</v>
      </c>
      <c r="L24" s="218"/>
      <c r="M24" s="151">
        <v>6</v>
      </c>
      <c r="N24" s="151">
        <v>6</v>
      </c>
      <c r="O24" s="151">
        <v>6</v>
      </c>
      <c r="P24" s="151">
        <v>6</v>
      </c>
      <c r="Q24" s="151">
        <v>6</v>
      </c>
      <c r="R24" s="151">
        <v>6</v>
      </c>
      <c r="S24" s="151">
        <v>6</v>
      </c>
      <c r="T24" s="151">
        <v>6</v>
      </c>
      <c r="U24" s="151">
        <v>6</v>
      </c>
      <c r="V24" s="151">
        <v>4</v>
      </c>
    </row>
    <row r="25" spans="7:24" ht="20.25" thickTop="1" thickBot="1">
      <c r="G25" s="371">
        <v>20</v>
      </c>
      <c r="H25" s="371">
        <v>10</v>
      </c>
      <c r="I25" s="371">
        <v>6</v>
      </c>
      <c r="J25" s="371">
        <v>6</v>
      </c>
      <c r="K25" s="371">
        <v>12</v>
      </c>
      <c r="L25" s="371"/>
      <c r="M25" s="210">
        <v>6</v>
      </c>
      <c r="N25" s="210">
        <v>6</v>
      </c>
      <c r="O25" s="210">
        <v>6</v>
      </c>
      <c r="P25" s="210">
        <v>6</v>
      </c>
      <c r="Q25" s="210">
        <v>6</v>
      </c>
      <c r="R25" s="210">
        <v>6</v>
      </c>
      <c r="S25" s="210">
        <v>6</v>
      </c>
      <c r="T25" s="210">
        <v>6</v>
      </c>
      <c r="U25" s="210">
        <v>6</v>
      </c>
      <c r="V25" s="210">
        <v>6</v>
      </c>
    </row>
    <row r="26" spans="7:24" ht="16.5" thickTop="1" thickBot="1"/>
    <row r="27" spans="7:24" ht="16.5" thickTop="1" thickBot="1">
      <c r="L27" s="911" t="s">
        <v>2</v>
      </c>
      <c r="M27" s="935" t="s">
        <v>892</v>
      </c>
      <c r="N27" s="936"/>
      <c r="O27" s="936"/>
      <c r="P27" s="936"/>
      <c r="Q27" s="936"/>
      <c r="R27" s="936"/>
      <c r="S27" s="936"/>
      <c r="T27" s="936"/>
      <c r="U27" s="936"/>
      <c r="V27" s="936"/>
    </row>
    <row r="28" spans="7:24" ht="16.5" thickTop="1" thickBot="1">
      <c r="L28" s="912"/>
      <c r="M28" s="936"/>
      <c r="N28" s="936"/>
      <c r="O28" s="936"/>
      <c r="P28" s="936"/>
      <c r="Q28" s="936"/>
      <c r="R28" s="936"/>
      <c r="S28" s="936"/>
      <c r="T28" s="936"/>
      <c r="U28" s="936"/>
      <c r="V28" s="936"/>
    </row>
    <row r="29" spans="7:24" ht="20.25" thickTop="1" thickBot="1">
      <c r="L29" s="912"/>
      <c r="M29" s="372">
        <v>0</v>
      </c>
      <c r="N29" s="372">
        <v>1</v>
      </c>
      <c r="O29" s="372">
        <v>2</v>
      </c>
      <c r="P29" s="372">
        <v>3</v>
      </c>
      <c r="Q29" s="372">
        <v>4</v>
      </c>
      <c r="R29" s="372">
        <v>5</v>
      </c>
      <c r="S29" s="372">
        <v>6</v>
      </c>
      <c r="T29" s="372">
        <v>7</v>
      </c>
      <c r="U29" s="372">
        <v>8</v>
      </c>
      <c r="V29" s="372">
        <v>9</v>
      </c>
    </row>
    <row r="30" spans="7:24" ht="20.25" thickTop="1" thickBot="1">
      <c r="L30" s="163">
        <v>1</v>
      </c>
      <c r="M30" s="163">
        <v>4</v>
      </c>
      <c r="N30" s="163">
        <v>2</v>
      </c>
      <c r="O30" s="163" t="s">
        <v>194</v>
      </c>
      <c r="P30" s="163" t="s">
        <v>194</v>
      </c>
      <c r="Q30" s="163" t="s">
        <v>194</v>
      </c>
      <c r="R30" s="163" t="s">
        <v>194</v>
      </c>
      <c r="S30" s="163" t="s">
        <v>194</v>
      </c>
      <c r="T30" s="163" t="s">
        <v>194</v>
      </c>
      <c r="U30" s="163" t="s">
        <v>194</v>
      </c>
      <c r="V30" s="163" t="s">
        <v>194</v>
      </c>
    </row>
    <row r="31" spans="7:24" ht="20.25" thickTop="1" thickBot="1">
      <c r="L31" s="372">
        <v>2</v>
      </c>
      <c r="M31" s="372">
        <v>5</v>
      </c>
      <c r="N31" s="372">
        <v>2</v>
      </c>
      <c r="O31" s="372" t="s">
        <v>194</v>
      </c>
      <c r="P31" s="372" t="s">
        <v>194</v>
      </c>
      <c r="Q31" s="372" t="s">
        <v>194</v>
      </c>
      <c r="R31" s="372" t="s">
        <v>194</v>
      </c>
      <c r="S31" s="372" t="s">
        <v>194</v>
      </c>
      <c r="T31" s="372" t="s">
        <v>194</v>
      </c>
      <c r="U31" s="372" t="s">
        <v>194</v>
      </c>
      <c r="V31" s="372" t="s">
        <v>194</v>
      </c>
    </row>
    <row r="32" spans="7:24" ht="20.25" thickTop="1" thickBot="1">
      <c r="L32" s="163">
        <v>3</v>
      </c>
      <c r="M32" s="163">
        <v>5</v>
      </c>
      <c r="N32" s="163">
        <v>3</v>
      </c>
      <c r="O32" s="163" t="s">
        <v>194</v>
      </c>
      <c r="P32" s="163" t="s">
        <v>194</v>
      </c>
      <c r="Q32" s="163" t="s">
        <v>194</v>
      </c>
      <c r="R32" s="163" t="s">
        <v>194</v>
      </c>
      <c r="S32" s="163" t="s">
        <v>194</v>
      </c>
      <c r="T32" s="163" t="s">
        <v>194</v>
      </c>
      <c r="U32" s="163" t="s">
        <v>194</v>
      </c>
      <c r="V32" s="163" t="s">
        <v>194</v>
      </c>
    </row>
    <row r="33" spans="12:22" ht="20.25" thickTop="1" thickBot="1">
      <c r="L33" s="372">
        <v>4</v>
      </c>
      <c r="M33" s="372">
        <v>6</v>
      </c>
      <c r="N33" s="372">
        <v>3</v>
      </c>
      <c r="O33" s="372">
        <v>1</v>
      </c>
      <c r="P33" s="372" t="s">
        <v>194</v>
      </c>
      <c r="Q33" s="372" t="s">
        <v>194</v>
      </c>
      <c r="R33" s="372" t="s">
        <v>194</v>
      </c>
      <c r="S33" s="372" t="s">
        <v>194</v>
      </c>
      <c r="T33" s="372" t="s">
        <v>194</v>
      </c>
      <c r="U33" s="372" t="s">
        <v>194</v>
      </c>
      <c r="V33" s="372" t="s">
        <v>194</v>
      </c>
    </row>
    <row r="34" spans="12:22" ht="20.25" thickTop="1" thickBot="1">
      <c r="L34" s="163">
        <v>5</v>
      </c>
      <c r="M34" s="163">
        <v>6</v>
      </c>
      <c r="N34" s="163">
        <v>4</v>
      </c>
      <c r="O34" s="163">
        <v>2</v>
      </c>
      <c r="P34" s="163" t="s">
        <v>194</v>
      </c>
      <c r="Q34" s="163" t="s">
        <v>194</v>
      </c>
      <c r="R34" s="163" t="s">
        <v>194</v>
      </c>
      <c r="S34" s="163" t="s">
        <v>194</v>
      </c>
      <c r="T34" s="163" t="s">
        <v>194</v>
      </c>
      <c r="U34" s="163" t="s">
        <v>194</v>
      </c>
      <c r="V34" s="163" t="s">
        <v>194</v>
      </c>
    </row>
    <row r="35" spans="12:22" ht="20.25" thickTop="1" thickBot="1">
      <c r="L35" s="372">
        <v>6</v>
      </c>
      <c r="M35" s="372">
        <v>7</v>
      </c>
      <c r="N35" s="372">
        <v>4</v>
      </c>
      <c r="O35" s="372">
        <v>2</v>
      </c>
      <c r="P35" s="372">
        <v>1</v>
      </c>
      <c r="Q35" s="372" t="s">
        <v>194</v>
      </c>
      <c r="R35" s="372" t="s">
        <v>194</v>
      </c>
      <c r="S35" s="372" t="s">
        <v>194</v>
      </c>
      <c r="T35" s="372" t="s">
        <v>194</v>
      </c>
      <c r="U35" s="372" t="s">
        <v>194</v>
      </c>
      <c r="V35" s="372" t="s">
        <v>194</v>
      </c>
    </row>
    <row r="36" spans="12:22" ht="20.25" thickTop="1" thickBot="1">
      <c r="L36" s="163">
        <v>7</v>
      </c>
      <c r="M36" s="163">
        <v>7</v>
      </c>
      <c r="N36" s="163">
        <v>5</v>
      </c>
      <c r="O36" s="163">
        <v>3</v>
      </c>
      <c r="P36" s="163">
        <v>2</v>
      </c>
      <c r="Q36" s="163" t="s">
        <v>194</v>
      </c>
      <c r="R36" s="163" t="s">
        <v>194</v>
      </c>
      <c r="S36" s="163" t="s">
        <v>194</v>
      </c>
      <c r="T36" s="163" t="s">
        <v>194</v>
      </c>
      <c r="U36" s="163" t="s">
        <v>194</v>
      </c>
      <c r="V36" s="163" t="s">
        <v>194</v>
      </c>
    </row>
    <row r="37" spans="12:22" ht="20.25" thickTop="1" thickBot="1">
      <c r="L37" s="372">
        <v>8</v>
      </c>
      <c r="M37" s="372">
        <v>8</v>
      </c>
      <c r="N37" s="372">
        <v>5</v>
      </c>
      <c r="O37" s="372">
        <v>3</v>
      </c>
      <c r="P37" s="372">
        <v>2</v>
      </c>
      <c r="Q37" s="372">
        <v>1</v>
      </c>
      <c r="R37" s="372" t="s">
        <v>194</v>
      </c>
      <c r="S37" s="372" t="s">
        <v>194</v>
      </c>
      <c r="T37" s="372" t="s">
        <v>194</v>
      </c>
      <c r="U37" s="372" t="s">
        <v>194</v>
      </c>
      <c r="V37" s="372" t="s">
        <v>194</v>
      </c>
    </row>
    <row r="38" spans="12:22" ht="20.25" thickTop="1" thickBot="1">
      <c r="L38" s="163">
        <v>9</v>
      </c>
      <c r="M38" s="163">
        <v>8</v>
      </c>
      <c r="N38" s="163">
        <v>5</v>
      </c>
      <c r="O38" s="163">
        <v>4</v>
      </c>
      <c r="P38" s="163">
        <v>3</v>
      </c>
      <c r="Q38" s="163">
        <v>2</v>
      </c>
      <c r="R38" s="163" t="s">
        <v>194</v>
      </c>
      <c r="S38" s="163" t="s">
        <v>194</v>
      </c>
      <c r="T38" s="163" t="s">
        <v>194</v>
      </c>
      <c r="U38" s="163" t="s">
        <v>194</v>
      </c>
      <c r="V38" s="163" t="s">
        <v>194</v>
      </c>
    </row>
    <row r="39" spans="12:22" ht="20.25" thickTop="1" thickBot="1">
      <c r="L39" s="372">
        <v>10</v>
      </c>
      <c r="M39" s="372">
        <v>9</v>
      </c>
      <c r="N39" s="372">
        <v>5</v>
      </c>
      <c r="O39" s="372">
        <v>4</v>
      </c>
      <c r="P39" s="372">
        <v>3</v>
      </c>
      <c r="Q39" s="372">
        <v>2</v>
      </c>
      <c r="R39" s="372">
        <v>1</v>
      </c>
      <c r="S39" s="372" t="s">
        <v>194</v>
      </c>
      <c r="T39" s="372" t="s">
        <v>194</v>
      </c>
      <c r="U39" s="372" t="s">
        <v>194</v>
      </c>
      <c r="V39" s="372" t="s">
        <v>194</v>
      </c>
    </row>
    <row r="40" spans="12:22" ht="20.25" thickTop="1" thickBot="1">
      <c r="L40" s="163">
        <v>11</v>
      </c>
      <c r="M40" s="163">
        <v>9</v>
      </c>
      <c r="N40" s="163">
        <v>5</v>
      </c>
      <c r="O40" s="163">
        <v>5</v>
      </c>
      <c r="P40" s="163">
        <v>4</v>
      </c>
      <c r="Q40" s="163">
        <v>3</v>
      </c>
      <c r="R40" s="163">
        <v>2</v>
      </c>
      <c r="S40" s="163" t="s">
        <v>194</v>
      </c>
      <c r="T40" s="163" t="s">
        <v>194</v>
      </c>
      <c r="U40" s="163" t="s">
        <v>194</v>
      </c>
      <c r="V40" s="163" t="s">
        <v>194</v>
      </c>
    </row>
    <row r="41" spans="12:22" ht="20.25" thickTop="1" thickBot="1">
      <c r="L41" s="372">
        <v>12</v>
      </c>
      <c r="M41" s="372">
        <v>9</v>
      </c>
      <c r="N41" s="372">
        <v>5</v>
      </c>
      <c r="O41" s="372">
        <v>5</v>
      </c>
      <c r="P41" s="372">
        <v>4</v>
      </c>
      <c r="Q41" s="372">
        <v>3</v>
      </c>
      <c r="R41" s="372">
        <v>2</v>
      </c>
      <c r="S41" s="372">
        <v>1</v>
      </c>
      <c r="T41" s="372" t="s">
        <v>194</v>
      </c>
      <c r="U41" s="372" t="s">
        <v>194</v>
      </c>
      <c r="V41" s="372" t="s">
        <v>194</v>
      </c>
    </row>
    <row r="42" spans="12:22" ht="20.25" thickTop="1" thickBot="1">
      <c r="L42" s="163">
        <v>13</v>
      </c>
      <c r="M42" s="163">
        <v>9</v>
      </c>
      <c r="N42" s="163">
        <v>5</v>
      </c>
      <c r="O42" s="163">
        <v>5</v>
      </c>
      <c r="P42" s="163">
        <v>4</v>
      </c>
      <c r="Q42" s="163">
        <v>4</v>
      </c>
      <c r="R42" s="163">
        <v>3</v>
      </c>
      <c r="S42" s="163">
        <v>2</v>
      </c>
      <c r="T42" s="163" t="s">
        <v>194</v>
      </c>
      <c r="U42" s="163" t="s">
        <v>194</v>
      </c>
      <c r="V42" s="163" t="s">
        <v>194</v>
      </c>
    </row>
    <row r="43" spans="12:22" ht="20.25" thickTop="1" thickBot="1">
      <c r="L43" s="372">
        <v>14</v>
      </c>
      <c r="M43" s="372">
        <v>9</v>
      </c>
      <c r="N43" s="372">
        <v>5</v>
      </c>
      <c r="O43" s="372">
        <v>5</v>
      </c>
      <c r="P43" s="372">
        <v>4</v>
      </c>
      <c r="Q43" s="372">
        <v>4</v>
      </c>
      <c r="R43" s="372">
        <v>3</v>
      </c>
      <c r="S43" s="372">
        <v>2</v>
      </c>
      <c r="T43" s="372">
        <v>1</v>
      </c>
      <c r="U43" s="372" t="s">
        <v>194</v>
      </c>
      <c r="V43" s="372" t="s">
        <v>194</v>
      </c>
    </row>
    <row r="44" spans="12:22" ht="20.25" thickTop="1" thickBot="1">
      <c r="L44" s="163">
        <v>15</v>
      </c>
      <c r="M44" s="163">
        <v>9</v>
      </c>
      <c r="N44" s="163">
        <v>5</v>
      </c>
      <c r="O44" s="163">
        <v>5</v>
      </c>
      <c r="P44" s="163">
        <v>4</v>
      </c>
      <c r="Q44" s="163">
        <v>4</v>
      </c>
      <c r="R44" s="163">
        <v>4</v>
      </c>
      <c r="S44" s="163">
        <v>3</v>
      </c>
      <c r="T44" s="163">
        <v>2</v>
      </c>
      <c r="U44" s="163" t="s">
        <v>194</v>
      </c>
      <c r="V44" s="163" t="s">
        <v>194</v>
      </c>
    </row>
    <row r="45" spans="12:22" ht="20.25" thickTop="1" thickBot="1">
      <c r="L45" s="372">
        <v>16</v>
      </c>
      <c r="M45" s="372">
        <v>9</v>
      </c>
      <c r="N45" s="372">
        <v>5</v>
      </c>
      <c r="O45" s="372">
        <v>5</v>
      </c>
      <c r="P45" s="372">
        <v>4</v>
      </c>
      <c r="Q45" s="372">
        <v>4</v>
      </c>
      <c r="R45" s="372">
        <v>4</v>
      </c>
      <c r="S45" s="372">
        <v>3</v>
      </c>
      <c r="T45" s="372">
        <v>2</v>
      </c>
      <c r="U45" s="372">
        <v>1</v>
      </c>
      <c r="V45" s="372" t="s">
        <v>194</v>
      </c>
    </row>
    <row r="46" spans="12:22" ht="20.25" thickTop="1" thickBot="1">
      <c r="L46" s="163">
        <v>17</v>
      </c>
      <c r="M46" s="163">
        <v>9</v>
      </c>
      <c r="N46" s="163">
        <v>5</v>
      </c>
      <c r="O46" s="163">
        <v>5</v>
      </c>
      <c r="P46" s="163">
        <v>4</v>
      </c>
      <c r="Q46" s="163">
        <v>4</v>
      </c>
      <c r="R46" s="163">
        <v>4</v>
      </c>
      <c r="S46" s="163">
        <v>3</v>
      </c>
      <c r="T46" s="163">
        <v>3</v>
      </c>
      <c r="U46" s="163">
        <v>2</v>
      </c>
      <c r="V46" s="163" t="s">
        <v>194</v>
      </c>
    </row>
    <row r="47" spans="12:22" ht="20.25" thickTop="1" thickBot="1">
      <c r="L47" s="372">
        <v>18</v>
      </c>
      <c r="M47" s="372">
        <v>9</v>
      </c>
      <c r="N47" s="372">
        <v>5</v>
      </c>
      <c r="O47" s="372">
        <v>5</v>
      </c>
      <c r="P47" s="372">
        <v>4</v>
      </c>
      <c r="Q47" s="372">
        <v>4</v>
      </c>
      <c r="R47" s="372">
        <v>4</v>
      </c>
      <c r="S47" s="372">
        <v>3</v>
      </c>
      <c r="T47" s="372">
        <v>3</v>
      </c>
      <c r="U47" s="372">
        <v>2</v>
      </c>
      <c r="V47" s="372">
        <v>1</v>
      </c>
    </row>
    <row r="48" spans="12:22" ht="20.25" thickTop="1" thickBot="1">
      <c r="L48" s="163">
        <v>19</v>
      </c>
      <c r="M48" s="163">
        <v>9</v>
      </c>
      <c r="N48" s="163">
        <v>5</v>
      </c>
      <c r="O48" s="163">
        <v>5</v>
      </c>
      <c r="P48" s="163">
        <v>4</v>
      </c>
      <c r="Q48" s="163">
        <v>4</v>
      </c>
      <c r="R48" s="163">
        <v>4</v>
      </c>
      <c r="S48" s="163">
        <v>3</v>
      </c>
      <c r="T48" s="163">
        <v>3</v>
      </c>
      <c r="U48" s="163">
        <v>3</v>
      </c>
      <c r="V48" s="163">
        <v>2</v>
      </c>
    </row>
    <row r="49" spans="12:22" ht="20.25" thickTop="1" thickBot="1">
      <c r="L49" s="372">
        <v>20</v>
      </c>
      <c r="M49" s="372">
        <v>9</v>
      </c>
      <c r="N49" s="372">
        <v>5</v>
      </c>
      <c r="O49" s="372">
        <v>5</v>
      </c>
      <c r="P49" s="372">
        <v>4</v>
      </c>
      <c r="Q49" s="372">
        <v>4</v>
      </c>
      <c r="R49" s="372">
        <v>4</v>
      </c>
      <c r="S49" s="372">
        <v>3</v>
      </c>
      <c r="T49" s="372">
        <v>3</v>
      </c>
      <c r="U49" s="372">
        <v>3</v>
      </c>
      <c r="V49" s="372">
        <v>3</v>
      </c>
    </row>
    <row r="50" spans="12:22" ht="15.75" thickTop="1"/>
  </sheetData>
  <mergeCells count="24">
    <mergeCell ref="A1:F3"/>
    <mergeCell ref="G1:G2"/>
    <mergeCell ref="H1:H2"/>
    <mergeCell ref="G3:H4"/>
    <mergeCell ref="A4:F5"/>
    <mergeCell ref="L27:L29"/>
    <mergeCell ref="M27:V28"/>
    <mergeCell ref="I3:I5"/>
    <mergeCell ref="J3:J5"/>
    <mergeCell ref="K3:K5"/>
    <mergeCell ref="L3:L5"/>
    <mergeCell ref="M3:V4"/>
    <mergeCell ref="E9:F9"/>
    <mergeCell ref="E10:F10"/>
    <mergeCell ref="B11:D11"/>
    <mergeCell ref="B6:D6"/>
    <mergeCell ref="B7:D7"/>
    <mergeCell ref="B8:D8"/>
    <mergeCell ref="B9:D9"/>
    <mergeCell ref="B10:D10"/>
    <mergeCell ref="E11:F11"/>
    <mergeCell ref="E6:F6"/>
    <mergeCell ref="E7:F7"/>
    <mergeCell ref="E8:F8"/>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S179"/>
  <sheetViews>
    <sheetView showGridLines="0" showRowColHeaders="0" zoomScale="70" zoomScaleNormal="70" workbookViewId="0">
      <selection activeCell="AE39" sqref="AE38:AE39"/>
    </sheetView>
  </sheetViews>
  <sheetFormatPr defaultRowHeight="15"/>
  <sheetData>
    <row r="1" spans="1:45" ht="15" customHeight="1" thickBot="1">
      <c r="A1" s="1002" t="s">
        <v>850</v>
      </c>
      <c r="B1" s="1003"/>
      <c r="C1" s="1003"/>
      <c r="D1" s="1003"/>
      <c r="E1" s="1003"/>
      <c r="F1" s="1003"/>
      <c r="G1" s="1003"/>
      <c r="H1" s="1003"/>
      <c r="I1" s="1003"/>
      <c r="J1" s="999" t="s">
        <v>853</v>
      </c>
      <c r="K1" s="1000"/>
      <c r="L1" s="1000"/>
      <c r="M1" s="1000"/>
      <c r="N1" s="1000"/>
      <c r="O1" s="1000"/>
      <c r="P1" s="1000"/>
      <c r="Q1" s="1000"/>
      <c r="R1" s="1001"/>
      <c r="S1" s="990" t="s">
        <v>912</v>
      </c>
      <c r="T1" s="991"/>
      <c r="U1" s="991"/>
      <c r="V1" s="991"/>
      <c r="W1" s="991"/>
      <c r="X1" s="991"/>
      <c r="Y1" s="991"/>
      <c r="Z1" s="991"/>
      <c r="AA1" s="992"/>
      <c r="AB1" s="1006" t="s">
        <v>914</v>
      </c>
      <c r="AC1" s="1007"/>
      <c r="AD1" s="1007"/>
      <c r="AE1" s="1007"/>
      <c r="AF1" s="1007"/>
      <c r="AG1" s="1007"/>
      <c r="AH1" s="1007"/>
      <c r="AI1" s="1007"/>
      <c r="AJ1" s="1007"/>
      <c r="AK1" s="1007"/>
      <c r="AL1" s="1007"/>
      <c r="AM1" s="1007"/>
      <c r="AN1" s="1007"/>
      <c r="AO1" s="1007"/>
      <c r="AP1" s="1007"/>
      <c r="AQ1" s="1007"/>
      <c r="AR1" s="1007"/>
      <c r="AS1" s="1008"/>
    </row>
    <row r="2" spans="1:45" ht="15" customHeight="1" thickBot="1">
      <c r="A2" s="1002"/>
      <c r="B2" s="1003"/>
      <c r="C2" s="1003"/>
      <c r="D2" s="1003"/>
      <c r="E2" s="1003"/>
      <c r="F2" s="1003"/>
      <c r="G2" s="1003"/>
      <c r="H2" s="1003"/>
      <c r="I2" s="1003"/>
      <c r="J2" s="999"/>
      <c r="K2" s="1000"/>
      <c r="L2" s="1000"/>
      <c r="M2" s="1000"/>
      <c r="N2" s="1000"/>
      <c r="O2" s="1000"/>
      <c r="P2" s="1000"/>
      <c r="Q2" s="1000"/>
      <c r="R2" s="1001"/>
      <c r="S2" s="990"/>
      <c r="T2" s="991"/>
      <c r="U2" s="991"/>
      <c r="V2" s="991"/>
      <c r="W2" s="991"/>
      <c r="X2" s="991"/>
      <c r="Y2" s="991"/>
      <c r="Z2" s="991"/>
      <c r="AA2" s="992"/>
      <c r="AB2" s="1009"/>
      <c r="AC2" s="1010"/>
      <c r="AD2" s="1010"/>
      <c r="AE2" s="1010"/>
      <c r="AF2" s="1010"/>
      <c r="AG2" s="1010"/>
      <c r="AH2" s="1010"/>
      <c r="AI2" s="1010"/>
      <c r="AJ2" s="1010"/>
      <c r="AK2" s="1010"/>
      <c r="AL2" s="1010"/>
      <c r="AM2" s="1010"/>
      <c r="AN2" s="1010"/>
      <c r="AO2" s="1010"/>
      <c r="AP2" s="1010"/>
      <c r="AQ2" s="1010"/>
      <c r="AR2" s="1010"/>
      <c r="AS2" s="1011"/>
    </row>
    <row r="3" spans="1:45" ht="15.75" thickBot="1">
      <c r="A3" s="993" t="s">
        <v>893</v>
      </c>
      <c r="B3" s="994"/>
      <c r="C3" s="994"/>
      <c r="D3" s="994"/>
      <c r="E3" s="994"/>
      <c r="F3" s="994"/>
      <c r="G3" s="994"/>
      <c r="H3" s="994"/>
      <c r="I3" s="994"/>
      <c r="J3" s="993" t="s">
        <v>893</v>
      </c>
      <c r="K3" s="994"/>
      <c r="L3" s="994"/>
      <c r="M3" s="994"/>
      <c r="N3" s="994"/>
      <c r="O3" s="994"/>
      <c r="P3" s="994"/>
      <c r="Q3" s="994"/>
      <c r="R3" s="995"/>
      <c r="S3" s="993" t="s">
        <v>893</v>
      </c>
      <c r="T3" s="994"/>
      <c r="U3" s="994"/>
      <c r="V3" s="994"/>
      <c r="W3" s="994"/>
      <c r="X3" s="994"/>
      <c r="Y3" s="994"/>
      <c r="Z3" s="994"/>
      <c r="AA3" s="995"/>
      <c r="AB3" s="1004" t="s">
        <v>893</v>
      </c>
      <c r="AC3" s="1005"/>
      <c r="AD3" s="1005"/>
      <c r="AE3" s="1005"/>
      <c r="AF3" s="1005"/>
      <c r="AG3" s="1005"/>
      <c r="AH3" s="1005"/>
      <c r="AI3" s="1005"/>
      <c r="AJ3" s="1005"/>
      <c r="AK3" s="1012" t="s">
        <v>913</v>
      </c>
      <c r="AL3" s="1013"/>
      <c r="AM3" s="1013"/>
      <c r="AN3" s="1013"/>
      <c r="AO3" s="1013"/>
      <c r="AP3" s="1013"/>
      <c r="AQ3" s="1013"/>
      <c r="AR3" s="1013"/>
      <c r="AS3" s="1014"/>
    </row>
    <row r="4" spans="1:45" ht="15.75" thickBot="1">
      <c r="A4" s="993"/>
      <c r="B4" s="994"/>
      <c r="C4" s="994"/>
      <c r="D4" s="994"/>
      <c r="E4" s="994"/>
      <c r="F4" s="994"/>
      <c r="G4" s="994"/>
      <c r="H4" s="994"/>
      <c r="I4" s="994"/>
      <c r="J4" s="993"/>
      <c r="K4" s="994"/>
      <c r="L4" s="994"/>
      <c r="M4" s="994"/>
      <c r="N4" s="994"/>
      <c r="O4" s="994"/>
      <c r="P4" s="994"/>
      <c r="Q4" s="994"/>
      <c r="R4" s="995"/>
      <c r="S4" s="993"/>
      <c r="T4" s="994"/>
      <c r="U4" s="994"/>
      <c r="V4" s="994"/>
      <c r="W4" s="994"/>
      <c r="X4" s="994"/>
      <c r="Y4" s="994"/>
      <c r="Z4" s="994"/>
      <c r="AA4" s="995"/>
      <c r="AB4" s="993"/>
      <c r="AC4" s="994"/>
      <c r="AD4" s="994"/>
      <c r="AE4" s="994"/>
      <c r="AF4" s="994"/>
      <c r="AG4" s="994"/>
      <c r="AH4" s="994"/>
      <c r="AI4" s="994"/>
      <c r="AJ4" s="994"/>
      <c r="AK4" s="1012"/>
      <c r="AL4" s="1013"/>
      <c r="AM4" s="1013"/>
      <c r="AN4" s="1013"/>
      <c r="AO4" s="1013"/>
      <c r="AP4" s="1013"/>
      <c r="AQ4" s="1013"/>
      <c r="AR4" s="1013"/>
      <c r="AS4" s="1014"/>
    </row>
    <row r="5" spans="1:45" ht="15" customHeight="1" thickBot="1">
      <c r="A5" s="996" t="s">
        <v>894</v>
      </c>
      <c r="B5" s="997"/>
      <c r="C5" s="997"/>
      <c r="D5" s="997"/>
      <c r="E5" s="997"/>
      <c r="F5" s="997"/>
      <c r="G5" s="997"/>
      <c r="H5" s="997"/>
      <c r="I5" s="997"/>
      <c r="J5" s="996" t="s">
        <v>895</v>
      </c>
      <c r="K5" s="997"/>
      <c r="L5" s="997"/>
      <c r="M5" s="997"/>
      <c r="N5" s="997"/>
      <c r="O5" s="997"/>
      <c r="P5" s="997"/>
      <c r="Q5" s="997"/>
      <c r="R5" s="998"/>
      <c r="S5" s="996" t="s">
        <v>911</v>
      </c>
      <c r="T5" s="997"/>
      <c r="U5" s="997"/>
      <c r="V5" s="997"/>
      <c r="W5" s="997"/>
      <c r="X5" s="997"/>
      <c r="Y5" s="997"/>
      <c r="Z5" s="997"/>
      <c r="AA5" s="998"/>
      <c r="AB5" s="996" t="s">
        <v>911</v>
      </c>
      <c r="AC5" s="997"/>
      <c r="AD5" s="997"/>
      <c r="AE5" s="997"/>
      <c r="AF5" s="997"/>
      <c r="AG5" s="997"/>
      <c r="AH5" s="997"/>
      <c r="AI5" s="997"/>
      <c r="AJ5" s="997"/>
      <c r="AK5" s="993" t="s">
        <v>915</v>
      </c>
      <c r="AL5" s="994"/>
      <c r="AM5" s="994"/>
      <c r="AN5" s="994"/>
      <c r="AO5" s="994"/>
      <c r="AP5" s="994"/>
      <c r="AQ5" s="994"/>
      <c r="AR5" s="994"/>
      <c r="AS5" s="995"/>
    </row>
    <row r="6" spans="1:45" ht="15" customHeight="1" thickBot="1">
      <c r="A6" s="996"/>
      <c r="B6" s="997"/>
      <c r="C6" s="997"/>
      <c r="D6" s="997"/>
      <c r="E6" s="997"/>
      <c r="F6" s="997"/>
      <c r="G6" s="997"/>
      <c r="H6" s="997"/>
      <c r="I6" s="997"/>
      <c r="J6" s="996"/>
      <c r="K6" s="997"/>
      <c r="L6" s="997"/>
      <c r="M6" s="997"/>
      <c r="N6" s="997"/>
      <c r="O6" s="997"/>
      <c r="P6" s="997"/>
      <c r="Q6" s="997"/>
      <c r="R6" s="998"/>
      <c r="S6" s="996"/>
      <c r="T6" s="997"/>
      <c r="U6" s="997"/>
      <c r="V6" s="997"/>
      <c r="W6" s="997"/>
      <c r="X6" s="997"/>
      <c r="Y6" s="997"/>
      <c r="Z6" s="997"/>
      <c r="AA6" s="998"/>
      <c r="AB6" s="996"/>
      <c r="AC6" s="997"/>
      <c r="AD6" s="997"/>
      <c r="AE6" s="997"/>
      <c r="AF6" s="997"/>
      <c r="AG6" s="997"/>
      <c r="AH6" s="997"/>
      <c r="AI6" s="997"/>
      <c r="AJ6" s="997"/>
      <c r="AK6" s="993"/>
      <c r="AL6" s="994"/>
      <c r="AM6" s="994"/>
      <c r="AN6" s="994"/>
      <c r="AO6" s="994"/>
      <c r="AP6" s="994"/>
      <c r="AQ6" s="994"/>
      <c r="AR6" s="994"/>
      <c r="AS6" s="995"/>
    </row>
    <row r="7" spans="1:45" ht="15" customHeight="1" thickBot="1">
      <c r="A7" s="996"/>
      <c r="B7" s="997"/>
      <c r="C7" s="997"/>
      <c r="D7" s="997"/>
      <c r="E7" s="997"/>
      <c r="F7" s="997"/>
      <c r="G7" s="997"/>
      <c r="H7" s="997"/>
      <c r="I7" s="997"/>
      <c r="J7" s="996"/>
      <c r="K7" s="997"/>
      <c r="L7" s="997"/>
      <c r="M7" s="997"/>
      <c r="N7" s="997"/>
      <c r="O7" s="997"/>
      <c r="P7" s="997"/>
      <c r="Q7" s="997"/>
      <c r="R7" s="998"/>
      <c r="S7" s="996"/>
      <c r="T7" s="997"/>
      <c r="U7" s="997"/>
      <c r="V7" s="997"/>
      <c r="W7" s="997"/>
      <c r="X7" s="997"/>
      <c r="Y7" s="997"/>
      <c r="Z7" s="997"/>
      <c r="AA7" s="998"/>
      <c r="AB7" s="996"/>
      <c r="AC7" s="997"/>
      <c r="AD7" s="997"/>
      <c r="AE7" s="997"/>
      <c r="AF7" s="997"/>
      <c r="AG7" s="997"/>
      <c r="AH7" s="997"/>
      <c r="AI7" s="997"/>
      <c r="AJ7" s="997"/>
      <c r="AK7" s="996" t="s">
        <v>916</v>
      </c>
      <c r="AL7" s="997"/>
      <c r="AM7" s="997"/>
      <c r="AN7" s="997"/>
      <c r="AO7" s="997"/>
      <c r="AP7" s="997"/>
      <c r="AQ7" s="997"/>
      <c r="AR7" s="997"/>
      <c r="AS7" s="998"/>
    </row>
    <row r="8" spans="1:45" ht="15" customHeight="1" thickBot="1">
      <c r="A8" s="996"/>
      <c r="B8" s="997"/>
      <c r="C8" s="997"/>
      <c r="D8" s="997"/>
      <c r="E8" s="997"/>
      <c r="F8" s="997"/>
      <c r="G8" s="997"/>
      <c r="H8" s="997"/>
      <c r="I8" s="997"/>
      <c r="J8" s="996"/>
      <c r="K8" s="997"/>
      <c r="L8" s="997"/>
      <c r="M8" s="997"/>
      <c r="N8" s="997"/>
      <c r="O8" s="997"/>
      <c r="P8" s="997"/>
      <c r="Q8" s="997"/>
      <c r="R8" s="998"/>
      <c r="S8" s="996"/>
      <c r="T8" s="997"/>
      <c r="U8" s="997"/>
      <c r="V8" s="997"/>
      <c r="W8" s="997"/>
      <c r="X8" s="997"/>
      <c r="Y8" s="997"/>
      <c r="Z8" s="997"/>
      <c r="AA8" s="998"/>
      <c r="AB8" s="996"/>
      <c r="AC8" s="997"/>
      <c r="AD8" s="997"/>
      <c r="AE8" s="997"/>
      <c r="AF8" s="997"/>
      <c r="AG8" s="997"/>
      <c r="AH8" s="997"/>
      <c r="AI8" s="997"/>
      <c r="AJ8" s="997"/>
      <c r="AK8" s="996"/>
      <c r="AL8" s="997"/>
      <c r="AM8" s="997"/>
      <c r="AN8" s="997"/>
      <c r="AO8" s="997"/>
      <c r="AP8" s="997"/>
      <c r="AQ8" s="997"/>
      <c r="AR8" s="997"/>
      <c r="AS8" s="998"/>
    </row>
    <row r="9" spans="1:45" ht="15" customHeight="1" thickBot="1">
      <c r="A9" s="996"/>
      <c r="B9" s="997"/>
      <c r="C9" s="997"/>
      <c r="D9" s="997"/>
      <c r="E9" s="997"/>
      <c r="F9" s="997"/>
      <c r="G9" s="997"/>
      <c r="H9" s="997"/>
      <c r="I9" s="997"/>
      <c r="J9" s="996"/>
      <c r="K9" s="997"/>
      <c r="L9" s="997"/>
      <c r="M9" s="997"/>
      <c r="N9" s="997"/>
      <c r="O9" s="997"/>
      <c r="P9" s="997"/>
      <c r="Q9" s="997"/>
      <c r="R9" s="998"/>
      <c r="S9" s="996"/>
      <c r="T9" s="997"/>
      <c r="U9" s="997"/>
      <c r="V9" s="997"/>
      <c r="W9" s="997"/>
      <c r="X9" s="997"/>
      <c r="Y9" s="997"/>
      <c r="Z9" s="997"/>
      <c r="AA9" s="998"/>
      <c r="AB9" s="996"/>
      <c r="AC9" s="997"/>
      <c r="AD9" s="997"/>
      <c r="AE9" s="997"/>
      <c r="AF9" s="997"/>
      <c r="AG9" s="997"/>
      <c r="AH9" s="997"/>
      <c r="AI9" s="997"/>
      <c r="AJ9" s="997"/>
      <c r="AK9" s="996"/>
      <c r="AL9" s="997"/>
      <c r="AM9" s="997"/>
      <c r="AN9" s="997"/>
      <c r="AO9" s="997"/>
      <c r="AP9" s="997"/>
      <c r="AQ9" s="997"/>
      <c r="AR9" s="997"/>
      <c r="AS9" s="998"/>
    </row>
    <row r="10" spans="1:45" ht="15" customHeight="1" thickBot="1">
      <c r="A10" s="996"/>
      <c r="B10" s="997"/>
      <c r="C10" s="997"/>
      <c r="D10" s="997"/>
      <c r="E10" s="997"/>
      <c r="F10" s="997"/>
      <c r="G10" s="997"/>
      <c r="H10" s="997"/>
      <c r="I10" s="997"/>
      <c r="J10" s="996"/>
      <c r="K10" s="997"/>
      <c r="L10" s="997"/>
      <c r="M10" s="997"/>
      <c r="N10" s="997"/>
      <c r="O10" s="997"/>
      <c r="P10" s="997"/>
      <c r="Q10" s="997"/>
      <c r="R10" s="998"/>
      <c r="S10" s="996"/>
      <c r="T10" s="997"/>
      <c r="U10" s="997"/>
      <c r="V10" s="997"/>
      <c r="W10" s="997"/>
      <c r="X10" s="997"/>
      <c r="Y10" s="997"/>
      <c r="Z10" s="997"/>
      <c r="AA10" s="998"/>
      <c r="AB10" s="996"/>
      <c r="AC10" s="997"/>
      <c r="AD10" s="997"/>
      <c r="AE10" s="997"/>
      <c r="AF10" s="997"/>
      <c r="AG10" s="997"/>
      <c r="AH10" s="997"/>
      <c r="AI10" s="997"/>
      <c r="AJ10" s="997"/>
      <c r="AK10" s="996"/>
      <c r="AL10" s="997"/>
      <c r="AM10" s="997"/>
      <c r="AN10" s="997"/>
      <c r="AO10" s="997"/>
      <c r="AP10" s="997"/>
      <c r="AQ10" s="997"/>
      <c r="AR10" s="997"/>
      <c r="AS10" s="998"/>
    </row>
    <row r="11" spans="1:45" ht="73.5" customHeight="1" thickBot="1">
      <c r="A11" s="996"/>
      <c r="B11" s="997"/>
      <c r="C11" s="997"/>
      <c r="D11" s="997"/>
      <c r="E11" s="997"/>
      <c r="F11" s="997"/>
      <c r="G11" s="997"/>
      <c r="H11" s="997"/>
      <c r="I11" s="997"/>
      <c r="J11" s="996"/>
      <c r="K11" s="997"/>
      <c r="L11" s="997"/>
      <c r="M11" s="997"/>
      <c r="N11" s="997"/>
      <c r="O11" s="997"/>
      <c r="P11" s="997"/>
      <c r="Q11" s="997"/>
      <c r="R11" s="998"/>
      <c r="S11" s="996"/>
      <c r="T11" s="997"/>
      <c r="U11" s="997"/>
      <c r="V11" s="997"/>
      <c r="W11" s="997"/>
      <c r="X11" s="997"/>
      <c r="Y11" s="997"/>
      <c r="Z11" s="997"/>
      <c r="AA11" s="998"/>
      <c r="AB11" s="996"/>
      <c r="AC11" s="997"/>
      <c r="AD11" s="997"/>
      <c r="AE11" s="997"/>
      <c r="AF11" s="997"/>
      <c r="AG11" s="997"/>
      <c r="AH11" s="997"/>
      <c r="AI11" s="997"/>
      <c r="AJ11" s="997"/>
      <c r="AK11" s="996"/>
      <c r="AL11" s="997"/>
      <c r="AM11" s="997"/>
      <c r="AN11" s="997"/>
      <c r="AO11" s="997"/>
      <c r="AP11" s="997"/>
      <c r="AQ11" s="997"/>
      <c r="AR11" s="997"/>
      <c r="AS11" s="998"/>
    </row>
    <row r="12" spans="1:45" ht="15" customHeight="1" thickBot="1">
      <c r="A12" s="996" t="s">
        <v>896</v>
      </c>
      <c r="B12" s="997"/>
      <c r="C12" s="997"/>
      <c r="D12" s="997"/>
      <c r="E12" s="997"/>
      <c r="F12" s="997"/>
      <c r="G12" s="997"/>
      <c r="H12" s="997"/>
      <c r="I12" s="997"/>
      <c r="J12" s="996" t="s">
        <v>897</v>
      </c>
      <c r="K12" s="997"/>
      <c r="L12" s="997"/>
      <c r="M12" s="997"/>
      <c r="N12" s="997"/>
      <c r="O12" s="997"/>
      <c r="P12" s="997"/>
      <c r="Q12" s="997"/>
      <c r="R12" s="998"/>
      <c r="S12" s="996" t="s">
        <v>926</v>
      </c>
      <c r="T12" s="997"/>
      <c r="U12" s="997"/>
      <c r="V12" s="997"/>
      <c r="W12" s="997"/>
      <c r="X12" s="997"/>
      <c r="Y12" s="997"/>
      <c r="Z12" s="997"/>
      <c r="AA12" s="998"/>
      <c r="AB12" s="1015" t="s">
        <v>925</v>
      </c>
      <c r="AC12" s="1015"/>
      <c r="AD12" s="1015"/>
      <c r="AE12" s="1015"/>
      <c r="AF12" s="1015"/>
      <c r="AG12" s="1015"/>
      <c r="AH12" s="1015"/>
      <c r="AI12" s="1015"/>
      <c r="AJ12" s="1016"/>
      <c r="AK12" s="996"/>
      <c r="AL12" s="997"/>
      <c r="AM12" s="997"/>
      <c r="AN12" s="997"/>
      <c r="AO12" s="997"/>
      <c r="AP12" s="997"/>
      <c r="AQ12" s="997"/>
      <c r="AR12" s="997"/>
      <c r="AS12" s="998"/>
    </row>
    <row r="13" spans="1:45" ht="15" customHeight="1" thickBot="1">
      <c r="A13" s="996"/>
      <c r="B13" s="997"/>
      <c r="C13" s="997"/>
      <c r="D13" s="997"/>
      <c r="E13" s="997"/>
      <c r="F13" s="997"/>
      <c r="G13" s="997"/>
      <c r="H13" s="997"/>
      <c r="I13" s="997"/>
      <c r="J13" s="996"/>
      <c r="K13" s="997"/>
      <c r="L13" s="997"/>
      <c r="M13" s="997"/>
      <c r="N13" s="997"/>
      <c r="O13" s="997"/>
      <c r="P13" s="997"/>
      <c r="Q13" s="997"/>
      <c r="R13" s="998"/>
      <c r="S13" s="996"/>
      <c r="T13" s="997"/>
      <c r="U13" s="997"/>
      <c r="V13" s="997"/>
      <c r="W13" s="997"/>
      <c r="X13" s="997"/>
      <c r="Y13" s="997"/>
      <c r="Z13" s="997"/>
      <c r="AA13" s="998"/>
      <c r="AB13" s="1017"/>
      <c r="AC13" s="1017"/>
      <c r="AD13" s="1017"/>
      <c r="AE13" s="1017"/>
      <c r="AF13" s="1017"/>
      <c r="AG13" s="1017"/>
      <c r="AH13" s="1017"/>
      <c r="AI13" s="1017"/>
      <c r="AJ13" s="1018"/>
      <c r="AK13" s="996"/>
      <c r="AL13" s="997"/>
      <c r="AM13" s="997"/>
      <c r="AN13" s="997"/>
      <c r="AO13" s="997"/>
      <c r="AP13" s="997"/>
      <c r="AQ13" s="997"/>
      <c r="AR13" s="997"/>
      <c r="AS13" s="998"/>
    </row>
    <row r="14" spans="1:45" ht="15" customHeight="1" thickBot="1">
      <c r="A14" s="996"/>
      <c r="B14" s="997"/>
      <c r="C14" s="997"/>
      <c r="D14" s="997"/>
      <c r="E14" s="997"/>
      <c r="F14" s="997"/>
      <c r="G14" s="997"/>
      <c r="H14" s="997"/>
      <c r="I14" s="997"/>
      <c r="J14" s="996"/>
      <c r="K14" s="997"/>
      <c r="L14" s="997"/>
      <c r="M14" s="997"/>
      <c r="N14" s="997"/>
      <c r="O14" s="997"/>
      <c r="P14" s="997"/>
      <c r="Q14" s="997"/>
      <c r="R14" s="998"/>
      <c r="S14" s="996"/>
      <c r="T14" s="997"/>
      <c r="U14" s="997"/>
      <c r="V14" s="997"/>
      <c r="W14" s="997"/>
      <c r="X14" s="997"/>
      <c r="Y14" s="997"/>
      <c r="Z14" s="997"/>
      <c r="AA14" s="998"/>
      <c r="AB14" s="1017"/>
      <c r="AC14" s="1017"/>
      <c r="AD14" s="1017"/>
      <c r="AE14" s="1017"/>
      <c r="AF14" s="1017"/>
      <c r="AG14" s="1017"/>
      <c r="AH14" s="1017"/>
      <c r="AI14" s="1017"/>
      <c r="AJ14" s="1018"/>
      <c r="AK14" s="996"/>
      <c r="AL14" s="997"/>
      <c r="AM14" s="997"/>
      <c r="AN14" s="997"/>
      <c r="AO14" s="997"/>
      <c r="AP14" s="997"/>
      <c r="AQ14" s="997"/>
      <c r="AR14" s="997"/>
      <c r="AS14" s="998"/>
    </row>
    <row r="15" spans="1:45" ht="15" customHeight="1" thickBot="1">
      <c r="A15" s="996"/>
      <c r="B15" s="997"/>
      <c r="C15" s="997"/>
      <c r="D15" s="997"/>
      <c r="E15" s="997"/>
      <c r="F15" s="997"/>
      <c r="G15" s="997"/>
      <c r="H15" s="997"/>
      <c r="I15" s="997"/>
      <c r="J15" s="996"/>
      <c r="K15" s="997"/>
      <c r="L15" s="997"/>
      <c r="M15" s="997"/>
      <c r="N15" s="997"/>
      <c r="O15" s="997"/>
      <c r="P15" s="997"/>
      <c r="Q15" s="997"/>
      <c r="R15" s="998"/>
      <c r="S15" s="996"/>
      <c r="T15" s="997"/>
      <c r="U15" s="997"/>
      <c r="V15" s="997"/>
      <c r="W15" s="997"/>
      <c r="X15" s="997"/>
      <c r="Y15" s="997"/>
      <c r="Z15" s="997"/>
      <c r="AA15" s="998"/>
      <c r="AB15" s="1017"/>
      <c r="AC15" s="1017"/>
      <c r="AD15" s="1017"/>
      <c r="AE15" s="1017"/>
      <c r="AF15" s="1017"/>
      <c r="AG15" s="1017"/>
      <c r="AH15" s="1017"/>
      <c r="AI15" s="1017"/>
      <c r="AJ15" s="1018"/>
      <c r="AK15" s="996"/>
      <c r="AL15" s="997"/>
      <c r="AM15" s="997"/>
      <c r="AN15" s="997"/>
      <c r="AO15" s="997"/>
      <c r="AP15" s="997"/>
      <c r="AQ15" s="997"/>
      <c r="AR15" s="997"/>
      <c r="AS15" s="998"/>
    </row>
    <row r="16" spans="1:45" ht="15" customHeight="1" thickBot="1">
      <c r="A16" s="996"/>
      <c r="B16" s="997"/>
      <c r="C16" s="997"/>
      <c r="D16" s="997"/>
      <c r="E16" s="997"/>
      <c r="F16" s="997"/>
      <c r="G16" s="997"/>
      <c r="H16" s="997"/>
      <c r="I16" s="997"/>
      <c r="J16" s="996"/>
      <c r="K16" s="997"/>
      <c r="L16" s="997"/>
      <c r="M16" s="997"/>
      <c r="N16" s="997"/>
      <c r="O16" s="997"/>
      <c r="P16" s="997"/>
      <c r="Q16" s="997"/>
      <c r="R16" s="998"/>
      <c r="S16" s="996"/>
      <c r="T16" s="997"/>
      <c r="U16" s="997"/>
      <c r="V16" s="997"/>
      <c r="W16" s="997"/>
      <c r="X16" s="997"/>
      <c r="Y16" s="997"/>
      <c r="Z16" s="997"/>
      <c r="AA16" s="998"/>
      <c r="AB16" s="1017"/>
      <c r="AC16" s="1017"/>
      <c r="AD16" s="1017"/>
      <c r="AE16" s="1017"/>
      <c r="AF16" s="1017"/>
      <c r="AG16" s="1017"/>
      <c r="AH16" s="1017"/>
      <c r="AI16" s="1017"/>
      <c r="AJ16" s="1018"/>
      <c r="AK16" s="996"/>
      <c r="AL16" s="997"/>
      <c r="AM16" s="997"/>
      <c r="AN16" s="997"/>
      <c r="AO16" s="997"/>
      <c r="AP16" s="997"/>
      <c r="AQ16" s="997"/>
      <c r="AR16" s="997"/>
      <c r="AS16" s="998"/>
    </row>
    <row r="17" spans="1:45" ht="15" customHeight="1" thickBot="1">
      <c r="A17" s="996"/>
      <c r="B17" s="997"/>
      <c r="C17" s="997"/>
      <c r="D17" s="997"/>
      <c r="E17" s="997"/>
      <c r="F17" s="997"/>
      <c r="G17" s="997"/>
      <c r="H17" s="997"/>
      <c r="I17" s="997"/>
      <c r="J17" s="996"/>
      <c r="K17" s="997"/>
      <c r="L17" s="997"/>
      <c r="M17" s="997"/>
      <c r="N17" s="997"/>
      <c r="O17" s="997"/>
      <c r="P17" s="997"/>
      <c r="Q17" s="997"/>
      <c r="R17" s="998"/>
      <c r="S17" s="996"/>
      <c r="T17" s="997"/>
      <c r="U17" s="997"/>
      <c r="V17" s="997"/>
      <c r="W17" s="997"/>
      <c r="X17" s="997"/>
      <c r="Y17" s="997"/>
      <c r="Z17" s="997"/>
      <c r="AA17" s="998"/>
      <c r="AB17" s="1017"/>
      <c r="AC17" s="1017"/>
      <c r="AD17" s="1017"/>
      <c r="AE17" s="1017"/>
      <c r="AF17" s="1017"/>
      <c r="AG17" s="1017"/>
      <c r="AH17" s="1017"/>
      <c r="AI17" s="1017"/>
      <c r="AJ17" s="1018"/>
      <c r="AK17" s="996"/>
      <c r="AL17" s="997"/>
      <c r="AM17" s="997"/>
      <c r="AN17" s="997"/>
      <c r="AO17" s="997"/>
      <c r="AP17" s="997"/>
      <c r="AQ17" s="997"/>
      <c r="AR17" s="997"/>
      <c r="AS17" s="998"/>
    </row>
    <row r="18" spans="1:45" ht="15" customHeight="1" thickBot="1">
      <c r="A18" s="996"/>
      <c r="B18" s="997"/>
      <c r="C18" s="997"/>
      <c r="D18" s="997"/>
      <c r="E18" s="997"/>
      <c r="F18" s="997"/>
      <c r="G18" s="997"/>
      <c r="H18" s="997"/>
      <c r="I18" s="997"/>
      <c r="J18" s="996"/>
      <c r="K18" s="997"/>
      <c r="L18" s="997"/>
      <c r="M18" s="997"/>
      <c r="N18" s="997"/>
      <c r="O18" s="997"/>
      <c r="P18" s="997"/>
      <c r="Q18" s="997"/>
      <c r="R18" s="998"/>
      <c r="S18" s="996"/>
      <c r="T18" s="997"/>
      <c r="U18" s="997"/>
      <c r="V18" s="997"/>
      <c r="W18" s="997"/>
      <c r="X18" s="997"/>
      <c r="Y18" s="997"/>
      <c r="Z18" s="997"/>
      <c r="AA18" s="998"/>
      <c r="AB18" s="1017"/>
      <c r="AC18" s="1017"/>
      <c r="AD18" s="1017"/>
      <c r="AE18" s="1017"/>
      <c r="AF18" s="1017"/>
      <c r="AG18" s="1017"/>
      <c r="AH18" s="1017"/>
      <c r="AI18" s="1017"/>
      <c r="AJ18" s="1018"/>
      <c r="AK18" s="996"/>
      <c r="AL18" s="997"/>
      <c r="AM18" s="997"/>
      <c r="AN18" s="997"/>
      <c r="AO18" s="997"/>
      <c r="AP18" s="997"/>
      <c r="AQ18" s="997"/>
      <c r="AR18" s="997"/>
      <c r="AS18" s="998"/>
    </row>
    <row r="19" spans="1:45" ht="15" customHeight="1" thickBot="1">
      <c r="A19" s="996" t="s">
        <v>898</v>
      </c>
      <c r="B19" s="997"/>
      <c r="C19" s="997"/>
      <c r="D19" s="997"/>
      <c r="E19" s="997"/>
      <c r="F19" s="997"/>
      <c r="G19" s="997"/>
      <c r="H19" s="997"/>
      <c r="I19" s="997"/>
      <c r="J19" s="996" t="s">
        <v>899</v>
      </c>
      <c r="K19" s="997"/>
      <c r="L19" s="997"/>
      <c r="M19" s="997"/>
      <c r="N19" s="997"/>
      <c r="O19" s="997"/>
      <c r="P19" s="997"/>
      <c r="Q19" s="997"/>
      <c r="R19" s="998"/>
      <c r="S19" s="996"/>
      <c r="T19" s="997"/>
      <c r="U19" s="997"/>
      <c r="V19" s="997"/>
      <c r="W19" s="997"/>
      <c r="X19" s="997"/>
      <c r="Y19" s="997"/>
      <c r="Z19" s="997"/>
      <c r="AA19" s="998"/>
      <c r="AB19" s="1017"/>
      <c r="AC19" s="1017"/>
      <c r="AD19" s="1017"/>
      <c r="AE19" s="1017"/>
      <c r="AF19" s="1017"/>
      <c r="AG19" s="1017"/>
      <c r="AH19" s="1017"/>
      <c r="AI19" s="1017"/>
      <c r="AJ19" s="1018"/>
      <c r="AK19" s="996"/>
      <c r="AL19" s="997"/>
      <c r="AM19" s="997"/>
      <c r="AN19" s="997"/>
      <c r="AO19" s="997"/>
      <c r="AP19" s="997"/>
      <c r="AQ19" s="997"/>
      <c r="AR19" s="997"/>
      <c r="AS19" s="998"/>
    </row>
    <row r="20" spans="1:45" ht="15" customHeight="1" thickBot="1">
      <c r="A20" s="996"/>
      <c r="B20" s="997"/>
      <c r="C20" s="997"/>
      <c r="D20" s="997"/>
      <c r="E20" s="997"/>
      <c r="F20" s="997"/>
      <c r="G20" s="997"/>
      <c r="H20" s="997"/>
      <c r="I20" s="997"/>
      <c r="J20" s="996"/>
      <c r="K20" s="997"/>
      <c r="L20" s="997"/>
      <c r="M20" s="997"/>
      <c r="N20" s="997"/>
      <c r="O20" s="997"/>
      <c r="P20" s="997"/>
      <c r="Q20" s="997"/>
      <c r="R20" s="998"/>
      <c r="S20" s="996"/>
      <c r="T20" s="997"/>
      <c r="U20" s="997"/>
      <c r="V20" s="997"/>
      <c r="W20" s="997"/>
      <c r="X20" s="997"/>
      <c r="Y20" s="997"/>
      <c r="Z20" s="997"/>
      <c r="AA20" s="998"/>
      <c r="AB20" s="1017"/>
      <c r="AC20" s="1017"/>
      <c r="AD20" s="1017"/>
      <c r="AE20" s="1017"/>
      <c r="AF20" s="1017"/>
      <c r="AG20" s="1017"/>
      <c r="AH20" s="1017"/>
      <c r="AI20" s="1017"/>
      <c r="AJ20" s="1018"/>
      <c r="AK20" s="996"/>
      <c r="AL20" s="997"/>
      <c r="AM20" s="997"/>
      <c r="AN20" s="997"/>
      <c r="AO20" s="997"/>
      <c r="AP20" s="997"/>
      <c r="AQ20" s="997"/>
      <c r="AR20" s="997"/>
      <c r="AS20" s="998"/>
    </row>
    <row r="21" spans="1:45" ht="15" customHeight="1" thickBot="1">
      <c r="A21" s="996"/>
      <c r="B21" s="997"/>
      <c r="C21" s="997"/>
      <c r="D21" s="997"/>
      <c r="E21" s="997"/>
      <c r="F21" s="997"/>
      <c r="G21" s="997"/>
      <c r="H21" s="997"/>
      <c r="I21" s="997"/>
      <c r="J21" s="996"/>
      <c r="K21" s="997"/>
      <c r="L21" s="997"/>
      <c r="M21" s="997"/>
      <c r="N21" s="997"/>
      <c r="O21" s="997"/>
      <c r="P21" s="997"/>
      <c r="Q21" s="997"/>
      <c r="R21" s="998"/>
      <c r="S21" s="996"/>
      <c r="T21" s="997"/>
      <c r="U21" s="997"/>
      <c r="V21" s="997"/>
      <c r="W21" s="997"/>
      <c r="X21" s="997"/>
      <c r="Y21" s="997"/>
      <c r="Z21" s="997"/>
      <c r="AA21" s="998"/>
      <c r="AB21" s="1019"/>
      <c r="AC21" s="1019"/>
      <c r="AD21" s="1019"/>
      <c r="AE21" s="1019"/>
      <c r="AF21" s="1019"/>
      <c r="AG21" s="1019"/>
      <c r="AH21" s="1019"/>
      <c r="AI21" s="1019"/>
      <c r="AJ21" s="1020"/>
      <c r="AK21" s="996"/>
      <c r="AL21" s="997"/>
      <c r="AM21" s="997"/>
      <c r="AN21" s="997"/>
      <c r="AO21" s="997"/>
      <c r="AP21" s="997"/>
      <c r="AQ21" s="997"/>
      <c r="AR21" s="997"/>
      <c r="AS21" s="998"/>
    </row>
    <row r="22" spans="1:45" ht="15" customHeight="1" thickBot="1">
      <c r="A22" s="996"/>
      <c r="B22" s="997"/>
      <c r="C22" s="997"/>
      <c r="D22" s="997"/>
      <c r="E22" s="997"/>
      <c r="F22" s="997"/>
      <c r="G22" s="997"/>
      <c r="H22" s="997"/>
      <c r="I22" s="997"/>
      <c r="J22" s="996"/>
      <c r="K22" s="997"/>
      <c r="L22" s="997"/>
      <c r="M22" s="997"/>
      <c r="N22" s="997"/>
      <c r="O22" s="997"/>
      <c r="P22" s="997"/>
      <c r="Q22" s="997"/>
      <c r="R22" s="998"/>
      <c r="S22" s="996" t="s">
        <v>927</v>
      </c>
      <c r="T22" s="997"/>
      <c r="U22" s="997"/>
      <c r="V22" s="997"/>
      <c r="W22" s="997"/>
      <c r="X22" s="997"/>
      <c r="Y22" s="997"/>
      <c r="Z22" s="997"/>
      <c r="AA22" s="998"/>
      <c r="AB22" s="344"/>
      <c r="AC22" s="344"/>
      <c r="AD22" s="344"/>
      <c r="AE22" s="344"/>
      <c r="AF22" s="344"/>
      <c r="AG22" s="344"/>
      <c r="AH22" s="344"/>
      <c r="AI22" s="344"/>
      <c r="AJ22" s="344"/>
      <c r="AK22" s="996"/>
      <c r="AL22" s="997"/>
      <c r="AM22" s="997"/>
      <c r="AN22" s="997"/>
      <c r="AO22" s="997"/>
      <c r="AP22" s="997"/>
      <c r="AQ22" s="997"/>
      <c r="AR22" s="997"/>
      <c r="AS22" s="998"/>
    </row>
    <row r="23" spans="1:45" ht="15" customHeight="1" thickBot="1">
      <c r="A23" s="996"/>
      <c r="B23" s="997"/>
      <c r="C23" s="997"/>
      <c r="D23" s="997"/>
      <c r="E23" s="997"/>
      <c r="F23" s="997"/>
      <c r="G23" s="997"/>
      <c r="H23" s="997"/>
      <c r="I23" s="997"/>
      <c r="J23" s="996"/>
      <c r="K23" s="997"/>
      <c r="L23" s="997"/>
      <c r="M23" s="997"/>
      <c r="N23" s="997"/>
      <c r="O23" s="997"/>
      <c r="P23" s="997"/>
      <c r="Q23" s="997"/>
      <c r="R23" s="998"/>
      <c r="S23" s="996"/>
      <c r="T23" s="997"/>
      <c r="U23" s="997"/>
      <c r="V23" s="997"/>
      <c r="W23" s="997"/>
      <c r="X23" s="997"/>
      <c r="Y23" s="997"/>
      <c r="Z23" s="997"/>
      <c r="AA23" s="998"/>
      <c r="AB23" s="344"/>
      <c r="AC23" s="344"/>
      <c r="AD23" s="344"/>
      <c r="AE23" s="344"/>
      <c r="AF23" s="344"/>
      <c r="AG23" s="344"/>
      <c r="AH23" s="344"/>
      <c r="AI23" s="344"/>
      <c r="AJ23" s="344"/>
      <c r="AK23" s="996"/>
      <c r="AL23" s="997"/>
      <c r="AM23" s="997"/>
      <c r="AN23" s="997"/>
      <c r="AO23" s="997"/>
      <c r="AP23" s="997"/>
      <c r="AQ23" s="997"/>
      <c r="AR23" s="997"/>
      <c r="AS23" s="998"/>
    </row>
    <row r="24" spans="1:45" ht="15" customHeight="1" thickBot="1">
      <c r="A24" s="996"/>
      <c r="B24" s="997"/>
      <c r="C24" s="997"/>
      <c r="D24" s="997"/>
      <c r="E24" s="997"/>
      <c r="F24" s="997"/>
      <c r="G24" s="997"/>
      <c r="H24" s="997"/>
      <c r="I24" s="997"/>
      <c r="J24" s="996"/>
      <c r="K24" s="997"/>
      <c r="L24" s="997"/>
      <c r="M24" s="997"/>
      <c r="N24" s="997"/>
      <c r="O24" s="997"/>
      <c r="P24" s="997"/>
      <c r="Q24" s="997"/>
      <c r="R24" s="998"/>
      <c r="S24" s="996"/>
      <c r="T24" s="997"/>
      <c r="U24" s="997"/>
      <c r="V24" s="997"/>
      <c r="W24" s="997"/>
      <c r="X24" s="997"/>
      <c r="Y24" s="997"/>
      <c r="Z24" s="997"/>
      <c r="AA24" s="998"/>
      <c r="AB24" s="344"/>
      <c r="AC24" s="344"/>
      <c r="AD24" s="344"/>
      <c r="AE24" s="344"/>
      <c r="AF24" s="344"/>
      <c r="AG24" s="344"/>
      <c r="AH24" s="344"/>
      <c r="AI24" s="344"/>
      <c r="AJ24" s="344"/>
      <c r="AK24" s="996"/>
      <c r="AL24" s="997"/>
      <c r="AM24" s="997"/>
      <c r="AN24" s="997"/>
      <c r="AO24" s="997"/>
      <c r="AP24" s="997"/>
      <c r="AQ24" s="997"/>
      <c r="AR24" s="997"/>
      <c r="AS24" s="998"/>
    </row>
    <row r="25" spans="1:45" ht="43.5" customHeight="1" thickBot="1">
      <c r="A25" s="996"/>
      <c r="B25" s="997"/>
      <c r="C25" s="997"/>
      <c r="D25" s="997"/>
      <c r="E25" s="997"/>
      <c r="F25" s="997"/>
      <c r="G25" s="997"/>
      <c r="H25" s="997"/>
      <c r="I25" s="997"/>
      <c r="J25" s="996"/>
      <c r="K25" s="997"/>
      <c r="L25" s="997"/>
      <c r="M25" s="997"/>
      <c r="N25" s="997"/>
      <c r="O25" s="997"/>
      <c r="P25" s="997"/>
      <c r="Q25" s="997"/>
      <c r="R25" s="998"/>
      <c r="S25" s="996"/>
      <c r="T25" s="997"/>
      <c r="U25" s="997"/>
      <c r="V25" s="997"/>
      <c r="W25" s="997"/>
      <c r="X25" s="997"/>
      <c r="Y25" s="997"/>
      <c r="Z25" s="997"/>
      <c r="AA25" s="998"/>
      <c r="AB25" s="344"/>
      <c r="AC25" s="344"/>
      <c r="AD25" s="344"/>
      <c r="AE25" s="344"/>
      <c r="AF25" s="344"/>
      <c r="AG25" s="344"/>
      <c r="AH25" s="344"/>
      <c r="AI25" s="344"/>
      <c r="AJ25" s="344"/>
      <c r="AK25" s="996"/>
      <c r="AL25" s="997"/>
      <c r="AM25" s="997"/>
      <c r="AN25" s="997"/>
      <c r="AO25" s="997"/>
      <c r="AP25" s="997"/>
      <c r="AQ25" s="997"/>
      <c r="AR25" s="997"/>
      <c r="AS25" s="998"/>
    </row>
    <row r="26" spans="1:45" ht="15" customHeight="1" thickBot="1">
      <c r="A26" s="996" t="s">
        <v>900</v>
      </c>
      <c r="B26" s="997"/>
      <c r="C26" s="997"/>
      <c r="D26" s="997"/>
      <c r="E26" s="997"/>
      <c r="F26" s="997"/>
      <c r="G26" s="997"/>
      <c r="H26" s="997"/>
      <c r="I26" s="997"/>
      <c r="J26" s="996" t="s">
        <v>901</v>
      </c>
      <c r="K26" s="997"/>
      <c r="L26" s="997"/>
      <c r="M26" s="997"/>
      <c r="N26" s="997"/>
      <c r="O26" s="997"/>
      <c r="P26" s="997"/>
      <c r="Q26" s="997"/>
      <c r="R26" s="998"/>
      <c r="S26" s="996"/>
      <c r="T26" s="997"/>
      <c r="U26" s="997"/>
      <c r="V26" s="997"/>
      <c r="W26" s="997"/>
      <c r="X26" s="997"/>
      <c r="Y26" s="997"/>
      <c r="Z26" s="997"/>
      <c r="AA26" s="998"/>
      <c r="AB26" s="344"/>
      <c r="AC26" s="344"/>
      <c r="AD26" s="344"/>
      <c r="AE26" s="344"/>
      <c r="AF26" s="344"/>
      <c r="AG26" s="344"/>
      <c r="AH26" s="344"/>
      <c r="AI26" s="344"/>
      <c r="AJ26" s="344"/>
      <c r="AK26" s="996"/>
      <c r="AL26" s="997"/>
      <c r="AM26" s="997"/>
      <c r="AN26" s="997"/>
      <c r="AO26" s="997"/>
      <c r="AP26" s="997"/>
      <c r="AQ26" s="997"/>
      <c r="AR26" s="997"/>
      <c r="AS26" s="998"/>
    </row>
    <row r="27" spans="1:45" ht="15" customHeight="1" thickBot="1">
      <c r="A27" s="996"/>
      <c r="B27" s="997"/>
      <c r="C27" s="997"/>
      <c r="D27" s="997"/>
      <c r="E27" s="997"/>
      <c r="F27" s="997"/>
      <c r="G27" s="997"/>
      <c r="H27" s="997"/>
      <c r="I27" s="997"/>
      <c r="J27" s="996"/>
      <c r="K27" s="997"/>
      <c r="L27" s="997"/>
      <c r="M27" s="997"/>
      <c r="N27" s="997"/>
      <c r="O27" s="997"/>
      <c r="P27" s="997"/>
      <c r="Q27" s="997"/>
      <c r="R27" s="998"/>
      <c r="S27" s="996"/>
      <c r="T27" s="997"/>
      <c r="U27" s="997"/>
      <c r="V27" s="997"/>
      <c r="W27" s="997"/>
      <c r="X27" s="997"/>
      <c r="Y27" s="997"/>
      <c r="Z27" s="997"/>
      <c r="AA27" s="998"/>
      <c r="AB27" s="344"/>
      <c r="AC27" s="344"/>
      <c r="AD27" s="344"/>
      <c r="AE27" s="344"/>
      <c r="AF27" s="344"/>
      <c r="AG27" s="344"/>
      <c r="AH27" s="344"/>
      <c r="AI27" s="344"/>
      <c r="AJ27" s="344"/>
      <c r="AK27" s="996"/>
      <c r="AL27" s="997"/>
      <c r="AM27" s="997"/>
      <c r="AN27" s="997"/>
      <c r="AO27" s="997"/>
      <c r="AP27" s="997"/>
      <c r="AQ27" s="997"/>
      <c r="AR27" s="997"/>
      <c r="AS27" s="998"/>
    </row>
    <row r="28" spans="1:45" ht="15" customHeight="1" thickBot="1">
      <c r="A28" s="996"/>
      <c r="B28" s="997"/>
      <c r="C28" s="997"/>
      <c r="D28" s="997"/>
      <c r="E28" s="997"/>
      <c r="F28" s="997"/>
      <c r="G28" s="997"/>
      <c r="H28" s="997"/>
      <c r="I28" s="997"/>
      <c r="J28" s="996"/>
      <c r="K28" s="997"/>
      <c r="L28" s="997"/>
      <c r="M28" s="997"/>
      <c r="N28" s="997"/>
      <c r="O28" s="997"/>
      <c r="P28" s="997"/>
      <c r="Q28" s="997"/>
      <c r="R28" s="998"/>
      <c r="S28" s="996"/>
      <c r="T28" s="997"/>
      <c r="U28" s="997"/>
      <c r="V28" s="997"/>
      <c r="W28" s="997"/>
      <c r="X28" s="997"/>
      <c r="Y28" s="997"/>
      <c r="Z28" s="997"/>
      <c r="AA28" s="998"/>
      <c r="AB28" s="344"/>
      <c r="AC28" s="344"/>
      <c r="AD28" s="344"/>
      <c r="AE28" s="344"/>
      <c r="AF28" s="344"/>
      <c r="AG28" s="344"/>
      <c r="AH28" s="344"/>
      <c r="AI28" s="344"/>
      <c r="AJ28" s="344"/>
      <c r="AK28" s="993" t="s">
        <v>917</v>
      </c>
      <c r="AL28" s="994"/>
      <c r="AM28" s="994"/>
      <c r="AN28" s="994"/>
      <c r="AO28" s="994"/>
      <c r="AP28" s="994"/>
      <c r="AQ28" s="994"/>
      <c r="AR28" s="994"/>
      <c r="AS28" s="995"/>
    </row>
    <row r="29" spans="1:45" ht="15" customHeight="1" thickBot="1">
      <c r="A29" s="996"/>
      <c r="B29" s="997"/>
      <c r="C29" s="997"/>
      <c r="D29" s="997"/>
      <c r="E29" s="997"/>
      <c r="F29" s="997"/>
      <c r="G29" s="997"/>
      <c r="H29" s="997"/>
      <c r="I29" s="997"/>
      <c r="J29" s="996"/>
      <c r="K29" s="997"/>
      <c r="L29" s="997"/>
      <c r="M29" s="997"/>
      <c r="N29" s="997"/>
      <c r="O29" s="997"/>
      <c r="P29" s="997"/>
      <c r="Q29" s="997"/>
      <c r="R29" s="998"/>
      <c r="S29" s="996"/>
      <c r="T29" s="997"/>
      <c r="U29" s="997"/>
      <c r="V29" s="997"/>
      <c r="W29" s="997"/>
      <c r="X29" s="997"/>
      <c r="Y29" s="997"/>
      <c r="Z29" s="997"/>
      <c r="AA29" s="998"/>
      <c r="AB29" s="344"/>
      <c r="AC29" s="344"/>
      <c r="AD29" s="344"/>
      <c r="AE29" s="344"/>
      <c r="AF29" s="344"/>
      <c r="AG29" s="344"/>
      <c r="AH29" s="344"/>
      <c r="AI29" s="344"/>
      <c r="AJ29" s="344"/>
      <c r="AK29" s="993"/>
      <c r="AL29" s="994"/>
      <c r="AM29" s="994"/>
      <c r="AN29" s="994"/>
      <c r="AO29" s="994"/>
      <c r="AP29" s="994"/>
      <c r="AQ29" s="994"/>
      <c r="AR29" s="994"/>
      <c r="AS29" s="995"/>
    </row>
    <row r="30" spans="1:45" ht="15" customHeight="1" thickBot="1">
      <c r="A30" s="996"/>
      <c r="B30" s="997"/>
      <c r="C30" s="997"/>
      <c r="D30" s="997"/>
      <c r="E30" s="997"/>
      <c r="F30" s="997"/>
      <c r="G30" s="997"/>
      <c r="H30" s="997"/>
      <c r="I30" s="997"/>
      <c r="J30" s="996"/>
      <c r="K30" s="997"/>
      <c r="L30" s="997"/>
      <c r="M30" s="997"/>
      <c r="N30" s="997"/>
      <c r="O30" s="997"/>
      <c r="P30" s="997"/>
      <c r="Q30" s="997"/>
      <c r="R30" s="998"/>
      <c r="S30" s="996"/>
      <c r="T30" s="997"/>
      <c r="U30" s="997"/>
      <c r="V30" s="997"/>
      <c r="W30" s="997"/>
      <c r="X30" s="997"/>
      <c r="Y30" s="997"/>
      <c r="Z30" s="997"/>
      <c r="AA30" s="998"/>
      <c r="AB30" s="344"/>
      <c r="AC30" s="344"/>
      <c r="AD30" s="344"/>
      <c r="AE30" s="344"/>
      <c r="AF30" s="344"/>
      <c r="AG30" s="344"/>
      <c r="AH30" s="344"/>
      <c r="AI30" s="344"/>
      <c r="AJ30" s="344"/>
      <c r="AK30" s="996" t="s">
        <v>919</v>
      </c>
      <c r="AL30" s="1021"/>
      <c r="AM30" s="1021"/>
      <c r="AN30" s="1021"/>
      <c r="AO30" s="1021"/>
      <c r="AP30" s="1021"/>
      <c r="AQ30" s="1021"/>
      <c r="AR30" s="1021"/>
      <c r="AS30" s="1022"/>
    </row>
    <row r="31" spans="1:45" ht="15" customHeight="1" thickBot="1">
      <c r="A31" s="996"/>
      <c r="B31" s="997"/>
      <c r="C31" s="997"/>
      <c r="D31" s="997"/>
      <c r="E31" s="997"/>
      <c r="F31" s="997"/>
      <c r="G31" s="997"/>
      <c r="H31" s="997"/>
      <c r="I31" s="997"/>
      <c r="J31" s="996"/>
      <c r="K31" s="997"/>
      <c r="L31" s="997"/>
      <c r="M31" s="997"/>
      <c r="N31" s="997"/>
      <c r="O31" s="997"/>
      <c r="P31" s="997"/>
      <c r="Q31" s="997"/>
      <c r="R31" s="998"/>
      <c r="S31" s="996"/>
      <c r="T31" s="997"/>
      <c r="U31" s="997"/>
      <c r="V31" s="997"/>
      <c r="W31" s="997"/>
      <c r="X31" s="997"/>
      <c r="Y31" s="997"/>
      <c r="Z31" s="997"/>
      <c r="AA31" s="998"/>
      <c r="AB31" s="344"/>
      <c r="AC31" s="344"/>
      <c r="AD31" s="344"/>
      <c r="AE31" s="344"/>
      <c r="AF31" s="344"/>
      <c r="AG31" s="344"/>
      <c r="AH31" s="344"/>
      <c r="AI31" s="344"/>
      <c r="AJ31" s="344"/>
      <c r="AK31" s="1023"/>
      <c r="AL31" s="1021"/>
      <c r="AM31" s="1021"/>
      <c r="AN31" s="1021"/>
      <c r="AO31" s="1021"/>
      <c r="AP31" s="1021"/>
      <c r="AQ31" s="1021"/>
      <c r="AR31" s="1021"/>
      <c r="AS31" s="1022"/>
    </row>
    <row r="32" spans="1:45" ht="14.25" customHeight="1" thickBot="1">
      <c r="A32" s="996"/>
      <c r="B32" s="997"/>
      <c r="C32" s="997"/>
      <c r="D32" s="997"/>
      <c r="E32" s="997"/>
      <c r="F32" s="997"/>
      <c r="G32" s="997"/>
      <c r="H32" s="997"/>
      <c r="I32" s="997"/>
      <c r="J32" s="996"/>
      <c r="K32" s="997"/>
      <c r="L32" s="997"/>
      <c r="M32" s="997"/>
      <c r="N32" s="997"/>
      <c r="O32" s="997"/>
      <c r="P32" s="997"/>
      <c r="Q32" s="997"/>
      <c r="R32" s="998"/>
      <c r="S32" s="996" t="s">
        <v>928</v>
      </c>
      <c r="T32" s="997"/>
      <c r="U32" s="997"/>
      <c r="V32" s="997"/>
      <c r="W32" s="997"/>
      <c r="X32" s="997"/>
      <c r="Y32" s="997"/>
      <c r="Z32" s="997"/>
      <c r="AA32" s="998"/>
      <c r="AB32" s="344"/>
      <c r="AC32" s="344"/>
      <c r="AD32" s="344"/>
      <c r="AE32" s="344"/>
      <c r="AF32" s="344"/>
      <c r="AG32" s="344"/>
      <c r="AH32" s="344"/>
      <c r="AI32" s="344"/>
      <c r="AJ32" s="344"/>
      <c r="AK32" s="1023"/>
      <c r="AL32" s="1021"/>
      <c r="AM32" s="1021"/>
      <c r="AN32" s="1021"/>
      <c r="AO32" s="1021"/>
      <c r="AP32" s="1021"/>
      <c r="AQ32" s="1021"/>
      <c r="AR32" s="1021"/>
      <c r="AS32" s="1022"/>
    </row>
    <row r="33" spans="1:45" ht="15" customHeight="1" thickBot="1">
      <c r="A33" s="996" t="s">
        <v>902</v>
      </c>
      <c r="B33" s="997"/>
      <c r="C33" s="997"/>
      <c r="D33" s="997"/>
      <c r="E33" s="997"/>
      <c r="F33" s="997"/>
      <c r="G33" s="997"/>
      <c r="H33" s="997"/>
      <c r="I33" s="997"/>
      <c r="J33" s="996" t="s">
        <v>903</v>
      </c>
      <c r="K33" s="997"/>
      <c r="L33" s="997"/>
      <c r="M33" s="997"/>
      <c r="N33" s="997"/>
      <c r="O33" s="997"/>
      <c r="P33" s="997"/>
      <c r="Q33" s="997"/>
      <c r="R33" s="998"/>
      <c r="S33" s="996"/>
      <c r="T33" s="997"/>
      <c r="U33" s="997"/>
      <c r="V33" s="997"/>
      <c r="W33" s="997"/>
      <c r="X33" s="997"/>
      <c r="Y33" s="997"/>
      <c r="Z33" s="997"/>
      <c r="AA33" s="998"/>
      <c r="AB33" s="344"/>
      <c r="AC33" s="344"/>
      <c r="AD33" s="344"/>
      <c r="AE33" s="344"/>
      <c r="AF33" s="344"/>
      <c r="AG33" s="344"/>
      <c r="AH33" s="344"/>
      <c r="AI33" s="344"/>
      <c r="AJ33" s="344"/>
      <c r="AK33" s="1023"/>
      <c r="AL33" s="1021"/>
      <c r="AM33" s="1021"/>
      <c r="AN33" s="1021"/>
      <c r="AO33" s="1021"/>
      <c r="AP33" s="1021"/>
      <c r="AQ33" s="1021"/>
      <c r="AR33" s="1021"/>
      <c r="AS33" s="1022"/>
    </row>
    <row r="34" spans="1:45" ht="15" customHeight="1" thickBot="1">
      <c r="A34" s="996"/>
      <c r="B34" s="997"/>
      <c r="C34" s="997"/>
      <c r="D34" s="997"/>
      <c r="E34" s="997"/>
      <c r="F34" s="997"/>
      <c r="G34" s="997"/>
      <c r="H34" s="997"/>
      <c r="I34" s="997"/>
      <c r="J34" s="996"/>
      <c r="K34" s="997"/>
      <c r="L34" s="997"/>
      <c r="M34" s="997"/>
      <c r="N34" s="997"/>
      <c r="O34" s="997"/>
      <c r="P34" s="997"/>
      <c r="Q34" s="997"/>
      <c r="R34" s="998"/>
      <c r="S34" s="996"/>
      <c r="T34" s="997"/>
      <c r="U34" s="997"/>
      <c r="V34" s="997"/>
      <c r="W34" s="997"/>
      <c r="X34" s="997"/>
      <c r="Y34" s="997"/>
      <c r="Z34" s="997"/>
      <c r="AA34" s="998"/>
      <c r="AB34" s="344"/>
      <c r="AC34" s="344"/>
      <c r="AD34" s="344"/>
      <c r="AE34" s="344"/>
      <c r="AF34" s="344"/>
      <c r="AG34" s="344"/>
      <c r="AH34" s="344"/>
      <c r="AI34" s="344"/>
      <c r="AJ34" s="344"/>
      <c r="AK34" s="1023"/>
      <c r="AL34" s="1021"/>
      <c r="AM34" s="1021"/>
      <c r="AN34" s="1021"/>
      <c r="AO34" s="1021"/>
      <c r="AP34" s="1021"/>
      <c r="AQ34" s="1021"/>
      <c r="AR34" s="1021"/>
      <c r="AS34" s="1022"/>
    </row>
    <row r="35" spans="1:45" ht="15" customHeight="1" thickBot="1">
      <c r="A35" s="996"/>
      <c r="B35" s="997"/>
      <c r="C35" s="997"/>
      <c r="D35" s="997"/>
      <c r="E35" s="997"/>
      <c r="F35" s="997"/>
      <c r="G35" s="997"/>
      <c r="H35" s="997"/>
      <c r="I35" s="997"/>
      <c r="J35" s="996"/>
      <c r="K35" s="997"/>
      <c r="L35" s="997"/>
      <c r="M35" s="997"/>
      <c r="N35" s="997"/>
      <c r="O35" s="997"/>
      <c r="P35" s="997"/>
      <c r="Q35" s="997"/>
      <c r="R35" s="998"/>
      <c r="S35" s="996"/>
      <c r="T35" s="997"/>
      <c r="U35" s="997"/>
      <c r="V35" s="997"/>
      <c r="W35" s="997"/>
      <c r="X35" s="997"/>
      <c r="Y35" s="997"/>
      <c r="Z35" s="997"/>
      <c r="AA35" s="998"/>
      <c r="AB35" s="344"/>
      <c r="AC35" s="344"/>
      <c r="AD35" s="344"/>
      <c r="AE35" s="344"/>
      <c r="AF35" s="344"/>
      <c r="AG35" s="344"/>
      <c r="AH35" s="344"/>
      <c r="AI35" s="344"/>
      <c r="AJ35" s="344"/>
      <c r="AK35" s="1023"/>
      <c r="AL35" s="1021"/>
      <c r="AM35" s="1021"/>
      <c r="AN35" s="1021"/>
      <c r="AO35" s="1021"/>
      <c r="AP35" s="1021"/>
      <c r="AQ35" s="1021"/>
      <c r="AR35" s="1021"/>
      <c r="AS35" s="1022"/>
    </row>
    <row r="36" spans="1:45" ht="15" customHeight="1" thickBot="1">
      <c r="A36" s="996"/>
      <c r="B36" s="997"/>
      <c r="C36" s="997"/>
      <c r="D36" s="997"/>
      <c r="E36" s="997"/>
      <c r="F36" s="997"/>
      <c r="G36" s="997"/>
      <c r="H36" s="997"/>
      <c r="I36" s="997"/>
      <c r="J36" s="996"/>
      <c r="K36" s="997"/>
      <c r="L36" s="997"/>
      <c r="M36" s="997"/>
      <c r="N36" s="997"/>
      <c r="O36" s="997"/>
      <c r="P36" s="997"/>
      <c r="Q36" s="997"/>
      <c r="R36" s="998"/>
      <c r="S36" s="996"/>
      <c r="T36" s="997"/>
      <c r="U36" s="997"/>
      <c r="V36" s="997"/>
      <c r="W36" s="997"/>
      <c r="X36" s="997"/>
      <c r="Y36" s="997"/>
      <c r="Z36" s="997"/>
      <c r="AA36" s="998"/>
      <c r="AB36" s="344"/>
      <c r="AC36" s="344"/>
      <c r="AD36" s="344"/>
      <c r="AE36" s="344"/>
      <c r="AF36" s="344"/>
      <c r="AG36" s="344"/>
      <c r="AH36" s="344"/>
      <c r="AI36" s="344"/>
      <c r="AJ36" s="344"/>
      <c r="AK36" s="1023"/>
      <c r="AL36" s="1021"/>
      <c r="AM36" s="1021"/>
      <c r="AN36" s="1021"/>
      <c r="AO36" s="1021"/>
      <c r="AP36" s="1021"/>
      <c r="AQ36" s="1021"/>
      <c r="AR36" s="1021"/>
      <c r="AS36" s="1022"/>
    </row>
    <row r="37" spans="1:45" ht="15" customHeight="1" thickBot="1">
      <c r="A37" s="996"/>
      <c r="B37" s="997"/>
      <c r="C37" s="997"/>
      <c r="D37" s="997"/>
      <c r="E37" s="997"/>
      <c r="F37" s="997"/>
      <c r="G37" s="997"/>
      <c r="H37" s="997"/>
      <c r="I37" s="997"/>
      <c r="J37" s="996"/>
      <c r="K37" s="997"/>
      <c r="L37" s="997"/>
      <c r="M37" s="997"/>
      <c r="N37" s="997"/>
      <c r="O37" s="997"/>
      <c r="P37" s="997"/>
      <c r="Q37" s="997"/>
      <c r="R37" s="998"/>
      <c r="S37" s="996"/>
      <c r="T37" s="997"/>
      <c r="U37" s="997"/>
      <c r="V37" s="997"/>
      <c r="W37" s="997"/>
      <c r="X37" s="997"/>
      <c r="Y37" s="997"/>
      <c r="Z37" s="997"/>
      <c r="AA37" s="998"/>
      <c r="AB37" s="344"/>
      <c r="AC37" s="344"/>
      <c r="AD37" s="344"/>
      <c r="AE37" s="344"/>
      <c r="AF37" s="344"/>
      <c r="AG37" s="344"/>
      <c r="AH37" s="344"/>
      <c r="AI37" s="344"/>
      <c r="AJ37" s="344"/>
      <c r="AK37" s="1023"/>
      <c r="AL37" s="1021"/>
      <c r="AM37" s="1021"/>
      <c r="AN37" s="1021"/>
      <c r="AO37" s="1021"/>
      <c r="AP37" s="1021"/>
      <c r="AQ37" s="1021"/>
      <c r="AR37" s="1021"/>
      <c r="AS37" s="1022"/>
    </row>
    <row r="38" spans="1:45" ht="15" customHeight="1" thickBot="1">
      <c r="A38" s="996"/>
      <c r="B38" s="997"/>
      <c r="C38" s="997"/>
      <c r="D38" s="997"/>
      <c r="E38" s="997"/>
      <c r="F38" s="997"/>
      <c r="G38" s="997"/>
      <c r="H38" s="997"/>
      <c r="I38" s="997"/>
      <c r="J38" s="996"/>
      <c r="K38" s="997"/>
      <c r="L38" s="997"/>
      <c r="M38" s="997"/>
      <c r="N38" s="997"/>
      <c r="O38" s="997"/>
      <c r="P38" s="997"/>
      <c r="Q38" s="997"/>
      <c r="R38" s="998"/>
      <c r="S38" s="996"/>
      <c r="T38" s="997"/>
      <c r="U38" s="997"/>
      <c r="V38" s="997"/>
      <c r="W38" s="997"/>
      <c r="X38" s="997"/>
      <c r="Y38" s="997"/>
      <c r="Z38" s="997"/>
      <c r="AA38" s="998"/>
      <c r="AB38" s="344"/>
      <c r="AC38" s="344"/>
      <c r="AD38" s="344"/>
      <c r="AE38" s="344"/>
      <c r="AF38" s="344"/>
      <c r="AG38" s="344"/>
      <c r="AH38" s="344"/>
      <c r="AI38" s="344"/>
      <c r="AJ38" s="344"/>
      <c r="AK38" s="1023"/>
      <c r="AL38" s="1021"/>
      <c r="AM38" s="1021"/>
      <c r="AN38" s="1021"/>
      <c r="AO38" s="1021"/>
      <c r="AP38" s="1021"/>
      <c r="AQ38" s="1021"/>
      <c r="AR38" s="1021"/>
      <c r="AS38" s="1022"/>
    </row>
    <row r="39" spans="1:45" ht="15" customHeight="1" thickBot="1">
      <c r="A39" s="996"/>
      <c r="B39" s="997"/>
      <c r="C39" s="997"/>
      <c r="D39" s="997"/>
      <c r="E39" s="997"/>
      <c r="F39" s="997"/>
      <c r="G39" s="997"/>
      <c r="H39" s="997"/>
      <c r="I39" s="997"/>
      <c r="J39" s="996"/>
      <c r="K39" s="997"/>
      <c r="L39" s="997"/>
      <c r="M39" s="997"/>
      <c r="N39" s="997"/>
      <c r="O39" s="997"/>
      <c r="P39" s="997"/>
      <c r="Q39" s="997"/>
      <c r="R39" s="998"/>
      <c r="S39" s="996"/>
      <c r="T39" s="997"/>
      <c r="U39" s="997"/>
      <c r="V39" s="997"/>
      <c r="W39" s="997"/>
      <c r="X39" s="997"/>
      <c r="Y39" s="997"/>
      <c r="Z39" s="997"/>
      <c r="AA39" s="998"/>
      <c r="AB39" s="344"/>
      <c r="AC39" s="344"/>
      <c r="AD39" s="344"/>
      <c r="AE39" s="344"/>
      <c r="AF39" s="344"/>
      <c r="AG39" s="344"/>
      <c r="AH39" s="344"/>
      <c r="AI39" s="344"/>
      <c r="AJ39" s="344"/>
      <c r="AK39" s="1023"/>
      <c r="AL39" s="1021"/>
      <c r="AM39" s="1021"/>
      <c r="AN39" s="1021"/>
      <c r="AO39" s="1021"/>
      <c r="AP39" s="1021"/>
      <c r="AQ39" s="1021"/>
      <c r="AR39" s="1021"/>
      <c r="AS39" s="1022"/>
    </row>
    <row r="40" spans="1:45" ht="15.75" thickBot="1">
      <c r="A40" s="344"/>
      <c r="B40" s="344"/>
      <c r="C40" s="344"/>
      <c r="D40" s="344"/>
      <c r="E40" s="344"/>
      <c r="F40" s="344"/>
      <c r="G40" s="344"/>
      <c r="H40" s="344"/>
      <c r="I40" s="344"/>
      <c r="J40" s="996" t="s">
        <v>904</v>
      </c>
      <c r="K40" s="997"/>
      <c r="L40" s="997"/>
      <c r="M40" s="997"/>
      <c r="N40" s="997"/>
      <c r="O40" s="997"/>
      <c r="P40" s="997"/>
      <c r="Q40" s="997"/>
      <c r="R40" s="998"/>
      <c r="S40" s="996"/>
      <c r="T40" s="997"/>
      <c r="U40" s="997"/>
      <c r="V40" s="997"/>
      <c r="W40" s="997"/>
      <c r="X40" s="997"/>
      <c r="Y40" s="997"/>
      <c r="Z40" s="997"/>
      <c r="AA40" s="998"/>
      <c r="AB40" s="344"/>
      <c r="AC40" s="344"/>
      <c r="AD40" s="344"/>
      <c r="AE40" s="344"/>
      <c r="AF40" s="344"/>
      <c r="AG40" s="344"/>
      <c r="AH40" s="344"/>
      <c r="AI40" s="344"/>
      <c r="AJ40" s="344"/>
      <c r="AK40" s="1023"/>
      <c r="AL40" s="1021"/>
      <c r="AM40" s="1021"/>
      <c r="AN40" s="1021"/>
      <c r="AO40" s="1021"/>
      <c r="AP40" s="1021"/>
      <c r="AQ40" s="1021"/>
      <c r="AR40" s="1021"/>
      <c r="AS40" s="1022"/>
    </row>
    <row r="41" spans="1:45" ht="15.75" thickBot="1">
      <c r="A41" s="344"/>
      <c r="B41" s="344"/>
      <c r="C41" s="344"/>
      <c r="D41" s="344"/>
      <c r="E41" s="344"/>
      <c r="F41" s="344"/>
      <c r="G41" s="344"/>
      <c r="H41" s="344"/>
      <c r="I41" s="344"/>
      <c r="J41" s="996"/>
      <c r="K41" s="997"/>
      <c r="L41" s="997"/>
      <c r="M41" s="997"/>
      <c r="N41" s="997"/>
      <c r="O41" s="997"/>
      <c r="P41" s="997"/>
      <c r="Q41" s="997"/>
      <c r="R41" s="998"/>
      <c r="S41" s="996"/>
      <c r="T41" s="997"/>
      <c r="U41" s="997"/>
      <c r="V41" s="997"/>
      <c r="W41" s="997"/>
      <c r="X41" s="997"/>
      <c r="Y41" s="997"/>
      <c r="Z41" s="997"/>
      <c r="AA41" s="998"/>
      <c r="AB41" s="344"/>
      <c r="AC41" s="344"/>
      <c r="AD41" s="344"/>
      <c r="AE41" s="344"/>
      <c r="AF41" s="344"/>
      <c r="AG41" s="344"/>
      <c r="AH41" s="344"/>
      <c r="AI41" s="344"/>
      <c r="AJ41" s="344"/>
      <c r="AK41" s="1023"/>
      <c r="AL41" s="1021"/>
      <c r="AM41" s="1021"/>
      <c r="AN41" s="1021"/>
      <c r="AO41" s="1021"/>
      <c r="AP41" s="1021"/>
      <c r="AQ41" s="1021"/>
      <c r="AR41" s="1021"/>
      <c r="AS41" s="1022"/>
    </row>
    <row r="42" spans="1:45" ht="15.75" thickBot="1">
      <c r="A42" s="344"/>
      <c r="B42" s="344"/>
      <c r="C42" s="344"/>
      <c r="D42" s="344"/>
      <c r="E42" s="344"/>
      <c r="F42" s="344"/>
      <c r="G42" s="344"/>
      <c r="H42" s="344"/>
      <c r="I42" s="344"/>
      <c r="J42" s="996"/>
      <c r="K42" s="997"/>
      <c r="L42" s="997"/>
      <c r="M42" s="997"/>
      <c r="N42" s="997"/>
      <c r="O42" s="997"/>
      <c r="P42" s="997"/>
      <c r="Q42" s="997"/>
      <c r="R42" s="998"/>
      <c r="S42" s="996"/>
      <c r="T42" s="997"/>
      <c r="U42" s="997"/>
      <c r="V42" s="997"/>
      <c r="W42" s="997"/>
      <c r="X42" s="997"/>
      <c r="Y42" s="997"/>
      <c r="Z42" s="997"/>
      <c r="AA42" s="998"/>
      <c r="AB42" s="344"/>
      <c r="AC42" s="344"/>
      <c r="AD42" s="344"/>
      <c r="AE42" s="344"/>
      <c r="AF42" s="344"/>
      <c r="AG42" s="344"/>
      <c r="AH42" s="344"/>
      <c r="AI42" s="344"/>
      <c r="AJ42" s="344"/>
      <c r="AK42" s="1023"/>
      <c r="AL42" s="1021"/>
      <c r="AM42" s="1021"/>
      <c r="AN42" s="1021"/>
      <c r="AO42" s="1021"/>
      <c r="AP42" s="1021"/>
      <c r="AQ42" s="1021"/>
      <c r="AR42" s="1021"/>
      <c r="AS42" s="1022"/>
    </row>
    <row r="43" spans="1:45" ht="15.75" thickBot="1">
      <c r="A43" s="344"/>
      <c r="B43" s="344"/>
      <c r="C43" s="344"/>
      <c r="D43" s="344"/>
      <c r="E43" s="344"/>
      <c r="F43" s="344"/>
      <c r="G43" s="344"/>
      <c r="H43" s="344"/>
      <c r="I43" s="344"/>
      <c r="J43" s="996"/>
      <c r="K43" s="997"/>
      <c r="L43" s="997"/>
      <c r="M43" s="997"/>
      <c r="N43" s="997"/>
      <c r="O43" s="997"/>
      <c r="P43" s="997"/>
      <c r="Q43" s="997"/>
      <c r="R43" s="998"/>
      <c r="S43" s="996"/>
      <c r="T43" s="997"/>
      <c r="U43" s="997"/>
      <c r="V43" s="997"/>
      <c r="W43" s="997"/>
      <c r="X43" s="997"/>
      <c r="Y43" s="997"/>
      <c r="Z43" s="997"/>
      <c r="AA43" s="998"/>
      <c r="AB43" s="344"/>
      <c r="AC43" s="344"/>
      <c r="AD43" s="344"/>
      <c r="AE43" s="344"/>
      <c r="AF43" s="344"/>
      <c r="AG43" s="344"/>
      <c r="AH43" s="344"/>
      <c r="AI43" s="344"/>
      <c r="AJ43" s="344"/>
      <c r="AK43" s="1023"/>
      <c r="AL43" s="1021"/>
      <c r="AM43" s="1021"/>
      <c r="AN43" s="1021"/>
      <c r="AO43" s="1021"/>
      <c r="AP43" s="1021"/>
      <c r="AQ43" s="1021"/>
      <c r="AR43" s="1021"/>
      <c r="AS43" s="1022"/>
    </row>
    <row r="44" spans="1:45" ht="15.75" thickBot="1">
      <c r="A44" s="344"/>
      <c r="B44" s="344"/>
      <c r="C44" s="344"/>
      <c r="D44" s="344"/>
      <c r="E44" s="344"/>
      <c r="F44" s="344"/>
      <c r="G44" s="344"/>
      <c r="H44" s="344"/>
      <c r="I44" s="344"/>
      <c r="J44" s="996"/>
      <c r="K44" s="997"/>
      <c r="L44" s="997"/>
      <c r="M44" s="997"/>
      <c r="N44" s="997"/>
      <c r="O44" s="997"/>
      <c r="P44" s="997"/>
      <c r="Q44" s="997"/>
      <c r="R44" s="998"/>
      <c r="S44" s="344"/>
      <c r="T44" s="344"/>
      <c r="U44" s="344"/>
      <c r="V44" s="344"/>
      <c r="W44" s="344"/>
      <c r="X44" s="344"/>
      <c r="Y44" s="344"/>
      <c r="Z44" s="344"/>
      <c r="AA44" s="344"/>
      <c r="AB44" s="344"/>
      <c r="AC44" s="344"/>
      <c r="AD44" s="344"/>
      <c r="AE44" s="344"/>
      <c r="AF44" s="344"/>
      <c r="AG44" s="344"/>
      <c r="AH44" s="344"/>
      <c r="AI44" s="344"/>
      <c r="AJ44" s="344"/>
      <c r="AK44" s="1023"/>
      <c r="AL44" s="1021"/>
      <c r="AM44" s="1021"/>
      <c r="AN44" s="1021"/>
      <c r="AO44" s="1021"/>
      <c r="AP44" s="1021"/>
      <c r="AQ44" s="1021"/>
      <c r="AR44" s="1021"/>
      <c r="AS44" s="1022"/>
    </row>
    <row r="45" spans="1:45" ht="15.75" thickBot="1">
      <c r="A45" s="344"/>
      <c r="B45" s="344"/>
      <c r="C45" s="344"/>
      <c r="D45" s="344"/>
      <c r="E45" s="344"/>
      <c r="F45" s="344"/>
      <c r="G45" s="344"/>
      <c r="H45" s="344"/>
      <c r="I45" s="344"/>
      <c r="J45" s="996"/>
      <c r="K45" s="997"/>
      <c r="L45" s="997"/>
      <c r="M45" s="997"/>
      <c r="N45" s="997"/>
      <c r="O45" s="997"/>
      <c r="P45" s="997"/>
      <c r="Q45" s="997"/>
      <c r="R45" s="998"/>
      <c r="S45" s="344"/>
      <c r="T45" s="344"/>
      <c r="U45" s="344"/>
      <c r="V45" s="344"/>
      <c r="W45" s="344"/>
      <c r="X45" s="344"/>
      <c r="Y45" s="344"/>
      <c r="Z45" s="344"/>
      <c r="AA45" s="344"/>
      <c r="AB45" s="344"/>
      <c r="AC45" s="344"/>
      <c r="AD45" s="344"/>
      <c r="AE45" s="344"/>
      <c r="AF45" s="344"/>
      <c r="AG45" s="344"/>
      <c r="AH45" s="344"/>
      <c r="AI45" s="344"/>
      <c r="AJ45" s="344"/>
      <c r="AK45" s="1023"/>
      <c r="AL45" s="1021"/>
      <c r="AM45" s="1021"/>
      <c r="AN45" s="1021"/>
      <c r="AO45" s="1021"/>
      <c r="AP45" s="1021"/>
      <c r="AQ45" s="1021"/>
      <c r="AR45" s="1021"/>
      <c r="AS45" s="1022"/>
    </row>
    <row r="46" spans="1:45" ht="15.75" thickBot="1">
      <c r="A46" s="344"/>
      <c r="B46" s="344"/>
      <c r="C46" s="344"/>
      <c r="D46" s="344"/>
      <c r="E46" s="344"/>
      <c r="F46" s="344"/>
      <c r="G46" s="344"/>
      <c r="H46" s="344"/>
      <c r="I46" s="344"/>
      <c r="J46" s="996"/>
      <c r="K46" s="997"/>
      <c r="L46" s="997"/>
      <c r="M46" s="997"/>
      <c r="N46" s="997"/>
      <c r="O46" s="997"/>
      <c r="P46" s="997"/>
      <c r="Q46" s="997"/>
      <c r="R46" s="998"/>
      <c r="S46" s="344"/>
      <c r="T46" s="344"/>
      <c r="U46" s="344"/>
      <c r="V46" s="344"/>
      <c r="W46" s="344"/>
      <c r="X46" s="344"/>
      <c r="Y46" s="344"/>
      <c r="Z46" s="344"/>
      <c r="AA46" s="344"/>
      <c r="AB46" s="344"/>
      <c r="AC46" s="344"/>
      <c r="AD46" s="344"/>
      <c r="AE46" s="344"/>
      <c r="AF46" s="344"/>
      <c r="AG46" s="344"/>
      <c r="AH46" s="344"/>
      <c r="AI46" s="344"/>
      <c r="AJ46" s="344"/>
      <c r="AK46" s="1023"/>
      <c r="AL46" s="1021"/>
      <c r="AM46" s="1021"/>
      <c r="AN46" s="1021"/>
      <c r="AO46" s="1021"/>
      <c r="AP46" s="1021"/>
      <c r="AQ46" s="1021"/>
      <c r="AR46" s="1021"/>
      <c r="AS46" s="1022"/>
    </row>
    <row r="47" spans="1:45" ht="15.75" thickBot="1">
      <c r="A47" s="344"/>
      <c r="B47" s="344"/>
      <c r="C47" s="344"/>
      <c r="D47" s="344"/>
      <c r="E47" s="344"/>
      <c r="F47" s="344"/>
      <c r="G47" s="344"/>
      <c r="H47" s="344"/>
      <c r="I47" s="344"/>
      <c r="J47" s="996" t="s">
        <v>905</v>
      </c>
      <c r="K47" s="997"/>
      <c r="L47" s="997"/>
      <c r="M47" s="997"/>
      <c r="N47" s="997"/>
      <c r="O47" s="997"/>
      <c r="P47" s="997"/>
      <c r="Q47" s="997"/>
      <c r="R47" s="998"/>
      <c r="S47" s="344"/>
      <c r="T47" s="344"/>
      <c r="U47" s="344"/>
      <c r="V47" s="344"/>
      <c r="W47" s="344"/>
      <c r="X47" s="344"/>
      <c r="Y47" s="344"/>
      <c r="Z47" s="344"/>
      <c r="AA47" s="344"/>
      <c r="AB47" s="344"/>
      <c r="AC47" s="344"/>
      <c r="AD47" s="344"/>
      <c r="AE47" s="344"/>
      <c r="AF47" s="344"/>
      <c r="AG47" s="344"/>
      <c r="AH47" s="344"/>
      <c r="AI47" s="344"/>
      <c r="AJ47" s="344"/>
      <c r="AK47" s="1023"/>
      <c r="AL47" s="1021"/>
      <c r="AM47" s="1021"/>
      <c r="AN47" s="1021"/>
      <c r="AO47" s="1021"/>
      <c r="AP47" s="1021"/>
      <c r="AQ47" s="1021"/>
      <c r="AR47" s="1021"/>
      <c r="AS47" s="1022"/>
    </row>
    <row r="48" spans="1:45" ht="15.75" thickBot="1">
      <c r="A48" s="344"/>
      <c r="B48" s="344"/>
      <c r="C48" s="344"/>
      <c r="D48" s="344"/>
      <c r="E48" s="344"/>
      <c r="F48" s="344"/>
      <c r="G48" s="344"/>
      <c r="H48" s="344"/>
      <c r="I48" s="344"/>
      <c r="J48" s="996"/>
      <c r="K48" s="997"/>
      <c r="L48" s="997"/>
      <c r="M48" s="997"/>
      <c r="N48" s="997"/>
      <c r="O48" s="997"/>
      <c r="P48" s="997"/>
      <c r="Q48" s="997"/>
      <c r="R48" s="998"/>
      <c r="S48" s="344"/>
      <c r="T48" s="344"/>
      <c r="U48" s="344"/>
      <c r="V48" s="344"/>
      <c r="W48" s="344"/>
      <c r="X48" s="344"/>
      <c r="Y48" s="344"/>
      <c r="Z48" s="344"/>
      <c r="AA48" s="344"/>
      <c r="AB48" s="344"/>
      <c r="AC48" s="344"/>
      <c r="AD48" s="344"/>
      <c r="AE48" s="344"/>
      <c r="AF48" s="344"/>
      <c r="AG48" s="344"/>
      <c r="AH48" s="344"/>
      <c r="AI48" s="344"/>
      <c r="AJ48" s="344"/>
      <c r="AK48" s="1023"/>
      <c r="AL48" s="1021"/>
      <c r="AM48" s="1021"/>
      <c r="AN48" s="1021"/>
      <c r="AO48" s="1021"/>
      <c r="AP48" s="1021"/>
      <c r="AQ48" s="1021"/>
      <c r="AR48" s="1021"/>
      <c r="AS48" s="1022"/>
    </row>
    <row r="49" spans="1:45" ht="86.25" customHeight="1" thickBot="1">
      <c r="A49" s="344"/>
      <c r="B49" s="344"/>
      <c r="C49" s="344"/>
      <c r="D49" s="344"/>
      <c r="E49" s="344"/>
      <c r="F49" s="344"/>
      <c r="G49" s="344"/>
      <c r="H49" s="344"/>
      <c r="I49" s="344"/>
      <c r="J49" s="996"/>
      <c r="K49" s="997"/>
      <c r="L49" s="997"/>
      <c r="M49" s="997"/>
      <c r="N49" s="997"/>
      <c r="O49" s="997"/>
      <c r="P49" s="997"/>
      <c r="Q49" s="997"/>
      <c r="R49" s="998"/>
      <c r="S49" s="344"/>
      <c r="T49" s="344"/>
      <c r="U49" s="344"/>
      <c r="V49" s="344"/>
      <c r="W49" s="344"/>
      <c r="X49" s="344"/>
      <c r="Y49" s="344"/>
      <c r="Z49" s="344"/>
      <c r="AA49" s="344"/>
      <c r="AB49" s="344"/>
      <c r="AC49" s="344"/>
      <c r="AD49" s="344"/>
      <c r="AE49" s="344"/>
      <c r="AF49" s="344"/>
      <c r="AG49" s="344"/>
      <c r="AH49" s="344"/>
      <c r="AI49" s="344"/>
      <c r="AJ49" s="344"/>
      <c r="AK49" s="1023"/>
      <c r="AL49" s="1021"/>
      <c r="AM49" s="1021"/>
      <c r="AN49" s="1021"/>
      <c r="AO49" s="1021"/>
      <c r="AP49" s="1021"/>
      <c r="AQ49" s="1021"/>
      <c r="AR49" s="1021"/>
      <c r="AS49" s="1022"/>
    </row>
    <row r="50" spans="1:45" ht="15.75" thickBot="1">
      <c r="A50" s="344"/>
      <c r="B50" s="344"/>
      <c r="C50" s="344"/>
      <c r="D50" s="344"/>
      <c r="E50" s="344"/>
      <c r="F50" s="344"/>
      <c r="G50" s="344"/>
      <c r="H50" s="344"/>
      <c r="I50" s="344"/>
      <c r="J50" s="996"/>
      <c r="K50" s="997"/>
      <c r="L50" s="997"/>
      <c r="M50" s="997"/>
      <c r="N50" s="997"/>
      <c r="O50" s="997"/>
      <c r="P50" s="997"/>
      <c r="Q50" s="997"/>
      <c r="R50" s="998"/>
      <c r="S50" s="344"/>
      <c r="T50" s="344"/>
      <c r="U50" s="344"/>
      <c r="V50" s="344"/>
      <c r="W50" s="344"/>
      <c r="X50" s="344"/>
      <c r="Y50" s="344"/>
      <c r="Z50" s="344"/>
      <c r="AA50" s="344"/>
      <c r="AB50" s="344"/>
      <c r="AC50" s="344"/>
      <c r="AD50" s="344"/>
      <c r="AE50" s="344"/>
      <c r="AF50" s="344"/>
      <c r="AG50" s="344"/>
      <c r="AH50" s="344"/>
      <c r="AI50" s="344"/>
      <c r="AJ50" s="344"/>
      <c r="AK50" s="993" t="s">
        <v>918</v>
      </c>
      <c r="AL50" s="994"/>
      <c r="AM50" s="994"/>
      <c r="AN50" s="994"/>
      <c r="AO50" s="994"/>
      <c r="AP50" s="994"/>
      <c r="AQ50" s="994"/>
      <c r="AR50" s="994"/>
      <c r="AS50" s="995"/>
    </row>
    <row r="51" spans="1:45" ht="15.75" thickBot="1">
      <c r="A51" s="344"/>
      <c r="B51" s="344"/>
      <c r="C51" s="344"/>
      <c r="D51" s="344"/>
      <c r="E51" s="344"/>
      <c r="F51" s="344"/>
      <c r="G51" s="344"/>
      <c r="H51" s="344"/>
      <c r="I51" s="344"/>
      <c r="J51" s="996"/>
      <c r="K51" s="997"/>
      <c r="L51" s="997"/>
      <c r="M51" s="997"/>
      <c r="N51" s="997"/>
      <c r="O51" s="997"/>
      <c r="P51" s="997"/>
      <c r="Q51" s="997"/>
      <c r="R51" s="998"/>
      <c r="S51" s="344"/>
      <c r="T51" s="344"/>
      <c r="U51" s="344"/>
      <c r="V51" s="344"/>
      <c r="W51" s="344"/>
      <c r="X51" s="344"/>
      <c r="Y51" s="344"/>
      <c r="Z51" s="344"/>
      <c r="AA51" s="344"/>
      <c r="AB51" s="344"/>
      <c r="AC51" s="344"/>
      <c r="AD51" s="344"/>
      <c r="AE51" s="344"/>
      <c r="AF51" s="344"/>
      <c r="AG51" s="344"/>
      <c r="AH51" s="344"/>
      <c r="AI51" s="344"/>
      <c r="AJ51" s="344"/>
      <c r="AK51" s="993"/>
      <c r="AL51" s="994"/>
      <c r="AM51" s="994"/>
      <c r="AN51" s="994"/>
      <c r="AO51" s="994"/>
      <c r="AP51" s="994"/>
      <c r="AQ51" s="994"/>
      <c r="AR51" s="994"/>
      <c r="AS51" s="995"/>
    </row>
    <row r="52" spans="1:45" ht="15" customHeight="1" thickBot="1">
      <c r="A52" s="344"/>
      <c r="B52" s="344"/>
      <c r="C52" s="344"/>
      <c r="D52" s="344"/>
      <c r="E52" s="344"/>
      <c r="F52" s="344"/>
      <c r="G52" s="344"/>
      <c r="H52" s="344"/>
      <c r="I52" s="344"/>
      <c r="J52" s="996"/>
      <c r="K52" s="997"/>
      <c r="L52" s="997"/>
      <c r="M52" s="997"/>
      <c r="N52" s="997"/>
      <c r="O52" s="997"/>
      <c r="P52" s="997"/>
      <c r="Q52" s="997"/>
      <c r="R52" s="998"/>
      <c r="S52" s="344"/>
      <c r="T52" s="344"/>
      <c r="U52" s="344"/>
      <c r="V52" s="344"/>
      <c r="W52" s="344"/>
      <c r="X52" s="344"/>
      <c r="Y52" s="344"/>
      <c r="Z52" s="344"/>
      <c r="AA52" s="344"/>
      <c r="AB52" s="344"/>
      <c r="AC52" s="344"/>
      <c r="AD52" s="344"/>
      <c r="AE52" s="344"/>
      <c r="AF52" s="344"/>
      <c r="AG52" s="344"/>
      <c r="AH52" s="344"/>
      <c r="AI52" s="344"/>
      <c r="AJ52" s="344"/>
      <c r="AK52" s="996" t="s">
        <v>920</v>
      </c>
      <c r="AL52" s="997"/>
      <c r="AM52" s="997"/>
      <c r="AN52" s="997"/>
      <c r="AO52" s="997"/>
      <c r="AP52" s="997"/>
      <c r="AQ52" s="997"/>
      <c r="AR52" s="997"/>
      <c r="AS52" s="998"/>
    </row>
    <row r="53" spans="1:45" ht="15" customHeight="1" thickBot="1">
      <c r="A53" s="344"/>
      <c r="B53" s="344"/>
      <c r="C53" s="344"/>
      <c r="D53" s="344"/>
      <c r="E53" s="344"/>
      <c r="F53" s="344"/>
      <c r="G53" s="344"/>
      <c r="H53" s="344"/>
      <c r="I53" s="344"/>
      <c r="J53" s="996"/>
      <c r="K53" s="997"/>
      <c r="L53" s="997"/>
      <c r="M53" s="997"/>
      <c r="N53" s="997"/>
      <c r="O53" s="997"/>
      <c r="P53" s="997"/>
      <c r="Q53" s="997"/>
      <c r="R53" s="998"/>
      <c r="S53" s="344"/>
      <c r="T53" s="344"/>
      <c r="U53" s="344"/>
      <c r="V53" s="344"/>
      <c r="W53" s="344"/>
      <c r="X53" s="344"/>
      <c r="Y53" s="344"/>
      <c r="Z53" s="344"/>
      <c r="AA53" s="344"/>
      <c r="AB53" s="344"/>
      <c r="AC53" s="344"/>
      <c r="AD53" s="344"/>
      <c r="AE53" s="344"/>
      <c r="AF53" s="344"/>
      <c r="AG53" s="344"/>
      <c r="AH53" s="344"/>
      <c r="AI53" s="344"/>
      <c r="AJ53" s="344"/>
      <c r="AK53" s="996"/>
      <c r="AL53" s="997"/>
      <c r="AM53" s="997"/>
      <c r="AN53" s="997"/>
      <c r="AO53" s="997"/>
      <c r="AP53" s="997"/>
      <c r="AQ53" s="997"/>
      <c r="AR53" s="997"/>
      <c r="AS53" s="998"/>
    </row>
    <row r="54" spans="1:45" ht="15" customHeight="1" thickBot="1">
      <c r="A54" s="344"/>
      <c r="B54" s="344"/>
      <c r="C54" s="344"/>
      <c r="D54" s="344"/>
      <c r="E54" s="344"/>
      <c r="F54" s="344"/>
      <c r="G54" s="344"/>
      <c r="H54" s="344"/>
      <c r="I54" s="344"/>
      <c r="J54" s="996" t="s">
        <v>906</v>
      </c>
      <c r="K54" s="997"/>
      <c r="L54" s="997"/>
      <c r="M54" s="997"/>
      <c r="N54" s="997"/>
      <c r="O54" s="997"/>
      <c r="P54" s="997"/>
      <c r="Q54" s="997"/>
      <c r="R54" s="998"/>
      <c r="S54" s="344"/>
      <c r="T54" s="344"/>
      <c r="U54" s="344"/>
      <c r="V54" s="344"/>
      <c r="W54" s="344"/>
      <c r="X54" s="344"/>
      <c r="Y54" s="344"/>
      <c r="Z54" s="344"/>
      <c r="AA54" s="344"/>
      <c r="AB54" s="344"/>
      <c r="AC54" s="344"/>
      <c r="AD54" s="344"/>
      <c r="AE54" s="344"/>
      <c r="AF54" s="344"/>
      <c r="AG54" s="344"/>
      <c r="AH54" s="344"/>
      <c r="AI54" s="344"/>
      <c r="AJ54" s="344"/>
      <c r="AK54" s="996"/>
      <c r="AL54" s="997"/>
      <c r="AM54" s="997"/>
      <c r="AN54" s="997"/>
      <c r="AO54" s="997"/>
      <c r="AP54" s="997"/>
      <c r="AQ54" s="997"/>
      <c r="AR54" s="997"/>
      <c r="AS54" s="998"/>
    </row>
    <row r="55" spans="1:45" ht="15" customHeight="1" thickBot="1">
      <c r="A55" s="344"/>
      <c r="B55" s="344"/>
      <c r="C55" s="344"/>
      <c r="D55" s="344"/>
      <c r="E55" s="344"/>
      <c r="F55" s="344"/>
      <c r="G55" s="344"/>
      <c r="H55" s="344"/>
      <c r="I55" s="344"/>
      <c r="J55" s="996"/>
      <c r="K55" s="997"/>
      <c r="L55" s="997"/>
      <c r="M55" s="997"/>
      <c r="N55" s="997"/>
      <c r="O55" s="997"/>
      <c r="P55" s="997"/>
      <c r="Q55" s="997"/>
      <c r="R55" s="998"/>
      <c r="S55" s="344"/>
      <c r="T55" s="344"/>
      <c r="U55" s="344"/>
      <c r="V55" s="344"/>
      <c r="W55" s="344"/>
      <c r="X55" s="344"/>
      <c r="Y55" s="344"/>
      <c r="Z55" s="344"/>
      <c r="AA55" s="344"/>
      <c r="AB55" s="344"/>
      <c r="AC55" s="344"/>
      <c r="AD55" s="344"/>
      <c r="AE55" s="344"/>
      <c r="AF55" s="344"/>
      <c r="AG55" s="344"/>
      <c r="AH55" s="344"/>
      <c r="AI55" s="344"/>
      <c r="AJ55" s="344"/>
      <c r="AK55" s="996"/>
      <c r="AL55" s="997"/>
      <c r="AM55" s="997"/>
      <c r="AN55" s="997"/>
      <c r="AO55" s="997"/>
      <c r="AP55" s="997"/>
      <c r="AQ55" s="997"/>
      <c r="AR55" s="997"/>
      <c r="AS55" s="998"/>
    </row>
    <row r="56" spans="1:45" ht="15" customHeight="1" thickBot="1">
      <c r="A56" s="344"/>
      <c r="B56" s="344"/>
      <c r="C56" s="344"/>
      <c r="D56" s="344"/>
      <c r="E56" s="344"/>
      <c r="F56" s="344"/>
      <c r="G56" s="344"/>
      <c r="H56" s="344"/>
      <c r="I56" s="344"/>
      <c r="J56" s="996"/>
      <c r="K56" s="997"/>
      <c r="L56" s="997"/>
      <c r="M56" s="997"/>
      <c r="N56" s="997"/>
      <c r="O56" s="997"/>
      <c r="P56" s="997"/>
      <c r="Q56" s="997"/>
      <c r="R56" s="998"/>
      <c r="S56" s="344"/>
      <c r="T56" s="344"/>
      <c r="U56" s="344"/>
      <c r="V56" s="344"/>
      <c r="W56" s="344"/>
      <c r="X56" s="344"/>
      <c r="Y56" s="344"/>
      <c r="Z56" s="344"/>
      <c r="AA56" s="344"/>
      <c r="AB56" s="344"/>
      <c r="AC56" s="344"/>
      <c r="AD56" s="344"/>
      <c r="AE56" s="344"/>
      <c r="AF56" s="344"/>
      <c r="AG56" s="344"/>
      <c r="AH56" s="344"/>
      <c r="AI56" s="344"/>
      <c r="AJ56" s="344"/>
      <c r="AK56" s="996"/>
      <c r="AL56" s="997"/>
      <c r="AM56" s="997"/>
      <c r="AN56" s="997"/>
      <c r="AO56" s="997"/>
      <c r="AP56" s="997"/>
      <c r="AQ56" s="997"/>
      <c r="AR56" s="997"/>
      <c r="AS56" s="998"/>
    </row>
    <row r="57" spans="1:45" ht="15" customHeight="1" thickBot="1">
      <c r="A57" s="344"/>
      <c r="B57" s="344"/>
      <c r="C57" s="344"/>
      <c r="D57" s="344"/>
      <c r="E57" s="344"/>
      <c r="F57" s="344"/>
      <c r="G57" s="344"/>
      <c r="H57" s="344"/>
      <c r="I57" s="344"/>
      <c r="J57" s="996"/>
      <c r="K57" s="997"/>
      <c r="L57" s="997"/>
      <c r="M57" s="997"/>
      <c r="N57" s="997"/>
      <c r="O57" s="997"/>
      <c r="P57" s="997"/>
      <c r="Q57" s="997"/>
      <c r="R57" s="998"/>
      <c r="S57" s="344"/>
      <c r="T57" s="344"/>
      <c r="U57" s="344"/>
      <c r="V57" s="344"/>
      <c r="W57" s="344"/>
      <c r="X57" s="344"/>
      <c r="Y57" s="344"/>
      <c r="Z57" s="344"/>
      <c r="AA57" s="344"/>
      <c r="AB57" s="344"/>
      <c r="AC57" s="344"/>
      <c r="AD57" s="344"/>
      <c r="AE57" s="344"/>
      <c r="AF57" s="344"/>
      <c r="AG57" s="344"/>
      <c r="AH57" s="344"/>
      <c r="AI57" s="344"/>
      <c r="AJ57" s="344"/>
      <c r="AK57" s="996"/>
      <c r="AL57" s="997"/>
      <c r="AM57" s="997"/>
      <c r="AN57" s="997"/>
      <c r="AO57" s="997"/>
      <c r="AP57" s="997"/>
      <c r="AQ57" s="997"/>
      <c r="AR57" s="997"/>
      <c r="AS57" s="998"/>
    </row>
    <row r="58" spans="1:45" ht="15" customHeight="1" thickBot="1">
      <c r="A58" s="344"/>
      <c r="B58" s="344"/>
      <c r="C58" s="344"/>
      <c r="D58" s="344"/>
      <c r="E58" s="344"/>
      <c r="F58" s="344"/>
      <c r="G58" s="344"/>
      <c r="H58" s="344"/>
      <c r="I58" s="344"/>
      <c r="J58" s="996"/>
      <c r="K58" s="997"/>
      <c r="L58" s="997"/>
      <c r="M58" s="997"/>
      <c r="N58" s="997"/>
      <c r="O58" s="997"/>
      <c r="P58" s="997"/>
      <c r="Q58" s="997"/>
      <c r="R58" s="998"/>
      <c r="S58" s="344"/>
      <c r="T58" s="344"/>
      <c r="U58" s="344"/>
      <c r="V58" s="344"/>
      <c r="W58" s="344"/>
      <c r="X58" s="344"/>
      <c r="Y58" s="344"/>
      <c r="Z58" s="344"/>
      <c r="AA58" s="344"/>
      <c r="AB58" s="344"/>
      <c r="AC58" s="344"/>
      <c r="AD58" s="344"/>
      <c r="AE58" s="344"/>
      <c r="AF58" s="344"/>
      <c r="AG58" s="344"/>
      <c r="AH58" s="344"/>
      <c r="AI58" s="344"/>
      <c r="AJ58" s="344"/>
      <c r="AK58" s="996"/>
      <c r="AL58" s="997"/>
      <c r="AM58" s="997"/>
      <c r="AN58" s="997"/>
      <c r="AO58" s="997"/>
      <c r="AP58" s="997"/>
      <c r="AQ58" s="997"/>
      <c r="AR58" s="997"/>
      <c r="AS58" s="998"/>
    </row>
    <row r="59" spans="1:45" ht="15" customHeight="1" thickBot="1">
      <c r="A59" s="344"/>
      <c r="B59" s="344"/>
      <c r="C59" s="344"/>
      <c r="D59" s="344"/>
      <c r="E59" s="344"/>
      <c r="F59" s="344"/>
      <c r="G59" s="344"/>
      <c r="H59" s="344"/>
      <c r="I59" s="344"/>
      <c r="J59" s="996"/>
      <c r="K59" s="997"/>
      <c r="L59" s="997"/>
      <c r="M59" s="997"/>
      <c r="N59" s="997"/>
      <c r="O59" s="997"/>
      <c r="P59" s="997"/>
      <c r="Q59" s="997"/>
      <c r="R59" s="998"/>
      <c r="S59" s="344"/>
      <c r="T59" s="344"/>
      <c r="U59" s="344"/>
      <c r="V59" s="344"/>
      <c r="W59" s="344"/>
      <c r="X59" s="344"/>
      <c r="Y59" s="344"/>
      <c r="Z59" s="344"/>
      <c r="AA59" s="344"/>
      <c r="AB59" s="344"/>
      <c r="AC59" s="344"/>
      <c r="AD59" s="344"/>
      <c r="AE59" s="344"/>
      <c r="AF59" s="344"/>
      <c r="AG59" s="344"/>
      <c r="AH59" s="344"/>
      <c r="AI59" s="344"/>
      <c r="AJ59" s="344"/>
      <c r="AK59" s="996"/>
      <c r="AL59" s="997"/>
      <c r="AM59" s="997"/>
      <c r="AN59" s="997"/>
      <c r="AO59" s="997"/>
      <c r="AP59" s="997"/>
      <c r="AQ59" s="997"/>
      <c r="AR59" s="997"/>
      <c r="AS59" s="998"/>
    </row>
    <row r="60" spans="1:45" ht="15" customHeight="1" thickBot="1">
      <c r="A60" s="344"/>
      <c r="B60" s="344"/>
      <c r="C60" s="344"/>
      <c r="D60" s="344"/>
      <c r="E60" s="344"/>
      <c r="F60" s="344"/>
      <c r="G60" s="344"/>
      <c r="H60" s="344"/>
      <c r="I60" s="344"/>
      <c r="J60" s="996"/>
      <c r="K60" s="997"/>
      <c r="L60" s="997"/>
      <c r="M60" s="997"/>
      <c r="N60" s="997"/>
      <c r="O60" s="997"/>
      <c r="P60" s="997"/>
      <c r="Q60" s="997"/>
      <c r="R60" s="998"/>
      <c r="S60" s="344"/>
      <c r="T60" s="344"/>
      <c r="U60" s="344"/>
      <c r="V60" s="344"/>
      <c r="W60" s="344"/>
      <c r="X60" s="344"/>
      <c r="Y60" s="344"/>
      <c r="Z60" s="344"/>
      <c r="AA60" s="344"/>
      <c r="AB60" s="344"/>
      <c r="AC60" s="344"/>
      <c r="AD60" s="344"/>
      <c r="AE60" s="344"/>
      <c r="AF60" s="344"/>
      <c r="AG60" s="344"/>
      <c r="AH60" s="344"/>
      <c r="AI60" s="344"/>
      <c r="AJ60" s="344"/>
      <c r="AK60" s="996"/>
      <c r="AL60" s="997"/>
      <c r="AM60" s="997"/>
      <c r="AN60" s="997"/>
      <c r="AO60" s="997"/>
      <c r="AP60" s="997"/>
      <c r="AQ60" s="997"/>
      <c r="AR60" s="997"/>
      <c r="AS60" s="998"/>
    </row>
    <row r="61" spans="1:45" ht="15" customHeight="1" thickBot="1">
      <c r="A61" s="344"/>
      <c r="B61" s="344"/>
      <c r="C61" s="344"/>
      <c r="D61" s="344"/>
      <c r="E61" s="344"/>
      <c r="F61" s="344"/>
      <c r="G61" s="344"/>
      <c r="H61" s="344"/>
      <c r="I61" s="344"/>
      <c r="J61" s="996" t="s">
        <v>907</v>
      </c>
      <c r="K61" s="997"/>
      <c r="L61" s="997"/>
      <c r="M61" s="997"/>
      <c r="N61" s="997"/>
      <c r="O61" s="997"/>
      <c r="P61" s="997"/>
      <c r="Q61" s="997"/>
      <c r="R61" s="998"/>
      <c r="S61" s="344"/>
      <c r="T61" s="344"/>
      <c r="U61" s="344"/>
      <c r="V61" s="344"/>
      <c r="W61" s="344"/>
      <c r="X61" s="344"/>
      <c r="Y61" s="344"/>
      <c r="Z61" s="344"/>
      <c r="AA61" s="344"/>
      <c r="AB61" s="344"/>
      <c r="AC61" s="344"/>
      <c r="AD61" s="344"/>
      <c r="AE61" s="344"/>
      <c r="AF61" s="344"/>
      <c r="AG61" s="344"/>
      <c r="AH61" s="344"/>
      <c r="AI61" s="344"/>
      <c r="AJ61" s="344"/>
      <c r="AK61" s="996"/>
      <c r="AL61" s="997"/>
      <c r="AM61" s="997"/>
      <c r="AN61" s="997"/>
      <c r="AO61" s="997"/>
      <c r="AP61" s="997"/>
      <c r="AQ61" s="997"/>
      <c r="AR61" s="997"/>
      <c r="AS61" s="998"/>
    </row>
    <row r="62" spans="1:45" ht="15" customHeight="1" thickBot="1">
      <c r="A62" s="344"/>
      <c r="B62" s="344"/>
      <c r="C62" s="344"/>
      <c r="D62" s="344"/>
      <c r="E62" s="344"/>
      <c r="F62" s="344"/>
      <c r="G62" s="344"/>
      <c r="H62" s="344"/>
      <c r="I62" s="344"/>
      <c r="J62" s="996"/>
      <c r="K62" s="997"/>
      <c r="L62" s="997"/>
      <c r="M62" s="997"/>
      <c r="N62" s="997"/>
      <c r="O62" s="997"/>
      <c r="P62" s="997"/>
      <c r="Q62" s="997"/>
      <c r="R62" s="998"/>
      <c r="S62" s="344"/>
      <c r="T62" s="344"/>
      <c r="U62" s="344"/>
      <c r="V62" s="344"/>
      <c r="W62" s="344"/>
      <c r="X62" s="344"/>
      <c r="Y62" s="344"/>
      <c r="Z62" s="344"/>
      <c r="AA62" s="344"/>
      <c r="AB62" s="344"/>
      <c r="AC62" s="344"/>
      <c r="AD62" s="344"/>
      <c r="AE62" s="344"/>
      <c r="AF62" s="344"/>
      <c r="AG62" s="344"/>
      <c r="AH62" s="344"/>
      <c r="AI62" s="344"/>
      <c r="AJ62" s="344"/>
      <c r="AK62" s="996"/>
      <c r="AL62" s="997"/>
      <c r="AM62" s="997"/>
      <c r="AN62" s="997"/>
      <c r="AO62" s="997"/>
      <c r="AP62" s="997"/>
      <c r="AQ62" s="997"/>
      <c r="AR62" s="997"/>
      <c r="AS62" s="998"/>
    </row>
    <row r="63" spans="1:45" ht="15" customHeight="1" thickBot="1">
      <c r="A63" s="344"/>
      <c r="B63" s="344"/>
      <c r="C63" s="344"/>
      <c r="D63" s="344"/>
      <c r="E63" s="344"/>
      <c r="F63" s="344"/>
      <c r="G63" s="344"/>
      <c r="H63" s="344"/>
      <c r="I63" s="344"/>
      <c r="J63" s="996"/>
      <c r="K63" s="997"/>
      <c r="L63" s="997"/>
      <c r="M63" s="997"/>
      <c r="N63" s="997"/>
      <c r="O63" s="997"/>
      <c r="P63" s="997"/>
      <c r="Q63" s="997"/>
      <c r="R63" s="998"/>
      <c r="S63" s="344"/>
      <c r="T63" s="344"/>
      <c r="U63" s="344"/>
      <c r="V63" s="344"/>
      <c r="W63" s="344"/>
      <c r="X63" s="344"/>
      <c r="Y63" s="344"/>
      <c r="Z63" s="344"/>
      <c r="AA63" s="344"/>
      <c r="AB63" s="344"/>
      <c r="AC63" s="344"/>
      <c r="AD63" s="344"/>
      <c r="AE63" s="344"/>
      <c r="AF63" s="344"/>
      <c r="AG63" s="344"/>
      <c r="AH63" s="344"/>
      <c r="AI63" s="344"/>
      <c r="AJ63" s="344"/>
      <c r="AK63" s="996"/>
      <c r="AL63" s="997"/>
      <c r="AM63" s="997"/>
      <c r="AN63" s="997"/>
      <c r="AO63" s="997"/>
      <c r="AP63" s="997"/>
      <c r="AQ63" s="997"/>
      <c r="AR63" s="997"/>
      <c r="AS63" s="998"/>
    </row>
    <row r="64" spans="1:45" ht="15" customHeight="1" thickBot="1">
      <c r="A64" s="344"/>
      <c r="B64" s="344"/>
      <c r="C64" s="344"/>
      <c r="D64" s="344"/>
      <c r="E64" s="344"/>
      <c r="F64" s="344"/>
      <c r="G64" s="344"/>
      <c r="H64" s="344"/>
      <c r="I64" s="344"/>
      <c r="J64" s="996"/>
      <c r="K64" s="997"/>
      <c r="L64" s="997"/>
      <c r="M64" s="997"/>
      <c r="N64" s="997"/>
      <c r="O64" s="997"/>
      <c r="P64" s="997"/>
      <c r="Q64" s="997"/>
      <c r="R64" s="998"/>
      <c r="S64" s="344"/>
      <c r="T64" s="344"/>
      <c r="U64" s="344"/>
      <c r="V64" s="344"/>
      <c r="W64" s="344"/>
      <c r="X64" s="344"/>
      <c r="Y64" s="344"/>
      <c r="Z64" s="344"/>
      <c r="AA64" s="344"/>
      <c r="AB64" s="344"/>
      <c r="AC64" s="344"/>
      <c r="AD64" s="344"/>
      <c r="AE64" s="344"/>
      <c r="AF64" s="344"/>
      <c r="AG64" s="344"/>
      <c r="AH64" s="344"/>
      <c r="AI64" s="344"/>
      <c r="AJ64" s="344"/>
      <c r="AK64" s="1024" t="s">
        <v>921</v>
      </c>
      <c r="AL64" s="1025"/>
      <c r="AM64" s="1025"/>
      <c r="AN64" s="1025"/>
      <c r="AO64" s="1025"/>
      <c r="AP64" s="1025"/>
      <c r="AQ64" s="1025"/>
      <c r="AR64" s="1025"/>
      <c r="AS64" s="1026"/>
    </row>
    <row r="65" spans="1:45" ht="15" customHeight="1" thickBot="1">
      <c r="A65" s="344"/>
      <c r="B65" s="344"/>
      <c r="C65" s="344"/>
      <c r="D65" s="344"/>
      <c r="E65" s="344"/>
      <c r="F65" s="344"/>
      <c r="G65" s="344"/>
      <c r="H65" s="344"/>
      <c r="I65" s="344"/>
      <c r="J65" s="996"/>
      <c r="K65" s="997"/>
      <c r="L65" s="997"/>
      <c r="M65" s="997"/>
      <c r="N65" s="997"/>
      <c r="O65" s="997"/>
      <c r="P65" s="997"/>
      <c r="Q65" s="997"/>
      <c r="R65" s="998"/>
      <c r="S65" s="344"/>
      <c r="T65" s="344"/>
      <c r="U65" s="344"/>
      <c r="V65" s="344"/>
      <c r="W65" s="344"/>
      <c r="X65" s="344"/>
      <c r="Y65" s="344"/>
      <c r="Z65" s="344"/>
      <c r="AA65" s="344"/>
      <c r="AB65" s="344"/>
      <c r="AC65" s="344"/>
      <c r="AD65" s="344"/>
      <c r="AE65" s="344"/>
      <c r="AF65" s="344"/>
      <c r="AG65" s="344"/>
      <c r="AH65" s="344"/>
      <c r="AI65" s="344"/>
      <c r="AJ65" s="344"/>
      <c r="AK65" s="1024"/>
      <c r="AL65" s="1025"/>
      <c r="AM65" s="1025"/>
      <c r="AN65" s="1025"/>
      <c r="AO65" s="1025"/>
      <c r="AP65" s="1025"/>
      <c r="AQ65" s="1025"/>
      <c r="AR65" s="1025"/>
      <c r="AS65" s="1026"/>
    </row>
    <row r="66" spans="1:45" ht="15" customHeight="1" thickBot="1">
      <c r="A66" s="344"/>
      <c r="B66" s="344"/>
      <c r="C66" s="344"/>
      <c r="D66" s="344"/>
      <c r="E66" s="344"/>
      <c r="F66" s="344"/>
      <c r="G66" s="344"/>
      <c r="H66" s="344"/>
      <c r="I66" s="344"/>
      <c r="J66" s="996"/>
      <c r="K66" s="997"/>
      <c r="L66" s="997"/>
      <c r="M66" s="997"/>
      <c r="N66" s="997"/>
      <c r="O66" s="997"/>
      <c r="P66" s="997"/>
      <c r="Q66" s="997"/>
      <c r="R66" s="998"/>
      <c r="S66" s="344"/>
      <c r="T66" s="344"/>
      <c r="U66" s="344"/>
      <c r="V66" s="344"/>
      <c r="W66" s="344"/>
      <c r="X66" s="344"/>
      <c r="Y66" s="344"/>
      <c r="Z66" s="344"/>
      <c r="AA66" s="344"/>
      <c r="AB66" s="344"/>
      <c r="AC66" s="344"/>
      <c r="AD66" s="344"/>
      <c r="AE66" s="344"/>
      <c r="AF66" s="344"/>
      <c r="AG66" s="344"/>
      <c r="AH66" s="344"/>
      <c r="AI66" s="344"/>
      <c r="AJ66" s="344"/>
      <c r="AK66" s="996" t="s">
        <v>922</v>
      </c>
      <c r="AL66" s="997"/>
      <c r="AM66" s="997"/>
      <c r="AN66" s="997"/>
      <c r="AO66" s="997"/>
      <c r="AP66" s="997"/>
      <c r="AQ66" s="997"/>
      <c r="AR66" s="997"/>
      <c r="AS66" s="998"/>
    </row>
    <row r="67" spans="1:45" ht="15" customHeight="1" thickBot="1">
      <c r="A67" s="344"/>
      <c r="B67" s="344"/>
      <c r="C67" s="344"/>
      <c r="D67" s="344"/>
      <c r="E67" s="344"/>
      <c r="F67" s="344"/>
      <c r="G67" s="344"/>
      <c r="H67" s="344"/>
      <c r="I67" s="344"/>
      <c r="J67" s="996"/>
      <c r="K67" s="997"/>
      <c r="L67" s="997"/>
      <c r="M67" s="997"/>
      <c r="N67" s="997"/>
      <c r="O67" s="997"/>
      <c r="P67" s="997"/>
      <c r="Q67" s="997"/>
      <c r="R67" s="998"/>
      <c r="S67" s="344"/>
      <c r="T67" s="344"/>
      <c r="U67" s="344"/>
      <c r="V67" s="344"/>
      <c r="W67" s="344"/>
      <c r="X67" s="344"/>
      <c r="Y67" s="344"/>
      <c r="Z67" s="344"/>
      <c r="AA67" s="344"/>
      <c r="AB67" s="344"/>
      <c r="AC67" s="344"/>
      <c r="AD67" s="344"/>
      <c r="AE67" s="344"/>
      <c r="AF67" s="344"/>
      <c r="AG67" s="344"/>
      <c r="AH67" s="344"/>
      <c r="AI67" s="344"/>
      <c r="AJ67" s="344"/>
      <c r="AK67" s="996"/>
      <c r="AL67" s="997"/>
      <c r="AM67" s="997"/>
      <c r="AN67" s="997"/>
      <c r="AO67" s="997"/>
      <c r="AP67" s="997"/>
      <c r="AQ67" s="997"/>
      <c r="AR67" s="997"/>
      <c r="AS67" s="998"/>
    </row>
    <row r="68" spans="1:45" ht="15" customHeight="1" thickBot="1">
      <c r="A68" s="407"/>
      <c r="B68" s="407"/>
      <c r="C68" s="407"/>
      <c r="D68" s="407"/>
      <c r="E68" s="407"/>
      <c r="F68" s="407"/>
      <c r="G68" s="407"/>
      <c r="H68" s="407"/>
      <c r="I68" s="407"/>
      <c r="J68" s="407"/>
      <c r="K68" s="407"/>
      <c r="L68" s="407"/>
      <c r="M68" s="407"/>
      <c r="N68" s="407"/>
      <c r="O68" s="407"/>
      <c r="P68" s="407"/>
      <c r="Q68" s="407"/>
      <c r="R68" s="407"/>
      <c r="S68" s="407"/>
      <c r="T68" s="407"/>
      <c r="U68" s="407"/>
      <c r="V68" s="407"/>
      <c r="W68" s="407"/>
      <c r="X68" s="407"/>
      <c r="Y68" s="407"/>
      <c r="Z68" s="407"/>
      <c r="AA68" s="407"/>
      <c r="AB68" s="407"/>
      <c r="AC68" s="407"/>
      <c r="AD68" s="407"/>
      <c r="AE68" s="407"/>
      <c r="AF68" s="407"/>
      <c r="AG68" s="407"/>
      <c r="AH68" s="407"/>
      <c r="AI68" s="407"/>
      <c r="AJ68" s="407"/>
      <c r="AK68" s="996"/>
      <c r="AL68" s="997"/>
      <c r="AM68" s="997"/>
      <c r="AN68" s="997"/>
      <c r="AO68" s="997"/>
      <c r="AP68" s="997"/>
      <c r="AQ68" s="997"/>
      <c r="AR68" s="997"/>
      <c r="AS68" s="998"/>
    </row>
    <row r="69" spans="1:45" ht="15" customHeight="1" thickBot="1">
      <c r="A69" s="407"/>
      <c r="B69" s="407"/>
      <c r="C69" s="407"/>
      <c r="D69" s="407"/>
      <c r="E69" s="407"/>
      <c r="F69" s="407"/>
      <c r="G69" s="407"/>
      <c r="H69" s="407"/>
      <c r="I69" s="407"/>
      <c r="J69" s="407"/>
      <c r="K69" s="407"/>
      <c r="L69" s="407"/>
      <c r="M69" s="407"/>
      <c r="N69" s="407"/>
      <c r="O69" s="407"/>
      <c r="P69" s="407"/>
      <c r="Q69" s="407"/>
      <c r="R69" s="407"/>
      <c r="S69" s="407"/>
      <c r="T69" s="407"/>
      <c r="U69" s="407"/>
      <c r="V69" s="407"/>
      <c r="W69" s="407"/>
      <c r="X69" s="407"/>
      <c r="Y69" s="407"/>
      <c r="Z69" s="407"/>
      <c r="AA69" s="407"/>
      <c r="AB69" s="407"/>
      <c r="AC69" s="407"/>
      <c r="AD69" s="407"/>
      <c r="AE69" s="407"/>
      <c r="AF69" s="407"/>
      <c r="AG69" s="407"/>
      <c r="AH69" s="407"/>
      <c r="AI69" s="407"/>
      <c r="AJ69" s="407"/>
      <c r="AK69" s="996"/>
      <c r="AL69" s="997"/>
      <c r="AM69" s="997"/>
      <c r="AN69" s="997"/>
      <c r="AO69" s="997"/>
      <c r="AP69" s="997"/>
      <c r="AQ69" s="997"/>
      <c r="AR69" s="997"/>
      <c r="AS69" s="998"/>
    </row>
    <row r="70" spans="1:45" ht="15" customHeight="1" thickBot="1">
      <c r="A70" s="407"/>
      <c r="B70" s="407"/>
      <c r="C70" s="407"/>
      <c r="D70" s="407"/>
      <c r="E70" s="407"/>
      <c r="F70" s="407"/>
      <c r="G70" s="407"/>
      <c r="H70" s="407"/>
      <c r="I70" s="407"/>
      <c r="J70" s="407"/>
      <c r="K70" s="407"/>
      <c r="L70" s="407"/>
      <c r="M70" s="407"/>
      <c r="N70" s="407"/>
      <c r="O70" s="407"/>
      <c r="P70" s="407"/>
      <c r="Q70" s="407"/>
      <c r="R70" s="407"/>
      <c r="S70" s="407"/>
      <c r="T70" s="407"/>
      <c r="U70" s="407"/>
      <c r="V70" s="407"/>
      <c r="W70" s="407"/>
      <c r="X70" s="407"/>
      <c r="Y70" s="407"/>
      <c r="Z70" s="407"/>
      <c r="AA70" s="407"/>
      <c r="AB70" s="407"/>
      <c r="AC70" s="407"/>
      <c r="AD70" s="407"/>
      <c r="AE70" s="407"/>
      <c r="AF70" s="407"/>
      <c r="AG70" s="407"/>
      <c r="AH70" s="407"/>
      <c r="AI70" s="407"/>
      <c r="AJ70" s="407"/>
      <c r="AK70" s="996"/>
      <c r="AL70" s="997"/>
      <c r="AM70" s="997"/>
      <c r="AN70" s="997"/>
      <c r="AO70" s="997"/>
      <c r="AP70" s="997"/>
      <c r="AQ70" s="997"/>
      <c r="AR70" s="997"/>
      <c r="AS70" s="998"/>
    </row>
    <row r="71" spans="1:45" ht="15" customHeight="1" thickBot="1">
      <c r="A71" s="407"/>
      <c r="B71" s="407"/>
      <c r="C71" s="407"/>
      <c r="D71" s="407"/>
      <c r="E71" s="407"/>
      <c r="F71" s="407"/>
      <c r="G71" s="407"/>
      <c r="H71" s="407"/>
      <c r="I71" s="407"/>
      <c r="J71" s="407"/>
      <c r="K71" s="407"/>
      <c r="L71" s="407"/>
      <c r="M71" s="407"/>
      <c r="N71" s="407"/>
      <c r="O71" s="407"/>
      <c r="P71" s="407"/>
      <c r="Q71" s="407"/>
      <c r="R71" s="407"/>
      <c r="S71" s="407"/>
      <c r="T71" s="407"/>
      <c r="U71" s="407"/>
      <c r="V71" s="407"/>
      <c r="W71" s="407"/>
      <c r="X71" s="407"/>
      <c r="Y71" s="407"/>
      <c r="Z71" s="407"/>
      <c r="AA71" s="407"/>
      <c r="AB71" s="407"/>
      <c r="AC71" s="407"/>
      <c r="AD71" s="407"/>
      <c r="AE71" s="407"/>
      <c r="AF71" s="407"/>
      <c r="AG71" s="407"/>
      <c r="AH71" s="407"/>
      <c r="AI71" s="407"/>
      <c r="AJ71" s="407"/>
      <c r="AK71" s="996"/>
      <c r="AL71" s="997"/>
      <c r="AM71" s="997"/>
      <c r="AN71" s="997"/>
      <c r="AO71" s="997"/>
      <c r="AP71" s="997"/>
      <c r="AQ71" s="997"/>
      <c r="AR71" s="997"/>
      <c r="AS71" s="998"/>
    </row>
    <row r="72" spans="1:45" ht="15" customHeight="1" thickBot="1">
      <c r="A72" s="407"/>
      <c r="B72" s="407"/>
      <c r="C72" s="407"/>
      <c r="D72" s="407"/>
      <c r="E72" s="407"/>
      <c r="F72" s="407"/>
      <c r="G72" s="407"/>
      <c r="H72" s="407"/>
      <c r="I72" s="407"/>
      <c r="J72" s="407"/>
      <c r="K72" s="407"/>
      <c r="L72" s="407"/>
      <c r="M72" s="407"/>
      <c r="N72" s="407"/>
      <c r="O72" s="407"/>
      <c r="P72" s="407"/>
      <c r="Q72" s="407"/>
      <c r="R72" s="407"/>
      <c r="S72" s="407"/>
      <c r="T72" s="407"/>
      <c r="U72" s="407"/>
      <c r="V72" s="407"/>
      <c r="W72" s="407"/>
      <c r="X72" s="407"/>
      <c r="Y72" s="407"/>
      <c r="Z72" s="407"/>
      <c r="AA72" s="407"/>
      <c r="AB72" s="407"/>
      <c r="AC72" s="407"/>
      <c r="AD72" s="407"/>
      <c r="AE72" s="407"/>
      <c r="AF72" s="407"/>
      <c r="AG72" s="407"/>
      <c r="AH72" s="407"/>
      <c r="AI72" s="407"/>
      <c r="AJ72" s="407"/>
      <c r="AK72" s="996"/>
      <c r="AL72" s="997"/>
      <c r="AM72" s="997"/>
      <c r="AN72" s="997"/>
      <c r="AO72" s="997"/>
      <c r="AP72" s="997"/>
      <c r="AQ72" s="997"/>
      <c r="AR72" s="997"/>
      <c r="AS72" s="998"/>
    </row>
    <row r="73" spans="1:45" ht="15" customHeight="1" thickBot="1">
      <c r="A73" s="407"/>
      <c r="B73" s="407"/>
      <c r="C73" s="407"/>
      <c r="D73" s="407"/>
      <c r="E73" s="407"/>
      <c r="F73" s="407"/>
      <c r="G73" s="407"/>
      <c r="H73" s="407"/>
      <c r="I73" s="407"/>
      <c r="J73" s="407"/>
      <c r="K73" s="407"/>
      <c r="L73" s="407"/>
      <c r="M73" s="407"/>
      <c r="N73" s="407"/>
      <c r="O73" s="407"/>
      <c r="P73" s="407"/>
      <c r="Q73" s="407"/>
      <c r="R73" s="407"/>
      <c r="S73" s="407"/>
      <c r="T73" s="407"/>
      <c r="U73" s="407"/>
      <c r="V73" s="407"/>
      <c r="W73" s="407"/>
      <c r="X73" s="407"/>
      <c r="Y73" s="407"/>
      <c r="Z73" s="407"/>
      <c r="AA73" s="407"/>
      <c r="AB73" s="407"/>
      <c r="AC73" s="407"/>
      <c r="AD73" s="407"/>
      <c r="AE73" s="407"/>
      <c r="AF73" s="407"/>
      <c r="AG73" s="407"/>
      <c r="AH73" s="407"/>
      <c r="AI73" s="407"/>
      <c r="AJ73" s="407"/>
      <c r="AK73" s="996"/>
      <c r="AL73" s="997"/>
      <c r="AM73" s="997"/>
      <c r="AN73" s="997"/>
      <c r="AO73" s="997"/>
      <c r="AP73" s="997"/>
      <c r="AQ73" s="997"/>
      <c r="AR73" s="997"/>
      <c r="AS73" s="998"/>
    </row>
    <row r="74" spans="1:45" ht="15" customHeight="1" thickBot="1">
      <c r="A74" s="407"/>
      <c r="B74" s="407"/>
      <c r="C74" s="407"/>
      <c r="D74" s="407"/>
      <c r="E74" s="407"/>
      <c r="F74" s="407"/>
      <c r="G74" s="407"/>
      <c r="H74" s="407"/>
      <c r="I74" s="407"/>
      <c r="J74" s="407"/>
      <c r="K74" s="407"/>
      <c r="L74" s="407"/>
      <c r="M74" s="407"/>
      <c r="N74" s="407"/>
      <c r="O74" s="407"/>
      <c r="P74" s="407"/>
      <c r="Q74" s="407"/>
      <c r="R74" s="407"/>
      <c r="S74" s="407"/>
      <c r="T74" s="407"/>
      <c r="U74" s="407"/>
      <c r="V74" s="407"/>
      <c r="W74" s="407"/>
      <c r="X74" s="407"/>
      <c r="Y74" s="407"/>
      <c r="Z74" s="407"/>
      <c r="AA74" s="407"/>
      <c r="AB74" s="407"/>
      <c r="AC74" s="407"/>
      <c r="AD74" s="407"/>
      <c r="AE74" s="407"/>
      <c r="AF74" s="407"/>
      <c r="AG74" s="407"/>
      <c r="AH74" s="407"/>
      <c r="AI74" s="407"/>
      <c r="AJ74" s="407"/>
      <c r="AK74" s="996"/>
      <c r="AL74" s="997"/>
      <c r="AM74" s="997"/>
      <c r="AN74" s="997"/>
      <c r="AO74" s="997"/>
      <c r="AP74" s="997"/>
      <c r="AQ74" s="997"/>
      <c r="AR74" s="997"/>
      <c r="AS74" s="998"/>
    </row>
    <row r="75" spans="1:45" ht="15" customHeight="1" thickBot="1">
      <c r="A75" s="407"/>
      <c r="B75" s="407"/>
      <c r="C75" s="407"/>
      <c r="D75" s="407"/>
      <c r="E75" s="407"/>
      <c r="F75" s="407"/>
      <c r="G75" s="407"/>
      <c r="H75" s="407"/>
      <c r="I75" s="407"/>
      <c r="J75" s="407"/>
      <c r="K75" s="407"/>
      <c r="L75" s="407"/>
      <c r="M75" s="407"/>
      <c r="N75" s="407"/>
      <c r="O75" s="407"/>
      <c r="P75" s="407"/>
      <c r="Q75" s="407"/>
      <c r="R75" s="407"/>
      <c r="S75" s="407"/>
      <c r="T75" s="407"/>
      <c r="U75" s="407"/>
      <c r="V75" s="407"/>
      <c r="W75" s="407"/>
      <c r="X75" s="407"/>
      <c r="Y75" s="407"/>
      <c r="Z75" s="407"/>
      <c r="AA75" s="407"/>
      <c r="AB75" s="407"/>
      <c r="AC75" s="407"/>
      <c r="AD75" s="407"/>
      <c r="AE75" s="407"/>
      <c r="AF75" s="407"/>
      <c r="AG75" s="407"/>
      <c r="AH75" s="407"/>
      <c r="AI75" s="407"/>
      <c r="AJ75" s="407"/>
      <c r="AK75" s="996"/>
      <c r="AL75" s="997"/>
      <c r="AM75" s="997"/>
      <c r="AN75" s="997"/>
      <c r="AO75" s="997"/>
      <c r="AP75" s="997"/>
      <c r="AQ75" s="997"/>
      <c r="AR75" s="997"/>
      <c r="AS75" s="998"/>
    </row>
    <row r="76" spans="1:45" ht="15" customHeight="1" thickBot="1">
      <c r="A76" s="407"/>
      <c r="B76" s="407"/>
      <c r="C76" s="407"/>
      <c r="D76" s="407"/>
      <c r="E76" s="407"/>
      <c r="F76" s="407"/>
      <c r="G76" s="407"/>
      <c r="H76" s="407"/>
      <c r="I76" s="407"/>
      <c r="J76" s="407"/>
      <c r="K76" s="407"/>
      <c r="L76" s="407"/>
      <c r="M76" s="407"/>
      <c r="N76" s="407"/>
      <c r="O76" s="407"/>
      <c r="P76" s="407"/>
      <c r="Q76" s="407"/>
      <c r="R76" s="407"/>
      <c r="S76" s="407"/>
      <c r="T76" s="407"/>
      <c r="U76" s="407"/>
      <c r="V76" s="407"/>
      <c r="W76" s="407"/>
      <c r="X76" s="407"/>
      <c r="Y76" s="407"/>
      <c r="Z76" s="407"/>
      <c r="AA76" s="407"/>
      <c r="AB76" s="407"/>
      <c r="AC76" s="407"/>
      <c r="AD76" s="407"/>
      <c r="AE76" s="407"/>
      <c r="AF76" s="407"/>
      <c r="AG76" s="407"/>
      <c r="AH76" s="407"/>
      <c r="AI76" s="407"/>
      <c r="AJ76" s="407"/>
      <c r="AK76" s="996"/>
      <c r="AL76" s="997"/>
      <c r="AM76" s="997"/>
      <c r="AN76" s="997"/>
      <c r="AO76" s="997"/>
      <c r="AP76" s="997"/>
      <c r="AQ76" s="997"/>
      <c r="AR76" s="997"/>
      <c r="AS76" s="998"/>
    </row>
    <row r="77" spans="1:45" ht="15" customHeight="1" thickBot="1">
      <c r="A77" s="407"/>
      <c r="B77" s="407"/>
      <c r="C77" s="407"/>
      <c r="D77" s="407"/>
      <c r="E77" s="407"/>
      <c r="F77" s="407"/>
      <c r="G77" s="407"/>
      <c r="H77" s="407"/>
      <c r="I77" s="407"/>
      <c r="J77" s="407"/>
      <c r="K77" s="407"/>
      <c r="L77" s="407"/>
      <c r="M77" s="407"/>
      <c r="N77" s="407"/>
      <c r="O77" s="407"/>
      <c r="P77" s="407"/>
      <c r="Q77" s="407"/>
      <c r="R77" s="407"/>
      <c r="S77" s="407"/>
      <c r="T77" s="407"/>
      <c r="U77" s="407"/>
      <c r="V77" s="407"/>
      <c r="W77" s="407"/>
      <c r="X77" s="407"/>
      <c r="Y77" s="407"/>
      <c r="Z77" s="407"/>
      <c r="AA77" s="407"/>
      <c r="AB77" s="407"/>
      <c r="AC77" s="407"/>
      <c r="AD77" s="407"/>
      <c r="AE77" s="407"/>
      <c r="AF77" s="407"/>
      <c r="AG77" s="407"/>
      <c r="AH77" s="407"/>
      <c r="AI77" s="407"/>
      <c r="AJ77" s="407"/>
      <c r="AK77" s="996"/>
      <c r="AL77" s="997"/>
      <c r="AM77" s="997"/>
      <c r="AN77" s="997"/>
      <c r="AO77" s="997"/>
      <c r="AP77" s="997"/>
      <c r="AQ77" s="997"/>
      <c r="AR77" s="997"/>
      <c r="AS77" s="998"/>
    </row>
    <row r="78" spans="1:45" ht="15" customHeight="1" thickBot="1">
      <c r="A78" s="407"/>
      <c r="B78" s="407"/>
      <c r="C78" s="407"/>
      <c r="D78" s="407"/>
      <c r="E78" s="407"/>
      <c r="F78" s="407"/>
      <c r="G78" s="407"/>
      <c r="H78" s="407"/>
      <c r="I78" s="407"/>
      <c r="J78" s="407"/>
      <c r="K78" s="407"/>
      <c r="L78" s="407"/>
      <c r="M78" s="407"/>
      <c r="N78" s="407"/>
      <c r="O78" s="407"/>
      <c r="P78" s="407"/>
      <c r="Q78" s="407"/>
      <c r="R78" s="407"/>
      <c r="S78" s="407"/>
      <c r="T78" s="407"/>
      <c r="U78" s="407"/>
      <c r="V78" s="407"/>
      <c r="W78" s="407"/>
      <c r="X78" s="407"/>
      <c r="Y78" s="407"/>
      <c r="Z78" s="407"/>
      <c r="AA78" s="407"/>
      <c r="AB78" s="407"/>
      <c r="AC78" s="407"/>
      <c r="AD78" s="407"/>
      <c r="AE78" s="407"/>
      <c r="AF78" s="407"/>
      <c r="AG78" s="407"/>
      <c r="AH78" s="407"/>
      <c r="AI78" s="407"/>
      <c r="AJ78" s="407"/>
      <c r="AK78" s="996"/>
      <c r="AL78" s="997"/>
      <c r="AM78" s="997"/>
      <c r="AN78" s="997"/>
      <c r="AO78" s="997"/>
      <c r="AP78" s="997"/>
      <c r="AQ78" s="997"/>
      <c r="AR78" s="997"/>
      <c r="AS78" s="998"/>
    </row>
    <row r="79" spans="1:45" ht="15" customHeight="1" thickBot="1">
      <c r="A79" s="407"/>
      <c r="B79" s="407"/>
      <c r="C79" s="407"/>
      <c r="D79" s="407"/>
      <c r="E79" s="407"/>
      <c r="F79" s="407"/>
      <c r="G79" s="407"/>
      <c r="H79" s="407"/>
      <c r="I79" s="407"/>
      <c r="J79" s="407"/>
      <c r="K79" s="407"/>
      <c r="L79" s="407"/>
      <c r="M79" s="407"/>
      <c r="N79" s="407"/>
      <c r="O79" s="407"/>
      <c r="P79" s="407"/>
      <c r="Q79" s="407"/>
      <c r="R79" s="407"/>
      <c r="S79" s="407"/>
      <c r="T79" s="407"/>
      <c r="U79" s="407"/>
      <c r="V79" s="407"/>
      <c r="W79" s="407"/>
      <c r="X79" s="407"/>
      <c r="Y79" s="407"/>
      <c r="Z79" s="407"/>
      <c r="AA79" s="407"/>
      <c r="AB79" s="407"/>
      <c r="AC79" s="407"/>
      <c r="AD79" s="407"/>
      <c r="AE79" s="407"/>
      <c r="AF79" s="407"/>
      <c r="AG79" s="407"/>
      <c r="AH79" s="407"/>
      <c r="AI79" s="407"/>
      <c r="AJ79" s="407"/>
      <c r="AK79" s="996"/>
      <c r="AL79" s="997"/>
      <c r="AM79" s="997"/>
      <c r="AN79" s="997"/>
      <c r="AO79" s="997"/>
      <c r="AP79" s="997"/>
      <c r="AQ79" s="997"/>
      <c r="AR79" s="997"/>
      <c r="AS79" s="998"/>
    </row>
    <row r="80" spans="1:45" ht="15" customHeight="1" thickBot="1">
      <c r="A80" s="407"/>
      <c r="B80" s="407"/>
      <c r="C80" s="407"/>
      <c r="D80" s="407"/>
      <c r="E80" s="407"/>
      <c r="F80" s="407"/>
      <c r="G80" s="407"/>
      <c r="H80" s="407"/>
      <c r="I80" s="407"/>
      <c r="J80" s="407"/>
      <c r="K80" s="407"/>
      <c r="L80" s="407"/>
      <c r="M80" s="407"/>
      <c r="N80" s="407"/>
      <c r="O80" s="407"/>
      <c r="P80" s="407"/>
      <c r="Q80" s="407"/>
      <c r="R80" s="407"/>
      <c r="S80" s="407"/>
      <c r="T80" s="407"/>
      <c r="U80" s="407"/>
      <c r="V80" s="407"/>
      <c r="W80" s="407"/>
      <c r="X80" s="407"/>
      <c r="Y80" s="407"/>
      <c r="Z80" s="407"/>
      <c r="AA80" s="407"/>
      <c r="AB80" s="407"/>
      <c r="AC80" s="407"/>
      <c r="AD80" s="407"/>
      <c r="AE80" s="407"/>
      <c r="AF80" s="407"/>
      <c r="AG80" s="407"/>
      <c r="AH80" s="407"/>
      <c r="AI80" s="407"/>
      <c r="AJ80" s="407"/>
      <c r="AK80" s="996"/>
      <c r="AL80" s="997"/>
      <c r="AM80" s="997"/>
      <c r="AN80" s="997"/>
      <c r="AO80" s="997"/>
      <c r="AP80" s="997"/>
      <c r="AQ80" s="997"/>
      <c r="AR80" s="997"/>
      <c r="AS80" s="998"/>
    </row>
    <row r="81" spans="1:45" ht="15" customHeight="1" thickBot="1">
      <c r="A81" s="407"/>
      <c r="B81" s="407"/>
      <c r="C81" s="407"/>
      <c r="D81" s="407"/>
      <c r="E81" s="407"/>
      <c r="F81" s="407"/>
      <c r="G81" s="407"/>
      <c r="H81" s="407"/>
      <c r="I81" s="407"/>
      <c r="J81" s="407"/>
      <c r="K81" s="407"/>
      <c r="L81" s="407"/>
      <c r="M81" s="407"/>
      <c r="N81" s="407"/>
      <c r="O81" s="407"/>
      <c r="P81" s="407"/>
      <c r="Q81" s="407"/>
      <c r="R81" s="407"/>
      <c r="S81" s="407"/>
      <c r="T81" s="407"/>
      <c r="U81" s="407"/>
      <c r="V81" s="407"/>
      <c r="W81" s="407"/>
      <c r="X81" s="407"/>
      <c r="Y81" s="407"/>
      <c r="Z81" s="407"/>
      <c r="AA81" s="407"/>
      <c r="AB81" s="407"/>
      <c r="AC81" s="407"/>
      <c r="AD81" s="407"/>
      <c r="AE81" s="407"/>
      <c r="AF81" s="407"/>
      <c r="AG81" s="407"/>
      <c r="AH81" s="407"/>
      <c r="AI81" s="407"/>
      <c r="AJ81" s="407"/>
      <c r="AK81" s="996"/>
      <c r="AL81" s="997"/>
      <c r="AM81" s="997"/>
      <c r="AN81" s="997"/>
      <c r="AO81" s="997"/>
      <c r="AP81" s="997"/>
      <c r="AQ81" s="997"/>
      <c r="AR81" s="997"/>
      <c r="AS81" s="998"/>
    </row>
    <row r="82" spans="1:45" ht="15" customHeight="1" thickBot="1">
      <c r="A82" s="407"/>
      <c r="B82" s="407"/>
      <c r="C82" s="407"/>
      <c r="D82" s="407"/>
      <c r="E82" s="407"/>
      <c r="F82" s="407"/>
      <c r="G82" s="407"/>
      <c r="H82" s="407"/>
      <c r="I82" s="407"/>
      <c r="J82" s="407"/>
      <c r="K82" s="407"/>
      <c r="L82" s="407"/>
      <c r="M82" s="407"/>
      <c r="N82" s="407"/>
      <c r="O82" s="407"/>
      <c r="P82" s="407"/>
      <c r="Q82" s="407"/>
      <c r="R82" s="407"/>
      <c r="S82" s="407"/>
      <c r="T82" s="407"/>
      <c r="U82" s="407"/>
      <c r="V82" s="407"/>
      <c r="W82" s="407"/>
      <c r="X82" s="407"/>
      <c r="Y82" s="407"/>
      <c r="Z82" s="407"/>
      <c r="AA82" s="407"/>
      <c r="AB82" s="407"/>
      <c r="AC82" s="407"/>
      <c r="AD82" s="407"/>
      <c r="AE82" s="407"/>
      <c r="AF82" s="407"/>
      <c r="AG82" s="407"/>
      <c r="AH82" s="407"/>
      <c r="AI82" s="407"/>
      <c r="AJ82" s="407"/>
      <c r="AK82" s="996"/>
      <c r="AL82" s="997"/>
      <c r="AM82" s="997"/>
      <c r="AN82" s="997"/>
      <c r="AO82" s="997"/>
      <c r="AP82" s="997"/>
      <c r="AQ82" s="997"/>
      <c r="AR82" s="997"/>
      <c r="AS82" s="998"/>
    </row>
    <row r="83" spans="1:45" ht="15" customHeight="1" thickBot="1">
      <c r="A83" s="407"/>
      <c r="B83" s="407"/>
      <c r="C83" s="407"/>
      <c r="D83" s="407"/>
      <c r="E83" s="407"/>
      <c r="F83" s="407"/>
      <c r="G83" s="407"/>
      <c r="H83" s="407"/>
      <c r="I83" s="407"/>
      <c r="J83" s="407"/>
      <c r="K83" s="407"/>
      <c r="L83" s="407"/>
      <c r="M83" s="407"/>
      <c r="N83" s="407"/>
      <c r="O83" s="407"/>
      <c r="P83" s="407"/>
      <c r="Q83" s="407"/>
      <c r="R83" s="407"/>
      <c r="S83" s="407"/>
      <c r="T83" s="407"/>
      <c r="U83" s="407"/>
      <c r="V83" s="407"/>
      <c r="W83" s="407"/>
      <c r="X83" s="407"/>
      <c r="Y83" s="407"/>
      <c r="Z83" s="407"/>
      <c r="AA83" s="407"/>
      <c r="AB83" s="407"/>
      <c r="AC83" s="407"/>
      <c r="AD83" s="407"/>
      <c r="AE83" s="407"/>
      <c r="AF83" s="407"/>
      <c r="AG83" s="407"/>
      <c r="AH83" s="407"/>
      <c r="AI83" s="407"/>
      <c r="AJ83" s="407"/>
      <c r="AK83" s="996"/>
      <c r="AL83" s="997"/>
      <c r="AM83" s="997"/>
      <c r="AN83" s="997"/>
      <c r="AO83" s="997"/>
      <c r="AP83" s="997"/>
      <c r="AQ83" s="997"/>
      <c r="AR83" s="997"/>
      <c r="AS83" s="998"/>
    </row>
    <row r="84" spans="1:45" ht="15" customHeight="1" thickBot="1">
      <c r="A84" s="407"/>
      <c r="B84" s="407"/>
      <c r="C84" s="407"/>
      <c r="D84" s="407"/>
      <c r="E84" s="407"/>
      <c r="F84" s="407"/>
      <c r="G84" s="407"/>
      <c r="H84" s="407"/>
      <c r="I84" s="407"/>
      <c r="J84" s="407"/>
      <c r="K84" s="407"/>
      <c r="L84" s="407"/>
      <c r="M84" s="407"/>
      <c r="N84" s="407"/>
      <c r="O84" s="407"/>
      <c r="P84" s="407"/>
      <c r="Q84" s="407"/>
      <c r="R84" s="407"/>
      <c r="S84" s="407"/>
      <c r="T84" s="407"/>
      <c r="U84" s="407"/>
      <c r="V84" s="407"/>
      <c r="W84" s="407"/>
      <c r="X84" s="407"/>
      <c r="Y84" s="407"/>
      <c r="Z84" s="407"/>
      <c r="AA84" s="407"/>
      <c r="AB84" s="407"/>
      <c r="AC84" s="407"/>
      <c r="AD84" s="407"/>
      <c r="AE84" s="407"/>
      <c r="AF84" s="407"/>
      <c r="AG84" s="407"/>
      <c r="AH84" s="407"/>
      <c r="AI84" s="407"/>
      <c r="AJ84" s="407"/>
      <c r="AK84" s="996"/>
      <c r="AL84" s="997"/>
      <c r="AM84" s="997"/>
      <c r="AN84" s="997"/>
      <c r="AO84" s="997"/>
      <c r="AP84" s="997"/>
      <c r="AQ84" s="997"/>
      <c r="AR84" s="997"/>
      <c r="AS84" s="998"/>
    </row>
    <row r="85" spans="1:45" ht="15" customHeight="1" thickBot="1">
      <c r="A85" s="407"/>
      <c r="B85" s="407"/>
      <c r="C85" s="407"/>
      <c r="D85" s="407"/>
      <c r="E85" s="407"/>
      <c r="F85" s="407"/>
      <c r="G85" s="407"/>
      <c r="H85" s="407"/>
      <c r="I85" s="407"/>
      <c r="J85" s="407"/>
      <c r="K85" s="407"/>
      <c r="L85" s="407"/>
      <c r="M85" s="407"/>
      <c r="N85" s="407"/>
      <c r="O85" s="407"/>
      <c r="P85" s="407"/>
      <c r="Q85" s="407"/>
      <c r="R85" s="407"/>
      <c r="S85" s="407"/>
      <c r="T85" s="407"/>
      <c r="U85" s="407"/>
      <c r="V85" s="407"/>
      <c r="W85" s="407"/>
      <c r="X85" s="407"/>
      <c r="Y85" s="407"/>
      <c r="Z85" s="407"/>
      <c r="AA85" s="407"/>
      <c r="AB85" s="407"/>
      <c r="AC85" s="407"/>
      <c r="AD85" s="407"/>
      <c r="AE85" s="407"/>
      <c r="AF85" s="407"/>
      <c r="AG85" s="407"/>
      <c r="AH85" s="407"/>
      <c r="AI85" s="407"/>
      <c r="AJ85" s="407"/>
      <c r="AK85" s="996"/>
      <c r="AL85" s="997"/>
      <c r="AM85" s="997"/>
      <c r="AN85" s="997"/>
      <c r="AO85" s="997"/>
      <c r="AP85" s="997"/>
      <c r="AQ85" s="997"/>
      <c r="AR85" s="997"/>
      <c r="AS85" s="998"/>
    </row>
    <row r="86" spans="1:45" ht="15" customHeight="1" thickBot="1">
      <c r="A86" s="407"/>
      <c r="B86" s="407"/>
      <c r="C86" s="407"/>
      <c r="D86" s="407"/>
      <c r="E86" s="407"/>
      <c r="F86" s="407"/>
      <c r="G86" s="407"/>
      <c r="H86" s="407"/>
      <c r="I86" s="407"/>
      <c r="J86" s="407"/>
      <c r="K86" s="407"/>
      <c r="L86" s="407"/>
      <c r="M86" s="407"/>
      <c r="N86" s="407"/>
      <c r="O86" s="407"/>
      <c r="P86" s="407"/>
      <c r="Q86" s="407"/>
      <c r="R86" s="407"/>
      <c r="S86" s="407"/>
      <c r="T86" s="407"/>
      <c r="U86" s="407"/>
      <c r="V86" s="407"/>
      <c r="W86" s="407"/>
      <c r="X86" s="407"/>
      <c r="Y86" s="407"/>
      <c r="Z86" s="407"/>
      <c r="AA86" s="407"/>
      <c r="AB86" s="407"/>
      <c r="AC86" s="407"/>
      <c r="AD86" s="407"/>
      <c r="AE86" s="407"/>
      <c r="AF86" s="407"/>
      <c r="AG86" s="407"/>
      <c r="AH86" s="407"/>
      <c r="AI86" s="407"/>
      <c r="AJ86" s="407"/>
      <c r="AK86" s="996"/>
      <c r="AL86" s="997"/>
      <c r="AM86" s="997"/>
      <c r="AN86" s="997"/>
      <c r="AO86" s="997"/>
      <c r="AP86" s="997"/>
      <c r="AQ86" s="997"/>
      <c r="AR86" s="997"/>
      <c r="AS86" s="998"/>
    </row>
    <row r="87" spans="1:45" ht="15" customHeight="1" thickBot="1">
      <c r="A87" s="407"/>
      <c r="B87" s="407"/>
      <c r="C87" s="407"/>
      <c r="D87" s="407"/>
      <c r="E87" s="407"/>
      <c r="F87" s="407"/>
      <c r="G87" s="407"/>
      <c r="H87" s="407"/>
      <c r="I87" s="407"/>
      <c r="J87" s="407"/>
      <c r="K87" s="407"/>
      <c r="L87" s="407"/>
      <c r="M87" s="407"/>
      <c r="N87" s="407"/>
      <c r="O87" s="407"/>
      <c r="P87" s="407"/>
      <c r="Q87" s="407"/>
      <c r="R87" s="407"/>
      <c r="S87" s="407"/>
      <c r="T87" s="407"/>
      <c r="U87" s="407"/>
      <c r="V87" s="407"/>
      <c r="W87" s="407"/>
      <c r="X87" s="407"/>
      <c r="Y87" s="407"/>
      <c r="Z87" s="407"/>
      <c r="AA87" s="407"/>
      <c r="AB87" s="407"/>
      <c r="AC87" s="407"/>
      <c r="AD87" s="407"/>
      <c r="AE87" s="407"/>
      <c r="AF87" s="407"/>
      <c r="AG87" s="407"/>
      <c r="AH87" s="407"/>
      <c r="AI87" s="407"/>
      <c r="AJ87" s="407"/>
      <c r="AK87" s="996"/>
      <c r="AL87" s="997"/>
      <c r="AM87" s="997"/>
      <c r="AN87" s="997"/>
      <c r="AO87" s="997"/>
      <c r="AP87" s="997"/>
      <c r="AQ87" s="997"/>
      <c r="AR87" s="997"/>
      <c r="AS87" s="998"/>
    </row>
    <row r="88" spans="1:45" ht="15" customHeight="1" thickBot="1">
      <c r="A88" s="407"/>
      <c r="B88" s="407"/>
      <c r="C88" s="407"/>
      <c r="D88" s="407"/>
      <c r="E88" s="407"/>
      <c r="F88" s="407"/>
      <c r="G88" s="407"/>
      <c r="H88" s="407"/>
      <c r="I88" s="407"/>
      <c r="J88" s="407"/>
      <c r="K88" s="407"/>
      <c r="L88" s="407"/>
      <c r="M88" s="407"/>
      <c r="N88" s="407"/>
      <c r="O88" s="407"/>
      <c r="P88" s="407"/>
      <c r="Q88" s="407"/>
      <c r="R88" s="407"/>
      <c r="S88" s="407"/>
      <c r="T88" s="407"/>
      <c r="U88" s="407"/>
      <c r="V88" s="407"/>
      <c r="W88" s="407"/>
      <c r="X88" s="407"/>
      <c r="Y88" s="407"/>
      <c r="Z88" s="407"/>
      <c r="AA88" s="407"/>
      <c r="AB88" s="407"/>
      <c r="AC88" s="407"/>
      <c r="AD88" s="407"/>
      <c r="AE88" s="407"/>
      <c r="AF88" s="407"/>
      <c r="AG88" s="407"/>
      <c r="AH88" s="407"/>
      <c r="AI88" s="407"/>
      <c r="AJ88" s="407"/>
      <c r="AK88" s="996"/>
      <c r="AL88" s="997"/>
      <c r="AM88" s="997"/>
      <c r="AN88" s="997"/>
      <c r="AO88" s="997"/>
      <c r="AP88" s="997"/>
      <c r="AQ88" s="997"/>
      <c r="AR88" s="997"/>
      <c r="AS88" s="998"/>
    </row>
    <row r="89" spans="1:45" ht="15" customHeight="1" thickBot="1">
      <c r="A89" s="407"/>
      <c r="B89" s="407"/>
      <c r="C89" s="407"/>
      <c r="D89" s="407"/>
      <c r="E89" s="407"/>
      <c r="F89" s="407"/>
      <c r="G89" s="407"/>
      <c r="H89" s="407"/>
      <c r="I89" s="407"/>
      <c r="J89" s="407"/>
      <c r="K89" s="407"/>
      <c r="L89" s="407"/>
      <c r="M89" s="407"/>
      <c r="N89" s="407"/>
      <c r="O89" s="407"/>
      <c r="P89" s="407"/>
      <c r="Q89" s="407"/>
      <c r="R89" s="407"/>
      <c r="S89" s="407"/>
      <c r="T89" s="407"/>
      <c r="U89" s="407"/>
      <c r="V89" s="407"/>
      <c r="W89" s="407"/>
      <c r="X89" s="407"/>
      <c r="Y89" s="407"/>
      <c r="Z89" s="407"/>
      <c r="AA89" s="407"/>
      <c r="AB89" s="407"/>
      <c r="AC89" s="407"/>
      <c r="AD89" s="407"/>
      <c r="AE89" s="407"/>
      <c r="AF89" s="407"/>
      <c r="AG89" s="407"/>
      <c r="AH89" s="407"/>
      <c r="AI89" s="407"/>
      <c r="AJ89" s="407"/>
      <c r="AK89" s="996"/>
      <c r="AL89" s="997"/>
      <c r="AM89" s="997"/>
      <c r="AN89" s="997"/>
      <c r="AO89" s="997"/>
      <c r="AP89" s="997"/>
      <c r="AQ89" s="997"/>
      <c r="AR89" s="997"/>
      <c r="AS89" s="998"/>
    </row>
    <row r="90" spans="1:45" ht="15" customHeight="1" thickBot="1">
      <c r="A90" s="407"/>
      <c r="B90" s="407"/>
      <c r="C90" s="407"/>
      <c r="D90" s="407"/>
      <c r="E90" s="407"/>
      <c r="F90" s="407"/>
      <c r="G90" s="407"/>
      <c r="H90" s="407"/>
      <c r="I90" s="407"/>
      <c r="J90" s="407"/>
      <c r="K90" s="407"/>
      <c r="L90" s="407"/>
      <c r="M90" s="407"/>
      <c r="N90" s="407"/>
      <c r="O90" s="407"/>
      <c r="P90" s="407"/>
      <c r="Q90" s="407"/>
      <c r="R90" s="407"/>
      <c r="S90" s="407"/>
      <c r="T90" s="407"/>
      <c r="U90" s="407"/>
      <c r="V90" s="407"/>
      <c r="W90" s="407"/>
      <c r="X90" s="407"/>
      <c r="Y90" s="407"/>
      <c r="Z90" s="407"/>
      <c r="AA90" s="407"/>
      <c r="AB90" s="407"/>
      <c r="AC90" s="407"/>
      <c r="AD90" s="407"/>
      <c r="AE90" s="407"/>
      <c r="AF90" s="407"/>
      <c r="AG90" s="407"/>
      <c r="AH90" s="407"/>
      <c r="AI90" s="407"/>
      <c r="AJ90" s="407"/>
      <c r="AK90" s="1024" t="s">
        <v>924</v>
      </c>
      <c r="AL90" s="1025"/>
      <c r="AM90" s="1025"/>
      <c r="AN90" s="1025"/>
      <c r="AO90" s="1025"/>
      <c r="AP90" s="1025"/>
      <c r="AQ90" s="1025"/>
      <c r="AR90" s="1025"/>
      <c r="AS90" s="1026"/>
    </row>
    <row r="91" spans="1:45" ht="15" customHeight="1" thickBot="1">
      <c r="A91" s="407"/>
      <c r="B91" s="407"/>
      <c r="C91" s="407"/>
      <c r="D91" s="407"/>
      <c r="E91" s="407"/>
      <c r="F91" s="407"/>
      <c r="G91" s="407"/>
      <c r="H91" s="407"/>
      <c r="I91" s="407"/>
      <c r="J91" s="407"/>
      <c r="K91" s="407"/>
      <c r="L91" s="407"/>
      <c r="M91" s="407"/>
      <c r="N91" s="407"/>
      <c r="O91" s="407"/>
      <c r="P91" s="407"/>
      <c r="Q91" s="407"/>
      <c r="R91" s="407"/>
      <c r="S91" s="407"/>
      <c r="T91" s="407"/>
      <c r="U91" s="407"/>
      <c r="V91" s="407"/>
      <c r="W91" s="407"/>
      <c r="X91" s="407"/>
      <c r="Y91" s="407"/>
      <c r="Z91" s="407"/>
      <c r="AA91" s="407"/>
      <c r="AB91" s="407"/>
      <c r="AC91" s="407"/>
      <c r="AD91" s="407"/>
      <c r="AE91" s="407"/>
      <c r="AF91" s="407"/>
      <c r="AG91" s="407"/>
      <c r="AH91" s="407"/>
      <c r="AI91" s="407"/>
      <c r="AJ91" s="407"/>
      <c r="AK91" s="1024"/>
      <c r="AL91" s="1025"/>
      <c r="AM91" s="1025"/>
      <c r="AN91" s="1025"/>
      <c r="AO91" s="1025"/>
      <c r="AP91" s="1025"/>
      <c r="AQ91" s="1025"/>
      <c r="AR91" s="1025"/>
      <c r="AS91" s="1026"/>
    </row>
    <row r="92" spans="1:45" ht="15" customHeight="1" thickBot="1">
      <c r="A92" s="407"/>
      <c r="B92" s="407"/>
      <c r="C92" s="407"/>
      <c r="D92" s="407"/>
      <c r="E92" s="407"/>
      <c r="F92" s="407"/>
      <c r="G92" s="407"/>
      <c r="H92" s="407"/>
      <c r="I92" s="407"/>
      <c r="J92" s="407"/>
      <c r="K92" s="407"/>
      <c r="L92" s="407"/>
      <c r="M92" s="407"/>
      <c r="N92" s="407"/>
      <c r="O92" s="407"/>
      <c r="P92" s="407"/>
      <c r="Q92" s="407"/>
      <c r="R92" s="407"/>
      <c r="S92" s="407"/>
      <c r="T92" s="407"/>
      <c r="U92" s="407"/>
      <c r="V92" s="407"/>
      <c r="W92" s="407"/>
      <c r="X92" s="407"/>
      <c r="Y92" s="407"/>
      <c r="Z92" s="407"/>
      <c r="AA92" s="407"/>
      <c r="AB92" s="407"/>
      <c r="AC92" s="407"/>
      <c r="AD92" s="407"/>
      <c r="AE92" s="407"/>
      <c r="AF92" s="407"/>
      <c r="AG92" s="407"/>
      <c r="AH92" s="407"/>
      <c r="AI92" s="407"/>
      <c r="AJ92" s="407"/>
      <c r="AK92" s="996" t="s">
        <v>923</v>
      </c>
      <c r="AL92" s="997"/>
      <c r="AM92" s="997"/>
      <c r="AN92" s="997"/>
      <c r="AO92" s="997"/>
      <c r="AP92" s="997"/>
      <c r="AQ92" s="997"/>
      <c r="AR92" s="997"/>
      <c r="AS92" s="998"/>
    </row>
    <row r="93" spans="1:45" ht="15" customHeight="1" thickBot="1">
      <c r="A93" s="407"/>
      <c r="B93" s="407"/>
      <c r="C93" s="407"/>
      <c r="D93" s="407"/>
      <c r="E93" s="407"/>
      <c r="F93" s="407"/>
      <c r="G93" s="407"/>
      <c r="H93" s="407"/>
      <c r="I93" s="407"/>
      <c r="J93" s="407"/>
      <c r="K93" s="407"/>
      <c r="L93" s="407"/>
      <c r="M93" s="407"/>
      <c r="N93" s="407"/>
      <c r="O93" s="407"/>
      <c r="P93" s="407"/>
      <c r="Q93" s="407"/>
      <c r="R93" s="407"/>
      <c r="S93" s="407"/>
      <c r="T93" s="407"/>
      <c r="U93" s="407"/>
      <c r="V93" s="407"/>
      <c r="W93" s="407"/>
      <c r="X93" s="407"/>
      <c r="Y93" s="407"/>
      <c r="Z93" s="407"/>
      <c r="AA93" s="407"/>
      <c r="AB93" s="407"/>
      <c r="AC93" s="407"/>
      <c r="AD93" s="407"/>
      <c r="AE93" s="407"/>
      <c r="AF93" s="407"/>
      <c r="AG93" s="407"/>
      <c r="AH93" s="407"/>
      <c r="AI93" s="407"/>
      <c r="AJ93" s="407"/>
      <c r="AK93" s="996"/>
      <c r="AL93" s="997"/>
      <c r="AM93" s="997"/>
      <c r="AN93" s="997"/>
      <c r="AO93" s="997"/>
      <c r="AP93" s="997"/>
      <c r="AQ93" s="997"/>
      <c r="AR93" s="997"/>
      <c r="AS93" s="998"/>
    </row>
    <row r="94" spans="1:45" ht="15" customHeight="1" thickBot="1">
      <c r="A94" s="407"/>
      <c r="B94" s="407"/>
      <c r="C94" s="407"/>
      <c r="D94" s="407"/>
      <c r="E94" s="407"/>
      <c r="F94" s="407"/>
      <c r="G94" s="407"/>
      <c r="H94" s="407"/>
      <c r="I94" s="407"/>
      <c r="J94" s="407"/>
      <c r="K94" s="407"/>
      <c r="L94" s="407"/>
      <c r="M94" s="407"/>
      <c r="N94" s="407"/>
      <c r="O94" s="407"/>
      <c r="P94" s="407"/>
      <c r="Q94" s="407"/>
      <c r="R94" s="407"/>
      <c r="S94" s="407"/>
      <c r="T94" s="407"/>
      <c r="U94" s="407"/>
      <c r="V94" s="407"/>
      <c r="W94" s="407"/>
      <c r="X94" s="407"/>
      <c r="Y94" s="407"/>
      <c r="Z94" s="407"/>
      <c r="AA94" s="407"/>
      <c r="AB94" s="407"/>
      <c r="AC94" s="407"/>
      <c r="AD94" s="407"/>
      <c r="AE94" s="407"/>
      <c r="AF94" s="407"/>
      <c r="AG94" s="407"/>
      <c r="AH94" s="407"/>
      <c r="AI94" s="407"/>
      <c r="AJ94" s="407"/>
      <c r="AK94" s="996"/>
      <c r="AL94" s="997"/>
      <c r="AM94" s="997"/>
      <c r="AN94" s="997"/>
      <c r="AO94" s="997"/>
      <c r="AP94" s="997"/>
      <c r="AQ94" s="997"/>
      <c r="AR94" s="997"/>
      <c r="AS94" s="998"/>
    </row>
    <row r="95" spans="1:45" ht="15" customHeight="1" thickBot="1">
      <c r="A95" s="407"/>
      <c r="B95" s="407"/>
      <c r="C95" s="407"/>
      <c r="D95" s="407"/>
      <c r="E95" s="407"/>
      <c r="F95" s="407"/>
      <c r="G95" s="407"/>
      <c r="H95" s="407"/>
      <c r="I95" s="407"/>
      <c r="J95" s="407"/>
      <c r="K95" s="407"/>
      <c r="L95" s="407"/>
      <c r="M95" s="407"/>
      <c r="N95" s="407"/>
      <c r="O95" s="407"/>
      <c r="P95" s="407"/>
      <c r="Q95" s="407"/>
      <c r="R95" s="407"/>
      <c r="S95" s="407"/>
      <c r="T95" s="407"/>
      <c r="U95" s="407"/>
      <c r="V95" s="407"/>
      <c r="W95" s="407"/>
      <c r="X95" s="407"/>
      <c r="Y95" s="407"/>
      <c r="Z95" s="407"/>
      <c r="AA95" s="407"/>
      <c r="AB95" s="407"/>
      <c r="AC95" s="407"/>
      <c r="AD95" s="407"/>
      <c r="AE95" s="407"/>
      <c r="AF95" s="407"/>
      <c r="AG95" s="407"/>
      <c r="AH95" s="407"/>
      <c r="AI95" s="407"/>
      <c r="AJ95" s="407"/>
      <c r="AK95" s="996"/>
      <c r="AL95" s="997"/>
      <c r="AM95" s="997"/>
      <c r="AN95" s="997"/>
      <c r="AO95" s="997"/>
      <c r="AP95" s="997"/>
      <c r="AQ95" s="997"/>
      <c r="AR95" s="997"/>
      <c r="AS95" s="998"/>
    </row>
    <row r="96" spans="1:45" ht="15" customHeight="1" thickBot="1">
      <c r="A96" s="407"/>
      <c r="B96" s="407"/>
      <c r="C96" s="407"/>
      <c r="D96" s="407"/>
      <c r="E96" s="407"/>
      <c r="F96" s="407"/>
      <c r="G96" s="407"/>
      <c r="H96" s="407"/>
      <c r="I96" s="407"/>
      <c r="J96" s="407"/>
      <c r="K96" s="407"/>
      <c r="L96" s="407"/>
      <c r="M96" s="407"/>
      <c r="N96" s="407"/>
      <c r="O96" s="407"/>
      <c r="P96" s="407"/>
      <c r="Q96" s="407"/>
      <c r="R96" s="407"/>
      <c r="S96" s="407"/>
      <c r="T96" s="407"/>
      <c r="U96" s="407"/>
      <c r="V96" s="407"/>
      <c r="W96" s="407"/>
      <c r="X96" s="407"/>
      <c r="Y96" s="407"/>
      <c r="Z96" s="407"/>
      <c r="AA96" s="407"/>
      <c r="AB96" s="407"/>
      <c r="AC96" s="407"/>
      <c r="AD96" s="407"/>
      <c r="AE96" s="407"/>
      <c r="AF96" s="407"/>
      <c r="AG96" s="407"/>
      <c r="AH96" s="407"/>
      <c r="AI96" s="407"/>
      <c r="AJ96" s="407"/>
      <c r="AK96" s="996"/>
      <c r="AL96" s="997"/>
      <c r="AM96" s="997"/>
      <c r="AN96" s="997"/>
      <c r="AO96" s="997"/>
      <c r="AP96" s="997"/>
      <c r="AQ96" s="997"/>
      <c r="AR96" s="997"/>
      <c r="AS96" s="998"/>
    </row>
    <row r="97" spans="1:45" ht="15" customHeight="1" thickBot="1">
      <c r="A97" s="407"/>
      <c r="B97" s="407"/>
      <c r="C97" s="407"/>
      <c r="D97" s="407"/>
      <c r="E97" s="407"/>
      <c r="F97" s="407"/>
      <c r="G97" s="407"/>
      <c r="H97" s="407"/>
      <c r="I97" s="407"/>
      <c r="J97" s="407"/>
      <c r="K97" s="407"/>
      <c r="L97" s="407"/>
      <c r="M97" s="407"/>
      <c r="N97" s="407"/>
      <c r="O97" s="407"/>
      <c r="P97" s="407"/>
      <c r="Q97" s="407"/>
      <c r="R97" s="407"/>
      <c r="S97" s="407"/>
      <c r="T97" s="407"/>
      <c r="U97" s="407"/>
      <c r="V97" s="407"/>
      <c r="W97" s="407"/>
      <c r="X97" s="407"/>
      <c r="Y97" s="407"/>
      <c r="Z97" s="407"/>
      <c r="AA97" s="407"/>
      <c r="AB97" s="407"/>
      <c r="AC97" s="407"/>
      <c r="AD97" s="407"/>
      <c r="AE97" s="407"/>
      <c r="AF97" s="407"/>
      <c r="AG97" s="407"/>
      <c r="AH97" s="407"/>
      <c r="AI97" s="407"/>
      <c r="AJ97" s="407"/>
      <c r="AK97" s="996"/>
      <c r="AL97" s="997"/>
      <c r="AM97" s="997"/>
      <c r="AN97" s="997"/>
      <c r="AO97" s="997"/>
      <c r="AP97" s="997"/>
      <c r="AQ97" s="997"/>
      <c r="AR97" s="997"/>
      <c r="AS97" s="998"/>
    </row>
    <row r="98" spans="1:45" ht="15" customHeight="1" thickBot="1">
      <c r="A98" s="407"/>
      <c r="B98" s="407"/>
      <c r="C98" s="407"/>
      <c r="D98" s="407"/>
      <c r="E98" s="407"/>
      <c r="F98" s="407"/>
      <c r="G98" s="407"/>
      <c r="H98" s="407"/>
      <c r="I98" s="407"/>
      <c r="J98" s="407"/>
      <c r="K98" s="407"/>
      <c r="L98" s="407"/>
      <c r="M98" s="407"/>
      <c r="N98" s="407"/>
      <c r="O98" s="407"/>
      <c r="P98" s="407"/>
      <c r="Q98" s="407"/>
      <c r="R98" s="407"/>
      <c r="S98" s="407"/>
      <c r="T98" s="407"/>
      <c r="U98" s="407"/>
      <c r="V98" s="407"/>
      <c r="W98" s="407"/>
      <c r="X98" s="407"/>
      <c r="Y98" s="407"/>
      <c r="Z98" s="407"/>
      <c r="AA98" s="407"/>
      <c r="AB98" s="407"/>
      <c r="AC98" s="407"/>
      <c r="AD98" s="407"/>
      <c r="AE98" s="407"/>
      <c r="AF98" s="407"/>
      <c r="AG98" s="407"/>
      <c r="AH98" s="407"/>
      <c r="AI98" s="407"/>
      <c r="AJ98" s="407"/>
      <c r="AK98" s="996"/>
      <c r="AL98" s="997"/>
      <c r="AM98" s="997"/>
      <c r="AN98" s="997"/>
      <c r="AO98" s="997"/>
      <c r="AP98" s="997"/>
      <c r="AQ98" s="997"/>
      <c r="AR98" s="997"/>
      <c r="AS98" s="998"/>
    </row>
    <row r="99" spans="1:45" ht="15" customHeight="1" thickBot="1">
      <c r="A99" s="407"/>
      <c r="B99" s="407"/>
      <c r="C99" s="407"/>
      <c r="D99" s="407"/>
      <c r="E99" s="407"/>
      <c r="F99" s="407"/>
      <c r="G99" s="407"/>
      <c r="H99" s="407"/>
      <c r="I99" s="407"/>
      <c r="J99" s="407"/>
      <c r="K99" s="407"/>
      <c r="L99" s="407"/>
      <c r="M99" s="407"/>
      <c r="N99" s="407"/>
      <c r="O99" s="407"/>
      <c r="P99" s="407"/>
      <c r="Q99" s="407"/>
      <c r="R99" s="407"/>
      <c r="S99" s="407"/>
      <c r="T99" s="407"/>
      <c r="U99" s="407"/>
      <c r="V99" s="407"/>
      <c r="W99" s="407"/>
      <c r="X99" s="407"/>
      <c r="Y99" s="407"/>
      <c r="Z99" s="407"/>
      <c r="AA99" s="407"/>
      <c r="AB99" s="407"/>
      <c r="AC99" s="407"/>
      <c r="AD99" s="407"/>
      <c r="AE99" s="407"/>
      <c r="AF99" s="407"/>
      <c r="AG99" s="407"/>
      <c r="AH99" s="407"/>
      <c r="AI99" s="407"/>
      <c r="AJ99" s="407"/>
      <c r="AK99" s="996"/>
      <c r="AL99" s="997"/>
      <c r="AM99" s="997"/>
      <c r="AN99" s="997"/>
      <c r="AO99" s="997"/>
      <c r="AP99" s="997"/>
      <c r="AQ99" s="997"/>
      <c r="AR99" s="997"/>
      <c r="AS99" s="998"/>
    </row>
    <row r="100" spans="1:45" ht="15" customHeight="1" thickBot="1">
      <c r="A100" s="407"/>
      <c r="B100" s="407"/>
      <c r="C100" s="407"/>
      <c r="D100" s="407"/>
      <c r="E100" s="407"/>
      <c r="F100" s="407"/>
      <c r="G100" s="407"/>
      <c r="H100" s="407"/>
      <c r="I100" s="407"/>
      <c r="J100" s="407"/>
      <c r="K100" s="407"/>
      <c r="L100" s="407"/>
      <c r="M100" s="407"/>
      <c r="N100" s="407"/>
      <c r="O100" s="407"/>
      <c r="P100" s="407"/>
      <c r="Q100" s="407"/>
      <c r="R100" s="407"/>
      <c r="S100" s="407"/>
      <c r="T100" s="407"/>
      <c r="U100" s="407"/>
      <c r="V100" s="407"/>
      <c r="W100" s="407"/>
      <c r="X100" s="407"/>
      <c r="Y100" s="407"/>
      <c r="Z100" s="407"/>
      <c r="AA100" s="407"/>
      <c r="AB100" s="407"/>
      <c r="AC100" s="407"/>
      <c r="AD100" s="407"/>
      <c r="AE100" s="407"/>
      <c r="AF100" s="407"/>
      <c r="AG100" s="407"/>
      <c r="AH100" s="407"/>
      <c r="AI100" s="407"/>
      <c r="AJ100" s="407"/>
      <c r="AK100" s="996"/>
      <c r="AL100" s="997"/>
      <c r="AM100" s="997"/>
      <c r="AN100" s="997"/>
      <c r="AO100" s="997"/>
      <c r="AP100" s="997"/>
      <c r="AQ100" s="997"/>
      <c r="AR100" s="997"/>
      <c r="AS100" s="998"/>
    </row>
    <row r="101" spans="1:45" ht="15" customHeight="1" thickBot="1">
      <c r="A101" s="407"/>
      <c r="B101" s="407"/>
      <c r="C101" s="407"/>
      <c r="D101" s="407"/>
      <c r="E101" s="407"/>
      <c r="F101" s="407"/>
      <c r="G101" s="407"/>
      <c r="H101" s="407"/>
      <c r="I101" s="407"/>
      <c r="J101" s="407"/>
      <c r="K101" s="407"/>
      <c r="L101" s="407"/>
      <c r="M101" s="407"/>
      <c r="N101" s="407"/>
      <c r="O101" s="407"/>
      <c r="P101" s="407"/>
      <c r="Q101" s="407"/>
      <c r="R101" s="407"/>
      <c r="S101" s="407"/>
      <c r="T101" s="407"/>
      <c r="U101" s="407"/>
      <c r="V101" s="407"/>
      <c r="W101" s="407"/>
      <c r="X101" s="407"/>
      <c r="Y101" s="407"/>
      <c r="Z101" s="407"/>
      <c r="AA101" s="407"/>
      <c r="AB101" s="407"/>
      <c r="AC101" s="407"/>
      <c r="AD101" s="407"/>
      <c r="AE101" s="407"/>
      <c r="AF101" s="407"/>
      <c r="AG101" s="407"/>
      <c r="AH101" s="407"/>
      <c r="AI101" s="407"/>
      <c r="AJ101" s="407"/>
      <c r="AK101" s="996"/>
      <c r="AL101" s="997"/>
      <c r="AM101" s="997"/>
      <c r="AN101" s="997"/>
      <c r="AO101" s="997"/>
      <c r="AP101" s="997"/>
      <c r="AQ101" s="997"/>
      <c r="AR101" s="997"/>
      <c r="AS101" s="998"/>
    </row>
    <row r="102" spans="1:45" ht="15" customHeight="1" thickBot="1">
      <c r="A102" s="407"/>
      <c r="B102" s="407"/>
      <c r="C102" s="407"/>
      <c r="D102" s="407"/>
      <c r="E102" s="407"/>
      <c r="F102" s="407"/>
      <c r="G102" s="407"/>
      <c r="H102" s="407"/>
      <c r="I102" s="407"/>
      <c r="J102" s="407"/>
      <c r="K102" s="407"/>
      <c r="L102" s="407"/>
      <c r="M102" s="407"/>
      <c r="N102" s="407"/>
      <c r="O102" s="407"/>
      <c r="P102" s="407"/>
      <c r="Q102" s="407"/>
      <c r="R102" s="407"/>
      <c r="S102" s="407"/>
      <c r="T102" s="407"/>
      <c r="U102" s="407"/>
      <c r="V102" s="407"/>
      <c r="W102" s="407"/>
      <c r="X102" s="407"/>
      <c r="Y102" s="407"/>
      <c r="Z102" s="407"/>
      <c r="AA102" s="407"/>
      <c r="AB102" s="407"/>
      <c r="AC102" s="407"/>
      <c r="AD102" s="407"/>
      <c r="AE102" s="407"/>
      <c r="AF102" s="407"/>
      <c r="AG102" s="407"/>
      <c r="AH102" s="407"/>
      <c r="AI102" s="407"/>
      <c r="AJ102" s="407"/>
      <c r="AK102" s="996"/>
      <c r="AL102" s="997"/>
      <c r="AM102" s="997"/>
      <c r="AN102" s="997"/>
      <c r="AO102" s="997"/>
      <c r="AP102" s="997"/>
      <c r="AQ102" s="997"/>
      <c r="AR102" s="997"/>
      <c r="AS102" s="998"/>
    </row>
    <row r="103" spans="1:45" ht="15" customHeight="1" thickBot="1">
      <c r="A103" s="407"/>
      <c r="B103" s="407"/>
      <c r="C103" s="407"/>
      <c r="D103" s="407"/>
      <c r="E103" s="407"/>
      <c r="F103" s="407"/>
      <c r="G103" s="407"/>
      <c r="H103" s="407"/>
      <c r="I103" s="407"/>
      <c r="J103" s="407"/>
      <c r="K103" s="407"/>
      <c r="L103" s="407"/>
      <c r="M103" s="407"/>
      <c r="N103" s="407"/>
      <c r="O103" s="407"/>
      <c r="P103" s="407"/>
      <c r="Q103" s="407"/>
      <c r="R103" s="407"/>
      <c r="S103" s="407"/>
      <c r="T103" s="407"/>
      <c r="U103" s="407"/>
      <c r="V103" s="407"/>
      <c r="W103" s="407"/>
      <c r="X103" s="407"/>
      <c r="Y103" s="407"/>
      <c r="Z103" s="407"/>
      <c r="AA103" s="407"/>
      <c r="AB103" s="407"/>
      <c r="AC103" s="407"/>
      <c r="AD103" s="407"/>
      <c r="AE103" s="407"/>
      <c r="AF103" s="407"/>
      <c r="AG103" s="407"/>
      <c r="AH103" s="407"/>
      <c r="AI103" s="407"/>
      <c r="AJ103" s="407"/>
      <c r="AK103" s="996"/>
      <c r="AL103" s="997"/>
      <c r="AM103" s="997"/>
      <c r="AN103" s="997"/>
      <c r="AO103" s="997"/>
      <c r="AP103" s="997"/>
      <c r="AQ103" s="997"/>
      <c r="AR103" s="997"/>
      <c r="AS103" s="998"/>
    </row>
    <row r="104" spans="1:45" ht="15" customHeight="1" thickBot="1">
      <c r="A104" s="407"/>
      <c r="B104" s="407"/>
      <c r="C104" s="407"/>
      <c r="D104" s="407"/>
      <c r="E104" s="407"/>
      <c r="F104" s="407"/>
      <c r="G104" s="407"/>
      <c r="H104" s="407"/>
      <c r="I104" s="407"/>
      <c r="J104" s="407"/>
      <c r="K104" s="407"/>
      <c r="L104" s="407"/>
      <c r="M104" s="407"/>
      <c r="N104" s="407"/>
      <c r="O104" s="407"/>
      <c r="P104" s="407"/>
      <c r="Q104" s="407"/>
      <c r="R104" s="407"/>
      <c r="S104" s="407"/>
      <c r="T104" s="407"/>
      <c r="U104" s="407"/>
      <c r="V104" s="407"/>
      <c r="W104" s="407"/>
      <c r="X104" s="407"/>
      <c r="Y104" s="407"/>
      <c r="Z104" s="407"/>
      <c r="AA104" s="407"/>
      <c r="AB104" s="407"/>
      <c r="AC104" s="407"/>
      <c r="AD104" s="407"/>
      <c r="AE104" s="407"/>
      <c r="AF104" s="407"/>
      <c r="AG104" s="407"/>
      <c r="AH104" s="407"/>
      <c r="AI104" s="407"/>
      <c r="AJ104" s="407"/>
      <c r="AK104" s="996"/>
      <c r="AL104" s="997"/>
      <c r="AM104" s="997"/>
      <c r="AN104" s="997"/>
      <c r="AO104" s="997"/>
      <c r="AP104" s="997"/>
      <c r="AQ104" s="997"/>
      <c r="AR104" s="997"/>
      <c r="AS104" s="998"/>
    </row>
    <row r="105" spans="1:45" ht="15" customHeight="1" thickBot="1">
      <c r="A105" s="407"/>
      <c r="B105" s="407"/>
      <c r="C105" s="407"/>
      <c r="D105" s="407"/>
      <c r="E105" s="407"/>
      <c r="F105" s="407"/>
      <c r="G105" s="407"/>
      <c r="H105" s="407"/>
      <c r="I105" s="407"/>
      <c r="J105" s="407"/>
      <c r="K105" s="407"/>
      <c r="L105" s="407"/>
      <c r="M105" s="407"/>
      <c r="N105" s="407"/>
      <c r="O105" s="407"/>
      <c r="P105" s="407"/>
      <c r="Q105" s="407"/>
      <c r="R105" s="407"/>
      <c r="S105" s="407"/>
      <c r="T105" s="407"/>
      <c r="U105" s="407"/>
      <c r="V105" s="407"/>
      <c r="W105" s="407"/>
      <c r="X105" s="407"/>
      <c r="Y105" s="407"/>
      <c r="Z105" s="407"/>
      <c r="AA105" s="407"/>
      <c r="AB105" s="407"/>
      <c r="AC105" s="407"/>
      <c r="AD105" s="407"/>
      <c r="AE105" s="407"/>
      <c r="AF105" s="407"/>
      <c r="AG105" s="407"/>
      <c r="AH105" s="407"/>
      <c r="AI105" s="407"/>
      <c r="AJ105" s="407"/>
      <c r="AK105" s="996"/>
      <c r="AL105" s="997"/>
      <c r="AM105" s="997"/>
      <c r="AN105" s="997"/>
      <c r="AO105" s="997"/>
      <c r="AP105" s="997"/>
      <c r="AQ105" s="997"/>
      <c r="AR105" s="997"/>
      <c r="AS105" s="998"/>
    </row>
    <row r="106" spans="1:45" ht="15" customHeight="1" thickBot="1">
      <c r="A106" s="407"/>
      <c r="B106" s="407"/>
      <c r="C106" s="407"/>
      <c r="D106" s="407"/>
      <c r="E106" s="407"/>
      <c r="F106" s="407"/>
      <c r="G106" s="407"/>
      <c r="H106" s="407"/>
      <c r="I106" s="407"/>
      <c r="J106" s="407"/>
      <c r="K106" s="407"/>
      <c r="L106" s="407"/>
      <c r="M106" s="407"/>
      <c r="N106" s="407"/>
      <c r="O106" s="407"/>
      <c r="P106" s="407"/>
      <c r="Q106" s="407"/>
      <c r="R106" s="407"/>
      <c r="S106" s="407"/>
      <c r="T106" s="407"/>
      <c r="U106" s="407"/>
      <c r="V106" s="407"/>
      <c r="W106" s="407"/>
      <c r="X106" s="407"/>
      <c r="Y106" s="407"/>
      <c r="Z106" s="407"/>
      <c r="AA106" s="407"/>
      <c r="AB106" s="407"/>
      <c r="AC106" s="407"/>
      <c r="AD106" s="407"/>
      <c r="AE106" s="407"/>
      <c r="AF106" s="407"/>
      <c r="AG106" s="407"/>
      <c r="AH106" s="407"/>
      <c r="AI106" s="407"/>
      <c r="AJ106" s="407"/>
      <c r="AK106" s="996"/>
      <c r="AL106" s="997"/>
      <c r="AM106" s="997"/>
      <c r="AN106" s="997"/>
      <c r="AO106" s="997"/>
      <c r="AP106" s="997"/>
      <c r="AQ106" s="997"/>
      <c r="AR106" s="997"/>
      <c r="AS106" s="998"/>
    </row>
    <row r="107" spans="1:45" ht="15" customHeight="1" thickBot="1">
      <c r="A107" s="407"/>
      <c r="B107" s="407"/>
      <c r="C107" s="407"/>
      <c r="D107" s="407"/>
      <c r="E107" s="407"/>
      <c r="F107" s="407"/>
      <c r="G107" s="407"/>
      <c r="H107" s="407"/>
      <c r="I107" s="407"/>
      <c r="J107" s="407"/>
      <c r="K107" s="407"/>
      <c r="L107" s="407"/>
      <c r="M107" s="407"/>
      <c r="N107" s="407"/>
      <c r="O107" s="407"/>
      <c r="P107" s="407"/>
      <c r="Q107" s="407"/>
      <c r="R107" s="407"/>
      <c r="S107" s="407"/>
      <c r="T107" s="407"/>
      <c r="U107" s="407"/>
      <c r="V107" s="407"/>
      <c r="W107" s="407"/>
      <c r="X107" s="407"/>
      <c r="Y107" s="407"/>
      <c r="Z107" s="407"/>
      <c r="AA107" s="407"/>
      <c r="AB107" s="407"/>
      <c r="AC107" s="407"/>
      <c r="AD107" s="407"/>
      <c r="AE107" s="407"/>
      <c r="AF107" s="407"/>
      <c r="AG107" s="407"/>
      <c r="AH107" s="407"/>
      <c r="AI107" s="407"/>
      <c r="AJ107" s="407"/>
      <c r="AK107" s="996"/>
      <c r="AL107" s="997"/>
      <c r="AM107" s="997"/>
      <c r="AN107" s="997"/>
      <c r="AO107" s="997"/>
      <c r="AP107" s="997"/>
      <c r="AQ107" s="997"/>
      <c r="AR107" s="997"/>
      <c r="AS107" s="998"/>
    </row>
    <row r="108" spans="1:45" ht="15" customHeight="1" thickBot="1">
      <c r="A108" s="407"/>
      <c r="B108" s="407"/>
      <c r="C108" s="407"/>
      <c r="D108" s="407"/>
      <c r="E108" s="407"/>
      <c r="F108" s="407"/>
      <c r="G108" s="407"/>
      <c r="H108" s="407"/>
      <c r="I108" s="407"/>
      <c r="J108" s="407"/>
      <c r="K108" s="407"/>
      <c r="L108" s="407"/>
      <c r="M108" s="407"/>
      <c r="N108" s="407"/>
      <c r="O108" s="407"/>
      <c r="P108" s="407"/>
      <c r="Q108" s="407"/>
      <c r="R108" s="407"/>
      <c r="S108" s="407"/>
      <c r="T108" s="407"/>
      <c r="U108" s="407"/>
      <c r="V108" s="407"/>
      <c r="W108" s="407"/>
      <c r="X108" s="407"/>
      <c r="Y108" s="407"/>
      <c r="Z108" s="407"/>
      <c r="AA108" s="407"/>
      <c r="AB108" s="407"/>
      <c r="AC108" s="407"/>
      <c r="AD108" s="407"/>
      <c r="AE108" s="407"/>
      <c r="AF108" s="407"/>
      <c r="AG108" s="407"/>
      <c r="AH108" s="407"/>
      <c r="AI108" s="407"/>
      <c r="AJ108" s="407"/>
      <c r="AK108" s="996"/>
      <c r="AL108" s="997"/>
      <c r="AM108" s="997"/>
      <c r="AN108" s="997"/>
      <c r="AO108" s="997"/>
      <c r="AP108" s="997"/>
      <c r="AQ108" s="997"/>
      <c r="AR108" s="997"/>
      <c r="AS108" s="998"/>
    </row>
    <row r="109" spans="1:45" ht="15" customHeight="1" thickBot="1">
      <c r="A109" s="407"/>
      <c r="B109" s="407"/>
      <c r="C109" s="407"/>
      <c r="D109" s="407"/>
      <c r="E109" s="407"/>
      <c r="F109" s="407"/>
      <c r="G109" s="407"/>
      <c r="H109" s="407"/>
      <c r="I109" s="407"/>
      <c r="J109" s="407"/>
      <c r="K109" s="407"/>
      <c r="L109" s="407"/>
      <c r="M109" s="407"/>
      <c r="N109" s="407"/>
      <c r="O109" s="407"/>
      <c r="P109" s="407"/>
      <c r="Q109" s="407"/>
      <c r="R109" s="407"/>
      <c r="S109" s="407"/>
      <c r="T109" s="407"/>
      <c r="U109" s="407"/>
      <c r="V109" s="407"/>
      <c r="W109" s="407"/>
      <c r="X109" s="407"/>
      <c r="Y109" s="407"/>
      <c r="Z109" s="407"/>
      <c r="AA109" s="407"/>
      <c r="AB109" s="407"/>
      <c r="AC109" s="407"/>
      <c r="AD109" s="407"/>
      <c r="AE109" s="407"/>
      <c r="AF109" s="407"/>
      <c r="AG109" s="407"/>
      <c r="AH109" s="407"/>
      <c r="AI109" s="407"/>
      <c r="AJ109" s="407"/>
      <c r="AK109" s="996"/>
      <c r="AL109" s="997"/>
      <c r="AM109" s="997"/>
      <c r="AN109" s="997"/>
      <c r="AO109" s="997"/>
      <c r="AP109" s="997"/>
      <c r="AQ109" s="997"/>
      <c r="AR109" s="997"/>
      <c r="AS109" s="998"/>
    </row>
    <row r="110" spans="1:45" ht="15" customHeight="1" thickBot="1">
      <c r="A110" s="407"/>
      <c r="B110" s="407"/>
      <c r="C110" s="407"/>
      <c r="D110" s="407"/>
      <c r="E110" s="407"/>
      <c r="F110" s="407"/>
      <c r="G110" s="407"/>
      <c r="H110" s="407"/>
      <c r="I110" s="407"/>
      <c r="J110" s="407"/>
      <c r="K110" s="407"/>
      <c r="L110" s="407"/>
      <c r="M110" s="407"/>
      <c r="N110" s="407"/>
      <c r="O110" s="407"/>
      <c r="P110" s="407"/>
      <c r="Q110" s="407"/>
      <c r="R110" s="407"/>
      <c r="S110" s="407"/>
      <c r="T110" s="407"/>
      <c r="U110" s="407"/>
      <c r="V110" s="407"/>
      <c r="W110" s="407"/>
      <c r="X110" s="407"/>
      <c r="Y110" s="407"/>
      <c r="Z110" s="407"/>
      <c r="AA110" s="407"/>
      <c r="AB110" s="407"/>
      <c r="AC110" s="407"/>
      <c r="AD110" s="407"/>
      <c r="AE110" s="407"/>
      <c r="AF110" s="407"/>
      <c r="AG110" s="407"/>
      <c r="AH110" s="407"/>
      <c r="AI110" s="407"/>
      <c r="AJ110" s="407"/>
      <c r="AK110" s="996"/>
      <c r="AL110" s="997"/>
      <c r="AM110" s="997"/>
      <c r="AN110" s="997"/>
      <c r="AO110" s="997"/>
      <c r="AP110" s="997"/>
      <c r="AQ110" s="997"/>
      <c r="AR110" s="997"/>
      <c r="AS110" s="998"/>
    </row>
    <row r="111" spans="1:45" ht="15" customHeight="1" thickBot="1">
      <c r="A111" s="407"/>
      <c r="B111" s="407"/>
      <c r="C111" s="407"/>
      <c r="D111" s="407"/>
      <c r="E111" s="407"/>
      <c r="F111" s="407"/>
      <c r="G111" s="407"/>
      <c r="H111" s="407"/>
      <c r="I111" s="407"/>
      <c r="J111" s="407"/>
      <c r="K111" s="407"/>
      <c r="L111" s="407"/>
      <c r="M111" s="407"/>
      <c r="N111" s="407"/>
      <c r="O111" s="407"/>
      <c r="P111" s="407"/>
      <c r="Q111" s="407"/>
      <c r="R111" s="407"/>
      <c r="S111" s="407"/>
      <c r="T111" s="407"/>
      <c r="U111" s="407"/>
      <c r="V111" s="407"/>
      <c r="W111" s="407"/>
      <c r="X111" s="407"/>
      <c r="Y111" s="407"/>
      <c r="Z111" s="407"/>
      <c r="AA111" s="407"/>
      <c r="AB111" s="407"/>
      <c r="AC111" s="407"/>
      <c r="AD111" s="407"/>
      <c r="AE111" s="407"/>
      <c r="AF111" s="407"/>
      <c r="AG111" s="407"/>
      <c r="AH111" s="407"/>
      <c r="AI111" s="407"/>
      <c r="AJ111" s="407"/>
      <c r="AK111" s="996"/>
      <c r="AL111" s="997"/>
      <c r="AM111" s="997"/>
      <c r="AN111" s="997"/>
      <c r="AO111" s="997"/>
      <c r="AP111" s="997"/>
      <c r="AQ111" s="997"/>
      <c r="AR111" s="997"/>
      <c r="AS111" s="998"/>
    </row>
    <row r="112" spans="1:45" ht="15" customHeight="1" thickBot="1">
      <c r="A112" s="407"/>
      <c r="B112" s="407"/>
      <c r="C112" s="407"/>
      <c r="D112" s="407"/>
      <c r="E112" s="407"/>
      <c r="F112" s="407"/>
      <c r="G112" s="407"/>
      <c r="H112" s="407"/>
      <c r="I112" s="407"/>
      <c r="J112" s="407"/>
      <c r="K112" s="407"/>
      <c r="L112" s="407"/>
      <c r="M112" s="407"/>
      <c r="N112" s="407"/>
      <c r="O112" s="407"/>
      <c r="P112" s="407"/>
      <c r="Q112" s="407"/>
      <c r="R112" s="407"/>
      <c r="S112" s="407"/>
      <c r="T112" s="407"/>
      <c r="U112" s="407"/>
      <c r="V112" s="407"/>
      <c r="W112" s="407"/>
      <c r="X112" s="407"/>
      <c r="Y112" s="407"/>
      <c r="Z112" s="407"/>
      <c r="AA112" s="407"/>
      <c r="AB112" s="407"/>
      <c r="AC112" s="407"/>
      <c r="AD112" s="407"/>
      <c r="AE112" s="407"/>
      <c r="AF112" s="407"/>
      <c r="AG112" s="407"/>
      <c r="AH112" s="407"/>
      <c r="AI112" s="407"/>
      <c r="AJ112" s="407"/>
      <c r="AK112" s="996"/>
      <c r="AL112" s="997"/>
      <c r="AM112" s="997"/>
      <c r="AN112" s="997"/>
      <c r="AO112" s="997"/>
      <c r="AP112" s="997"/>
      <c r="AQ112" s="997"/>
      <c r="AR112" s="997"/>
      <c r="AS112" s="998"/>
    </row>
    <row r="113" spans="1:45" ht="15" customHeight="1" thickBot="1">
      <c r="A113" s="407"/>
      <c r="B113" s="407"/>
      <c r="C113" s="407"/>
      <c r="D113" s="407"/>
      <c r="E113" s="407"/>
      <c r="F113" s="407"/>
      <c r="G113" s="407"/>
      <c r="H113" s="407"/>
      <c r="I113" s="407"/>
      <c r="J113" s="407"/>
      <c r="K113" s="407"/>
      <c r="L113" s="407"/>
      <c r="M113" s="407"/>
      <c r="N113" s="407"/>
      <c r="O113" s="407"/>
      <c r="P113" s="407"/>
      <c r="Q113" s="407"/>
      <c r="R113" s="407"/>
      <c r="S113" s="407"/>
      <c r="T113" s="407"/>
      <c r="U113" s="407"/>
      <c r="V113" s="407"/>
      <c r="W113" s="407"/>
      <c r="X113" s="407"/>
      <c r="Y113" s="407"/>
      <c r="Z113" s="407"/>
      <c r="AA113" s="407"/>
      <c r="AB113" s="407"/>
      <c r="AC113" s="407"/>
      <c r="AD113" s="407"/>
      <c r="AE113" s="407"/>
      <c r="AF113" s="407"/>
      <c r="AG113" s="407"/>
      <c r="AH113" s="407"/>
      <c r="AI113" s="407"/>
      <c r="AJ113" s="407"/>
      <c r="AK113" s="996"/>
      <c r="AL113" s="997"/>
      <c r="AM113" s="997"/>
      <c r="AN113" s="997"/>
      <c r="AO113" s="997"/>
      <c r="AP113" s="997"/>
      <c r="AQ113" s="997"/>
      <c r="AR113" s="997"/>
      <c r="AS113" s="998"/>
    </row>
    <row r="114" spans="1:45" ht="15" customHeight="1" thickBot="1">
      <c r="A114" s="407"/>
      <c r="B114" s="407"/>
      <c r="C114" s="407"/>
      <c r="D114" s="407"/>
      <c r="E114" s="407"/>
      <c r="F114" s="407"/>
      <c r="G114" s="407"/>
      <c r="H114" s="407"/>
      <c r="I114" s="407"/>
      <c r="J114" s="407"/>
      <c r="K114" s="407"/>
      <c r="L114" s="407"/>
      <c r="M114" s="407"/>
      <c r="N114" s="407"/>
      <c r="O114" s="407"/>
      <c r="P114" s="407"/>
      <c r="Q114" s="407"/>
      <c r="R114" s="407"/>
      <c r="S114" s="407"/>
      <c r="T114" s="407"/>
      <c r="U114" s="407"/>
      <c r="V114" s="407"/>
      <c r="W114" s="407"/>
      <c r="X114" s="407"/>
      <c r="Y114" s="407"/>
      <c r="Z114" s="407"/>
      <c r="AA114" s="407"/>
      <c r="AB114" s="407"/>
      <c r="AC114" s="407"/>
      <c r="AD114" s="407"/>
      <c r="AE114" s="407"/>
      <c r="AF114" s="407"/>
      <c r="AG114" s="407"/>
      <c r="AH114" s="407"/>
      <c r="AI114" s="407"/>
      <c r="AJ114" s="407"/>
      <c r="AK114" s="996"/>
      <c r="AL114" s="997"/>
      <c r="AM114" s="997"/>
      <c r="AN114" s="997"/>
      <c r="AO114" s="997"/>
      <c r="AP114" s="997"/>
      <c r="AQ114" s="997"/>
      <c r="AR114" s="997"/>
      <c r="AS114" s="998"/>
    </row>
    <row r="115" spans="1:45" ht="15" customHeight="1" thickBot="1">
      <c r="A115" s="407"/>
      <c r="B115" s="407"/>
      <c r="C115" s="407"/>
      <c r="D115" s="407"/>
      <c r="E115" s="407"/>
      <c r="F115" s="407"/>
      <c r="G115" s="407"/>
      <c r="H115" s="407"/>
      <c r="I115" s="407"/>
      <c r="J115" s="407"/>
      <c r="K115" s="407"/>
      <c r="L115" s="407"/>
      <c r="M115" s="407"/>
      <c r="N115" s="407"/>
      <c r="O115" s="407"/>
      <c r="P115" s="407"/>
      <c r="Q115" s="407"/>
      <c r="R115" s="407"/>
      <c r="S115" s="407"/>
      <c r="T115" s="407"/>
      <c r="U115" s="407"/>
      <c r="V115" s="407"/>
      <c r="W115" s="407"/>
      <c r="X115" s="407"/>
      <c r="Y115" s="407"/>
      <c r="Z115" s="407"/>
      <c r="AA115" s="407"/>
      <c r="AB115" s="407"/>
      <c r="AC115" s="407"/>
      <c r="AD115" s="407"/>
      <c r="AE115" s="407"/>
      <c r="AF115" s="407"/>
      <c r="AG115" s="407"/>
      <c r="AH115" s="407"/>
      <c r="AI115" s="407"/>
      <c r="AJ115" s="407"/>
      <c r="AK115" s="996"/>
      <c r="AL115" s="997"/>
      <c r="AM115" s="997"/>
      <c r="AN115" s="997"/>
      <c r="AO115" s="997"/>
      <c r="AP115" s="997"/>
      <c r="AQ115" s="997"/>
      <c r="AR115" s="997"/>
      <c r="AS115" s="998"/>
    </row>
    <row r="116" spans="1:45" ht="15" customHeight="1" thickBot="1">
      <c r="A116" s="407"/>
      <c r="B116" s="407"/>
      <c r="C116" s="407"/>
      <c r="D116" s="407"/>
      <c r="E116" s="407"/>
      <c r="F116" s="407"/>
      <c r="G116" s="407"/>
      <c r="H116" s="407"/>
      <c r="I116" s="407"/>
      <c r="J116" s="407"/>
      <c r="K116" s="407"/>
      <c r="L116" s="407"/>
      <c r="M116" s="407"/>
      <c r="N116" s="407"/>
      <c r="O116" s="407"/>
      <c r="P116" s="407"/>
      <c r="Q116" s="407"/>
      <c r="R116" s="407"/>
      <c r="S116" s="407"/>
      <c r="T116" s="407"/>
      <c r="U116" s="407"/>
      <c r="V116" s="407"/>
      <c r="W116" s="407"/>
      <c r="X116" s="407"/>
      <c r="Y116" s="407"/>
      <c r="Z116" s="407"/>
      <c r="AA116" s="407"/>
      <c r="AB116" s="407"/>
      <c r="AC116" s="407"/>
      <c r="AD116" s="407"/>
      <c r="AE116" s="407"/>
      <c r="AF116" s="407"/>
      <c r="AG116" s="407"/>
      <c r="AH116" s="407"/>
      <c r="AI116" s="407"/>
      <c r="AJ116" s="407"/>
      <c r="AK116" s="996"/>
      <c r="AL116" s="997"/>
      <c r="AM116" s="997"/>
      <c r="AN116" s="997"/>
      <c r="AO116" s="997"/>
      <c r="AP116" s="997"/>
      <c r="AQ116" s="997"/>
      <c r="AR116" s="997"/>
      <c r="AS116" s="998"/>
    </row>
    <row r="117" spans="1:45" ht="15" customHeight="1" thickBot="1">
      <c r="A117" s="407"/>
      <c r="B117" s="407"/>
      <c r="C117" s="407"/>
      <c r="D117" s="407"/>
      <c r="E117" s="407"/>
      <c r="F117" s="407"/>
      <c r="G117" s="407"/>
      <c r="H117" s="407"/>
      <c r="I117" s="407"/>
      <c r="J117" s="407"/>
      <c r="K117" s="407"/>
      <c r="L117" s="407"/>
      <c r="M117" s="407"/>
      <c r="N117" s="407"/>
      <c r="O117" s="407"/>
      <c r="P117" s="407"/>
      <c r="Q117" s="407"/>
      <c r="R117" s="407"/>
      <c r="S117" s="407"/>
      <c r="T117" s="407"/>
      <c r="U117" s="407"/>
      <c r="V117" s="407"/>
      <c r="W117" s="407"/>
      <c r="X117" s="407"/>
      <c r="Y117" s="407"/>
      <c r="Z117" s="407"/>
      <c r="AA117" s="407"/>
      <c r="AB117" s="407"/>
      <c r="AC117" s="407"/>
      <c r="AD117" s="407"/>
      <c r="AE117" s="407"/>
      <c r="AF117" s="407"/>
      <c r="AG117" s="407"/>
      <c r="AH117" s="407"/>
      <c r="AI117" s="407"/>
      <c r="AJ117" s="407"/>
      <c r="AK117" s="996"/>
      <c r="AL117" s="997"/>
      <c r="AM117" s="997"/>
      <c r="AN117" s="997"/>
      <c r="AO117" s="997"/>
      <c r="AP117" s="997"/>
      <c r="AQ117" s="997"/>
      <c r="AR117" s="997"/>
      <c r="AS117" s="998"/>
    </row>
    <row r="118" spans="1:45" ht="15" customHeight="1" thickBot="1">
      <c r="A118" s="407"/>
      <c r="B118" s="407"/>
      <c r="C118" s="407"/>
      <c r="D118" s="407"/>
      <c r="E118" s="407"/>
      <c r="F118" s="407"/>
      <c r="G118" s="407"/>
      <c r="H118" s="407"/>
      <c r="I118" s="407"/>
      <c r="J118" s="407"/>
      <c r="K118" s="407"/>
      <c r="L118" s="407"/>
      <c r="M118" s="407"/>
      <c r="N118" s="407"/>
      <c r="O118" s="407"/>
      <c r="P118" s="407"/>
      <c r="Q118" s="407"/>
      <c r="R118" s="407"/>
      <c r="S118" s="407"/>
      <c r="T118" s="407"/>
      <c r="U118" s="407"/>
      <c r="V118" s="407"/>
      <c r="W118" s="407"/>
      <c r="X118" s="407"/>
      <c r="Y118" s="407"/>
      <c r="Z118" s="407"/>
      <c r="AA118" s="407"/>
      <c r="AB118" s="407"/>
      <c r="AC118" s="407"/>
      <c r="AD118" s="407"/>
      <c r="AE118" s="407"/>
      <c r="AF118" s="407"/>
      <c r="AG118" s="407"/>
      <c r="AH118" s="407"/>
      <c r="AI118" s="407"/>
      <c r="AJ118" s="407"/>
      <c r="AK118" s="996"/>
      <c r="AL118" s="997"/>
      <c r="AM118" s="997"/>
      <c r="AN118" s="997"/>
      <c r="AO118" s="997"/>
      <c r="AP118" s="997"/>
      <c r="AQ118" s="997"/>
      <c r="AR118" s="997"/>
      <c r="AS118" s="998"/>
    </row>
    <row r="119" spans="1:45" ht="15" customHeight="1" thickBot="1">
      <c r="A119" s="407"/>
      <c r="B119" s="407"/>
      <c r="C119" s="407"/>
      <c r="D119" s="407"/>
      <c r="E119" s="407"/>
      <c r="F119" s="407"/>
      <c r="G119" s="407"/>
      <c r="H119" s="407"/>
      <c r="I119" s="407"/>
      <c r="J119" s="407"/>
      <c r="K119" s="407"/>
      <c r="L119" s="407"/>
      <c r="M119" s="407"/>
      <c r="N119" s="407"/>
      <c r="O119" s="407"/>
      <c r="P119" s="407"/>
      <c r="Q119" s="407"/>
      <c r="R119" s="407"/>
      <c r="S119" s="407"/>
      <c r="T119" s="407"/>
      <c r="U119" s="407"/>
      <c r="V119" s="407"/>
      <c r="W119" s="407"/>
      <c r="X119" s="407"/>
      <c r="Y119" s="407"/>
      <c r="Z119" s="407"/>
      <c r="AA119" s="407"/>
      <c r="AB119" s="407"/>
      <c r="AC119" s="407"/>
      <c r="AD119" s="407"/>
      <c r="AE119" s="407"/>
      <c r="AF119" s="407"/>
      <c r="AG119" s="407"/>
      <c r="AH119" s="407"/>
      <c r="AI119" s="407"/>
      <c r="AJ119" s="407"/>
      <c r="AK119" s="996"/>
      <c r="AL119" s="997"/>
      <c r="AM119" s="997"/>
      <c r="AN119" s="997"/>
      <c r="AO119" s="997"/>
      <c r="AP119" s="997"/>
      <c r="AQ119" s="997"/>
      <c r="AR119" s="997"/>
      <c r="AS119" s="998"/>
    </row>
    <row r="120" spans="1:45" ht="15" customHeight="1" thickBot="1">
      <c r="A120" s="407"/>
      <c r="B120" s="407"/>
      <c r="C120" s="407"/>
      <c r="D120" s="407"/>
      <c r="E120" s="407"/>
      <c r="F120" s="407"/>
      <c r="G120" s="407"/>
      <c r="H120" s="407"/>
      <c r="I120" s="407"/>
      <c r="J120" s="407"/>
      <c r="K120" s="407"/>
      <c r="L120" s="407"/>
      <c r="M120" s="407"/>
      <c r="N120" s="407"/>
      <c r="O120" s="407"/>
      <c r="P120" s="407"/>
      <c r="Q120" s="407"/>
      <c r="R120" s="407"/>
      <c r="S120" s="407"/>
      <c r="T120" s="407"/>
      <c r="U120" s="407"/>
      <c r="V120" s="407"/>
      <c r="W120" s="407"/>
      <c r="X120" s="407"/>
      <c r="Y120" s="407"/>
      <c r="Z120" s="407"/>
      <c r="AA120" s="407"/>
      <c r="AB120" s="407"/>
      <c r="AC120" s="407"/>
      <c r="AD120" s="407"/>
      <c r="AE120" s="407"/>
      <c r="AF120" s="407"/>
      <c r="AG120" s="407"/>
      <c r="AH120" s="407"/>
      <c r="AI120" s="407"/>
      <c r="AJ120" s="407"/>
      <c r="AK120" s="996"/>
      <c r="AL120" s="997"/>
      <c r="AM120" s="997"/>
      <c r="AN120" s="997"/>
      <c r="AO120" s="997"/>
      <c r="AP120" s="997"/>
      <c r="AQ120" s="997"/>
      <c r="AR120" s="997"/>
      <c r="AS120" s="998"/>
    </row>
    <row r="121" spans="1:45" ht="15" customHeight="1" thickBot="1">
      <c r="A121" s="407"/>
      <c r="B121" s="407"/>
      <c r="C121" s="407"/>
      <c r="D121" s="407"/>
      <c r="E121" s="407"/>
      <c r="F121" s="407"/>
      <c r="G121" s="407"/>
      <c r="H121" s="407"/>
      <c r="I121" s="407"/>
      <c r="J121" s="407"/>
      <c r="K121" s="407"/>
      <c r="L121" s="407"/>
      <c r="M121" s="407"/>
      <c r="N121" s="407"/>
      <c r="O121" s="407"/>
      <c r="P121" s="407"/>
      <c r="Q121" s="407"/>
      <c r="R121" s="407"/>
      <c r="S121" s="407"/>
      <c r="T121" s="407"/>
      <c r="U121" s="407"/>
      <c r="V121" s="407"/>
      <c r="W121" s="407"/>
      <c r="X121" s="407"/>
      <c r="Y121" s="407"/>
      <c r="Z121" s="407"/>
      <c r="AA121" s="407"/>
      <c r="AB121" s="407"/>
      <c r="AC121" s="407"/>
      <c r="AD121" s="407"/>
      <c r="AE121" s="407"/>
      <c r="AF121" s="407"/>
      <c r="AG121" s="407"/>
      <c r="AH121" s="407"/>
      <c r="AI121" s="407"/>
      <c r="AJ121" s="407"/>
      <c r="AK121" s="996"/>
      <c r="AL121" s="997"/>
      <c r="AM121" s="997"/>
      <c r="AN121" s="997"/>
      <c r="AO121" s="997"/>
      <c r="AP121" s="997"/>
      <c r="AQ121" s="997"/>
      <c r="AR121" s="997"/>
      <c r="AS121" s="998"/>
    </row>
    <row r="122" spans="1:45" ht="15" customHeight="1" thickBot="1">
      <c r="A122" s="407"/>
      <c r="B122" s="407"/>
      <c r="C122" s="407"/>
      <c r="D122" s="407"/>
      <c r="E122" s="407"/>
      <c r="F122" s="407"/>
      <c r="G122" s="407"/>
      <c r="H122" s="407"/>
      <c r="I122" s="407"/>
      <c r="J122" s="407"/>
      <c r="K122" s="407"/>
      <c r="L122" s="407"/>
      <c r="M122" s="407"/>
      <c r="N122" s="407"/>
      <c r="O122" s="407"/>
      <c r="P122" s="407"/>
      <c r="Q122" s="407"/>
      <c r="R122" s="407"/>
      <c r="S122" s="407"/>
      <c r="T122" s="407"/>
      <c r="U122" s="407"/>
      <c r="V122" s="407"/>
      <c r="W122" s="407"/>
      <c r="X122" s="407"/>
      <c r="Y122" s="407"/>
      <c r="Z122" s="407"/>
      <c r="AA122" s="407"/>
      <c r="AB122" s="407"/>
      <c r="AC122" s="407"/>
      <c r="AD122" s="407"/>
      <c r="AE122" s="407"/>
      <c r="AF122" s="407"/>
      <c r="AG122" s="407"/>
      <c r="AH122" s="407"/>
      <c r="AI122" s="407"/>
      <c r="AJ122" s="407"/>
      <c r="AK122" s="996"/>
      <c r="AL122" s="997"/>
      <c r="AM122" s="997"/>
      <c r="AN122" s="997"/>
      <c r="AO122" s="997"/>
      <c r="AP122" s="997"/>
      <c r="AQ122" s="997"/>
      <c r="AR122" s="997"/>
      <c r="AS122" s="998"/>
    </row>
    <row r="123" spans="1:45" ht="9.75" customHeight="1" thickBot="1">
      <c r="A123" s="407"/>
      <c r="B123" s="407"/>
      <c r="C123" s="407"/>
      <c r="D123" s="407"/>
      <c r="E123" s="407"/>
      <c r="F123" s="407"/>
      <c r="G123" s="407"/>
      <c r="H123" s="407"/>
      <c r="I123" s="407"/>
      <c r="J123" s="407"/>
      <c r="K123" s="407"/>
      <c r="L123" s="407"/>
      <c r="M123" s="407"/>
      <c r="N123" s="407"/>
      <c r="O123" s="407"/>
      <c r="P123" s="407"/>
      <c r="Q123" s="407"/>
      <c r="R123" s="407"/>
      <c r="S123" s="407"/>
      <c r="T123" s="407"/>
      <c r="U123" s="407"/>
      <c r="V123" s="407"/>
      <c r="W123" s="407"/>
      <c r="X123" s="407"/>
      <c r="Y123" s="407"/>
      <c r="Z123" s="407"/>
      <c r="AA123" s="407"/>
      <c r="AB123" s="407"/>
      <c r="AC123" s="407"/>
      <c r="AD123" s="407"/>
      <c r="AE123" s="407"/>
      <c r="AF123" s="407"/>
      <c r="AG123" s="407"/>
      <c r="AH123" s="407"/>
      <c r="AI123" s="407"/>
      <c r="AJ123" s="407"/>
      <c r="AK123" s="996"/>
      <c r="AL123" s="997"/>
      <c r="AM123" s="997"/>
      <c r="AN123" s="997"/>
      <c r="AO123" s="997"/>
      <c r="AP123" s="997"/>
      <c r="AQ123" s="997"/>
      <c r="AR123" s="997"/>
      <c r="AS123" s="998"/>
    </row>
    <row r="124" spans="1:45" ht="15" hidden="1" customHeight="1">
      <c r="A124" s="407"/>
      <c r="B124" s="407"/>
      <c r="C124" s="407"/>
      <c r="D124" s="407"/>
      <c r="E124" s="407"/>
      <c r="F124" s="407"/>
      <c r="G124" s="407"/>
      <c r="H124" s="407"/>
      <c r="I124" s="407"/>
      <c r="J124" s="407"/>
      <c r="K124" s="407"/>
      <c r="L124" s="407"/>
      <c r="M124" s="407"/>
      <c r="N124" s="407"/>
      <c r="O124" s="407"/>
      <c r="P124" s="407"/>
      <c r="Q124" s="407"/>
      <c r="R124" s="407"/>
      <c r="S124" s="407"/>
      <c r="T124" s="407"/>
      <c r="U124" s="407"/>
      <c r="V124" s="407"/>
      <c r="W124" s="407"/>
      <c r="X124" s="407"/>
      <c r="Y124" s="407"/>
      <c r="Z124" s="407"/>
      <c r="AA124" s="407"/>
      <c r="AB124" s="407"/>
      <c r="AC124" s="407"/>
      <c r="AD124" s="407"/>
      <c r="AE124" s="407"/>
      <c r="AF124" s="407"/>
      <c r="AG124" s="407"/>
      <c r="AH124" s="407"/>
      <c r="AI124" s="407"/>
      <c r="AJ124" s="407"/>
      <c r="AK124" s="996"/>
      <c r="AL124" s="997"/>
      <c r="AM124" s="997"/>
      <c r="AN124" s="997"/>
      <c r="AO124" s="997"/>
      <c r="AP124" s="997"/>
      <c r="AQ124" s="997"/>
      <c r="AR124" s="997"/>
      <c r="AS124" s="998"/>
    </row>
    <row r="125" spans="1:45" ht="15" customHeight="1" thickBot="1">
      <c r="A125" s="407"/>
      <c r="B125" s="407"/>
      <c r="C125" s="407"/>
      <c r="D125" s="407"/>
      <c r="E125" s="407"/>
      <c r="F125" s="407"/>
      <c r="G125" s="407"/>
      <c r="H125" s="407"/>
      <c r="I125" s="407"/>
      <c r="J125" s="407"/>
      <c r="K125" s="407"/>
      <c r="L125" s="407"/>
      <c r="M125" s="407"/>
      <c r="N125" s="407"/>
      <c r="O125" s="407"/>
      <c r="P125" s="407"/>
      <c r="Q125" s="407"/>
      <c r="R125" s="407"/>
      <c r="S125" s="407"/>
      <c r="T125" s="407"/>
      <c r="U125" s="407"/>
      <c r="V125" s="407"/>
      <c r="W125" s="407"/>
      <c r="X125" s="407"/>
      <c r="Y125" s="407"/>
      <c r="Z125" s="407"/>
      <c r="AA125" s="407"/>
      <c r="AB125" s="407"/>
      <c r="AC125" s="407"/>
      <c r="AD125" s="407"/>
      <c r="AE125" s="407"/>
      <c r="AF125" s="407"/>
      <c r="AG125" s="407"/>
      <c r="AH125" s="407"/>
      <c r="AI125" s="407"/>
      <c r="AJ125" s="407"/>
      <c r="AK125" s="996"/>
      <c r="AL125" s="997"/>
      <c r="AM125" s="997"/>
      <c r="AN125" s="997"/>
      <c r="AO125" s="997"/>
      <c r="AP125" s="997"/>
      <c r="AQ125" s="997"/>
      <c r="AR125" s="997"/>
      <c r="AS125" s="998"/>
    </row>
    <row r="126" spans="1:45" ht="15" customHeight="1" thickBot="1">
      <c r="A126" s="407"/>
      <c r="B126" s="407"/>
      <c r="C126" s="407"/>
      <c r="D126" s="407"/>
      <c r="E126" s="407"/>
      <c r="F126" s="407"/>
      <c r="G126" s="407"/>
      <c r="H126" s="407"/>
      <c r="I126" s="407"/>
      <c r="J126" s="407"/>
      <c r="K126" s="407"/>
      <c r="L126" s="407"/>
      <c r="M126" s="407"/>
      <c r="N126" s="407"/>
      <c r="O126" s="407"/>
      <c r="P126" s="407"/>
      <c r="Q126" s="407"/>
      <c r="R126" s="407"/>
      <c r="S126" s="407"/>
      <c r="T126" s="407"/>
      <c r="U126" s="407"/>
      <c r="V126" s="407"/>
      <c r="W126" s="407"/>
      <c r="X126" s="407"/>
      <c r="Y126" s="407"/>
      <c r="Z126" s="407"/>
      <c r="AA126" s="407"/>
      <c r="AB126" s="407"/>
      <c r="AC126" s="407"/>
      <c r="AD126" s="407"/>
      <c r="AE126" s="407"/>
      <c r="AF126" s="407"/>
      <c r="AG126" s="407"/>
      <c r="AH126" s="407"/>
      <c r="AI126" s="407"/>
      <c r="AJ126" s="407"/>
      <c r="AK126" s="996"/>
      <c r="AL126" s="997"/>
      <c r="AM126" s="997"/>
      <c r="AN126" s="997"/>
      <c r="AO126" s="997"/>
      <c r="AP126" s="997"/>
      <c r="AQ126" s="997"/>
      <c r="AR126" s="997"/>
      <c r="AS126" s="998"/>
    </row>
    <row r="127" spans="1:45" ht="15" customHeight="1" thickBot="1">
      <c r="A127" s="407"/>
      <c r="B127" s="407"/>
      <c r="C127" s="407"/>
      <c r="D127" s="407"/>
      <c r="E127" s="407"/>
      <c r="F127" s="407"/>
      <c r="G127" s="407"/>
      <c r="H127" s="407"/>
      <c r="I127" s="407"/>
      <c r="J127" s="407"/>
      <c r="K127" s="407"/>
      <c r="L127" s="407"/>
      <c r="M127" s="407"/>
      <c r="N127" s="407"/>
      <c r="O127" s="407"/>
      <c r="P127" s="407"/>
      <c r="Q127" s="407"/>
      <c r="R127" s="407"/>
      <c r="S127" s="407"/>
      <c r="T127" s="407"/>
      <c r="U127" s="407"/>
      <c r="V127" s="407"/>
      <c r="W127" s="407"/>
      <c r="X127" s="407"/>
      <c r="Y127" s="407"/>
      <c r="Z127" s="407"/>
      <c r="AA127" s="407"/>
      <c r="AB127" s="407"/>
      <c r="AC127" s="407"/>
      <c r="AD127" s="407"/>
      <c r="AE127" s="407"/>
      <c r="AF127" s="407"/>
      <c r="AG127" s="407"/>
      <c r="AH127" s="407"/>
      <c r="AI127" s="407"/>
      <c r="AJ127" s="407"/>
      <c r="AK127" s="996"/>
      <c r="AL127" s="997"/>
      <c r="AM127" s="997"/>
      <c r="AN127" s="997"/>
      <c r="AO127" s="997"/>
      <c r="AP127" s="997"/>
      <c r="AQ127" s="997"/>
      <c r="AR127" s="997"/>
      <c r="AS127" s="998"/>
    </row>
    <row r="128" spans="1:45" ht="15" customHeight="1" thickBot="1">
      <c r="A128" s="407"/>
      <c r="B128" s="407"/>
      <c r="C128" s="407"/>
      <c r="D128" s="407"/>
      <c r="E128" s="407"/>
      <c r="F128" s="407"/>
      <c r="G128" s="407"/>
      <c r="H128" s="407"/>
      <c r="I128" s="407"/>
      <c r="J128" s="407"/>
      <c r="K128" s="407"/>
      <c r="L128" s="407"/>
      <c r="M128" s="407"/>
      <c r="N128" s="407"/>
      <c r="O128" s="407"/>
      <c r="P128" s="407"/>
      <c r="Q128" s="407"/>
      <c r="R128" s="407"/>
      <c r="S128" s="407"/>
      <c r="T128" s="407"/>
      <c r="U128" s="407"/>
      <c r="V128" s="407"/>
      <c r="W128" s="407"/>
      <c r="X128" s="407"/>
      <c r="Y128" s="407"/>
      <c r="Z128" s="407"/>
      <c r="AA128" s="407"/>
      <c r="AB128" s="407"/>
      <c r="AC128" s="407"/>
      <c r="AD128" s="407"/>
      <c r="AE128" s="407"/>
      <c r="AF128" s="407"/>
      <c r="AG128" s="407"/>
      <c r="AH128" s="407"/>
      <c r="AI128" s="407"/>
      <c r="AJ128" s="407"/>
      <c r="AK128" s="996"/>
      <c r="AL128" s="997"/>
      <c r="AM128" s="997"/>
      <c r="AN128" s="997"/>
      <c r="AO128" s="997"/>
      <c r="AP128" s="997"/>
      <c r="AQ128" s="997"/>
      <c r="AR128" s="997"/>
      <c r="AS128" s="998"/>
    </row>
    <row r="129" spans="1:45" ht="15" customHeight="1" thickBot="1">
      <c r="A129" s="407"/>
      <c r="B129" s="407"/>
      <c r="C129" s="407"/>
      <c r="D129" s="407"/>
      <c r="E129" s="407"/>
      <c r="F129" s="407"/>
      <c r="G129" s="407"/>
      <c r="H129" s="407"/>
      <c r="I129" s="407"/>
      <c r="J129" s="407"/>
      <c r="K129" s="407"/>
      <c r="L129" s="407"/>
      <c r="M129" s="407"/>
      <c r="N129" s="407"/>
      <c r="O129" s="407"/>
      <c r="P129" s="407"/>
      <c r="Q129" s="407"/>
      <c r="R129" s="407"/>
      <c r="S129" s="407"/>
      <c r="T129" s="407"/>
      <c r="U129" s="407"/>
      <c r="V129" s="407"/>
      <c r="W129" s="407"/>
      <c r="X129" s="407"/>
      <c r="Y129" s="407"/>
      <c r="Z129" s="407"/>
      <c r="AA129" s="407"/>
      <c r="AB129" s="407"/>
      <c r="AC129" s="407"/>
      <c r="AD129" s="407"/>
      <c r="AE129" s="407"/>
      <c r="AF129" s="407"/>
      <c r="AG129" s="407"/>
      <c r="AH129" s="407"/>
      <c r="AI129" s="407"/>
      <c r="AJ129" s="407"/>
      <c r="AK129" s="996"/>
      <c r="AL129" s="997"/>
      <c r="AM129" s="997"/>
      <c r="AN129" s="997"/>
      <c r="AO129" s="997"/>
      <c r="AP129" s="997"/>
      <c r="AQ129" s="997"/>
      <c r="AR129" s="997"/>
      <c r="AS129" s="998"/>
    </row>
    <row r="130" spans="1:45" ht="15" customHeight="1" thickBot="1">
      <c r="A130" s="407"/>
      <c r="B130" s="407"/>
      <c r="C130" s="407"/>
      <c r="D130" s="407"/>
      <c r="E130" s="407"/>
      <c r="F130" s="407"/>
      <c r="G130" s="407"/>
      <c r="H130" s="407"/>
      <c r="I130" s="407"/>
      <c r="J130" s="407"/>
      <c r="K130" s="407"/>
      <c r="L130" s="407"/>
      <c r="M130" s="407"/>
      <c r="N130" s="407"/>
      <c r="O130" s="407"/>
      <c r="P130" s="407"/>
      <c r="Q130" s="407"/>
      <c r="R130" s="407"/>
      <c r="S130" s="407"/>
      <c r="T130" s="407"/>
      <c r="U130" s="407"/>
      <c r="V130" s="407"/>
      <c r="W130" s="407"/>
      <c r="X130" s="407"/>
      <c r="Y130" s="407"/>
      <c r="Z130" s="407"/>
      <c r="AA130" s="407"/>
      <c r="AB130" s="407"/>
      <c r="AC130" s="407"/>
      <c r="AD130" s="407"/>
      <c r="AE130" s="407"/>
      <c r="AF130" s="407"/>
      <c r="AG130" s="407"/>
      <c r="AH130" s="407"/>
      <c r="AI130" s="407"/>
      <c r="AJ130" s="407"/>
      <c r="AK130" s="996"/>
      <c r="AL130" s="997"/>
      <c r="AM130" s="997"/>
      <c r="AN130" s="997"/>
      <c r="AO130" s="997"/>
      <c r="AP130" s="997"/>
      <c r="AQ130" s="997"/>
      <c r="AR130" s="997"/>
      <c r="AS130" s="998"/>
    </row>
    <row r="131" spans="1:45" ht="15" customHeight="1" thickBot="1">
      <c r="A131" s="407"/>
      <c r="B131" s="407"/>
      <c r="C131" s="407"/>
      <c r="D131" s="407"/>
      <c r="E131" s="407"/>
      <c r="F131" s="407"/>
      <c r="G131" s="407"/>
      <c r="H131" s="407"/>
      <c r="I131" s="407"/>
      <c r="J131" s="407"/>
      <c r="K131" s="407"/>
      <c r="L131" s="407"/>
      <c r="M131" s="407"/>
      <c r="N131" s="407"/>
      <c r="O131" s="407"/>
      <c r="P131" s="407"/>
      <c r="Q131" s="407"/>
      <c r="R131" s="407"/>
      <c r="S131" s="407"/>
      <c r="T131" s="407"/>
      <c r="U131" s="407"/>
      <c r="V131" s="407"/>
      <c r="W131" s="407"/>
      <c r="X131" s="407"/>
      <c r="Y131" s="407"/>
      <c r="Z131" s="407"/>
      <c r="AA131" s="407"/>
      <c r="AB131" s="407"/>
      <c r="AC131" s="407"/>
      <c r="AD131" s="407"/>
      <c r="AE131" s="407"/>
      <c r="AF131" s="407"/>
      <c r="AG131" s="407"/>
      <c r="AH131" s="407"/>
      <c r="AI131" s="407"/>
      <c r="AJ131" s="407"/>
      <c r="AK131" s="996"/>
      <c r="AL131" s="997"/>
      <c r="AM131" s="997"/>
      <c r="AN131" s="997"/>
      <c r="AO131" s="997"/>
      <c r="AP131" s="997"/>
      <c r="AQ131" s="997"/>
      <c r="AR131" s="997"/>
      <c r="AS131" s="998"/>
    </row>
    <row r="132" spans="1:45" ht="15" customHeight="1" thickBot="1">
      <c r="A132" s="407"/>
      <c r="B132" s="407"/>
      <c r="C132" s="407"/>
      <c r="D132" s="407"/>
      <c r="E132" s="407"/>
      <c r="F132" s="407"/>
      <c r="G132" s="407"/>
      <c r="H132" s="407"/>
      <c r="I132" s="407"/>
      <c r="J132" s="407"/>
      <c r="K132" s="407"/>
      <c r="L132" s="407"/>
      <c r="M132" s="407"/>
      <c r="N132" s="407"/>
      <c r="O132" s="407"/>
      <c r="P132" s="407"/>
      <c r="Q132" s="407"/>
      <c r="R132" s="407"/>
      <c r="S132" s="407"/>
      <c r="T132" s="407"/>
      <c r="U132" s="407"/>
      <c r="V132" s="407"/>
      <c r="W132" s="407"/>
      <c r="X132" s="407"/>
      <c r="Y132" s="407"/>
      <c r="Z132" s="407"/>
      <c r="AA132" s="407"/>
      <c r="AB132" s="407"/>
      <c r="AC132" s="407"/>
      <c r="AD132" s="407"/>
      <c r="AE132" s="407"/>
      <c r="AF132" s="407"/>
      <c r="AG132" s="407"/>
      <c r="AH132" s="407"/>
      <c r="AI132" s="407"/>
      <c r="AJ132" s="407"/>
      <c r="AK132" s="996"/>
      <c r="AL132" s="997"/>
      <c r="AM132" s="997"/>
      <c r="AN132" s="997"/>
      <c r="AO132" s="997"/>
      <c r="AP132" s="997"/>
      <c r="AQ132" s="997"/>
      <c r="AR132" s="997"/>
      <c r="AS132" s="998"/>
    </row>
    <row r="133" spans="1:45" ht="15" customHeight="1" thickBot="1">
      <c r="A133" s="407"/>
      <c r="B133" s="407"/>
      <c r="C133" s="407"/>
      <c r="D133" s="407"/>
      <c r="E133" s="407"/>
      <c r="F133" s="407"/>
      <c r="G133" s="407"/>
      <c r="H133" s="407"/>
      <c r="I133" s="407"/>
      <c r="J133" s="407"/>
      <c r="K133" s="407"/>
      <c r="L133" s="407"/>
      <c r="M133" s="407"/>
      <c r="N133" s="407"/>
      <c r="O133" s="407"/>
      <c r="P133" s="407"/>
      <c r="Q133" s="407"/>
      <c r="R133" s="407"/>
      <c r="S133" s="407"/>
      <c r="T133" s="407"/>
      <c r="U133" s="407"/>
      <c r="V133" s="407"/>
      <c r="W133" s="407"/>
      <c r="X133" s="407"/>
      <c r="Y133" s="407"/>
      <c r="Z133" s="407"/>
      <c r="AA133" s="407"/>
      <c r="AB133" s="407"/>
      <c r="AC133" s="407"/>
      <c r="AD133" s="407"/>
      <c r="AE133" s="407"/>
      <c r="AF133" s="407"/>
      <c r="AG133" s="407"/>
      <c r="AH133" s="407"/>
      <c r="AI133" s="407"/>
      <c r="AJ133" s="407"/>
      <c r="AK133" s="996"/>
      <c r="AL133" s="997"/>
      <c r="AM133" s="997"/>
      <c r="AN133" s="997"/>
      <c r="AO133" s="997"/>
      <c r="AP133" s="997"/>
      <c r="AQ133" s="997"/>
      <c r="AR133" s="997"/>
      <c r="AS133" s="998"/>
    </row>
    <row r="134" spans="1:45" ht="15" customHeight="1">
      <c r="AK134" s="403"/>
      <c r="AL134" s="403"/>
      <c r="AM134" s="403"/>
      <c r="AN134" s="403"/>
      <c r="AO134" s="403"/>
      <c r="AP134" s="403"/>
      <c r="AQ134" s="403"/>
      <c r="AR134" s="403"/>
      <c r="AS134" s="403"/>
    </row>
    <row r="135" spans="1:45" ht="15" customHeight="1">
      <c r="AK135" s="403"/>
      <c r="AL135" s="403"/>
      <c r="AM135" s="403"/>
      <c r="AN135" s="403"/>
      <c r="AO135" s="403"/>
      <c r="AP135" s="403"/>
      <c r="AQ135" s="403"/>
      <c r="AR135" s="403"/>
      <c r="AS135" s="403"/>
    </row>
    <row r="136" spans="1:45" ht="15" customHeight="1">
      <c r="AK136" s="403"/>
      <c r="AL136" s="403"/>
      <c r="AM136" s="403"/>
      <c r="AN136" s="403"/>
      <c r="AO136" s="403"/>
      <c r="AP136" s="403"/>
      <c r="AQ136" s="403"/>
      <c r="AR136" s="403"/>
      <c r="AS136" s="403"/>
    </row>
    <row r="137" spans="1:45" ht="15" customHeight="1">
      <c r="AK137" s="403"/>
      <c r="AL137" s="403"/>
      <c r="AM137" s="403"/>
      <c r="AN137" s="403"/>
      <c r="AO137" s="403"/>
      <c r="AP137" s="403"/>
      <c r="AQ137" s="403"/>
      <c r="AR137" s="403"/>
      <c r="AS137" s="403"/>
    </row>
    <row r="138" spans="1:45" ht="15" customHeight="1">
      <c r="AK138" s="403"/>
      <c r="AL138" s="403"/>
      <c r="AM138" s="403"/>
      <c r="AN138" s="403"/>
      <c r="AO138" s="403"/>
      <c r="AP138" s="403"/>
      <c r="AQ138" s="403"/>
      <c r="AR138" s="403"/>
      <c r="AS138" s="403"/>
    </row>
    <row r="139" spans="1:45" ht="15" customHeight="1">
      <c r="AK139" s="403"/>
      <c r="AL139" s="403"/>
      <c r="AM139" s="403"/>
      <c r="AN139" s="403"/>
      <c r="AO139" s="403"/>
      <c r="AP139" s="403"/>
      <c r="AQ139" s="403"/>
      <c r="AR139" s="403"/>
      <c r="AS139" s="403"/>
    </row>
    <row r="140" spans="1:45" ht="15" customHeight="1">
      <c r="AK140" s="403"/>
      <c r="AL140" s="403"/>
      <c r="AM140" s="403"/>
      <c r="AN140" s="403"/>
      <c r="AO140" s="403"/>
      <c r="AP140" s="403"/>
      <c r="AQ140" s="403"/>
      <c r="AR140" s="403"/>
      <c r="AS140" s="403"/>
    </row>
    <row r="141" spans="1:45" ht="15" customHeight="1">
      <c r="AK141" s="403"/>
      <c r="AL141" s="403"/>
      <c r="AM141" s="403"/>
      <c r="AN141" s="403"/>
      <c r="AO141" s="403"/>
      <c r="AP141" s="403"/>
      <c r="AQ141" s="403"/>
      <c r="AR141" s="403"/>
      <c r="AS141" s="403"/>
    </row>
    <row r="142" spans="1:45" ht="15" customHeight="1">
      <c r="AK142" s="403"/>
      <c r="AL142" s="403"/>
      <c r="AM142" s="403"/>
      <c r="AN142" s="403"/>
      <c r="AO142" s="403"/>
      <c r="AP142" s="403"/>
      <c r="AQ142" s="403"/>
      <c r="AR142" s="403"/>
      <c r="AS142" s="403"/>
    </row>
    <row r="143" spans="1:45" ht="15" customHeight="1">
      <c r="AK143" s="403"/>
      <c r="AL143" s="403"/>
      <c r="AM143" s="403"/>
      <c r="AN143" s="403"/>
      <c r="AO143" s="403"/>
      <c r="AP143" s="403"/>
      <c r="AQ143" s="403"/>
      <c r="AR143" s="403"/>
      <c r="AS143" s="403"/>
    </row>
    <row r="144" spans="1:45" ht="15" customHeight="1">
      <c r="AK144" s="403"/>
      <c r="AL144" s="403"/>
      <c r="AM144" s="403"/>
      <c r="AN144" s="403"/>
      <c r="AO144" s="403"/>
      <c r="AP144" s="403"/>
      <c r="AQ144" s="403"/>
      <c r="AR144" s="403"/>
      <c r="AS144" s="403"/>
    </row>
    <row r="145" spans="37:45" ht="15" customHeight="1">
      <c r="AK145" s="403"/>
      <c r="AL145" s="403"/>
      <c r="AM145" s="403"/>
      <c r="AN145" s="403"/>
      <c r="AO145" s="403"/>
      <c r="AP145" s="403"/>
      <c r="AQ145" s="403"/>
      <c r="AR145" s="403"/>
      <c r="AS145" s="403"/>
    </row>
    <row r="146" spans="37:45" ht="15" customHeight="1">
      <c r="AK146" s="403"/>
      <c r="AL146" s="403"/>
      <c r="AM146" s="403"/>
      <c r="AN146" s="403"/>
      <c r="AO146" s="403"/>
      <c r="AP146" s="403"/>
      <c r="AQ146" s="403"/>
      <c r="AR146" s="403"/>
      <c r="AS146" s="403"/>
    </row>
    <row r="147" spans="37:45" ht="15" customHeight="1">
      <c r="AK147" s="403"/>
      <c r="AL147" s="403"/>
      <c r="AM147" s="403"/>
      <c r="AN147" s="403"/>
      <c r="AO147" s="403"/>
      <c r="AP147" s="403"/>
      <c r="AQ147" s="403"/>
      <c r="AR147" s="403"/>
      <c r="AS147" s="403"/>
    </row>
    <row r="148" spans="37:45" ht="15" customHeight="1">
      <c r="AK148" s="403"/>
      <c r="AL148" s="403"/>
      <c r="AM148" s="403"/>
      <c r="AN148" s="403"/>
      <c r="AO148" s="403"/>
      <c r="AP148" s="403"/>
      <c r="AQ148" s="403"/>
      <c r="AR148" s="403"/>
      <c r="AS148" s="403"/>
    </row>
    <row r="149" spans="37:45" ht="15" customHeight="1">
      <c r="AK149" s="403"/>
      <c r="AL149" s="403"/>
      <c r="AM149" s="403"/>
      <c r="AN149" s="403"/>
      <c r="AO149" s="403"/>
      <c r="AP149" s="403"/>
      <c r="AQ149" s="403"/>
      <c r="AR149" s="403"/>
      <c r="AS149" s="403"/>
    </row>
    <row r="150" spans="37:45" ht="15" customHeight="1">
      <c r="AK150" s="403"/>
      <c r="AL150" s="403"/>
      <c r="AM150" s="403"/>
      <c r="AN150" s="403"/>
      <c r="AO150" s="403"/>
      <c r="AP150" s="403"/>
      <c r="AQ150" s="403"/>
      <c r="AR150" s="403"/>
      <c r="AS150" s="403"/>
    </row>
    <row r="151" spans="37:45" ht="15" customHeight="1">
      <c r="AK151" s="403"/>
      <c r="AL151" s="403"/>
      <c r="AM151" s="403"/>
      <c r="AN151" s="403"/>
      <c r="AO151" s="403"/>
      <c r="AP151" s="403"/>
      <c r="AQ151" s="403"/>
      <c r="AR151" s="403"/>
      <c r="AS151" s="403"/>
    </row>
    <row r="152" spans="37:45" ht="15" customHeight="1">
      <c r="AK152" s="403"/>
      <c r="AL152" s="403"/>
      <c r="AM152" s="403"/>
      <c r="AN152" s="403"/>
      <c r="AO152" s="403"/>
      <c r="AP152" s="403"/>
      <c r="AQ152" s="403"/>
      <c r="AR152" s="403"/>
      <c r="AS152" s="403"/>
    </row>
    <row r="153" spans="37:45" ht="15" customHeight="1">
      <c r="AK153" s="403"/>
      <c r="AL153" s="403"/>
      <c r="AM153" s="403"/>
      <c r="AN153" s="403"/>
      <c r="AO153" s="403"/>
      <c r="AP153" s="403"/>
      <c r="AQ153" s="403"/>
      <c r="AR153" s="403"/>
      <c r="AS153" s="403"/>
    </row>
    <row r="154" spans="37:45" ht="15" customHeight="1">
      <c r="AK154" s="403"/>
      <c r="AL154" s="403"/>
      <c r="AM154" s="403"/>
      <c r="AN154" s="403"/>
      <c r="AO154" s="403"/>
      <c r="AP154" s="403"/>
      <c r="AQ154" s="403"/>
      <c r="AR154" s="403"/>
      <c r="AS154" s="403"/>
    </row>
    <row r="155" spans="37:45" ht="15" customHeight="1">
      <c r="AK155" s="403"/>
      <c r="AL155" s="403"/>
      <c r="AM155" s="403"/>
      <c r="AN155" s="403"/>
      <c r="AO155" s="403"/>
      <c r="AP155" s="403"/>
      <c r="AQ155" s="403"/>
      <c r="AR155" s="403"/>
      <c r="AS155" s="403"/>
    </row>
    <row r="156" spans="37:45" ht="15" customHeight="1">
      <c r="AK156" s="403"/>
      <c r="AL156" s="403"/>
      <c r="AM156" s="403"/>
      <c r="AN156" s="403"/>
      <c r="AO156" s="403"/>
      <c r="AP156" s="403"/>
      <c r="AQ156" s="403"/>
      <c r="AR156" s="403"/>
      <c r="AS156" s="403"/>
    </row>
    <row r="157" spans="37:45" ht="15" customHeight="1">
      <c r="AK157" s="403"/>
      <c r="AL157" s="403"/>
      <c r="AM157" s="403"/>
      <c r="AN157" s="403"/>
      <c r="AO157" s="403"/>
      <c r="AP157" s="403"/>
      <c r="AQ157" s="403"/>
      <c r="AR157" s="403"/>
      <c r="AS157" s="403"/>
    </row>
    <row r="158" spans="37:45" ht="15" customHeight="1">
      <c r="AK158" s="403"/>
      <c r="AL158" s="403"/>
      <c r="AM158" s="403"/>
      <c r="AN158" s="403"/>
      <c r="AO158" s="403"/>
      <c r="AP158" s="403"/>
      <c r="AQ158" s="403"/>
      <c r="AR158" s="403"/>
      <c r="AS158" s="403"/>
    </row>
    <row r="159" spans="37:45" ht="15" customHeight="1">
      <c r="AK159" s="403"/>
      <c r="AL159" s="403"/>
      <c r="AM159" s="403"/>
      <c r="AN159" s="403"/>
      <c r="AO159" s="403"/>
      <c r="AP159" s="403"/>
      <c r="AQ159" s="403"/>
      <c r="AR159" s="403"/>
      <c r="AS159" s="403"/>
    </row>
    <row r="160" spans="37:45" ht="15" customHeight="1">
      <c r="AK160" s="403"/>
      <c r="AL160" s="403"/>
      <c r="AM160" s="403"/>
      <c r="AN160" s="403"/>
      <c r="AO160" s="403"/>
      <c r="AP160" s="403"/>
      <c r="AQ160" s="403"/>
      <c r="AR160" s="403"/>
      <c r="AS160" s="403"/>
    </row>
    <row r="161" spans="37:45" ht="15" customHeight="1">
      <c r="AK161" s="403"/>
      <c r="AL161" s="403"/>
      <c r="AM161" s="403"/>
      <c r="AN161" s="403"/>
      <c r="AO161" s="403"/>
      <c r="AP161" s="403"/>
      <c r="AQ161" s="403"/>
      <c r="AR161" s="403"/>
      <c r="AS161" s="403"/>
    </row>
    <row r="162" spans="37:45" ht="15" customHeight="1">
      <c r="AK162" s="403"/>
      <c r="AL162" s="403"/>
      <c r="AM162" s="403"/>
      <c r="AN162" s="403"/>
      <c r="AO162" s="403"/>
      <c r="AP162" s="403"/>
      <c r="AQ162" s="403"/>
      <c r="AR162" s="403"/>
      <c r="AS162" s="403"/>
    </row>
    <row r="163" spans="37:45" ht="15" customHeight="1">
      <c r="AK163" s="403"/>
      <c r="AL163" s="403"/>
      <c r="AM163" s="403"/>
      <c r="AN163" s="403"/>
      <c r="AO163" s="403"/>
      <c r="AP163" s="403"/>
      <c r="AQ163" s="403"/>
      <c r="AR163" s="403"/>
      <c r="AS163" s="403"/>
    </row>
    <row r="164" spans="37:45" ht="15" customHeight="1">
      <c r="AK164" s="403"/>
      <c r="AL164" s="403"/>
      <c r="AM164" s="403"/>
      <c r="AN164" s="403"/>
      <c r="AO164" s="403"/>
      <c r="AP164" s="403"/>
      <c r="AQ164" s="403"/>
      <c r="AR164" s="403"/>
      <c r="AS164" s="403"/>
    </row>
    <row r="165" spans="37:45" ht="15" customHeight="1">
      <c r="AK165" s="403"/>
      <c r="AL165" s="403"/>
      <c r="AM165" s="403"/>
      <c r="AN165" s="403"/>
      <c r="AO165" s="403"/>
      <c r="AP165" s="403"/>
      <c r="AQ165" s="403"/>
      <c r="AR165" s="403"/>
      <c r="AS165" s="403"/>
    </row>
    <row r="166" spans="37:45" ht="15" customHeight="1">
      <c r="AK166" s="403"/>
      <c r="AL166" s="403"/>
      <c r="AM166" s="403"/>
      <c r="AN166" s="403"/>
      <c r="AO166" s="403"/>
      <c r="AP166" s="403"/>
      <c r="AQ166" s="403"/>
      <c r="AR166" s="403"/>
      <c r="AS166" s="403"/>
    </row>
    <row r="167" spans="37:45" ht="15" customHeight="1">
      <c r="AK167" s="403"/>
      <c r="AL167" s="403"/>
      <c r="AM167" s="403"/>
      <c r="AN167" s="403"/>
      <c r="AO167" s="403"/>
      <c r="AP167" s="403"/>
      <c r="AQ167" s="403"/>
      <c r="AR167" s="403"/>
      <c r="AS167" s="403"/>
    </row>
    <row r="168" spans="37:45" ht="15" customHeight="1">
      <c r="AK168" s="403"/>
      <c r="AL168" s="403"/>
      <c r="AM168" s="403"/>
      <c r="AN168" s="403"/>
      <c r="AO168" s="403"/>
      <c r="AP168" s="403"/>
      <c r="AQ168" s="403"/>
      <c r="AR168" s="403"/>
      <c r="AS168" s="403"/>
    </row>
    <row r="169" spans="37:45" ht="15" customHeight="1">
      <c r="AK169" s="403"/>
      <c r="AL169" s="403"/>
      <c r="AM169" s="403"/>
      <c r="AN169" s="403"/>
      <c r="AO169" s="403"/>
      <c r="AP169" s="403"/>
      <c r="AQ169" s="403"/>
      <c r="AR169" s="403"/>
      <c r="AS169" s="403"/>
    </row>
    <row r="170" spans="37:45" ht="15" customHeight="1">
      <c r="AK170" s="403"/>
      <c r="AL170" s="403"/>
      <c r="AM170" s="403"/>
      <c r="AN170" s="403"/>
      <c r="AO170" s="403"/>
      <c r="AP170" s="403"/>
      <c r="AQ170" s="403"/>
      <c r="AR170" s="403"/>
      <c r="AS170" s="403"/>
    </row>
    <row r="171" spans="37:45" ht="15" customHeight="1">
      <c r="AK171" s="403"/>
      <c r="AL171" s="403"/>
      <c r="AM171" s="403"/>
      <c r="AN171" s="403"/>
      <c r="AO171" s="403"/>
      <c r="AP171" s="403"/>
      <c r="AQ171" s="403"/>
      <c r="AR171" s="403"/>
      <c r="AS171" s="403"/>
    </row>
    <row r="172" spans="37:45" ht="15" customHeight="1">
      <c r="AK172" s="403"/>
      <c r="AL172" s="403"/>
      <c r="AM172" s="403"/>
      <c r="AN172" s="403"/>
      <c r="AO172" s="403"/>
      <c r="AP172" s="403"/>
      <c r="AQ172" s="403"/>
      <c r="AR172" s="403"/>
      <c r="AS172" s="403"/>
    </row>
    <row r="173" spans="37:45" ht="15" customHeight="1">
      <c r="AK173" s="403"/>
      <c r="AL173" s="403"/>
      <c r="AM173" s="403"/>
      <c r="AN173" s="403"/>
      <c r="AO173" s="403"/>
      <c r="AP173" s="403"/>
      <c r="AQ173" s="403"/>
      <c r="AR173" s="403"/>
      <c r="AS173" s="403"/>
    </row>
    <row r="174" spans="37:45" ht="15" customHeight="1">
      <c r="AK174" s="403"/>
      <c r="AL174" s="403"/>
      <c r="AM174" s="403"/>
      <c r="AN174" s="403"/>
      <c r="AO174" s="403"/>
      <c r="AP174" s="403"/>
      <c r="AQ174" s="403"/>
      <c r="AR174" s="403"/>
      <c r="AS174" s="403"/>
    </row>
    <row r="175" spans="37:45" ht="15" customHeight="1">
      <c r="AK175" s="403"/>
      <c r="AL175" s="403"/>
      <c r="AM175" s="403"/>
      <c r="AN175" s="403"/>
      <c r="AO175" s="403"/>
      <c r="AP175" s="403"/>
      <c r="AQ175" s="403"/>
      <c r="AR175" s="403"/>
      <c r="AS175" s="403"/>
    </row>
    <row r="176" spans="37:45" ht="15" customHeight="1">
      <c r="AK176" s="403"/>
      <c r="AL176" s="403"/>
      <c r="AM176" s="403"/>
      <c r="AN176" s="403"/>
      <c r="AO176" s="403"/>
      <c r="AP176" s="403"/>
      <c r="AQ176" s="403"/>
      <c r="AR176" s="403"/>
      <c r="AS176" s="403"/>
    </row>
    <row r="177" spans="37:45" ht="15" customHeight="1">
      <c r="AK177" s="403"/>
      <c r="AL177" s="403"/>
      <c r="AM177" s="403"/>
      <c r="AN177" s="403"/>
      <c r="AO177" s="403"/>
      <c r="AP177" s="403"/>
      <c r="AQ177" s="403"/>
      <c r="AR177" s="403"/>
      <c r="AS177" s="403"/>
    </row>
    <row r="178" spans="37:45" ht="15" customHeight="1">
      <c r="AK178" s="403"/>
      <c r="AL178" s="403"/>
      <c r="AM178" s="403"/>
      <c r="AN178" s="403"/>
      <c r="AO178" s="403"/>
      <c r="AP178" s="403"/>
      <c r="AQ178" s="403"/>
      <c r="AR178" s="403"/>
      <c r="AS178" s="403"/>
    </row>
    <row r="179" spans="37:45" ht="15" customHeight="1">
      <c r="AK179" s="403"/>
      <c r="AL179" s="403"/>
      <c r="AM179" s="403"/>
      <c r="AN179" s="403"/>
      <c r="AO179" s="403"/>
      <c r="AP179" s="403"/>
      <c r="AQ179" s="403"/>
      <c r="AR179" s="403"/>
      <c r="AS179" s="403"/>
    </row>
  </sheetData>
  <mergeCells count="39">
    <mergeCell ref="AK92:AS133"/>
    <mergeCell ref="AB12:AJ21"/>
    <mergeCell ref="S12:AA21"/>
    <mergeCell ref="S22:AA31"/>
    <mergeCell ref="S32:AA43"/>
    <mergeCell ref="AK30:AS49"/>
    <mergeCell ref="AK28:AS29"/>
    <mergeCell ref="AK50:AS51"/>
    <mergeCell ref="AK52:AS63"/>
    <mergeCell ref="AK66:AS89"/>
    <mergeCell ref="AK64:AS65"/>
    <mergeCell ref="AK90:AS91"/>
    <mergeCell ref="AB3:AJ4"/>
    <mergeCell ref="AB5:AJ11"/>
    <mergeCell ref="AB1:AS2"/>
    <mergeCell ref="AK3:AS4"/>
    <mergeCell ref="AK5:AS6"/>
    <mergeCell ref="AK7:AS27"/>
    <mergeCell ref="J40:R46"/>
    <mergeCell ref="J47:R53"/>
    <mergeCell ref="J54:R60"/>
    <mergeCell ref="J61:R67"/>
    <mergeCell ref="A33:I39"/>
    <mergeCell ref="A26:I32"/>
    <mergeCell ref="J1:R2"/>
    <mergeCell ref="J3:R4"/>
    <mergeCell ref="J5:R11"/>
    <mergeCell ref="J12:R18"/>
    <mergeCell ref="J19:R25"/>
    <mergeCell ref="A1:I2"/>
    <mergeCell ref="A3:I4"/>
    <mergeCell ref="A5:I11"/>
    <mergeCell ref="A12:I18"/>
    <mergeCell ref="A19:I25"/>
    <mergeCell ref="S1:AA2"/>
    <mergeCell ref="S3:AA4"/>
    <mergeCell ref="S5:AA11"/>
    <mergeCell ref="J26:R32"/>
    <mergeCell ref="J33:R3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169"/>
  <sheetViews>
    <sheetView showGridLines="0" showRowColHeaders="0" tabSelected="1" topLeftCell="G4" zoomScale="75" zoomScaleNormal="75" workbookViewId="0">
      <selection activeCell="L23" sqref="L23:M23"/>
    </sheetView>
  </sheetViews>
  <sheetFormatPr defaultColWidth="15.140625" defaultRowHeight="137.25" customHeight="1"/>
  <cols>
    <col min="1" max="1" width="4.42578125" style="24" customWidth="1"/>
    <col min="2" max="2" width="3.85546875" customWidth="1"/>
    <col min="3" max="3" width="9" style="24" customWidth="1"/>
    <col min="4" max="4" width="22.5703125" style="24" customWidth="1"/>
    <col min="5" max="5" width="16.28515625" style="24" customWidth="1"/>
    <col min="6" max="6" width="19.85546875" style="24" customWidth="1"/>
    <col min="7" max="7" width="18.7109375" style="24" customWidth="1"/>
    <col min="8" max="8" width="13.140625" style="24" customWidth="1"/>
    <col min="9" max="9" width="16" style="24" customWidth="1"/>
    <col min="10" max="10" width="18.5703125" style="24" customWidth="1"/>
    <col min="11" max="11" width="16.42578125" style="24" customWidth="1"/>
    <col min="12" max="12" width="26" style="24" customWidth="1"/>
    <col min="13" max="13" width="20.140625" style="24" customWidth="1"/>
    <col min="14" max="14" width="15.140625" style="24" customWidth="1"/>
    <col min="15" max="15" width="15.42578125" style="24" customWidth="1"/>
    <col min="16" max="16" width="13.28515625" style="24" customWidth="1"/>
    <col min="17" max="17" width="15.140625" style="24" customWidth="1"/>
    <col min="18" max="18" width="13.5703125" style="24" customWidth="1"/>
    <col min="19" max="19" width="13.85546875" style="24" customWidth="1"/>
    <col min="20" max="20" width="16.7109375" style="24" customWidth="1"/>
    <col min="21" max="21" width="17.7109375" style="24" customWidth="1"/>
    <col min="22" max="22" width="13.7109375" style="24" customWidth="1"/>
    <col min="23" max="23" width="6.5703125" style="24" customWidth="1"/>
    <col min="24" max="24" width="5.28515625" style="24" customWidth="1"/>
    <col min="25" max="25" width="5.85546875" style="24" customWidth="1"/>
    <col min="27" max="28" width="15.140625" style="24"/>
    <col min="30" max="32" width="15.140625" style="24"/>
    <col min="33" max="33" width="16.7109375" style="24" customWidth="1"/>
    <col min="34" max="34" width="15.5703125" style="24" customWidth="1"/>
    <col min="35" max="16384" width="15.140625" style="24"/>
  </cols>
  <sheetData>
    <row r="1" spans="1:56" ht="24" customHeight="1" thickTop="1">
      <c r="A1" s="239"/>
      <c r="B1" s="237"/>
      <c r="C1" s="237"/>
      <c r="D1" s="237"/>
      <c r="E1" s="237"/>
      <c r="F1" s="237"/>
      <c r="G1" s="237"/>
      <c r="H1" s="237"/>
      <c r="I1" s="237"/>
      <c r="J1" s="237"/>
      <c r="K1" s="237"/>
      <c r="L1" s="237"/>
      <c r="M1" s="237"/>
      <c r="N1" s="237"/>
      <c r="O1" s="237"/>
      <c r="P1" s="237"/>
      <c r="Q1" s="237"/>
      <c r="R1" s="237"/>
      <c r="S1" s="237"/>
      <c r="T1" s="237"/>
      <c r="U1" s="237"/>
      <c r="V1" s="237"/>
      <c r="W1" s="237"/>
      <c r="X1" s="237"/>
      <c r="Y1" s="238"/>
      <c r="BC1" s="24">
        <f>R8+T8</f>
        <v>21000</v>
      </c>
      <c r="BD1" s="388">
        <v>1</v>
      </c>
    </row>
    <row r="2" spans="1:56" ht="44.25" customHeight="1" thickBot="1">
      <c r="A2" s="239"/>
      <c r="B2" s="299"/>
      <c r="C2" s="241"/>
      <c r="D2" s="241"/>
      <c r="E2" s="241"/>
      <c r="F2" s="241"/>
      <c r="G2" s="241"/>
      <c r="H2" s="241"/>
      <c r="I2" s="241"/>
      <c r="J2" s="241"/>
      <c r="K2" s="241"/>
      <c r="L2" s="241"/>
      <c r="M2" s="241"/>
      <c r="N2" s="241"/>
      <c r="O2" s="241"/>
      <c r="P2" s="241"/>
      <c r="Q2" s="241"/>
      <c r="R2" s="241"/>
      <c r="S2" s="241"/>
      <c r="T2" s="241"/>
      <c r="U2" s="241"/>
      <c r="V2" s="241"/>
      <c r="W2" s="241"/>
      <c r="X2" s="241"/>
      <c r="Y2" s="239"/>
      <c r="BD2" s="24">
        <f>IF(G8="Полувеликан",IF(Q8=1,3000-1000,IF(Q8=2,6000-3000,IF(Q8=3,10000-6000,IF(Q8=4,15000-10000,IF(Q8=5,21000-15000,IF(Q8=6,28000-21000,IF(Q8=7,36000-28000,IF(Q8=8,45000-36000,IF(Q8=9,55000-45000,IF(Q8=10,66000-55000,IF(Q8=11,78000-66000,IF(Q8=12,91000-78000,IF(Q8=13,105000-91000,IF(Q8=14,120000-105000,IF(Q8=15,136000-120000,IF(Q8=16,153000-136000,IF(Q8=17,171000-153000,IF(Q8=18,190000-171000,IF(Q8=19,190000,))))))))))))))))))),IF(G8="Драконид",IF(Q8=7,45000,IF(Q8=8,55000-45000,IF(Q8=9,66000-R8,IF(Q8=10,78000-66000,IF(Q8=11,91000-78000,IF(Q8=12,105000-91000,IF(Q8=13,120000-105000,IF(Q8=14,136000-120000,IF(Q8=15,153000-136000,IF(Q8=16,171000-153000,IF(Q8=17,190000-171000,IF(Q8=18,190000,)))))))))))),IF(Q8=1,1000,IF(Q8=2,3000-1000,IF(Q8=3,6000-3000,IF(Q8=4,10000-6000,IF(Q8=5,15000-10000,IF(Q8=6,21000-15000,IF(Q8=7,28000-21000,IF(Q8=8,36000-28000,IF(Q8=9,45000-36000,IF(Q8=10,55000-45000,IF(Q8=11,66000-55000,IF(Q8=12,78000-66000,IF(Q8=13,91000-78000,IF(Q8=14,105000-91000,IF(Q8=15,120000-105000,IF(Q8=16,136000-120000,IF(Q8=17,153000-136000,IF(Q8=18,171000-153000,IF(Q8=19,190000-171000,IF(Q8=20,190000,))))))))))))))))))))))</f>
        <v>6000</v>
      </c>
    </row>
    <row r="3" spans="1:56" ht="24" customHeight="1" thickTop="1" thickBot="1">
      <c r="A3" s="239"/>
      <c r="B3" s="240"/>
      <c r="C3" s="626" t="s">
        <v>157</v>
      </c>
      <c r="D3" s="627"/>
      <c r="E3" s="628"/>
      <c r="F3" s="240"/>
      <c r="G3" s="240"/>
      <c r="H3" s="240"/>
      <c r="I3" s="240"/>
      <c r="J3" s="240"/>
      <c r="K3" s="240"/>
      <c r="L3" s="240"/>
      <c r="M3" s="240"/>
      <c r="N3" s="645" t="s">
        <v>930</v>
      </c>
      <c r="O3" s="645"/>
      <c r="P3" s="645"/>
      <c r="Q3" s="412">
        <f>IF(G8="Драконид",2,IF(G8="Полувеликан",1,0))</f>
        <v>0</v>
      </c>
      <c r="R3" s="240"/>
      <c r="S3" s="240"/>
      <c r="T3" s="240"/>
      <c r="U3" s="240"/>
      <c r="V3" s="240"/>
      <c r="W3" s="240"/>
      <c r="X3" s="240"/>
      <c r="Y3" s="239"/>
      <c r="BD3" s="24">
        <f>BD2-T8</f>
        <v>1200</v>
      </c>
    </row>
    <row r="4" spans="1:56" ht="30" customHeight="1" thickBot="1">
      <c r="A4" s="239"/>
      <c r="B4" s="240"/>
      <c r="C4" s="629"/>
      <c r="D4" s="630"/>
      <c r="E4" s="631"/>
      <c r="F4" s="241"/>
      <c r="G4" s="656"/>
      <c r="H4" s="657"/>
      <c r="I4" s="658"/>
      <c r="J4" s="240"/>
      <c r="K4" s="240"/>
      <c r="L4" s="240"/>
      <c r="M4" s="240"/>
      <c r="N4" s="240"/>
      <c r="O4" s="240"/>
      <c r="P4" s="291"/>
      <c r="Q4" s="291"/>
      <c r="R4" s="240"/>
      <c r="S4" s="446">
        <v>0</v>
      </c>
      <c r="T4" s="446">
        <v>2</v>
      </c>
      <c r="U4" s="240"/>
      <c r="V4" s="240"/>
      <c r="W4" s="240"/>
      <c r="X4" s="240"/>
      <c r="Y4" s="239"/>
    </row>
    <row r="5" spans="1:56" ht="25.5" customHeight="1" thickTop="1" thickBot="1">
      <c r="A5" s="239"/>
      <c r="B5" s="240"/>
      <c r="C5" s="629"/>
      <c r="D5" s="630"/>
      <c r="E5" s="631"/>
      <c r="F5" s="241"/>
      <c r="G5" s="638" t="s">
        <v>0</v>
      </c>
      <c r="H5" s="639"/>
      <c r="I5" s="640"/>
      <c r="J5" s="290"/>
      <c r="K5" s="241"/>
      <c r="L5" s="365"/>
      <c r="M5" s="290"/>
      <c r="N5" s="290"/>
      <c r="O5" s="290"/>
      <c r="P5" s="292"/>
      <c r="Q5" s="411"/>
      <c r="R5" s="240"/>
      <c r="S5" s="240"/>
      <c r="T5" s="240"/>
      <c r="U5" s="240"/>
      <c r="V5" s="240"/>
      <c r="W5" s="240"/>
      <c r="X5" s="240"/>
      <c r="Y5" s="239"/>
    </row>
    <row r="6" spans="1:56" ht="45.75" customHeight="1" thickTop="1" thickBot="1">
      <c r="A6" s="239"/>
      <c r="B6" s="240"/>
      <c r="C6" s="629"/>
      <c r="D6" s="630"/>
      <c r="E6" s="631"/>
      <c r="F6" s="241"/>
      <c r="G6" s="635"/>
      <c r="H6" s="636"/>
      <c r="I6" s="637"/>
      <c r="J6" s="290"/>
      <c r="K6" s="654" t="s">
        <v>1</v>
      </c>
      <c r="L6" s="655"/>
      <c r="M6" s="332" t="s">
        <v>2</v>
      </c>
      <c r="N6" s="332" t="s">
        <v>3</v>
      </c>
      <c r="O6" s="333" t="s">
        <v>107</v>
      </c>
      <c r="P6" s="241"/>
      <c r="Q6" s="642" t="s">
        <v>909</v>
      </c>
      <c r="R6" s="643"/>
      <c r="S6" s="643"/>
      <c r="T6" s="643"/>
      <c r="U6" s="644"/>
      <c r="V6" s="294">
        <f>IF(L7="Бард",6+K17,IF(L7="Воин",2+K17,IF(L7="Варвар",4+K17,IF(L7="Вор",8+K17,IF(L7="Друид",4+K17,IF(L7="Жрец",2+K17,IF(L7="Волшебник",2+K17,IF(L7="Монах",4+K17,IF(L7="Паладин",2+K17,IF(L7="Рейнджер",6+K17,IF(L7="Чародей",2+K17,0)))))))))))</f>
        <v>1</v>
      </c>
      <c r="W6" s="293">
        <f>IF(L7="Воин",(2+K17)*4,IF(L7="Варвар",(4+K17)*4,IF(L7="Вор",(8+K17)*4,IF(L7="Друид",(4+K17)*4,IF(L7="Жрец",(2+K17)*4,IF(L7="Волшебник",(2+K17)*4,IF(L7="Монах",(4+K17)*4,IF(L7="Паладин",(2+K17)*4,IF(L7="Рейнджер",(6+K17)*4,IF(L7="Чародей",(2+K17)*4,IF(L7="Бард",(6+K17)*4)))))))))))+IF(G8="Человек",Q8,0)</f>
        <v>10</v>
      </c>
      <c r="X6" s="240"/>
      <c r="Y6" s="239"/>
      <c r="AR6" s="28"/>
    </row>
    <row r="7" spans="1:56" ht="30.75" customHeight="1" thickTop="1" thickBot="1">
      <c r="A7" s="239"/>
      <c r="B7" s="240"/>
      <c r="C7" s="629"/>
      <c r="D7" s="630"/>
      <c r="E7" s="631"/>
      <c r="F7" s="241"/>
      <c r="G7" s="638" t="s">
        <v>4</v>
      </c>
      <c r="H7" s="639"/>
      <c r="I7" s="640"/>
      <c r="J7" s="400">
        <f>IF(L7="Воин",Воин!H1,IF(L7="Бард",Бард!F1,IF(L7="Варвар",Варвар!H1,IF(L7="Вор",Вор!H1,IF(L7="Друид",Друид!H1,IF(L7="Жрец",Жрец!H1,IF(L7="Маг",Маг!H1,IF(L7="Монах",Монах!H1,IF(L7="Паладин",Паладин!H1,IF(L7="Рейнджер",Рейнджер!H1,IF(L7="Чародей",Чародей!H1,0)))))))))))</f>
        <v>4</v>
      </c>
      <c r="K7" s="341">
        <v>1</v>
      </c>
      <c r="L7" s="309" t="s">
        <v>191</v>
      </c>
      <c r="M7" s="310">
        <v>6</v>
      </c>
      <c r="N7" s="669">
        <f>IF(L11&lt;&gt;"Невыбрано",V10,IF(L10&lt;&gt;"Невыбрано",V9,IF(L9&lt;&gt;"Невыбрано",V8,IF(L8&lt;&gt;"Невыбрано",V7,IF(L7&lt;&gt;"Невыбрано",V6,)))))</f>
        <v>1</v>
      </c>
      <c r="O7" s="311">
        <f>IF(L7="Воин",VLOOKUP(M7,Воин!G5:L25,2,0),IF(L7="Варвар",VLOOKUP(M7,Варвар!G5:K25,2,0),IF(L7="Вор",VLOOKUP(M7,Вор!G5:K25,2,0),IF(L7="Бард",VLOOKUP(M7,Бард!G1:K22,2,0),IF(L7="Жрец",VLOOKUP(M7,Жрец!G6:H25,2,0),IF(L7="Друид",VLOOKUP(M7,Друид!G6:H25,2,0),IF(L7="Маг",VLOOKUP(M7,Маг!G6:H25,2,0),IF(L7="Монах",VLOOKUP(M7,Монах!G6:H25,2,0),IF(L7="Паладин",VLOOKUP(M7,Паладин!G6:H25,2,0),IF(L7="Рейнджер",VLOOKUP(M7,Рейнджер!G6:H25,2,0),IF(L7="Чародей",VLOOKUP(M7,Чародей!G6:H25,2,0),0)))))))))))</f>
        <v>3</v>
      </c>
      <c r="P7" s="399">
        <f>IF(G8="Драконид",(8/2*7)+K16,0)+(J7+K16)+(M7-1)*((J7/2)+K16)</f>
        <v>20</v>
      </c>
      <c r="Q7" s="608">
        <f>IF(T8="МАКС",100%,BD3/BD2)</f>
        <v>0.2</v>
      </c>
      <c r="R7" s="609"/>
      <c r="S7" s="609"/>
      <c r="T7" s="609"/>
      <c r="U7" s="610"/>
      <c r="V7" s="294">
        <f>IF(L8="Бард",6+K17,IF(L8="Воин",2+K17,IF(L8="Варвар",4+K17,IF(L8="Вор",8+K17,IF(L8="Друид",4+K17,IF(L8="Жрец",2+K17,IF(L8="Волшебник",2+K17,IF(L8="Монах",4+K17,IF(L8="Паладин",2+K17,IF(L8="Рейнджер",6+K17,IF(L8="Чародей",2+K17,0)))))))))))</f>
        <v>0</v>
      </c>
      <c r="W7" s="294">
        <f>IF(L7="Бард",(6+K17)*4+(6+K17)*(M7-1),IF(L7="Воин",(2+K17)*4+(2+K17)*(M7-1),IF(L7="Варвар",(4+K17)*4+(4+K17)*(M7-1),IF(L7="Вор",(8+K17)*4+(8+K17)*(M7-1),IF(L7="Друид",(4+K17)*4+(4+K17)*(M7-1),IF(L7="Жрец",(2+K17)*4+(2+K17)*(M7-1),IF(L7="Маг",(2+K17)*4+(2+K17)*(M7-1),IF(L7="Монах",(4+K17)*4+(4+K17)*(M7-1),IF(L7="Паладин",(2+K17)*4+(2+K17)*(M7-1),IF(L7="Рейнджер",(6+K17)*4+(6+K17)*(M7-1),IF(L7="Чародей",(2+K17)*4+(2+K17)*(M7-1))))))))))))</f>
        <v>9</v>
      </c>
      <c r="X7" s="240"/>
      <c r="Y7" s="239"/>
      <c r="AR7" s="28"/>
    </row>
    <row r="8" spans="1:56" ht="27.75" customHeight="1" thickTop="1" thickBot="1">
      <c r="A8" s="239"/>
      <c r="B8" s="240"/>
      <c r="C8" s="629"/>
      <c r="D8" s="630"/>
      <c r="E8" s="631"/>
      <c r="F8" s="241"/>
      <c r="G8" s="635" t="s">
        <v>860</v>
      </c>
      <c r="H8" s="636"/>
      <c r="I8" s="637"/>
      <c r="J8" s="400">
        <f>IF(L8="Воин",Воин!H1,IF(L8="Бард",Бард!F1,IF(L8="Варвар",Варвар!H1,IF(L8="Вор",Вор!H1,IF(L8="Друид",Друид!H1,IF(L8="Жрец",Жрец!H1,IF(L8="Маг",Маг!H1,IF(L8="Монах",Монах!H1,IF(L8="Паладин",Паладин!H1,IF(L8="Рейнджер",Рейнджер!H1,IF(L8="Чародей",Чародей!H1,IF(L8="Невыбрано",0))))))))))))</f>
        <v>0</v>
      </c>
      <c r="K8" s="342">
        <v>2</v>
      </c>
      <c r="L8" s="309" t="s">
        <v>10</v>
      </c>
      <c r="M8" s="312">
        <v>0</v>
      </c>
      <c r="N8" s="670"/>
      <c r="O8" s="313">
        <f>IF(L8="Воин",VLOOKUP(M8,Воин!G5:L25,2,0),IF(L8="Варвар",VLOOKUP(M8,Варвар!G5:K25,2,0),IF(L8="Вор",VLOOKUP(M8,Вор!G5:K25,2,0),IF(L8="Бард",VLOOKUP(M8,Бард!G1:K22,2,0),IF(L8="Жрец",VLOOKUP(M8,Жрец!G6:H25,2,0),IF(L8="Друид",VLOOKUP(M8,Друид!G6:H25,2,0),IF(L8="Маг",VLOOKUP(M8,Маг!G6:H25,2,0),IF(L8="Монах",VLOOKUP(M8,Монах!G6:H25,2,0),IF(L8="Паладин",VLOOKUP(M8,Паладин!G6:H25,2,0),IF(L8="Рейнджер",VLOOKUP(M8,Рейнджер!G6:H25,2,0),IF(L8="Чародей",VLOOKUP(M8,Чародей!G6:H25,2,0),0)))))))))))</f>
        <v>0</v>
      </c>
      <c r="P8" s="399">
        <f>(J8+K16)+(M8-1)*((J8/2)+K16)</f>
        <v>0</v>
      </c>
      <c r="Q8" s="389">
        <f>IF(G8="Полувеликан",IF(R8&lt;3000,1,IF(R8&lt;6000,2,IF(R8&lt;10000,3,IF(R8&lt;15000,4,IF(R8&lt;21000,5,IF(R8&lt;28000,6,IF(R8&lt;36000,7,IF(R8&lt;45000,8,IF(R8&lt;55000,9,IF(R8&lt;66000,10,IF(R8&lt;78000,11,IF(R8&lt;91000,12,IF(R8&lt;105000,13,IF(R8&lt;120000,14,IF(R8&lt;136000,15,IF(R8&lt;153000,16,IF(R8&lt;171000,17,IF(R8&lt;190000,18,19)))))))))))))))))),IF(G8="Драконид",IF(R8&lt;45000,7,IF(R8&lt;55000,8,IF(R8&lt;66000,9,IF(R8&lt;78000,10,IF(R8&lt;91000,11,IF(R8&lt;105000,12,IF(R8&lt;120000,13,IF(R8&lt;136000,14,IF(R8&lt;153000,15,IF(R8&lt;171000,16,IF(R8&lt;190000,17,18))))))))))),IF(R8&lt;1000,1,IF(R8&lt;3000,2,IF(R8&lt;6000,3,IF(R8&lt;10000,4,IF(R8&lt;15000,5,IF(R8&lt;21000,6,IF(R8&lt;28000,7,IF(R8&lt;36000,8,IF(R8&lt;45000,9,IF(R8&lt;55000,10,IF(R8&lt;66000,11,IF(R8&lt;78000,12,IF(R8&lt;91000,13,IF(R8&lt;105000,14,IF(R8&lt;120000,15,IF(R8&lt;136000,16,IF(R8&lt;153000,17,IF(R8&lt;171000,18,IF(R8&lt;190000,19,20)))))))))))))))))))))</f>
        <v>6</v>
      </c>
      <c r="R8" s="613">
        <v>16200</v>
      </c>
      <c r="S8" s="614"/>
      <c r="T8" s="611">
        <f>IF(G8="Полувеликан",IF(Q8=1,3000-R8,IF(Q8=2,6000-R8,IF(Q8=3,10000-R8,IF(Q8=4,15000-R8,IF(Q8=5,21000-R8,IF(Q8=6,28000-R8,IF(Q8=7,36000-R8,IF(Q8=8,45000-R8,IF(Q8=9,55000-R8,IF(Q8=10,66000-R8,IF(Q8=11,78000-R8,IF(Q8=12,91000-R8,IF(Q8=13,105000-R8,IF(Q8=14,120000-R8,IF(Q8=15,136000-R8,IF(Q8=16,153000-R8,IF(Q8=17,171000-R8,IF(Q8=18,190000-R8,IF(Q8=19,"МАКС",))))))))))))))))))),IF(G8="Драконид",IF(Q8=7,45000-R8,IF(Q8=8,55000-R8,IF(Q8=9,66000-R8,IF(Q8=10,78000-R8,IF(Q8=11,91000-R8,IF(Q8=12,105000-R8,IF(Q8=13,120000-R8,IF(Q8=14,136000-R8,IF(Q8=15,153000-R8,IF(Q8=16,171000-R8,IF(Q8=17,190000-R8,IF(Q8=18,"МАКС",)))))))))))),IF(Q8=1,1000-R8,IF(Q8=2,3000-R8,IF(Q8=3,6000-R8,IF(Q8=4,10000-R8,IF(Q8=5,15000-R8,IF(Q8=6,21000-R8,IF(Q8=7,28000-R8,IF(Q8=8,36000-R8,IF(Q8=9,45000-R8,IF(Q8=10,55000-R8,IF(Q8=11,66000-R8,IF(Q8=12,78000-R8,IF(Q8=13,91000-R8,IF(Q8=14,105000-R8,IF(Q8=15,120000-R8,IF(Q8=16,136000-R8,IF(Q8=17,153000-R8,IF(Q8=18,171000-R8,IF(Q8=19,190000-R8,IF(Q8=20,"МАКС",))))))))))))))))))))))</f>
        <v>4800</v>
      </c>
      <c r="U8" s="612"/>
      <c r="V8" s="294">
        <f>IF(L9="Бард",6+K17,IF(L9="Воин",2+K17,IF(L9="Варвар",4+K17,IF(L9="Вор",8+K17,IF(L9="Друид",4+K17,IF(L9="Жрец",2+K17,IF(L9="Волшебник",2+K17,IF(L9="Монах",4+K17,IF(L9="Паладин",2+K17,IF(L9="Рейнджер",6+K17,IF(L9="Чародей",2+K17,0)))))))))))</f>
        <v>0</v>
      </c>
      <c r="W8" s="294">
        <f>IF(L8="Бард",(6+K17)+(6+K17)*(M8-1),IF(L8="Воин",(2+K17)+(2+K17)*(M8-1),IF(L8="Варвар",(4+K17)+(4+K17)*(M8-1),IF(L8="Вор",(8+K17)+(8+K17)*(M8-1),IF(L8="Друид",(4+K17)+(4+K17)*(M8-1),IF(L8="Жрец",(2+K17)+(2+K17)*(M8-1),IF(L8="Маг",(2+K17)+(2+K17)*(M8-1),IF(L8="Монах",(4+K17)+(4+K17)*(M8-1),IF(L8="Паладин",(2+K17)+(2+K17)*(M8-1),IF(L8="Рейнджер",(6+K17)+(6+K17)*(M8-1),IF(L8="Чародей",(2+K17)+(2+K17)*(M8-1),0)))))))))))</f>
        <v>0</v>
      </c>
      <c r="X8" s="240"/>
      <c r="Y8" s="239"/>
      <c r="AR8" s="28"/>
    </row>
    <row r="9" spans="1:56" ht="32.25" customHeight="1" thickTop="1" thickBot="1">
      <c r="A9" s="239"/>
      <c r="B9" s="240"/>
      <c r="C9" s="629"/>
      <c r="D9" s="630"/>
      <c r="E9" s="631"/>
      <c r="F9" s="241"/>
      <c r="G9" s="638" t="s">
        <v>11</v>
      </c>
      <c r="H9" s="639"/>
      <c r="I9" s="640"/>
      <c r="J9" s="400">
        <f>IF(L9="Воин",Воин!H1,IF(L9="Бард",Бард!F1,IF(L9="Варвар",Варвар!H1,IF(L9="Вор",Вор!H1,IF(L9="Друид",Друид!H1,IF(L9="Жрец",Жрец!H1,IF(L9="Маг",Маг!H1,IF(L9="Монах",Монах!H1,IF(L9="Паладин",Паладин!H1,IF(L9="Рейнджер",Рейнджер!H1,IF(L9="Чародей",Чародей!H1,IF(L9="Невыбрано",0))))))))))))</f>
        <v>0</v>
      </c>
      <c r="K9" s="342">
        <v>3</v>
      </c>
      <c r="L9" s="309" t="s">
        <v>10</v>
      </c>
      <c r="M9" s="312">
        <v>0</v>
      </c>
      <c r="N9" s="670"/>
      <c r="O9" s="313">
        <f>IF(L9="Воин",VLOOKUP(M9,Воин!G5:L25,2,0),IF(L9="Варвар",VLOOKUP(M9,Варвар!G5:K25,2,0),IF(L9="Вор",VLOOKUP(M9,Вор!G5:K25,2,0),IF(L9="Бард",VLOOKUP(M9,Бард!G1:K22,2,0),IF(L9="Жрец",VLOOKUP(M9,Жрец!G6:H25,2,0),IF(L9="Друид",VLOOKUP(M9,Друид!G6:H25,2,0),IF(L9="Маг",VLOOKUP(M9,Маг!G6:H25,2,0),IF(L9="Монах",VLOOKUP(M9,Монах!G6:H25,2,0),IF(L9="Паладин",VLOOKUP(M9,Паладин!G6:H25,2,0),IF(L9="Рейнджер",VLOOKUP(M9,Рейнджер!G6:H25,2,0),IF(L9="Чародей",VLOOKUP(M9,Чародей!G6:H25,2,0),0)))))))))))</f>
        <v>0</v>
      </c>
      <c r="P9" s="399">
        <f>(J9+K16)+(M9-1)*((J9/2)+K16)</f>
        <v>0</v>
      </c>
      <c r="Q9" s="331" t="s">
        <v>2</v>
      </c>
      <c r="R9" s="624" t="s">
        <v>7</v>
      </c>
      <c r="S9" s="624"/>
      <c r="T9" s="624" t="s">
        <v>910</v>
      </c>
      <c r="U9" s="625"/>
      <c r="V9" s="294">
        <f>IF(L10="Бард",6+K17,IF(L10="Воин",2+K17,IF(L10="Варвар",4+K17,IF(L10="Вор",8+K17,IF(L10="Друид",4+K17,IF(L10="Жрец",2+K17,IF(L10="Волшебник",2+K17,IF(L10="Монах",4+K17,IF(L10="Паладин",2+K17,IF(L10="Рейнджер",6+K17,IF(L10="Чародей",2+K17,0)))))))))))</f>
        <v>0</v>
      </c>
      <c r="W9" s="294">
        <f>IF(L9="Бард",(6+K17)+(6+K17)*(M9-1),IF(L9="Воин",(2+K17)+(2+K17)*(M9-1),IF(L9="Варвар",(4+K17)+(4+K17)*(M9-1),IF(L9="Вор",(8+K17)+(8+K17)*(M9-1),IF(L9="Друид",(4+K17)+(4+K17)*(M9-1),IF(L9="Жрец",(2+K17)+(2+K17)*(M9-1),IF(L9="Маг",(2+K17)+(2+K17)*(M9-1),IF(L9="Монах",(4+K17)+(4+K17)*(M9-1),IF(L9="Паладин",(2+K17)+(2+K17)*(M9-1),IF(L9="Рейнджер",(6+K17)+(6+K17)*(M9-1),IF(L9="Чародей",(2+K17)+(2+K17)*(M9-1),0)))))))))))</f>
        <v>0</v>
      </c>
      <c r="X9" s="240"/>
      <c r="Y9" s="239"/>
      <c r="AR9" s="28"/>
    </row>
    <row r="10" spans="1:56" ht="31.5" customHeight="1" thickTop="1" thickBot="1">
      <c r="A10" s="239"/>
      <c r="B10" s="240"/>
      <c r="C10" s="629"/>
      <c r="D10" s="630"/>
      <c r="E10" s="631"/>
      <c r="F10" s="241"/>
      <c r="G10" s="339" t="str">
        <f>IF(OR(G8="Гном",G8="Хафлинг",G8="Кобольд",),"Маленький",IF(G8="Драконид","Большой","Средний"))</f>
        <v>Средний</v>
      </c>
      <c r="H10" s="401" t="s">
        <v>929</v>
      </c>
      <c r="I10" s="340">
        <v>33</v>
      </c>
      <c r="J10" s="400">
        <f>IF(L10="Воин",Воин!H1,IF(L10="Бард",Бард!F1,IF(L10="Варвар",Варвар!H1,IF(L10="Вор",Вор!H1,IF(L10="Друид",Друид!H1,IF(L10="Жрец",Жрец!H1,IF(L10="Маг",Маг!H1,IF(L10="Монах",Монах!H1,IF(L10="Паладин",Паладин!H1,IF(L10="Рейнджер",Рейнджер!H1,IF(L10="Чародей",Чародей!H1,IF(L10="Невыбрано",0))))))))))))</f>
        <v>0</v>
      </c>
      <c r="K10" s="342">
        <v>4</v>
      </c>
      <c r="L10" s="309" t="s">
        <v>10</v>
      </c>
      <c r="M10" s="312">
        <v>0</v>
      </c>
      <c r="N10" s="670"/>
      <c r="O10" s="313">
        <f>IF(L10="Воин",VLOOKUP(M10,Воин!G5:L25,2,0),IF(L10="Варвар",VLOOKUP(M10,Варвар!G5:K25,2,0),IF(L10="Вор",VLOOKUP(M10,Вор!G5:K25,2,0),IF(L10="Бард",VLOOKUP(M10,Бард!G1:K22,2,0),IF(L10="Жрец",VLOOKUP(M10,Жрец!G6:H25,2,0),IF(L10="Друид",VLOOKUP(M10,Друид!G6:H25,2,0),IF(L10="Маг",VLOOKUP(M10,Маг!G6:H25,2,0),IF(L10="Монах",VLOOKUP(M10,Монах!G6:H25,2,0),IF(L10="Паладин",VLOOKUP(M10,Паладин!G6:H25,2,0),IF(L10="Рейнджер",VLOOKUP(M10,Рейнджер!G6:H25,2,0),IF(L10="Чародей",VLOOKUP(M10,Чародей!G6:H25,2,0),0)))))))))))</f>
        <v>0</v>
      </c>
      <c r="P10" s="399">
        <f>(J10+K16)+(M10-1)*((J10/2)+K16)</f>
        <v>0</v>
      </c>
      <c r="Q10" s="619" t="s">
        <v>668</v>
      </c>
      <c r="R10" s="620"/>
      <c r="S10" s="621"/>
      <c r="T10" s="622"/>
      <c r="U10" s="623"/>
      <c r="V10" s="294">
        <f>IF(L11="Бард",6+K17,IF(L11="Воин",2+K17,IF(L11="Варвар",4+K17,IF(L11="Вор",8+K17,IF(L11="Друид",4+K17,IF(L11="Жрец",2+K17,IF(L11="Волшебник",2+K17,IF(L11="Монах",4+K17,IF(L11="Паладин",2+K17,IF(L11="Рейнджер",6+K17,IF(L11="Чародей",2+K17,0)))))))))))</f>
        <v>0</v>
      </c>
      <c r="W10" s="294">
        <f>IF(L10="Бард",(6+K17)+(6+K17)*(M10-1),IF(L10="Воин",(2+K17)+(2+K17)*(M10-1),IF(L10="Варвар",(4+K17)+(4+K17)*(M10-1),IF(L10="Вор",(8+K17)+(8+K17)*(M10-1),IF(L10="Друид",(4+K17)+(4+K17)*(M10-1),IF(L10="Жрец",(2+K17)+(2+K17)*(M10-1),IF(L10="Маг",(2+K17)+(2+K17)*(M10-1),IF(L10="Монах",(4+K17)+(4+K17)*(M10-1),IF(L10="Паладин",(2+K17)+(2+K17)*(M10-1),IF(L10="Рейнджер",(6+K17)+(6+K17)*(M10-1),IF(L10="Чародей",(2+K17)+(2+K17)*(M10-1),0)))))))))))</f>
        <v>0</v>
      </c>
      <c r="X10" s="240"/>
      <c r="Y10" s="239"/>
      <c r="AR10" s="28"/>
    </row>
    <row r="11" spans="1:56" ht="27.75" customHeight="1" thickTop="1" thickBot="1">
      <c r="A11" s="239"/>
      <c r="B11" s="240"/>
      <c r="C11" s="632"/>
      <c r="D11" s="633"/>
      <c r="E11" s="634"/>
      <c r="F11" s="241"/>
      <c r="G11" s="402" t="s">
        <v>14</v>
      </c>
      <c r="H11" s="401" t="str">
        <f>IF(G8="Драконорожденный","Аспект","")</f>
        <v/>
      </c>
      <c r="I11" s="406" t="s">
        <v>15</v>
      </c>
      <c r="J11" s="400">
        <f>IF(L11="Воин",Воин!H1,IF(L11="Бард",Бард!F1,IF(L11="Варвар",Варвар!H1,IF(L11="Вор",Вор!H1,IF(L11="Друид",Друид!H1,IF(L11="Жрец",Жрец!H1,IF(L11="Маг",Маг!H1,IF(L11="Монах",Монах!H1,IF(L11="Паладин",Паладин!H1,IF(L11="Рейнджер",Рейнджер!H1,IF(L11="Чародей",Чародей!H1,IF(L11="Невыбрано",0))))))))))))</f>
        <v>0</v>
      </c>
      <c r="K11" s="343">
        <v>5</v>
      </c>
      <c r="L11" s="309" t="s">
        <v>10</v>
      </c>
      <c r="M11" s="386">
        <v>0</v>
      </c>
      <c r="N11" s="671"/>
      <c r="O11" s="314">
        <f>IF(L11="Воин",VLOOKUP(M11,Воин!G5:L25,2,0),IF(L11="Варвар",VLOOKUP(M11,Варвар!G5:K25,2,0),IF(L11="Вор",VLOOKUP(M11,Вор!G5:K25,2,0),IF(L11="Бард",VLOOKUP(M11,Бард!G1:K22,2,0),IF(L11="Жрец",VLOOKUP(M11,Жрец!G6:H25,2,0),IF(L11="Друид",VLOOKUP(M11,Друид!G6:H25,2,0),IF(L11="Маг",VLOOKUP(M11,Маг!G6:H25,2,0),IF(L11="Монах",VLOOKUP(M11,Монах!G6:H25,2,0),IF(L11="Паладин",VLOOKUP(M11,Паладин!G6:H25,2,0),IF(L11="Рейнджер",VLOOKUP(M11,Рейнджер!G6:H25,2,0),IF(L11="Чародей",VLOOKUP(M11,Чародей!G6:H25,2,0),0)))))))))))</f>
        <v>0</v>
      </c>
      <c r="P11" s="399">
        <f>(J11+K16)+(M11-1)*((J11/2)+K16)</f>
        <v>0</v>
      </c>
      <c r="Q11" s="615" t="s">
        <v>12</v>
      </c>
      <c r="R11" s="616"/>
      <c r="S11" s="617" t="s">
        <v>13</v>
      </c>
      <c r="T11" s="617"/>
      <c r="U11" s="618"/>
      <c r="V11" s="240"/>
      <c r="W11" s="294">
        <f>IF(L11="Бард",(6+K17)+(6+K17)*(M11-1),IF(L11="Воин",(2+K17)+(2+K17)*(M11-1),IF(L11="Варвар",(4+K17)+(4+K17)*(M11-1),IF(L11="Вор",(8+K17)+(8+K17)*(M11-1),IF(L11="Друид",(4+K17)+(4+K17)*(M11-1),IF(L11="Жрец",(2+K17)+(2+K17)*(M11-1),IF(L11="Маг",(2+K17)+(2+K17)*(M11-1),IF(L11="Монах",(4+K17)+(4+K17)*(M11-1),IF(L11="Паладин",(2+K17)+(2+K17)*(M11-1),IF(L11="Рейнджер",(6+K17)+(6+K17)*(M11-1),IF(L11="Чародей",(2+K17)+(2+K17)*(M11-1),0)))))))))))</f>
        <v>0</v>
      </c>
      <c r="X11" s="240"/>
      <c r="Y11" s="239"/>
    </row>
    <row r="12" spans="1:56" ht="27.75" customHeight="1" thickTop="1" thickBot="1">
      <c r="A12" s="239"/>
      <c r="B12" s="240"/>
      <c r="C12" s="240"/>
      <c r="D12" s="641"/>
      <c r="E12" s="641"/>
      <c r="F12" s="641"/>
      <c r="G12" s="641"/>
      <c r="H12" s="641"/>
      <c r="I12" s="240"/>
      <c r="J12" s="240"/>
      <c r="K12" s="290"/>
      <c r="L12" s="240"/>
      <c r="M12" s="240"/>
      <c r="N12" s="240"/>
      <c r="O12" s="240"/>
      <c r="P12" s="291"/>
      <c r="Q12" s="291"/>
      <c r="R12" s="240"/>
      <c r="S12" s="240"/>
      <c r="T12" s="240"/>
      <c r="U12" s="240"/>
      <c r="V12" s="240"/>
      <c r="W12" s="240"/>
      <c r="X12" s="240"/>
      <c r="Y12" s="239"/>
    </row>
    <row r="13" spans="1:56" ht="38.25" customHeight="1" thickTop="1" thickBot="1">
      <c r="A13" s="239"/>
      <c r="B13" s="240"/>
      <c r="C13" s="298"/>
      <c r="D13" s="329"/>
      <c r="E13" s="330" t="s">
        <v>16</v>
      </c>
      <c r="F13" s="330" t="s">
        <v>158</v>
      </c>
      <c r="G13" s="330" t="s">
        <v>159</v>
      </c>
      <c r="H13" s="330" t="s">
        <v>160</v>
      </c>
      <c r="I13" s="330" t="s">
        <v>161</v>
      </c>
      <c r="J13" s="330" t="s">
        <v>21</v>
      </c>
      <c r="K13" s="241"/>
      <c r="L13" s="240"/>
      <c r="M13" s="290"/>
      <c r="N13" s="290"/>
      <c r="O13" s="606" t="s">
        <v>908</v>
      </c>
      <c r="P13" s="607"/>
      <c r="Q13" s="240"/>
      <c r="R13" s="672" t="s">
        <v>22</v>
      </c>
      <c r="S13" s="673"/>
      <c r="T13" s="240"/>
      <c r="U13" s="409" t="s">
        <v>24</v>
      </c>
      <c r="V13" s="404">
        <f>IF(G8="Драконид","Полет",0)</f>
        <v>0</v>
      </c>
      <c r="W13" s="240"/>
      <c r="X13" s="241"/>
      <c r="Y13" s="239"/>
    </row>
    <row r="14" spans="1:56" ht="38.25" customHeight="1" thickTop="1" thickBot="1">
      <c r="A14" s="239"/>
      <c r="B14" s="240"/>
      <c r="C14" s="298"/>
      <c r="D14" s="315" t="s">
        <v>25</v>
      </c>
      <c r="E14" s="316">
        <v>12</v>
      </c>
      <c r="F14" s="317">
        <f t="shared" ref="F14:F19" si="0">E14+J14+H14+I14</f>
        <v>12</v>
      </c>
      <c r="G14" s="317" t="str">
        <f>IF(F14=9,-1,IF(F14&lt;10,-1*FLOOR(ABS((F14-10))/2,1),"+"&amp;1*FLOOR(ABS((F14-10)/2),1)))</f>
        <v>+1</v>
      </c>
      <c r="H14" s="318"/>
      <c r="I14" s="318"/>
      <c r="J14" s="319" t="str">
        <f>IF(G8="Гном",-2,IF(G8="Полуорк","+"&amp;2,IF(G8="Хафлинг",-2,IF(G8="Кобольд",-4,IF(G8="Полувеликан","+"&amp;2,IF(G8="Драконид","+"&amp;8,"+"&amp;0))))))</f>
        <v>+0</v>
      </c>
      <c r="K14" s="445" t="str">
        <f>IF(E14=9,-1,IF(E14&lt;10,-1*FLOOR(ABS((E14-10))/2,1),"+"&amp;1*FLOOR(ABS((E14-10)/2),1)))</f>
        <v>+1</v>
      </c>
      <c r="L14" s="242" t="s">
        <v>26</v>
      </c>
      <c r="M14" s="243">
        <f>IF(L11="Воин",Воин!H1,IF(L11="Бард",Бард!F1,IF(L11="Варвар",Варвар!H1,IF(L11="Вор",Вор!H1,IF(L11="Друид",Друид!H1,IF(L11="Жрец",Жрец!H1,IF(L11="Маг",Маг!H1,IF(L11="Монах",Монах!H1,IF(L11="Паладин",Паладин!H1,IF(L11="Рейнджер",Рейнджер!H1,IF(L11="Чародей",Чародей!H1,IF(L11="Невыбрано",IF(L10="Воин",Воин!H1,IF(L10="Бард",Бард!F1,IF(L10="Варвар",Варвар!H1,IF(L10="Вор",Вор!H1,IF(L10="Друид",Друид!H1,IF(L10="Жрец",Жрец!H1,IF(L10="Маг",Маг!H1,IF(L10="Монах",Монах!H1,IF(L10="Паладин",Паладин!H1,IF(L10="Рейнджер",Рейнджер!H1,IF(L10="Чародей",Чародей!H1,IF(L10="Невыбрано",IF(L9="Воин",Воин!H1,IF(L9="Бард",Бард!F1,IF(L9="Варвар",Варвар!H1,IF(L9="Вор",Вор!H1,IF(L9="Друид",Друид!H1,IF(L9="Жрец",Жрец!H1,IF(L9="Маг",Маг!H1,IF(L9="Монах",Монах!H1,IF(L9="Паладин",Паладин!H1,IF(L9="Рейнджер",Рейнджер!H1,IF(L9="Чародей",Чародей!H1,IF(L9="Невыбрано",IF(L8="Воин",Воин!H1,IF(L8="Бард",Бард!F1,IF(L8="Варвар",Варвар!H1,IF(L8="Вор",Вор!H1,IF(L8="Друид",Друид!H1,IF(L8="Жрец",Жрец!H1,IF(L8="Маг",Маг!H1,IF(L8="Монах",Монах!H1,IF(L8="Паладин",Паладин!H1,IF(L8="Рейнджер",Рейнджер!H1,IF(L8="Чародей",Чародей!H1,IF(L8="Невыбрано",IF(L7="Воин",Воин!H1,IF(L7="Бард",Бард!F1,IF(L7="Варвар",Варвар!H1,IF(L7="Вор",Вор!H1,IF(L7="Друид",Друид!H1,IF(L7="Жрец",Жрец!H1,IF(L7="Маг",Маг!H1,IF(L7="Монах",Монах!H1,IF(L7="Паладин",Паладин!H1,IF(L7="Рейнджер",Рейнджер!H1,IF(L7="Чародей",Чародей!H1,0)))))))))))))))))))))))))))))))))))))))))))))))))))))))))))</f>
        <v>4</v>
      </c>
      <c r="N14" s="290"/>
      <c r="O14" s="674">
        <v>42</v>
      </c>
      <c r="P14" s="675"/>
      <c r="Q14" s="240"/>
      <c r="R14" s="667">
        <v>42</v>
      </c>
      <c r="S14" s="668"/>
      <c r="T14" s="240"/>
      <c r="U14" s="410">
        <v>30</v>
      </c>
      <c r="V14" s="408">
        <f>IF(G8="Драконид",40,0)</f>
        <v>0</v>
      </c>
      <c r="W14" s="240"/>
      <c r="X14" s="241"/>
      <c r="Y14" s="239"/>
    </row>
    <row r="15" spans="1:56" ht="33.75" customHeight="1" thickTop="1" thickBot="1">
      <c r="A15" s="239"/>
      <c r="B15" s="240"/>
      <c r="C15" s="298"/>
      <c r="D15" s="320" t="s">
        <v>27</v>
      </c>
      <c r="E15" s="321">
        <v>15</v>
      </c>
      <c r="F15" s="322">
        <f t="shared" si="0"/>
        <v>15</v>
      </c>
      <c r="G15" s="317" t="str">
        <f t="shared" ref="G15:G17" si="1">IF(F15=9,-1,IF(F15&lt;10,-1*FLOOR(ABS((F15-10))/2,1),"+"&amp;1*FLOOR(ABS((F15-10)/2),1)))</f>
        <v>+2</v>
      </c>
      <c r="H15" s="267"/>
      <c r="I15" s="267"/>
      <c r="J15" s="323" t="str">
        <f>IF(G8="Хафлинг","+"&amp;2,IF(G8="Эльф","+"&amp;2,IF(G8="Тобакси","+"&amp;4,IF(G8="Кобольд","+"&amp;2,IF(G8="Полувеликан",-2,IF(G8="Драконорожденный",-2,IF(G8="Драконид","+"&amp;2,"+"&amp;0)))))))</f>
        <v>+0</v>
      </c>
      <c r="K15" s="445" t="str">
        <f>IF(E15=9,-1,IF(E15&lt;10,-1*FLOOR(ABS((E15-10))/2,1),"+"&amp;1*FLOOR(ABS((E15-10)/2),1)))</f>
        <v>+2</v>
      </c>
      <c r="L15" s="240"/>
      <c r="M15" s="240"/>
      <c r="N15" s="240"/>
      <c r="O15" s="240"/>
      <c r="P15" s="240"/>
      <c r="Q15" s="240"/>
      <c r="R15" s="240"/>
      <c r="S15" s="240"/>
      <c r="T15" s="240"/>
      <c r="U15" s="240"/>
      <c r="V15" s="240"/>
      <c r="W15" s="240"/>
      <c r="X15" s="241"/>
      <c r="Y15" s="239"/>
    </row>
    <row r="16" spans="1:56" ht="42.75" customHeight="1" thickTop="1" thickBot="1">
      <c r="A16" s="239"/>
      <c r="B16" s="240"/>
      <c r="C16" s="298"/>
      <c r="D16" s="320" t="s">
        <v>28</v>
      </c>
      <c r="E16" s="321">
        <v>12</v>
      </c>
      <c r="F16" s="322">
        <f t="shared" si="0"/>
        <v>12</v>
      </c>
      <c r="G16" s="317" t="str">
        <f t="shared" si="1"/>
        <v>+1</v>
      </c>
      <c r="H16" s="267"/>
      <c r="I16" s="267"/>
      <c r="J16" s="323" t="str">
        <f>IF(G8="Гном","+"&amp;2,IF(G8="Дварф","+"&amp;2,IF(G8="Эльф",-2,IF(G8="Кобольд",-2,IF(G8="Полувеликан","+"&amp;2,IF(G8="Драконорожденный","+"&amp;2,IF(G8="Драконид","+"&amp;2,"+"&amp;0)))))))</f>
        <v>+0</v>
      </c>
      <c r="K16" s="445" t="str">
        <f>IF(E16=9,-1,IF(E16&lt;10,-1*FLOOR(ABS((E16-10))/2,1),"+"&amp;1*FLOOR(ABS((E16-10)/2),1)))</f>
        <v>+1</v>
      </c>
      <c r="L16" s="244" t="s">
        <v>29</v>
      </c>
      <c r="M16" s="245">
        <f>O16+P16+Q16+R16+S16+T16+U16+V16+IF(OR(L11="Монах",L10="Монах",L9="Монах",L8="Монах",L7="Монах"),G18+IF('Лист персонажа 1'!L11="Монах",VLOOKUP('Лист персонажа 1'!M11,Монах!G6:T25,13,0),IF('Лист персонажа 1'!L10="Монах",VLOOKUP('Лист персонажа 1'!M10,Монах!G6:T25,13,0),IF('Лист персонажа 1'!L9="Монах",VLOOKUP('Лист персонажа 1'!M9,Монах!G6:T25,13,0),IF('Лист персонажа 1'!L8="Монах",VLOOKUP('Лист персонажа 1'!M8,Монах!G6:T25,13,0),IF('Лист персонажа 1'!L7="Монах",VLOOKUP('Лист персонажа 1'!M7,Монах!G6:T25,13,0),0))))),0)</f>
        <v>17</v>
      </c>
      <c r="N16" s="246" t="s">
        <v>30</v>
      </c>
      <c r="O16" s="246">
        <v>10</v>
      </c>
      <c r="P16" s="249">
        <v>5</v>
      </c>
      <c r="Q16" s="249"/>
      <c r="R16" s="249" t="str">
        <f>G15</f>
        <v>+2</v>
      </c>
      <c r="S16" s="249" t="str">
        <f>"+"&amp;IF(G8="Драконид",-1,0)+IF(G10 = "Маленький", 1, IF(G10 = "Средний", 0, IF(G10 = "Большой", 2, "ERROR")))</f>
        <v>+0</v>
      </c>
      <c r="T16" s="249" t="str">
        <f>"+"&amp;IF(G8="Тобакси",1,IF(G8="Кобольд",1,IF(G8="Драконид",7,0)))</f>
        <v>+0</v>
      </c>
      <c r="U16" s="249"/>
      <c r="V16" s="250"/>
      <c r="W16" s="240"/>
      <c r="X16" s="241"/>
      <c r="Y16" s="239"/>
    </row>
    <row r="17" spans="1:32" ht="38.25" customHeight="1" thickTop="1" thickBot="1">
      <c r="A17" s="239"/>
      <c r="B17" s="240"/>
      <c r="C17" s="298"/>
      <c r="D17" s="320" t="s">
        <v>31</v>
      </c>
      <c r="E17" s="321">
        <v>8</v>
      </c>
      <c r="F17" s="322">
        <f t="shared" si="0"/>
        <v>8</v>
      </c>
      <c r="G17" s="317">
        <f t="shared" si="1"/>
        <v>-1</v>
      </c>
      <c r="H17" s="267"/>
      <c r="I17" s="267"/>
      <c r="J17" s="323" t="str">
        <f>IF(G8="Полуорк",-2,"+"&amp;0)</f>
        <v>+0</v>
      </c>
      <c r="K17" s="445">
        <f>IF(E17=9,-1,IF(E17&lt;10,-1*FLOOR(ABS((E17-10))/2,1),"+"&amp;1*FLOOR(ABS((E17-10)/2),1)))</f>
        <v>-1</v>
      </c>
      <c r="L17" s="240"/>
      <c r="M17" s="240"/>
      <c r="N17" s="240"/>
      <c r="O17" s="240"/>
      <c r="P17" s="306" t="s">
        <v>32</v>
      </c>
      <c r="Q17" s="307" t="s">
        <v>33</v>
      </c>
      <c r="R17" s="307" t="s">
        <v>162</v>
      </c>
      <c r="S17" s="307" t="s">
        <v>163</v>
      </c>
      <c r="T17" s="307" t="s">
        <v>36</v>
      </c>
      <c r="U17" s="307" t="s">
        <v>164</v>
      </c>
      <c r="V17" s="308" t="s">
        <v>165</v>
      </c>
      <c r="W17" s="240"/>
      <c r="X17" s="241"/>
      <c r="Y17" s="239"/>
    </row>
    <row r="18" spans="1:32" ht="38.25" customHeight="1" thickTop="1" thickBot="1">
      <c r="A18" s="239"/>
      <c r="B18" s="240"/>
      <c r="C18" s="298"/>
      <c r="D18" s="320" t="s">
        <v>39</v>
      </c>
      <c r="E18" s="321">
        <v>16</v>
      </c>
      <c r="F18" s="322">
        <f t="shared" si="0"/>
        <v>16</v>
      </c>
      <c r="G18" s="317" t="str">
        <f>IF(F18=9,-1,IF(F18&lt;10,-1*FLOOR(ABS((F18-10))/2,1),"+"&amp;1*FLOOR(ABS((F18-10)/2),1)))</f>
        <v>+3</v>
      </c>
      <c r="H18" s="267"/>
      <c r="I18" s="267"/>
      <c r="J18" s="323" t="str">
        <f>IF(G8="Драконид","+"&amp;4,"+"&amp;0)</f>
        <v>+0</v>
      </c>
      <c r="K18" s="445" t="str">
        <f>IF(F18=9,-1,IF(F18&lt;10,-1*FLOOR(ABS((F18-10))/2,1),"+"&amp;1*FLOOR(ABS((F18-10)/2),1)))</f>
        <v>+3</v>
      </c>
      <c r="L18" s="240"/>
      <c r="M18" s="240"/>
      <c r="N18" s="240"/>
      <c r="O18" s="240"/>
      <c r="P18" s="240"/>
      <c r="Q18" s="240"/>
      <c r="R18" s="240"/>
      <c r="S18" s="240"/>
      <c r="T18" s="240"/>
      <c r="U18" s="240"/>
      <c r="V18" s="240"/>
      <c r="W18" s="240"/>
      <c r="X18" s="241"/>
      <c r="Y18" s="239"/>
    </row>
    <row r="19" spans="1:32" ht="38.25" customHeight="1" thickTop="1" thickBot="1">
      <c r="A19" s="239"/>
      <c r="B19" s="240"/>
      <c r="C19" s="298"/>
      <c r="D19" s="324" t="s">
        <v>40</v>
      </c>
      <c r="E19" s="325">
        <v>8</v>
      </c>
      <c r="F19" s="326">
        <f t="shared" si="0"/>
        <v>8</v>
      </c>
      <c r="G19" s="326">
        <f>IF(F19=9,-1,IF(F19&lt;10,-1*FLOOR(ABS((F19-10))/2,1),"+"&amp;1*FLOOR(ABS((F19-10)/2),1)))</f>
        <v>-1</v>
      </c>
      <c r="H19" s="327"/>
      <c r="I19" s="327"/>
      <c r="J19" s="328" t="str">
        <f>IF(G8="Дварф",-2,IF(G8="Полуорк",-2,IF(G8="Тобакси","+"&amp;2,IF(G8="Драконид","+"&amp;2,"+"&amp;0))))</f>
        <v>+0</v>
      </c>
      <c r="K19" s="445">
        <f>IF(E19=9,-1,IF(E19&lt;10,-1*FLOOR(ABS((E19-10))/2,1),"+"&amp;1*FLOOR(ABS((E19-10)/2),1)))</f>
        <v>-1</v>
      </c>
      <c r="L19" s="247" t="s">
        <v>41</v>
      </c>
      <c r="M19" s="248">
        <f>O19+P19</f>
        <v>6</v>
      </c>
      <c r="N19" s="248" t="s">
        <v>42</v>
      </c>
      <c r="O19" s="251" t="str">
        <f>G15</f>
        <v>+2</v>
      </c>
      <c r="P19" s="252">
        <v>4</v>
      </c>
      <c r="Q19" s="240"/>
      <c r="R19" s="240"/>
      <c r="S19" s="240"/>
      <c r="T19" s="240"/>
      <c r="U19" s="240"/>
      <c r="V19" s="240"/>
      <c r="W19" s="240"/>
      <c r="X19" s="241"/>
      <c r="Y19" s="239"/>
    </row>
    <row r="20" spans="1:32" ht="38.25" customHeight="1" thickTop="1" thickBot="1">
      <c r="A20" s="239"/>
      <c r="B20" s="240"/>
      <c r="C20" s="240"/>
      <c r="D20" s="240"/>
      <c r="E20" s="240"/>
      <c r="F20" s="240"/>
      <c r="G20" s="240"/>
      <c r="H20" s="240"/>
      <c r="I20" s="240"/>
      <c r="J20" s="241"/>
      <c r="K20" s="241"/>
      <c r="L20" s="240"/>
      <c r="M20" s="240"/>
      <c r="N20" s="240"/>
      <c r="O20" s="304" t="s">
        <v>162</v>
      </c>
      <c r="P20" s="305" t="s">
        <v>165</v>
      </c>
      <c r="Q20" s="240"/>
      <c r="R20" s="240"/>
      <c r="S20" s="240"/>
      <c r="T20" s="240"/>
      <c r="U20" s="240"/>
      <c r="V20" s="240"/>
      <c r="W20" s="240"/>
      <c r="X20" s="240"/>
      <c r="Y20" s="239"/>
    </row>
    <row r="21" spans="1:32" ht="18.75" customHeight="1" thickBot="1">
      <c r="A21" s="239"/>
      <c r="B21" s="240"/>
      <c r="C21" s="240"/>
      <c r="D21" s="240"/>
      <c r="E21" s="241"/>
      <c r="F21" s="241"/>
      <c r="G21" s="241"/>
      <c r="H21" s="241"/>
      <c r="I21" s="241"/>
      <c r="J21" s="241"/>
      <c r="K21" s="241"/>
      <c r="L21" s="241"/>
      <c r="M21" s="241"/>
      <c r="N21" s="241"/>
      <c r="O21" s="240"/>
      <c r="P21" s="241"/>
      <c r="Q21" s="241"/>
      <c r="R21" s="241"/>
      <c r="S21" s="241"/>
      <c r="T21" s="241"/>
      <c r="U21" s="241"/>
      <c r="V21" s="241"/>
      <c r="W21" s="240"/>
      <c r="X21" s="240"/>
      <c r="Y21" s="239"/>
    </row>
    <row r="22" spans="1:32" ht="36.75" customHeight="1" thickBot="1">
      <c r="A22" s="239"/>
      <c r="B22" s="240"/>
      <c r="C22" s="297"/>
      <c r="D22" s="646" t="s">
        <v>43</v>
      </c>
      <c r="E22" s="646"/>
      <c r="F22" s="646"/>
      <c r="G22" s="646"/>
      <c r="H22" s="646"/>
      <c r="I22" s="646"/>
      <c r="J22" s="647"/>
      <c r="K22" s="241"/>
      <c r="L22" s="665" t="s">
        <v>44</v>
      </c>
      <c r="M22" s="666"/>
      <c r="N22" s="364"/>
      <c r="O22" s="364"/>
      <c r="P22" s="301" t="s">
        <v>45</v>
      </c>
      <c r="Q22" s="302">
        <f>S22-Q24-Q25-Q26-Q27-Q28-Q29-Q30-Q31-Q32-Q33-Q34-Q35-Q36-Q37-Q38-Q39-Q40-Q41-Q42-Q43-Q44-Q45-Q46-Q47-Q48-Q49-Q50-Q51-Q52-Q53-Q54-Q55-Q56-Q57-Q58-Q59-Q60-Q61-Q62-Q63-Q64-Q65-Q66-Q67</f>
        <v>0</v>
      </c>
      <c r="R22" s="302" t="s">
        <v>46</v>
      </c>
      <c r="S22" s="303">
        <f>W7+W8+W9+W10+W11+IF(G8="Человек",(Q8-1)+4,IF(G8="Драконид",10*+(2+K17),0))</f>
        <v>18</v>
      </c>
      <c r="T22" s="241"/>
      <c r="U22" s="241"/>
      <c r="V22" s="295"/>
      <c r="W22" s="240"/>
      <c r="X22" s="240"/>
      <c r="Y22" s="239"/>
    </row>
    <row r="23" spans="1:32" ht="42" customHeight="1" thickTop="1">
      <c r="A23" s="239"/>
      <c r="B23" s="240"/>
      <c r="C23" s="297"/>
      <c r="D23" s="648" t="s">
        <v>1172</v>
      </c>
      <c r="E23" s="648"/>
      <c r="F23" s="648"/>
      <c r="G23" s="648"/>
      <c r="H23" s="648"/>
      <c r="I23" s="648"/>
      <c r="J23" s="649"/>
      <c r="K23" s="241"/>
      <c r="L23" s="659" t="s">
        <v>47</v>
      </c>
      <c r="M23" s="660"/>
      <c r="N23" s="300" t="s">
        <v>48</v>
      </c>
      <c r="O23" s="300" t="s">
        <v>49</v>
      </c>
      <c r="P23" s="300" t="s">
        <v>1</v>
      </c>
      <c r="Q23" s="300" t="s">
        <v>50</v>
      </c>
      <c r="R23" s="300" t="s">
        <v>51</v>
      </c>
      <c r="S23" s="300" t="s">
        <v>52</v>
      </c>
      <c r="T23" s="241"/>
      <c r="U23" s="241"/>
      <c r="V23" s="241"/>
      <c r="W23" s="241"/>
      <c r="X23" s="241"/>
      <c r="Y23" s="239"/>
    </row>
    <row r="24" spans="1:32" ht="32.25" customHeight="1">
      <c r="A24" s="239"/>
      <c r="B24" s="240"/>
      <c r="C24" s="297"/>
      <c r="D24" s="650"/>
      <c r="E24" s="650"/>
      <c r="F24" s="650"/>
      <c r="G24" s="650"/>
      <c r="H24" s="650"/>
      <c r="I24" s="650"/>
      <c r="J24" s="651"/>
      <c r="K24" s="241"/>
      <c r="L24" s="661" t="s">
        <v>53</v>
      </c>
      <c r="M24" s="662"/>
      <c r="N24" s="429">
        <f>IF(P24=CHAR(252),Q24+R24+S24+G15,FLOOR(Q24/2,1)+R24+S24+G15)</f>
        <v>2</v>
      </c>
      <c r="O24" s="430" t="s">
        <v>166</v>
      </c>
      <c r="P24" s="431" t="str">
        <f>IF(OR(L11="Вор",L10="Вор",L9="Вор",L8="Вор",L7="Вор",L11="Монах",L10="Монах",L9="Монах",L8="Монах",L7="Монах"),  CHAR(252),CHAR(251))</f>
        <v>ы</v>
      </c>
      <c r="Q24" s="435">
        <v>0</v>
      </c>
      <c r="R24" s="432"/>
      <c r="S24" s="433"/>
      <c r="T24" s="425"/>
      <c r="U24" s="426"/>
      <c r="V24" s="427"/>
      <c r="W24" s="241"/>
      <c r="X24" s="241"/>
      <c r="Y24" s="239"/>
    </row>
    <row r="25" spans="1:32" ht="32.25" customHeight="1">
      <c r="A25" s="239"/>
      <c r="B25" s="240"/>
      <c r="C25" s="297"/>
      <c r="D25" s="650"/>
      <c r="E25" s="650"/>
      <c r="F25" s="650"/>
      <c r="G25" s="650"/>
      <c r="H25" s="650"/>
      <c r="I25" s="650"/>
      <c r="J25" s="651"/>
      <c r="K25" s="241"/>
      <c r="L25" s="661" t="s">
        <v>167</v>
      </c>
      <c r="M25" s="662"/>
      <c r="N25" s="429">
        <f>IF(P25=CHAR(252),Q25+R25+S25+G15,FLOOR(Q25/2,1)+R25+S25+G15)</f>
        <v>3</v>
      </c>
      <c r="O25" s="430" t="s">
        <v>166</v>
      </c>
      <c r="P25" s="431" t="str">
        <f>IF(OR(L11="Вор",L10="Вор",L9="Вор",L8="Вор",L7="Вор",L11="Монах",L10="Монах",L9="Монах",L8="Монах",L7="Монах",L11="Рейнджер",L10="Рейнджер",L9="Рейнджер",L8="Рейнджер",L7="Рейнджер"), CHAR(252),CHAR(251))</f>
        <v>ы</v>
      </c>
      <c r="Q25" s="436">
        <v>2</v>
      </c>
      <c r="R25" s="432">
        <f>IF(G8="Хафлинг", 2,IF(G8="Тобакси",2,0))</f>
        <v>0</v>
      </c>
      <c r="S25" s="430"/>
      <c r="T25" s="426"/>
      <c r="U25" s="426"/>
      <c r="V25" s="427"/>
      <c r="W25" s="241"/>
      <c r="X25" s="241"/>
      <c r="Y25" s="239"/>
    </row>
    <row r="26" spans="1:32" ht="32.25" customHeight="1">
      <c r="A26" s="239"/>
      <c r="B26" s="240"/>
      <c r="C26" s="297"/>
      <c r="D26" s="650"/>
      <c r="E26" s="650"/>
      <c r="F26" s="650"/>
      <c r="G26" s="650"/>
      <c r="H26" s="650"/>
      <c r="I26" s="650"/>
      <c r="J26" s="651"/>
      <c r="K26" s="241"/>
      <c r="L26" s="661" t="s">
        <v>55</v>
      </c>
      <c r="M26" s="662"/>
      <c r="N26" s="429">
        <f>IF(P26=CHAR(252),Q26+R26+S26+G15,FLOOR(Q26/2,1)+R26+S26+G15)</f>
        <v>2</v>
      </c>
      <c r="O26" s="430" t="s">
        <v>166</v>
      </c>
      <c r="P26" s="431" t="str">
        <f>IF(OR(L11="Воин",L10="Воин",L9="Воин",L8="Воин",L7="Воин",L11="Варвар",L10="Варвар",L9="Варвар",L8="Варвар",L7="Варвар",L11="Друид",L10="Друид",L9="Друид",L8="Друид",L7="Друид",L11="Паладин",L10="Паладин",L9="Паладин",L8="Паладин",L7="Паладин",L11="Рейнджер",L10="Рейнджер",L9="Рейнджер",L8="Рейнджер",L7="Рейнджер"), CHAR(252),CHAR(251))</f>
        <v>ы</v>
      </c>
      <c r="Q26" s="436">
        <v>0</v>
      </c>
      <c r="R26" s="432"/>
      <c r="S26" s="430"/>
      <c r="T26" s="426"/>
      <c r="U26" s="241"/>
      <c r="V26" s="241"/>
      <c r="W26" s="241"/>
      <c r="X26" s="241"/>
      <c r="Y26" s="239"/>
    </row>
    <row r="27" spans="1:32" ht="32.25" customHeight="1">
      <c r="A27" s="239"/>
      <c r="B27" s="240"/>
      <c r="C27" s="297"/>
      <c r="D27" s="650"/>
      <c r="E27" s="650"/>
      <c r="F27" s="650"/>
      <c r="G27" s="650"/>
      <c r="H27" s="650"/>
      <c r="I27" s="650"/>
      <c r="J27" s="651"/>
      <c r="K27" s="241"/>
      <c r="L27" s="661" t="s">
        <v>56</v>
      </c>
      <c r="M27" s="662"/>
      <c r="N27" s="429">
        <f>IF(P27=CHAR(252),Q27+R27+S27+G18,FLOOR(Q27/2,1)+R27+S27+G18)</f>
        <v>3</v>
      </c>
      <c r="O27" s="430" t="s">
        <v>168</v>
      </c>
      <c r="P27" s="431" t="str">
        <f>IF(OR(L11="Варвар",L10="Варвар",L9="Варвар",L8="Варвар",L7="Варвар",L11="Друид",L10="Друид",L9="Друид",L8="Друид",L7="Друид",L11="Рейнджер",L10="Рейнджер",L9="Рейнджер",L8="Рейнджер",L7="Рейнджер"),CHAR(252),CHAR(251))</f>
        <v>ы</v>
      </c>
      <c r="Q27" s="436">
        <v>0</v>
      </c>
      <c r="R27" s="432"/>
      <c r="S27" s="430"/>
      <c r="T27" s="241"/>
      <c r="U27" s="428"/>
      <c r="V27" s="241"/>
      <c r="W27" s="241"/>
      <c r="X27" s="241"/>
      <c r="Y27" s="239"/>
      <c r="AF27" s="55"/>
    </row>
    <row r="28" spans="1:32" ht="32.25" customHeight="1">
      <c r="A28" s="239"/>
      <c r="B28" s="240"/>
      <c r="C28" s="297"/>
      <c r="D28" s="650"/>
      <c r="E28" s="650"/>
      <c r="F28" s="650"/>
      <c r="G28" s="650"/>
      <c r="H28" s="650"/>
      <c r="I28" s="650"/>
      <c r="J28" s="651"/>
      <c r="K28" s="241"/>
      <c r="L28" s="661" t="s">
        <v>57</v>
      </c>
      <c r="M28" s="662"/>
      <c r="N28" s="429">
        <f>IF(P28=CHAR(252),Q28+R28+S28+G19,FLOOR(Q28/2,1)+R28+S28+G19)</f>
        <v>-1</v>
      </c>
      <c r="O28" s="430" t="s">
        <v>169</v>
      </c>
      <c r="P28" s="431" t="str">
        <f>IF(OR(L11="Бард",L10="Бард",L9="Бард",L8="Бард",L7="Бард",L11="Вор",L10="Вор",L9="Вор",L8="Вор",L7="Вор",L11="Друид",L10="Друид",L9="Друид",L8="Друид",L7="Друид",L11="Жрец",L10="Жрец",L9="Жрец",L8="Жрец",L7="Жрец",L11="Монах",L10="Монах",L9="Монах",L8="Монах",L7="Монах",L11="Паладин",L10="Паладин",L9="Паладин",L8="Паладин",L7="Паладин"), CHAR(252),CHAR(251))</f>
        <v>ы</v>
      </c>
      <c r="Q28" s="436">
        <v>0</v>
      </c>
      <c r="R28" s="432">
        <f>IF(G8="Полуэльф", 2,0)</f>
        <v>0</v>
      </c>
      <c r="S28" s="430"/>
      <c r="T28" s="241"/>
      <c r="U28" s="241"/>
      <c r="V28" s="241"/>
      <c r="W28" s="241"/>
      <c r="X28" s="241"/>
      <c r="Y28" s="239"/>
      <c r="AB28" s="55"/>
      <c r="AF28" s="55"/>
    </row>
    <row r="29" spans="1:32" ht="32.25" customHeight="1">
      <c r="A29" s="239"/>
      <c r="B29" s="240"/>
      <c r="C29" s="297"/>
      <c r="D29" s="650"/>
      <c r="E29" s="650"/>
      <c r="F29" s="650"/>
      <c r="G29" s="650"/>
      <c r="H29" s="650"/>
      <c r="I29" s="650"/>
      <c r="J29" s="651"/>
      <c r="K29" s="241"/>
      <c r="L29" s="663" t="s">
        <v>58</v>
      </c>
      <c r="M29" s="664"/>
      <c r="N29" s="429">
        <f>IF(P29=CHAR(252),Q29+R29+S29+G19,FLOOR(Q29/2,1)+R29+S29+G19)</f>
        <v>-1</v>
      </c>
      <c r="O29" s="430" t="s">
        <v>169</v>
      </c>
      <c r="P29" s="431" t="str">
        <f>IF(OR(L11="Воин",L10="Воин",L9="Воин",L8="Воин",L7="Воин",L11="Варвар",L10="Варвар",L9="Варвар",L8="Варвар",L7="Варвар",L11="Друид",L10="Друид",L9="Друид",L8="Друид",L7="Друид",L11="Паладин",L10="Паладин",L9="Паладин",L8="Паладин",L7="Паладин",L11="Рейнджер",L10="Рейнджер",L9="Рейнджер",L8="Рейнджер",L7="Рейнджер"), CHAR(252),CHAR(251))</f>
        <v>ы</v>
      </c>
      <c r="Q29" s="436">
        <v>0</v>
      </c>
      <c r="R29" s="432"/>
      <c r="S29" s="430"/>
      <c r="T29" s="241"/>
      <c r="U29" s="241"/>
      <c r="V29" s="241"/>
      <c r="W29" s="241"/>
      <c r="X29" s="241"/>
      <c r="Y29" s="239"/>
      <c r="AB29" s="55"/>
      <c r="AF29" s="55"/>
    </row>
    <row r="30" spans="1:32" ht="32.25" customHeight="1">
      <c r="A30" s="239"/>
      <c r="B30" s="240"/>
      <c r="C30" s="297"/>
      <c r="D30" s="650"/>
      <c r="E30" s="650"/>
      <c r="F30" s="650"/>
      <c r="G30" s="650"/>
      <c r="H30" s="650"/>
      <c r="I30" s="650"/>
      <c r="J30" s="651"/>
      <c r="K30" s="241"/>
      <c r="L30" s="661" t="s">
        <v>59</v>
      </c>
      <c r="M30" s="662"/>
      <c r="N30" s="429">
        <f>IF(P30=CHAR(252),Q30+R30+S30+G19,FLOOR(Q30/2,1)+R30+S30+G19)</f>
        <v>-1</v>
      </c>
      <c r="O30" s="430" t="s">
        <v>169</v>
      </c>
      <c r="P30" s="431" t="str">
        <f>IF(OR(L11="Воин",L10="Воин",L9="Воин",L8="Воин",L7="Воин",L11="Варвар",L10="Варвар",L9="Варвар",L8="Варвар",L7="Варвар",L11="Вор",L10="Вор",L9="Вор",L8="Вор",L7="Вор"), CHAR(252),CHAR(251))</f>
        <v>ы</v>
      </c>
      <c r="Q30" s="436">
        <v>0</v>
      </c>
      <c r="R30" s="432"/>
      <c r="S30" s="430"/>
      <c r="T30" s="241"/>
      <c r="U30" s="241"/>
      <c r="V30" s="241"/>
      <c r="W30" s="241"/>
      <c r="X30" s="241"/>
      <c r="Y30" s="239"/>
      <c r="AB30" s="55"/>
      <c r="AF30" s="55"/>
    </row>
    <row r="31" spans="1:32" ht="32.25" customHeight="1">
      <c r="A31" s="239"/>
      <c r="B31" s="240"/>
      <c r="C31" s="297"/>
      <c r="D31" s="650"/>
      <c r="E31" s="650"/>
      <c r="F31" s="650"/>
      <c r="G31" s="650"/>
      <c r="H31" s="650"/>
      <c r="I31" s="650"/>
      <c r="J31" s="651"/>
      <c r="K31" s="241"/>
      <c r="L31" s="661" t="s">
        <v>60</v>
      </c>
      <c r="M31" s="662"/>
      <c r="N31" s="429">
        <f>IF(P31=CHAR(252),Q31+R31+S31+G15,FLOOR(Q31/2,1)+R31+S31+G15)</f>
        <v>2</v>
      </c>
      <c r="O31" s="430" t="s">
        <v>166</v>
      </c>
      <c r="P31" s="431" t="str">
        <f>IF(OR(L11="Вор",L10="Вор",L9="Вор",L8="Вор",L7="Вор",L11="Монах",L10="Монах",L9="Монах",L8="Монах",L7="Монах"), CHAR(252),CHAR(251))</f>
        <v>ы</v>
      </c>
      <c r="Q31" s="436">
        <v>0</v>
      </c>
      <c r="R31" s="432"/>
      <c r="S31" s="430"/>
      <c r="T31" s="241"/>
      <c r="U31" s="241"/>
      <c r="V31" s="241"/>
      <c r="W31" s="241"/>
      <c r="X31" s="241"/>
      <c r="Y31" s="239"/>
      <c r="AB31" s="55"/>
      <c r="AF31" s="55"/>
    </row>
    <row r="32" spans="1:32" ht="32.25" customHeight="1">
      <c r="A32" s="239"/>
      <c r="B32" s="240"/>
      <c r="C32" s="297"/>
      <c r="D32" s="650"/>
      <c r="E32" s="650"/>
      <c r="F32" s="650"/>
      <c r="G32" s="650"/>
      <c r="H32" s="650"/>
      <c r="I32" s="650"/>
      <c r="J32" s="651"/>
      <c r="K32" s="241"/>
      <c r="L32" s="661" t="s">
        <v>61</v>
      </c>
      <c r="M32" s="662"/>
      <c r="N32" s="429">
        <f>IF(P32=CHAR(252),Q32+R32+S32+G15,FLOOR(Q32/2,1)+R32+S32+G15)</f>
        <v>2</v>
      </c>
      <c r="O32" s="430" t="s">
        <v>166</v>
      </c>
      <c r="P32" s="431" t="str">
        <f>IF(OR(L11="Вор",L10="Вор",L9="Вор",L8="Вор",L7="Вор",L11="Рейнджер",L10="Рейнджер",L9="Рейнджер",L8="Рейнджер",L7="Рейнджер"), CHAR(252),CHAR(251))</f>
        <v>ы</v>
      </c>
      <c r="Q32" s="436">
        <v>0</v>
      </c>
      <c r="R32" s="432"/>
      <c r="S32" s="430"/>
      <c r="T32" s="241"/>
      <c r="U32" s="241"/>
      <c r="V32" s="241"/>
      <c r="W32" s="241"/>
      <c r="X32" s="241"/>
      <c r="Y32" s="239"/>
      <c r="AB32" s="55"/>
      <c r="AF32" s="55"/>
    </row>
    <row r="33" spans="1:32" ht="32.25" customHeight="1">
      <c r="A33" s="239"/>
      <c r="B33" s="240"/>
      <c r="C33" s="297"/>
      <c r="D33" s="650"/>
      <c r="E33" s="650"/>
      <c r="F33" s="650"/>
      <c r="G33" s="650"/>
      <c r="H33" s="650"/>
      <c r="I33" s="650"/>
      <c r="J33" s="651"/>
      <c r="K33" s="241"/>
      <c r="L33" s="663" t="s">
        <v>170</v>
      </c>
      <c r="M33" s="664"/>
      <c r="N33" s="429">
        <f>IF(P33=CHAR(252),Q33+R33+S33+G19,FLOOR(Q33/2,1)+R33+S33+G19)</f>
        <v>-1</v>
      </c>
      <c r="O33" s="430" t="s">
        <v>169</v>
      </c>
      <c r="P33" s="431" t="str">
        <f>IF(OR(L11="Вор",L10="Вор",L9="Вор",L8="Вор",L7="Вор"), CHAR(252),CHAR(251))</f>
        <v>ы</v>
      </c>
      <c r="Q33" s="436">
        <v>0</v>
      </c>
      <c r="R33" s="432"/>
      <c r="S33" s="430"/>
      <c r="T33" s="241"/>
      <c r="U33" s="241"/>
      <c r="V33" s="241"/>
      <c r="W33" s="241"/>
      <c r="X33" s="241"/>
      <c r="Y33" s="239"/>
      <c r="AB33" s="55"/>
      <c r="AF33" s="55"/>
    </row>
    <row r="34" spans="1:32" ht="32.25" customHeight="1">
      <c r="A34" s="239"/>
      <c r="B34" s="240"/>
      <c r="C34" s="297"/>
      <c r="D34" s="650"/>
      <c r="E34" s="650"/>
      <c r="F34" s="650"/>
      <c r="G34" s="650"/>
      <c r="H34" s="650"/>
      <c r="I34" s="650"/>
      <c r="J34" s="651"/>
      <c r="K34" s="241"/>
      <c r="L34" s="663" t="s">
        <v>63</v>
      </c>
      <c r="M34" s="664"/>
      <c r="N34" s="429">
        <f>IF(P34=CHAR(252),Q34+R34+S34+G17,FLOOR(Q34/2,1)+R34+S34+G17)</f>
        <v>-1</v>
      </c>
      <c r="O34" s="430" t="s">
        <v>171</v>
      </c>
      <c r="P34" s="431" t="str">
        <f>IF(OR(L11="Друид",L10="Друид",L9="Друид",L8="Друид",L7="Друид",L11="Жрец",L10="Жрец",L9="Жрец",L8="Жрец",L7="Жрец",L11="Маг",L10="Маг",L9="Маг",L8="Маг",L7="Маг",L11="Чародей",L10="Чародей",L9="Чародей",L8="Чародей",L7="Чародей"), CHAR(252),CHAR(251))</f>
        <v>ь</v>
      </c>
      <c r="Q34" s="436">
        <v>0</v>
      </c>
      <c r="R34" s="432"/>
      <c r="S34" s="430"/>
      <c r="T34" s="241"/>
      <c r="U34" s="241"/>
      <c r="V34" s="241"/>
      <c r="W34" s="241"/>
      <c r="X34" s="241"/>
      <c r="Y34" s="239"/>
      <c r="AB34" s="55"/>
    </row>
    <row r="35" spans="1:32" ht="32.25" customHeight="1">
      <c r="A35" s="239"/>
      <c r="B35" s="240"/>
      <c r="C35" s="297"/>
      <c r="D35" s="650"/>
      <c r="E35" s="650"/>
      <c r="F35" s="650"/>
      <c r="G35" s="650"/>
      <c r="H35" s="650"/>
      <c r="I35" s="650"/>
      <c r="J35" s="651"/>
      <c r="K35" s="241"/>
      <c r="L35" s="661" t="s">
        <v>64</v>
      </c>
      <c r="M35" s="662"/>
      <c r="N35" s="429">
        <f>IF(P34=CHAR(252),Q34+R34+S34+G16,FLOOR(Q34/2,1)+R34+S34+G16)</f>
        <v>1</v>
      </c>
      <c r="O35" s="430" t="s">
        <v>172</v>
      </c>
      <c r="P35" s="431" t="str">
        <f>IF(OR(L11="Друид",L10="Друид",L9="Друид",L8="Друид",L7="Друид",L11="Жрец",L10="Жрец",L9="Жрец",L8="Жрец",L7="Жрец",L11="Маг",L10="Маг",L9="Маг",L8="Маг",L7="Маг",L11="Монах",L10="Монах",L9="Монах",L8="Монах",L7="Монах",L11="Паладин",L10="Паладин",L9="Паладин",L8="Паладин",L7="Паладин",L11="Рейнджер",L10="Рейнджер",L9="Рейнджер",L8="Рейнджер",L7="Рейнджер",L11="Чародей",L10="Чародей",L9="Чародей",L8="Чародей",L7="Чародей"), CHAR(252),CHAR(251))</f>
        <v>ь</v>
      </c>
      <c r="Q35" s="436">
        <v>0</v>
      </c>
      <c r="R35" s="432"/>
      <c r="S35" s="430"/>
      <c r="T35" s="241"/>
      <c r="U35" s="241"/>
      <c r="V35" s="241"/>
      <c r="W35" s="241"/>
      <c r="X35" s="241"/>
      <c r="Y35" s="239"/>
      <c r="AB35" s="55"/>
    </row>
    <row r="36" spans="1:32" ht="32.25" customHeight="1">
      <c r="A36" s="239"/>
      <c r="B36" s="240"/>
      <c r="C36" s="297"/>
      <c r="D36" s="650"/>
      <c r="E36" s="650"/>
      <c r="F36" s="650"/>
      <c r="G36" s="650"/>
      <c r="H36" s="650"/>
      <c r="I36" s="650"/>
      <c r="J36" s="651"/>
      <c r="K36" s="241"/>
      <c r="L36" s="663" t="s">
        <v>66</v>
      </c>
      <c r="M36" s="664"/>
      <c r="N36" s="429">
        <f>IF(P36=CHAR(252),Q36+R36+S36+G15,FLOOR(Q36/2,1)+R36+S36+G15)</f>
        <v>2</v>
      </c>
      <c r="O36" s="430" t="s">
        <v>166</v>
      </c>
      <c r="P36" s="431" t="str">
        <f>IF(OR(L11="Вор",L10="Вор",L9="Вор",L8="Вор",L7="Вор",L11="Монах",L10="Монах",L9="Монах",L8="Монах",L7="Монах"), CHAR(252),CHAR(251))</f>
        <v>ы</v>
      </c>
      <c r="Q36" s="436">
        <v>0</v>
      </c>
      <c r="R36" s="432"/>
      <c r="S36" s="430"/>
      <c r="T36" s="241"/>
      <c r="U36" s="241"/>
      <c r="V36" s="241"/>
      <c r="W36" s="241"/>
      <c r="X36" s="241"/>
      <c r="Y36" s="239"/>
      <c r="AB36" s="55"/>
    </row>
    <row r="37" spans="1:32" ht="32.25" customHeight="1">
      <c r="A37" s="239"/>
      <c r="B37" s="240"/>
      <c r="C37" s="297"/>
      <c r="D37" s="650"/>
      <c r="E37" s="650"/>
      <c r="F37" s="650"/>
      <c r="G37" s="650"/>
      <c r="H37" s="650"/>
      <c r="I37" s="650"/>
      <c r="J37" s="651"/>
      <c r="K37" s="241"/>
      <c r="L37" s="661" t="s">
        <v>67</v>
      </c>
      <c r="M37" s="662"/>
      <c r="N37" s="429">
        <f>IF(P37=CHAR(252),Q37+R37+S37+G14,FLOOR(Q37/2,1)+R37+S37+G14)</f>
        <v>2</v>
      </c>
      <c r="O37" s="430" t="s">
        <v>25</v>
      </c>
      <c r="P37" s="431" t="str">
        <f>IF(OR(L11="Воин",L10="Воин",L9="Воин",L8="Воин",L7="Воин",L11="Варвар",L10="Варвар",L9="Варвар",L8="Варвар",L7="Варвар",L11="Вор",L10="Вор",L9="Вор",L8="Вор",L7="Вор",L11="Монах",L10="Монах",L9="Монах",L8="Монах",L7="Монах",L11="Рейнджер",L10="Рейнджер",L9="Рейнджер",L8="Рейнджер",L7="Рейнджер"), CHAR(252),CHAR(251))</f>
        <v>ы</v>
      </c>
      <c r="Q37" s="436">
        <v>2</v>
      </c>
      <c r="R37" s="432">
        <f>IF(G8="Хафлинг", 2,0)</f>
        <v>0</v>
      </c>
      <c r="S37" s="430"/>
      <c r="T37" s="241"/>
      <c r="U37" s="241"/>
      <c r="V37" s="241"/>
      <c r="W37" s="241"/>
      <c r="X37" s="241"/>
      <c r="Y37" s="239"/>
      <c r="AB37" s="55"/>
    </row>
    <row r="38" spans="1:32" ht="32.25" customHeight="1">
      <c r="A38" s="239"/>
      <c r="B38" s="240"/>
      <c r="C38" s="297"/>
      <c r="D38" s="650"/>
      <c r="E38" s="650"/>
      <c r="F38" s="650"/>
      <c r="G38" s="650"/>
      <c r="H38" s="650"/>
      <c r="I38" s="650"/>
      <c r="J38" s="651"/>
      <c r="K38" s="241"/>
      <c r="L38" s="661" t="s">
        <v>68</v>
      </c>
      <c r="M38" s="662"/>
      <c r="N38" s="429">
        <f>IF(P38=CHAR(252),Q38+R38+S38+G18,FLOOR(Q38/2,1)+R38+S38+G18)</f>
        <v>3</v>
      </c>
      <c r="O38" s="430" t="s">
        <v>168</v>
      </c>
      <c r="P38" s="431" t="str">
        <f>IF(OR(L11="Друид",L10="Друид",L9="Друид",L8="Друид",L7="Друид",L11="Жрец",L10="Жрец",L9="Жрец",L8="Жрец",L7="Жрец",L11="Паладин",L10="Паладин",L9="Паладин",L8="Паладин",L7="Паладин",L11="Рейнджер",L10="Рейнджер",L9="Рейнджер",L8="Рейнджер",L7="Рейнджер"), CHAR(252),CHAR(251))</f>
        <v>ы</v>
      </c>
      <c r="Q38" s="436">
        <v>0</v>
      </c>
      <c r="R38" s="432"/>
      <c r="S38" s="430"/>
      <c r="T38" s="241"/>
      <c r="U38" s="241"/>
      <c r="V38" s="241"/>
      <c r="W38" s="241"/>
      <c r="X38" s="241"/>
      <c r="Y38" s="239"/>
      <c r="AB38" s="55"/>
    </row>
    <row r="39" spans="1:32" ht="32.25" customHeight="1">
      <c r="A39" s="239"/>
      <c r="B39" s="240"/>
      <c r="C39" s="297"/>
      <c r="D39" s="650"/>
      <c r="E39" s="650"/>
      <c r="F39" s="650"/>
      <c r="G39" s="650"/>
      <c r="H39" s="650"/>
      <c r="I39" s="650"/>
      <c r="J39" s="651"/>
      <c r="K39" s="241"/>
      <c r="L39" s="663" t="s">
        <v>69</v>
      </c>
      <c r="M39" s="664"/>
      <c r="N39" s="429">
        <f>IF(P39=CHAR(252),Q39+R39+S39+G15,FLOOR(Q39/2,1)+R39+S39+G15)</f>
        <v>2</v>
      </c>
      <c r="O39" s="430" t="s">
        <v>166</v>
      </c>
      <c r="P39" s="431" t="str">
        <f>IF(OR(L11="Вор",L10="Вор",L9="Вор",L8="Вор",L7="Вор"), CHAR(252),CHAR(251))</f>
        <v>ы</v>
      </c>
      <c r="Q39" s="436">
        <v>0</v>
      </c>
      <c r="R39" s="432"/>
      <c r="S39" s="430"/>
      <c r="T39" s="241"/>
      <c r="U39" s="241"/>
      <c r="V39" s="241"/>
      <c r="W39" s="241"/>
      <c r="X39" s="241"/>
      <c r="Y39" s="239"/>
      <c r="AB39" s="55"/>
    </row>
    <row r="40" spans="1:32" ht="32.25" customHeight="1">
      <c r="A40" s="239"/>
      <c r="B40" s="240"/>
      <c r="C40" s="297"/>
      <c r="D40" s="650"/>
      <c r="E40" s="650"/>
      <c r="F40" s="650"/>
      <c r="G40" s="650"/>
      <c r="H40" s="650"/>
      <c r="I40" s="650"/>
      <c r="J40" s="651"/>
      <c r="K40" s="241"/>
      <c r="L40" s="661" t="s">
        <v>70</v>
      </c>
      <c r="M40" s="662"/>
      <c r="N40" s="429">
        <f>IF(P40=CHAR(252),Q40+R40+S40+G19,FLOOR(Q40/2,1)+R40+S40+G19)</f>
        <v>-1</v>
      </c>
      <c r="O40" s="430" t="s">
        <v>169</v>
      </c>
      <c r="P40" s="431" t="str">
        <f>IF(OR(L11="Вор",L10="Вор",L9="Вор",L8="Вор",L7="Вор"), CHAR(252),CHAR(251))</f>
        <v>ы</v>
      </c>
      <c r="Q40" s="436">
        <v>0</v>
      </c>
      <c r="R40" s="432"/>
      <c r="S40" s="430"/>
      <c r="T40" s="241"/>
      <c r="U40" s="241"/>
      <c r="V40" s="241"/>
      <c r="W40" s="241"/>
      <c r="X40" s="241"/>
      <c r="Y40" s="239"/>
      <c r="AB40" s="55"/>
    </row>
    <row r="41" spans="1:32" ht="32.25" customHeight="1">
      <c r="A41" s="239"/>
      <c r="B41" s="240"/>
      <c r="C41" s="297"/>
      <c r="D41" s="650"/>
      <c r="E41" s="650"/>
      <c r="F41" s="650"/>
      <c r="G41" s="650"/>
      <c r="H41" s="650"/>
      <c r="I41" s="650"/>
      <c r="J41" s="651"/>
      <c r="K41" s="241"/>
      <c r="L41" s="663" t="s">
        <v>71</v>
      </c>
      <c r="M41" s="664"/>
      <c r="N41" s="429">
        <f>IF(P41=CHAR(252),Q41+R41+S41+G17,FLOOR(Q41/2,1)+R41+S41+G17)</f>
        <v>-1</v>
      </c>
      <c r="O41" s="430" t="s">
        <v>171</v>
      </c>
      <c r="P41" s="431" t="str">
        <f>IF(OR(L11="Вор",L10="Вор",L9="Вор",L8="Вор",L7="Вор"), CHAR(252),CHAR(251))</f>
        <v>ы</v>
      </c>
      <c r="Q41" s="436">
        <v>0</v>
      </c>
      <c r="R41" s="432"/>
      <c r="S41" s="430"/>
      <c r="T41" s="241"/>
      <c r="U41" s="241"/>
      <c r="V41" s="241"/>
      <c r="W41" s="241"/>
      <c r="X41" s="241"/>
      <c r="Y41" s="239"/>
      <c r="AB41" s="55"/>
    </row>
    <row r="42" spans="1:32" ht="32.25" customHeight="1">
      <c r="A42" s="239"/>
      <c r="B42" s="240"/>
      <c r="C42" s="297"/>
      <c r="D42" s="650"/>
      <c r="E42" s="650"/>
      <c r="F42" s="650"/>
      <c r="G42" s="650"/>
      <c r="H42" s="650"/>
      <c r="I42" s="650"/>
      <c r="J42" s="651"/>
      <c r="K42" s="241"/>
      <c r="L42" s="661" t="s">
        <v>72</v>
      </c>
      <c r="M42" s="662"/>
      <c r="N42" s="429">
        <f>IF(P42=CHAR(252),Q42+R42+S42+G19,FLOOR(Q42/2,1)+R42+S42+G19)</f>
        <v>-1</v>
      </c>
      <c r="O42" s="430" t="s">
        <v>169</v>
      </c>
      <c r="P42" s="431" t="str">
        <f>IF(OR(L11="Вор",L10="Вор",L9="Вор",L8="Вор",L7="Вор",L11="Чародей",L10="Чародей",L9="Чародей",L8="Чародей",L7="Чародей"), CHAR(252),CHAR(251))</f>
        <v>ь</v>
      </c>
      <c r="Q42" s="436">
        <v>0</v>
      </c>
      <c r="R42" s="432"/>
      <c r="S42" s="430"/>
      <c r="T42" s="241"/>
      <c r="U42" s="241"/>
      <c r="V42" s="241"/>
      <c r="W42" s="241"/>
      <c r="X42" s="241"/>
      <c r="Y42" s="239"/>
      <c r="AB42" s="55"/>
    </row>
    <row r="43" spans="1:32" ht="32.25" customHeight="1">
      <c r="A43" s="239"/>
      <c r="B43" s="240"/>
      <c r="C43" s="297"/>
      <c r="D43" s="650"/>
      <c r="E43" s="650"/>
      <c r="F43" s="650"/>
      <c r="G43" s="650"/>
      <c r="H43" s="650"/>
      <c r="I43" s="650"/>
      <c r="J43" s="651"/>
      <c r="K43" s="241"/>
      <c r="L43" s="661" t="s">
        <v>73</v>
      </c>
      <c r="M43" s="662"/>
      <c r="N43" s="429">
        <f>IF(P43=CHAR(252),Q43+R43+S43+G18,FLOOR(Q43/2,1)+R43+S43+G18)</f>
        <v>3</v>
      </c>
      <c r="O43" s="430" t="s">
        <v>168</v>
      </c>
      <c r="P43" s="431" t="str">
        <f>IF(G8="Драконид",CHAR(252),IF(OR(L11="Вор",L10="Вор",L9="Вор",L8="Вор",L7="Вор",L11="Друид",L10="Друид",L9="Друид",L8="Друид",L7="Друид",L11="Монах",L10="Монах",L9="Монах",L8="Монах",L7="Монах",L11="Рейнджер",L10="Рейнджер",L9="Рейнджер",L8="Рейнджер",L7="Рейнджер"),CHAR(252),CHAR(251)))</f>
        <v>ы</v>
      </c>
      <c r="Q43" s="436">
        <v>0</v>
      </c>
      <c r="R43" s="432">
        <f>IF(G8="Полуэльф", 1,IF(G8="Эльф", 2,IF(G8="Драконорожденный",2,0)))</f>
        <v>0</v>
      </c>
      <c r="S43" s="434"/>
      <c r="T43" s="241"/>
      <c r="U43" s="241"/>
      <c r="V43" s="241"/>
      <c r="W43" s="241"/>
      <c r="X43" s="241"/>
      <c r="Y43" s="239"/>
      <c r="AB43" s="55"/>
    </row>
    <row r="44" spans="1:32" ht="32.25" customHeight="1">
      <c r="A44" s="239"/>
      <c r="B44" s="240"/>
      <c r="C44" s="297"/>
      <c r="D44" s="650"/>
      <c r="E44" s="650"/>
      <c r="F44" s="650"/>
      <c r="G44" s="650"/>
      <c r="H44" s="650"/>
      <c r="I44" s="650"/>
      <c r="J44" s="651"/>
      <c r="K44" s="241"/>
      <c r="L44" s="663" t="s">
        <v>74</v>
      </c>
      <c r="M44" s="664"/>
      <c r="N44" s="429">
        <f>IF(P44=CHAR(252),Q44+R44+S44+G15,FLOOR(Q44/2,1)+R44+S44+G15)</f>
        <v>2</v>
      </c>
      <c r="O44" s="430" t="s">
        <v>166</v>
      </c>
      <c r="P44" s="431" t="str">
        <f>IF(OR(L11="Вор",L10="Вор",L9="Вор",L8="Вор",L7="Вор"), CHAR(252),CHAR(251))</f>
        <v>ы</v>
      </c>
      <c r="Q44" s="436">
        <v>0</v>
      </c>
      <c r="R44" s="432"/>
      <c r="S44" s="430"/>
      <c r="T44" s="241"/>
      <c r="U44" s="241"/>
      <c r="V44" s="241"/>
      <c r="W44" s="241"/>
      <c r="X44" s="241"/>
      <c r="Y44" s="239"/>
      <c r="AB44" s="55"/>
    </row>
    <row r="45" spans="1:32" ht="32.25" customHeight="1">
      <c r="A45" s="239"/>
      <c r="B45" s="240"/>
      <c r="C45" s="297"/>
      <c r="D45" s="650"/>
      <c r="E45" s="650"/>
      <c r="F45" s="650"/>
      <c r="G45" s="650"/>
      <c r="H45" s="650"/>
      <c r="I45" s="650"/>
      <c r="J45" s="651"/>
      <c r="K45" s="241"/>
      <c r="L45" s="661" t="s">
        <v>75</v>
      </c>
      <c r="M45" s="662"/>
      <c r="N45" s="429">
        <f>IF(P45=CHAR(252),Q45+R45+S45+G17,FLOOR(Q45/2,1)+R45+S45+G17)</f>
        <v>-1</v>
      </c>
      <c r="O45" s="430" t="s">
        <v>171</v>
      </c>
      <c r="P45" s="431" t="str">
        <f>IF(OR(L11="Вор",L10="Вор",L9="Вор",L8="Вор",L7="Вор"), CHAR(252),CHAR(251))</f>
        <v>ы</v>
      </c>
      <c r="Q45" s="436">
        <v>0</v>
      </c>
      <c r="R45" s="432">
        <f>IF(G8="Дварф", 2,0)</f>
        <v>0</v>
      </c>
      <c r="S45" s="430"/>
      <c r="T45" s="241"/>
      <c r="U45" s="241"/>
      <c r="V45" s="241"/>
      <c r="W45" s="241"/>
      <c r="X45" s="241"/>
      <c r="Y45" s="239"/>
    </row>
    <row r="46" spans="1:32" ht="32.25" customHeight="1">
      <c r="A46" s="239"/>
      <c r="B46" s="240"/>
      <c r="C46" s="297"/>
      <c r="D46" s="650"/>
      <c r="E46" s="650"/>
      <c r="F46" s="650"/>
      <c r="G46" s="650"/>
      <c r="H46" s="650"/>
      <c r="I46" s="650"/>
      <c r="J46" s="651"/>
      <c r="K46" s="241"/>
      <c r="L46" s="661" t="s">
        <v>76</v>
      </c>
      <c r="M46" s="662"/>
      <c r="N46" s="429">
        <f>IF(P46=CHAR(252),Q46+R46+S46+G14,FLOOR(Q46/2,1)+R46+S46+G14)</f>
        <v>1</v>
      </c>
      <c r="O46" s="430" t="s">
        <v>25</v>
      </c>
      <c r="P46" s="431" t="str">
        <f>IF(OR(L11="Воин",L10="Воин",L9="Воин",L8="Воин",L7="Воин",L11="Варвар",L10="Варвар",L9="Варвар",L8="Варвар",L7="Варвар",L11="Вор",L10="Вор",L9="Вор",L8="Вор",L7="Вор",L11="Друид",L10="Друид",L9="Друид",L8="Друид",L7="Друид",L11="Монах",L10="Монах",L9="Монах",L8="Монах",L7="Монах",L11="Рейнджер",L10="Рейнджер",L9="Рейнджер",L8="Рейнджер",L7="Рейнджер"), CHAR(252),CHAR(251))</f>
        <v>ы</v>
      </c>
      <c r="Q46" s="436">
        <v>0</v>
      </c>
      <c r="R46" s="432"/>
      <c r="S46" s="430"/>
      <c r="T46" s="241"/>
      <c r="U46" s="241"/>
      <c r="V46" s="241"/>
      <c r="W46" s="241"/>
      <c r="X46" s="241"/>
      <c r="Y46" s="239"/>
    </row>
    <row r="47" spans="1:32" ht="32.25" customHeight="1">
      <c r="A47" s="239"/>
      <c r="B47" s="240"/>
      <c r="C47" s="297"/>
      <c r="D47" s="650"/>
      <c r="E47" s="650"/>
      <c r="F47" s="650"/>
      <c r="G47" s="650"/>
      <c r="H47" s="650"/>
      <c r="I47" s="650"/>
      <c r="J47" s="651"/>
      <c r="K47" s="241"/>
      <c r="L47" s="661" t="s">
        <v>77</v>
      </c>
      <c r="M47" s="662"/>
      <c r="N47" s="429">
        <f>IF(P47=CHAR(252),Q47+R47+S47+G17,FLOOR(Q47/2,1)+R47+S47+G17)</f>
        <v>-1</v>
      </c>
      <c r="O47" s="430" t="s">
        <v>171</v>
      </c>
      <c r="P47" s="431" t="str">
        <f>IF(OR(L11="Вор",L10="Вор",L9="Вор",L8="Вор",L7="Вор"), CHAR(252),CHAR(251))</f>
        <v>ы</v>
      </c>
      <c r="Q47" s="436">
        <v>0</v>
      </c>
      <c r="R47" s="432"/>
      <c r="S47" s="430"/>
      <c r="T47" s="241"/>
      <c r="U47" s="241"/>
      <c r="V47" s="241"/>
      <c r="W47" s="241"/>
      <c r="X47" s="241"/>
      <c r="Y47" s="239"/>
    </row>
    <row r="48" spans="1:32" ht="32.25" customHeight="1">
      <c r="A48" s="239"/>
      <c r="B48" s="240"/>
      <c r="C48" s="297"/>
      <c r="D48" s="650"/>
      <c r="E48" s="650"/>
      <c r="F48" s="650"/>
      <c r="G48" s="650"/>
      <c r="H48" s="650"/>
      <c r="I48" s="650"/>
      <c r="J48" s="651"/>
      <c r="K48" s="241"/>
      <c r="L48" s="661" t="s">
        <v>78</v>
      </c>
      <c r="M48" s="662"/>
      <c r="N48" s="429">
        <f>IF(P48=CHAR(252),Q48+R48+S48+G17,FLOOR(Q48/2,1)+R48+S48+G17)</f>
        <v>-1</v>
      </c>
      <c r="O48" s="430" t="s">
        <v>171</v>
      </c>
      <c r="P48" s="431" t="str">
        <f>IF(OR(L11="Вор",L10="Вор",L9="Вор",L8="Вор",L7="Вор",L11="Монах",L10="Монах",L9="Монах",L8="Монах",L7="Монах",L11="Рейнджер",L10="Рейнджер",L9="Рейнджер",L8="Рейнджер",L7="Рейнджер"),CHAR(252),CHAR(251))</f>
        <v>ы</v>
      </c>
      <c r="Q48" s="436">
        <v>0</v>
      </c>
      <c r="R48" s="432">
        <f>IF(G8="Полуэльф", 1,IF(G8="Эльф", 2,IF(G8="Драконорожденный",2,0)))</f>
        <v>0</v>
      </c>
      <c r="S48" s="430"/>
      <c r="T48" s="241"/>
      <c r="U48" s="241"/>
      <c r="V48" s="241"/>
      <c r="W48" s="241"/>
      <c r="X48" s="241"/>
      <c r="Y48" s="239"/>
    </row>
    <row r="49" spans="1:25" ht="32.25" customHeight="1">
      <c r="A49" s="239"/>
      <c r="B49" s="240"/>
      <c r="C49" s="297"/>
      <c r="D49" s="650"/>
      <c r="E49" s="650"/>
      <c r="F49" s="650"/>
      <c r="G49" s="650"/>
      <c r="H49" s="650"/>
      <c r="I49" s="650"/>
      <c r="J49" s="651"/>
      <c r="K49" s="241"/>
      <c r="L49" s="661" t="s">
        <v>79</v>
      </c>
      <c r="M49" s="662"/>
      <c r="N49" s="429">
        <f>IF(P49=CHAR(252),Q49+R49+S49+G18,FLOOR(Q49/2,1)+R49+S49+G18)</f>
        <v>4</v>
      </c>
      <c r="O49" s="430" t="s">
        <v>168</v>
      </c>
      <c r="P49" s="431" t="str">
        <f>IF(OR(L11="Вор",L10="Вор",L9="Вор",L8="Вор",L7="Вор",L11="Паладин",L10="Паладин",L9="Паладин",L8="Паладин",L7="Паладин"),CHAR(252),CHAR(251))</f>
        <v>ы</v>
      </c>
      <c r="Q49" s="436">
        <v>2</v>
      </c>
      <c r="R49" s="432"/>
      <c r="S49" s="430"/>
      <c r="T49" s="241"/>
      <c r="U49" s="241"/>
      <c r="V49" s="241"/>
      <c r="W49" s="241"/>
      <c r="X49" s="241"/>
      <c r="Y49" s="239"/>
    </row>
    <row r="50" spans="1:25" ht="32.25" customHeight="1">
      <c r="A50" s="239"/>
      <c r="B50" s="240"/>
      <c r="C50" s="297"/>
      <c r="D50" s="650"/>
      <c r="E50" s="650"/>
      <c r="F50" s="650"/>
      <c r="G50" s="650"/>
      <c r="H50" s="650"/>
      <c r="I50" s="650"/>
      <c r="J50" s="651"/>
      <c r="K50" s="241"/>
      <c r="L50" s="661" t="s">
        <v>80</v>
      </c>
      <c r="M50" s="662"/>
      <c r="N50" s="429">
        <f>IF(P50=CHAR(252),Q50+R50+S50+G14,FLOOR(Q50/2,1)+R50+S50+G14)</f>
        <v>1</v>
      </c>
      <c r="O50" s="430" t="s">
        <v>25</v>
      </c>
      <c r="P50" s="431" t="str">
        <f>IF(OR(L11="Варвар",L10="Варвар",L9="Варвар",L8="Варвар",L7="Варвар",L11="Вор",L10="Вор",L9="Вор",L8="Вор",L7="Вор",L11="Рейнджер",L10="Рейнджер",L9="Рейнджер",L8="Рейнджер",L7="Рейнджер"),CHAR(252),CHAR(251))</f>
        <v>ы</v>
      </c>
      <c r="Q50" s="436">
        <v>0</v>
      </c>
      <c r="R50" s="432">
        <f>IF(G8="Хафлинг", 2,0)</f>
        <v>0</v>
      </c>
      <c r="S50" s="430"/>
      <c r="T50" s="241"/>
      <c r="U50" s="241"/>
      <c r="V50" s="241"/>
      <c r="W50" s="241"/>
      <c r="X50" s="241"/>
      <c r="Y50" s="239"/>
    </row>
    <row r="51" spans="1:25" ht="32.25" customHeight="1">
      <c r="A51" s="239"/>
      <c r="B51" s="240"/>
      <c r="C51" s="297"/>
      <c r="D51" s="650"/>
      <c r="E51" s="650"/>
      <c r="F51" s="650"/>
      <c r="G51" s="650"/>
      <c r="H51" s="650"/>
      <c r="I51" s="650"/>
      <c r="J51" s="651"/>
      <c r="K51" s="241"/>
      <c r="L51" s="663" t="s">
        <v>81</v>
      </c>
      <c r="M51" s="664"/>
      <c r="N51" s="429">
        <f>IF(P51=CHAR(252),Q51+R51+S51+G17,FLOOR(Q51/2,1)+R51+S51+G17)</f>
        <v>-1</v>
      </c>
      <c r="O51" s="430" t="s">
        <v>171</v>
      </c>
      <c r="P51" s="431" t="str">
        <f>IF(OR(L11="Вор",L10="Вор",L9="Вор",L8="Вор",L7="Вор",L11="Маг",L10="Маг",L9="Маг",L8="Маг",L7="Маг"), CHAR(252),CHAR(251))</f>
        <v>ы</v>
      </c>
      <c r="Q51" s="436">
        <v>0</v>
      </c>
      <c r="R51" s="432"/>
      <c r="S51" s="430"/>
      <c r="T51" s="241"/>
      <c r="U51" s="241"/>
      <c r="V51" s="241"/>
      <c r="W51" s="241"/>
      <c r="X51" s="241"/>
      <c r="Y51" s="239"/>
    </row>
    <row r="52" spans="1:25" ht="32.25" customHeight="1">
      <c r="A52" s="239"/>
      <c r="B52" s="240"/>
      <c r="C52" s="297"/>
      <c r="D52" s="650"/>
      <c r="E52" s="650"/>
      <c r="F52" s="650"/>
      <c r="G52" s="650"/>
      <c r="H52" s="650"/>
      <c r="I52" s="650"/>
      <c r="J52" s="651"/>
      <c r="K52" s="241"/>
      <c r="L52" s="661" t="s">
        <v>82</v>
      </c>
      <c r="M52" s="662"/>
      <c r="N52" s="429">
        <f>IF(P52=CHAR(252),Q52+R52+S52+G19,FLOOR(Q52/2,1)+R52+S52+G19)</f>
        <v>-1</v>
      </c>
      <c r="O52" s="430" t="s">
        <v>169</v>
      </c>
      <c r="P52" s="431" t="str">
        <f>IF(OR(L11="Вор",L10="Вор",L9="Вор",L8="Вор",L7="Вор"), CHAR(252),CHAR(251))</f>
        <v>ы</v>
      </c>
      <c r="Q52" s="436">
        <v>0</v>
      </c>
      <c r="R52" s="432">
        <f>IF(G8="Полуэльф", 2,0)</f>
        <v>0</v>
      </c>
      <c r="S52" s="430"/>
      <c r="T52" s="241"/>
      <c r="U52" s="241"/>
      <c r="V52" s="241"/>
      <c r="W52" s="241"/>
      <c r="X52" s="241"/>
      <c r="Y52" s="239"/>
    </row>
    <row r="53" spans="1:25" ht="32.25" customHeight="1">
      <c r="A53" s="239"/>
      <c r="B53" s="240"/>
      <c r="C53" s="297"/>
      <c r="D53" s="650"/>
      <c r="E53" s="650"/>
      <c r="F53" s="650"/>
      <c r="G53" s="650"/>
      <c r="H53" s="650"/>
      <c r="I53" s="650"/>
      <c r="J53" s="651"/>
      <c r="K53" s="241"/>
      <c r="L53" s="661" t="s">
        <v>83</v>
      </c>
      <c r="M53" s="662"/>
      <c r="N53" s="429">
        <f>IF(P53=CHAR(252),Q53+R53+S53+G18,FLOOR(Q53/2,1)+R53+S53+G18)</f>
        <v>3</v>
      </c>
      <c r="O53" s="430" t="s">
        <v>168</v>
      </c>
      <c r="P53" s="431" t="str">
        <f>IF(G8="Драконид",CHAR(252),IF(OR(L11="Варвар",L10="Варвар",L9="Варвар",L8="Варвар",L7="Варвар",L11="Вор",L10="Вор",L9="Вор",L8="Вор",L7="Вор",L11="Друид",L10="Друид",L9="Друид",L8="Друид",L7="Друид",L11="Монах",L10="Монах",L9="Монах",L8="Монах",L7="Монах",L11="Рейнджер",L10="Рейнджер",L9="Рейнджер",L8="Рейнджер",L7="Рейнджер"),CHAR(252),CHAR(251)))</f>
        <v>ы</v>
      </c>
      <c r="Q53" s="436">
        <v>0</v>
      </c>
      <c r="R53" s="432">
        <f>IF(G8="Полуэльф", 1,IF(G8="Гном", 2,IF(G8="Хафлинг", 2,IF(G8="Эльф", 2,IF(G8="Тобакси",2,IF(G8="Драконорожденный",2,0))))))</f>
        <v>0</v>
      </c>
      <c r="S53" s="430"/>
      <c r="T53" s="241"/>
      <c r="U53" s="241"/>
      <c r="V53" s="241"/>
      <c r="W53" s="241"/>
      <c r="X53" s="241"/>
      <c r="Y53" s="239"/>
    </row>
    <row r="54" spans="1:25" ht="32.25" customHeight="1">
      <c r="A54" s="239"/>
      <c r="B54" s="240"/>
      <c r="C54" s="297"/>
      <c r="D54" s="650"/>
      <c r="E54" s="650"/>
      <c r="F54" s="650"/>
      <c r="G54" s="650"/>
      <c r="H54" s="650"/>
      <c r="I54" s="650"/>
      <c r="J54" s="651"/>
      <c r="K54" s="241"/>
      <c r="L54" s="661" t="s">
        <v>84</v>
      </c>
      <c r="M54" s="662"/>
      <c r="N54" s="429">
        <f>IF(P54=CHAR(252),Q54+R54+S54+G15,FLOOR(Q54/2,1)+R54+S54+G15)</f>
        <v>2</v>
      </c>
      <c r="O54" s="430" t="s">
        <v>166</v>
      </c>
      <c r="P54" s="431" t="str">
        <f>IF(OR(L11="Вор",L10="Вор",L9="Вор",L8="Вор",L7="Вор",L11="Монах",L10="Монах",L9="Монах",L8="Монах",L7="Монах",L11="Рейнджер",L10="Рейнджер",L9="Рейнджер",L8="Рейнджер",L7="Рейнджер"), CHAR(252),CHAR(251))</f>
        <v>ы</v>
      </c>
      <c r="Q54" s="436">
        <v>0</v>
      </c>
      <c r="R54" s="432">
        <f>IF(G8="Гном",4,IF(G8="Хафлинг",4,IF(G8="Кобольд",4,IF(G8="Драконид",-4,0))))</f>
        <v>0</v>
      </c>
      <c r="S54" s="430"/>
      <c r="T54" s="241"/>
      <c r="U54" s="241"/>
      <c r="V54" s="241"/>
      <c r="W54" s="241"/>
      <c r="X54" s="241"/>
      <c r="Y54" s="239"/>
    </row>
    <row r="55" spans="1:25" ht="32.25" customHeight="1">
      <c r="A55" s="239"/>
      <c r="B55" s="240"/>
      <c r="C55" s="297"/>
      <c r="D55" s="650"/>
      <c r="E55" s="650"/>
      <c r="F55" s="650"/>
      <c r="G55" s="650"/>
      <c r="H55" s="650"/>
      <c r="I55" s="650"/>
      <c r="J55" s="651"/>
      <c r="K55" s="241"/>
      <c r="L55" s="663" t="s">
        <v>85</v>
      </c>
      <c r="M55" s="664"/>
      <c r="N55" s="429">
        <f>IF(P55=CHAR(252),Q55+R55+S55+G17,FLOOR(Q55/2,1)+R55+S55+G17)</f>
        <v>-1</v>
      </c>
      <c r="O55" s="430" t="s">
        <v>171</v>
      </c>
      <c r="P55" s="431" t="str">
        <f>IF(OR(L11="Воин",L10="Воин",L9="Воин",L8="Воин",L7="Воин",L11="Варвар",L10="Варвар",L9="Варвар",L8="Варвар",L7="Варвар",L11="Вор",L10="Вор",L9="Вор",L8="Вор",L7="Вор",L11="Друид",L10="Друид",L9="Друид",L8="Друид",L7="Друид",L11="Жрец",L10="Жрец",L9="Жрец",L8="Жрец",L7="Жрец",L11="Маг",L10="Маг",L9="Маг",L8="Маг",L7="Маг",L11="Монах",L10="Монах",L9="Монах",L8="Монах",L7="Монах",L11="Паладин",L10="Паладин",L9="Паладин",L8="Паладин",L7="Паладин",L11="Рейнджер",L10="Рейнджер",L9="Рейнджер",L8="Рейнджер",L7="Рейнджер",L11="Чародей",L10="Чародей",L9="Чародей",L8="Чародей",L7="Чародей"), CHAR(252),CHAR(251))</f>
        <v>ь</v>
      </c>
      <c r="Q55" s="436">
        <v>0</v>
      </c>
      <c r="R55" s="432">
        <f>IF(G8="Кобольд",2,0)</f>
        <v>0</v>
      </c>
      <c r="S55" s="430"/>
      <c r="T55" s="241"/>
      <c r="U55" s="241"/>
      <c r="V55" s="241"/>
      <c r="W55" s="241"/>
      <c r="X55" s="241"/>
      <c r="Y55" s="239"/>
    </row>
    <row r="56" spans="1:25" ht="32.25" customHeight="1">
      <c r="A56" s="239"/>
      <c r="B56" s="240"/>
      <c r="C56" s="297"/>
      <c r="D56" s="650"/>
      <c r="E56" s="650"/>
      <c r="F56" s="650"/>
      <c r="G56" s="650"/>
      <c r="H56" s="650"/>
      <c r="I56" s="650"/>
      <c r="J56" s="651"/>
      <c r="K56" s="241"/>
      <c r="L56" s="663" t="s">
        <v>85</v>
      </c>
      <c r="M56" s="664"/>
      <c r="N56" s="429">
        <f>IF(P56=CHAR(252),Q56+R56+S56+G17,FLOOR(Q56/2,1)+R56+S56+G17)</f>
        <v>-1</v>
      </c>
      <c r="O56" s="430" t="s">
        <v>171</v>
      </c>
      <c r="P56" s="431" t="str">
        <f>IF(OR(L11="Жрец",L10="Жрец",L9="Жрец",L8="Жрец",L7="Жрец"), CHAR(252),CHAR(251))</f>
        <v>ы</v>
      </c>
      <c r="Q56" s="436">
        <v>0</v>
      </c>
      <c r="R56" s="432"/>
      <c r="S56" s="430"/>
      <c r="T56" s="241"/>
      <c r="U56" s="241"/>
      <c r="V56" s="241"/>
      <c r="W56" s="241"/>
      <c r="X56" s="241"/>
      <c r="Y56" s="239"/>
    </row>
    <row r="57" spans="1:25" ht="32.25" customHeight="1">
      <c r="A57" s="239"/>
      <c r="B57" s="240"/>
      <c r="C57" s="297"/>
      <c r="D57" s="650"/>
      <c r="E57" s="650"/>
      <c r="F57" s="650"/>
      <c r="G57" s="650"/>
      <c r="H57" s="650"/>
      <c r="I57" s="650"/>
      <c r="J57" s="651"/>
      <c r="K57" s="241"/>
      <c r="L57" s="663" t="s">
        <v>85</v>
      </c>
      <c r="M57" s="664"/>
      <c r="N57" s="429">
        <f>IF(P57=CHAR(252),Q57+R57+S57+G17,FLOOR(Q57/2,1)+R57+S57+G17)</f>
        <v>-1</v>
      </c>
      <c r="O57" s="430" t="s">
        <v>171</v>
      </c>
      <c r="P57" s="431"/>
      <c r="Q57" s="436">
        <v>0</v>
      </c>
      <c r="R57" s="432"/>
      <c r="S57" s="430"/>
      <c r="T57" s="241"/>
      <c r="U57" s="241"/>
      <c r="V57" s="241"/>
      <c r="W57" s="241"/>
      <c r="X57" s="241"/>
      <c r="Y57" s="239"/>
    </row>
    <row r="58" spans="1:25" ht="32.25" customHeight="1">
      <c r="A58" s="239"/>
      <c r="B58" s="240"/>
      <c r="C58" s="297"/>
      <c r="D58" s="650"/>
      <c r="E58" s="650"/>
      <c r="F58" s="650"/>
      <c r="G58" s="650"/>
      <c r="H58" s="650"/>
      <c r="I58" s="650"/>
      <c r="J58" s="651"/>
      <c r="K58" s="241"/>
      <c r="L58" s="663" t="s">
        <v>86</v>
      </c>
      <c r="M58" s="664"/>
      <c r="N58" s="429">
        <f>IF(P58=CHAR(252),Q58+R58+S58+G19,FLOOR(Q58/2,1)+R58+S58+G19)</f>
        <v>-1</v>
      </c>
      <c r="O58" s="430" t="s">
        <v>169</v>
      </c>
      <c r="P58" s="431" t="str">
        <f>IF(OR(L11="Бард",L11="Вор",L10="Бард",L10="Вор",L9="Бард",L9="Вор",L8="Бард",L8="Вор",L7="Бард",L7="Вор",L11="Монах",L10="Монах",L9="Монах",L8="Монах",L7="Монах"),CHAR(252),CHAR(251))</f>
        <v>ы</v>
      </c>
      <c r="Q58" s="436">
        <v>0</v>
      </c>
      <c r="R58" s="432"/>
      <c r="S58" s="430"/>
      <c r="T58" s="241"/>
      <c r="U58" s="241"/>
      <c r="V58" s="241"/>
      <c r="W58" s="241"/>
      <c r="X58" s="241"/>
      <c r="Y58" s="239"/>
    </row>
    <row r="59" spans="1:25" ht="32.25" customHeight="1">
      <c r="A59" s="239"/>
      <c r="B59" s="240"/>
      <c r="C59" s="297"/>
      <c r="D59" s="650"/>
      <c r="E59" s="650"/>
      <c r="F59" s="650"/>
      <c r="G59" s="650"/>
      <c r="H59" s="650"/>
      <c r="I59" s="650"/>
      <c r="J59" s="651"/>
      <c r="K59" s="241"/>
      <c r="L59" s="663" t="s">
        <v>86</v>
      </c>
      <c r="M59" s="664"/>
      <c r="N59" s="429">
        <f>IF(P59=CHAR(252),Q59+R59+S59+G19,FLOOR(Q59/2,1)+R59+S59+G19)</f>
        <v>-1</v>
      </c>
      <c r="O59" s="430" t="s">
        <v>169</v>
      </c>
      <c r="P59" s="431"/>
      <c r="Q59" s="436">
        <v>0</v>
      </c>
      <c r="R59" s="432"/>
      <c r="S59" s="430"/>
      <c r="T59" s="241"/>
      <c r="U59" s="241"/>
      <c r="V59" s="241"/>
      <c r="W59" s="241"/>
      <c r="X59" s="241"/>
      <c r="Y59" s="239"/>
    </row>
    <row r="60" spans="1:25" ht="32.25" customHeight="1">
      <c r="A60" s="239"/>
      <c r="B60" s="240"/>
      <c r="C60" s="297"/>
      <c r="D60" s="650"/>
      <c r="E60" s="650"/>
      <c r="F60" s="650"/>
      <c r="G60" s="650"/>
      <c r="H60" s="650"/>
      <c r="I60" s="650"/>
      <c r="J60" s="651"/>
      <c r="K60" s="241"/>
      <c r="L60" s="663" t="s">
        <v>86</v>
      </c>
      <c r="M60" s="664"/>
      <c r="N60" s="429">
        <f>IF(P60=CHAR(252),Q60+R60+S60+G19,FLOOR(Q60/2,1)+R60+S60+G19)</f>
        <v>-1</v>
      </c>
      <c r="O60" s="430" t="s">
        <v>169</v>
      </c>
      <c r="P60" s="431"/>
      <c r="Q60" s="436">
        <v>0</v>
      </c>
      <c r="R60" s="432"/>
      <c r="S60" s="430"/>
      <c r="T60" s="241"/>
      <c r="U60" s="241"/>
      <c r="V60" s="241"/>
      <c r="W60" s="241"/>
      <c r="X60" s="241"/>
      <c r="Y60" s="239"/>
    </row>
    <row r="61" spans="1:25" ht="32.25" customHeight="1">
      <c r="A61" s="239"/>
      <c r="B61" s="240"/>
      <c r="C61" s="297"/>
      <c r="D61" s="650"/>
      <c r="E61" s="650"/>
      <c r="F61" s="650"/>
      <c r="G61" s="650"/>
      <c r="H61" s="650"/>
      <c r="I61" s="650"/>
      <c r="J61" s="651"/>
      <c r="K61" s="241"/>
      <c r="L61" s="663" t="s">
        <v>88</v>
      </c>
      <c r="M61" s="664"/>
      <c r="N61" s="429">
        <f>IF(P61=CHAR(252),Q61+R61+S61+G18,FLOOR(Q61/2,1)+R61+S61+G18)</f>
        <v>3</v>
      </c>
      <c r="O61" s="430" t="s">
        <v>168</v>
      </c>
      <c r="P61" s="431" t="str">
        <f>IF(OR(L11="Вор",L10="Вор",L9="Вор",L8="Вор",L7="Вор",L11="Друид",L10="Друид",L9="Друид",L8="Друид",L7="Друид",L11="Жрец",L10="Жрец",L9="Жрец",L8="Жрец",L7="Жрец",L11="Маг",L10="Маг",L9="Маг",L8="Маг",L7="Маг",L11="Монах",L10="Монах",L9="Монах",L8="Монах",L7="Монах",L11="Паладин",L10="Паладин",L9="Паладин",L8="Паладин",L7="Паладин",L11="Рейнджер",L10="Рейнджер",L9="Рейнджер",L8="Рейнджер",L7="Рейнджер",L11="Чародей",L10="Чародей",L9="Чародей",L8="Чародей",L7="Чародей"), CHAR(252),CHAR(251))</f>
        <v>ь</v>
      </c>
      <c r="Q61" s="436">
        <v>0</v>
      </c>
      <c r="R61" s="432">
        <f>IF(G8="Кобольд",2,0)</f>
        <v>0</v>
      </c>
      <c r="S61" s="430"/>
      <c r="T61" s="241"/>
      <c r="U61" s="241"/>
      <c r="V61" s="241"/>
      <c r="W61" s="241"/>
      <c r="X61" s="241"/>
      <c r="Y61" s="239"/>
    </row>
    <row r="62" spans="1:25" ht="32.25" customHeight="1">
      <c r="A62" s="239"/>
      <c r="B62" s="240"/>
      <c r="C62" s="297"/>
      <c r="D62" s="650"/>
      <c r="E62" s="650"/>
      <c r="F62" s="650"/>
      <c r="G62" s="650"/>
      <c r="H62" s="650"/>
      <c r="I62" s="650"/>
      <c r="J62" s="651"/>
      <c r="K62" s="241"/>
      <c r="L62" s="663" t="s">
        <v>88</v>
      </c>
      <c r="M62" s="664"/>
      <c r="N62" s="429">
        <f>IF(P62=CHAR(252),Q62+R62+S62+G18,FLOOR(Q62/2,1)+R62+S62+G18)</f>
        <v>3</v>
      </c>
      <c r="O62" s="430" t="s">
        <v>168</v>
      </c>
      <c r="P62" s="431"/>
      <c r="Q62" s="436">
        <v>0</v>
      </c>
      <c r="R62" s="432"/>
      <c r="S62" s="430"/>
      <c r="T62" s="241"/>
      <c r="U62" s="241"/>
      <c r="V62" s="241"/>
      <c r="W62" s="241"/>
      <c r="X62" s="241"/>
      <c r="Y62" s="239"/>
    </row>
    <row r="63" spans="1:25" ht="32.25" customHeight="1">
      <c r="A63" s="239"/>
      <c r="B63" s="240"/>
      <c r="C63" s="297"/>
      <c r="D63" s="650"/>
      <c r="E63" s="650"/>
      <c r="F63" s="650"/>
      <c r="G63" s="650"/>
      <c r="H63" s="650"/>
      <c r="I63" s="650"/>
      <c r="J63" s="651"/>
      <c r="K63" s="241"/>
      <c r="L63" s="663" t="s">
        <v>1176</v>
      </c>
      <c r="M63" s="664"/>
      <c r="N63" s="429">
        <f>IF(P63=CHAR(252),Q63+R63+S63+G17,FLOOR(Q63/2,1)+R63+S63+G17)</f>
        <v>1</v>
      </c>
      <c r="O63" s="430" t="s">
        <v>171</v>
      </c>
      <c r="P63" s="431" t="str">
        <f>IF(OR(L11="Друид",L10="Друид",L9="Друид",L8="Друид",L7="Друид",L11="Жрец",L10="Жрец",L9="Жрец",L8="Жрец",L7="Жрец",L11="Маг",L10="Маг",L9="Маг",L8="Маг",L7="Маг",L11="Монах",L10="Монах",L9="Монах",L8="Монах",L7="Монах",L11="Паладин",L10="Паладин",L9="Паладин",L8="Паладин",L7="Паладин",L11="Рейнджер",L10="Рейнджер",L9="Рейнджер",L8="Рейнджер",L7="Рейнджер",L11="Чародей",L10="Чародей",L9="Чародей",L8="Чародей",L7="Чародей"), CHAR(252),CHAR(251))</f>
        <v>ь</v>
      </c>
      <c r="Q63" s="436">
        <v>2</v>
      </c>
      <c r="R63" s="432"/>
      <c r="S63" s="430"/>
      <c r="T63" s="241"/>
      <c r="U63" s="241"/>
      <c r="V63" s="241"/>
      <c r="W63" s="241"/>
      <c r="X63" s="241"/>
      <c r="Y63" s="239"/>
    </row>
    <row r="64" spans="1:25" ht="32.25" customHeight="1">
      <c r="A64" s="239"/>
      <c r="B64" s="240"/>
      <c r="C64" s="297"/>
      <c r="D64" s="650"/>
      <c r="E64" s="650"/>
      <c r="F64" s="650"/>
      <c r="G64" s="650"/>
      <c r="H64" s="650"/>
      <c r="I64" s="650"/>
      <c r="J64" s="651"/>
      <c r="K64" s="241"/>
      <c r="L64" s="663" t="s">
        <v>1177</v>
      </c>
      <c r="M64" s="664"/>
      <c r="N64" s="429">
        <f>IF(P64=CHAR(252),Q64+R64+S64+G17,FLOOR(Q64/2,1)+R64+S64+G17)</f>
        <v>1</v>
      </c>
      <c r="O64" s="430" t="s">
        <v>171</v>
      </c>
      <c r="P64" s="431" t="str">
        <f>IF(OR(L11="Жрец",L10="Жрец",L9="Жрец",L8="Жрец",L7="Жрец",L11="Маг",L10="Маг",L9="Маг",L8="Маг",L7="Маг",L11="Монах",L10="Монах",L9="Монах",L8="Монах",L7="Монах",L11="Паладин",L10="Паладин",L9="Паладин",L8="Паладин",L7="Паладин",L11="Рейнджер",L10="Рейнджер",L9="Рейнджер",L8="Рейнджер",L7="Рейнджер"), CHAR(252),CHAR(251))</f>
        <v>ы</v>
      </c>
      <c r="Q64" s="436">
        <v>5</v>
      </c>
      <c r="R64" s="432"/>
      <c r="S64" s="430"/>
      <c r="T64" s="241"/>
      <c r="U64" s="241"/>
      <c r="V64" s="241"/>
      <c r="W64" s="241"/>
      <c r="X64" s="241"/>
      <c r="Y64" s="239"/>
    </row>
    <row r="65" spans="1:25" ht="32.25" customHeight="1">
      <c r="A65" s="239"/>
      <c r="B65" s="240"/>
      <c r="C65" s="297"/>
      <c r="D65" s="650"/>
      <c r="E65" s="650"/>
      <c r="F65" s="650"/>
      <c r="G65" s="650"/>
      <c r="H65" s="650"/>
      <c r="I65" s="650"/>
      <c r="J65" s="651"/>
      <c r="K65" s="241"/>
      <c r="L65" s="663" t="s">
        <v>1178</v>
      </c>
      <c r="M65" s="664"/>
      <c r="N65" s="429">
        <f>IF(P65=CHAR(252),Q65+R65+S65+G17,FLOOR(Q65/2,1)+R65+S65+G17)</f>
        <v>1</v>
      </c>
      <c r="O65" s="430" t="s">
        <v>171</v>
      </c>
      <c r="P65" s="431" t="str">
        <f>IF(OR(L11="Жрец",L10="Жрец",L9="Жрец",L8="Жрец",L7="Жрец",L11="Маг",L10="Маг",L9="Маг",L8="Маг",L7="Маг",L11="Рейнджер",L10="Рейнджер",L9="Рейнджер",L8="Рейнджер",L7="Рейнджер"),CHAR(252),CHAR(251))</f>
        <v>ы</v>
      </c>
      <c r="Q65" s="436">
        <v>5</v>
      </c>
      <c r="R65" s="432"/>
      <c r="S65" s="430"/>
      <c r="T65" s="241"/>
      <c r="U65" s="241"/>
      <c r="V65" s="241"/>
      <c r="W65" s="241"/>
      <c r="X65" s="241"/>
      <c r="Y65" s="239"/>
    </row>
    <row r="66" spans="1:25" ht="32.25" customHeight="1">
      <c r="A66" s="239"/>
      <c r="B66" s="240"/>
      <c r="C66" s="297"/>
      <c r="D66" s="650"/>
      <c r="E66" s="650"/>
      <c r="F66" s="650"/>
      <c r="G66" s="650"/>
      <c r="H66" s="650"/>
      <c r="I66" s="650"/>
      <c r="J66" s="651"/>
      <c r="K66" s="241"/>
      <c r="L66" s="663" t="s">
        <v>89</v>
      </c>
      <c r="M66" s="664"/>
      <c r="N66" s="429">
        <f>IF(P66=CHAR(252),Q66+R66+S66+G17,FLOOR(Q66/2,1)+R66+S66+G17)</f>
        <v>-1</v>
      </c>
      <c r="O66" s="430" t="s">
        <v>171</v>
      </c>
      <c r="P66" s="431" t="str">
        <f>IF(OR(L11="Маг",L10="Маг",L9="Маг",L8="Маг",L7="Маг"), CHAR(252),CHAR(251))</f>
        <v>ы</v>
      </c>
      <c r="Q66" s="436">
        <v>0</v>
      </c>
      <c r="R66" s="432"/>
      <c r="S66" s="430"/>
      <c r="T66" s="241"/>
      <c r="U66" s="241"/>
      <c r="V66" s="241"/>
      <c r="W66" s="241"/>
      <c r="X66" s="241"/>
      <c r="Y66" s="239"/>
    </row>
    <row r="67" spans="1:25" ht="32.25" customHeight="1" thickBot="1">
      <c r="A67" s="239"/>
      <c r="B67" s="240"/>
      <c r="C67" s="297"/>
      <c r="D67" s="652"/>
      <c r="E67" s="652"/>
      <c r="F67" s="652"/>
      <c r="G67" s="652"/>
      <c r="H67" s="652"/>
      <c r="I67" s="652"/>
      <c r="J67" s="653"/>
      <c r="K67" s="240"/>
      <c r="L67" s="663" t="s">
        <v>89</v>
      </c>
      <c r="M67" s="664"/>
      <c r="N67" s="429">
        <f>IF(P67=CHAR(252),Q67+R67+S67+G17,FLOOR(Q67/2,1)+R67+S67+G17)</f>
        <v>-1</v>
      </c>
      <c r="O67" s="430" t="s">
        <v>171</v>
      </c>
      <c r="P67" s="431" t="str">
        <f>IF(OR(L11="Маг",L10="Маг",L9="Маг",L8="Маг",L7="Маг"), CHAR(252),CHAR(251))</f>
        <v>ы</v>
      </c>
      <c r="Q67" s="436">
        <v>0</v>
      </c>
      <c r="R67" s="432"/>
      <c r="S67" s="430"/>
      <c r="T67" s="241"/>
      <c r="U67" s="241"/>
      <c r="V67" s="240"/>
      <c r="W67" s="240"/>
      <c r="X67" s="241"/>
      <c r="Y67" s="239"/>
    </row>
    <row r="68" spans="1:25" ht="27.75" customHeight="1">
      <c r="A68" s="239"/>
      <c r="B68" s="240"/>
      <c r="C68" s="240"/>
      <c r="D68" s="240"/>
      <c r="E68" s="240"/>
      <c r="F68" s="240"/>
      <c r="G68" s="240"/>
      <c r="H68" s="240"/>
      <c r="I68" s="240"/>
      <c r="J68" s="240"/>
      <c r="K68" s="240"/>
      <c r="L68" s="240"/>
      <c r="M68" s="240"/>
      <c r="N68" s="240"/>
      <c r="O68" s="240"/>
      <c r="P68" s="240"/>
      <c r="Q68" s="240"/>
      <c r="R68" s="240"/>
      <c r="S68" s="240"/>
      <c r="T68" s="240"/>
      <c r="U68" s="240"/>
      <c r="V68" s="240"/>
      <c r="W68" s="240"/>
      <c r="X68" s="240"/>
      <c r="Y68" s="239"/>
    </row>
    <row r="69" spans="1:25" ht="27.75" customHeight="1">
      <c r="A69" s="239"/>
      <c r="B69" s="240"/>
      <c r="C69" s="240"/>
      <c r="D69" s="241"/>
      <c r="E69" s="241"/>
      <c r="F69" s="241"/>
      <c r="G69" s="241"/>
      <c r="H69" s="241"/>
      <c r="I69" s="241"/>
      <c r="J69" s="241"/>
      <c r="K69" s="241"/>
      <c r="L69" s="241"/>
      <c r="M69" s="241"/>
      <c r="N69" s="241"/>
      <c r="O69" s="241"/>
      <c r="P69" s="241"/>
      <c r="Q69" s="241"/>
      <c r="R69" s="241"/>
      <c r="S69" s="241"/>
      <c r="T69" s="241"/>
      <c r="U69" s="241"/>
      <c r="V69" s="241"/>
      <c r="W69" s="241"/>
      <c r="X69" s="241"/>
      <c r="Y69" s="239"/>
    </row>
    <row r="70" spans="1:25" ht="27.75" customHeight="1">
      <c r="A70" s="239"/>
      <c r="B70" s="296"/>
      <c r="C70" s="296"/>
      <c r="D70" s="296"/>
      <c r="E70" s="239"/>
      <c r="F70" s="239"/>
      <c r="G70" s="239"/>
      <c r="H70" s="239"/>
      <c r="I70" s="239"/>
      <c r="J70" s="239"/>
      <c r="K70" s="239"/>
      <c r="L70" s="239"/>
      <c r="M70" s="239"/>
      <c r="N70" s="239"/>
      <c r="O70" s="239"/>
      <c r="P70" s="239"/>
      <c r="Q70" s="239"/>
      <c r="R70" s="239"/>
      <c r="S70" s="239"/>
      <c r="T70" s="239"/>
      <c r="U70" s="239"/>
      <c r="V70" s="239"/>
      <c r="W70" s="239"/>
      <c r="X70" s="239"/>
      <c r="Y70" s="239"/>
    </row>
    <row r="71" spans="1:25" ht="47.25" customHeight="1"/>
    <row r="72" spans="1:25" ht="27.75" customHeight="1"/>
    <row r="73" spans="1:25" ht="34.5" customHeight="1"/>
    <row r="74" spans="1:25" ht="27.75" customHeight="1"/>
    <row r="75" spans="1:25" ht="27.75" customHeight="1"/>
    <row r="76" spans="1:25" ht="27.75" customHeight="1"/>
    <row r="77" spans="1:25" ht="27.75" customHeight="1"/>
    <row r="78" spans="1:25" ht="27.75" customHeight="1"/>
    <row r="79" spans="1:25" ht="27.75" customHeight="1"/>
    <row r="80" spans="1:25" ht="27.75" customHeight="1"/>
    <row r="81" ht="27.75" customHeight="1"/>
    <row r="82" ht="27.75" customHeight="1"/>
    <row r="84" ht="27.75" customHeight="1"/>
    <row r="85" ht="27.75" customHeight="1"/>
    <row r="86" ht="27.75" customHeight="1"/>
    <row r="87" ht="27.75" customHeight="1"/>
    <row r="88" ht="27.75" customHeight="1"/>
    <row r="89" ht="27.75" customHeight="1"/>
    <row r="90" ht="27.75" customHeight="1"/>
    <row r="91" ht="27.75" customHeight="1"/>
    <row r="92" ht="27.75" customHeight="1"/>
    <row r="93" ht="27.75" customHeight="1"/>
    <row r="94" ht="27.75" customHeight="1"/>
    <row r="95" ht="27.75" customHeight="1"/>
    <row r="96" ht="27.75" customHeight="1"/>
    <row r="97" ht="27.75" customHeight="1"/>
    <row r="98" ht="27.75" customHeight="1"/>
    <row r="99" ht="27.75" customHeight="1"/>
    <row r="100" ht="27.75" customHeight="1"/>
    <row r="101" ht="27.75" customHeight="1"/>
    <row r="102" ht="27.75" customHeight="1"/>
    <row r="103" ht="27.75" customHeight="1"/>
    <row r="104" ht="27.75" customHeight="1"/>
    <row r="105" ht="27.75" customHeight="1"/>
    <row r="106" ht="27.75" customHeight="1"/>
    <row r="107" ht="27.75" customHeight="1"/>
    <row r="108" ht="27.75" customHeight="1"/>
    <row r="109" ht="27.75" customHeight="1"/>
    <row r="110" ht="27.75" customHeight="1"/>
    <row r="111" ht="27.75" customHeight="1"/>
    <row r="112" ht="27.75" customHeight="1"/>
    <row r="113" spans="1:28" ht="27.75" customHeight="1"/>
    <row r="114" spans="1:28" ht="30" customHeight="1"/>
    <row r="115" spans="1:28" ht="27.75" customHeight="1"/>
    <row r="116" spans="1:28" ht="27.75" customHeight="1"/>
    <row r="117" spans="1:28" ht="27.75" customHeight="1"/>
    <row r="118" spans="1:28" ht="27.75" customHeight="1"/>
    <row r="119" spans="1:28" ht="27.75" customHeight="1"/>
    <row r="120" spans="1:28" ht="27.75" customHeight="1"/>
    <row r="121" spans="1:28" ht="27.75" customHeight="1"/>
    <row r="122" spans="1:28" ht="27.75" customHeight="1"/>
    <row r="123" spans="1:28" ht="27.75" customHeight="1"/>
    <row r="124" spans="1:28" ht="27.75" customHeight="1"/>
    <row r="125" spans="1:28" ht="27.75" customHeight="1"/>
    <row r="126" spans="1:28" ht="27.75" customHeight="1"/>
    <row r="127" spans="1:28" ht="27.75" customHeight="1"/>
    <row r="128" spans="1:28" ht="27.75" customHeight="1">
      <c r="A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54"/>
      <c r="AA128" s="28"/>
      <c r="AB128" s="35"/>
    </row>
    <row r="130" ht="27.75" customHeight="1"/>
    <row r="131" ht="27.75" customHeight="1"/>
    <row r="132" ht="27.75" customHeight="1"/>
    <row r="133" ht="27.75" customHeight="1"/>
    <row r="134" ht="27.75" customHeight="1"/>
    <row r="135" ht="27.75" customHeight="1"/>
    <row r="136" ht="27.75" customHeight="1"/>
    <row r="137" ht="27.75" customHeight="1"/>
    <row r="138" ht="27.75" customHeight="1"/>
    <row r="139" ht="27.75" customHeight="1"/>
    <row r="140" ht="27.75" customHeight="1"/>
    <row r="141" ht="27.75" customHeight="1"/>
    <row r="142" ht="27.75" customHeight="1"/>
    <row r="143" ht="27.75" customHeight="1"/>
    <row r="144" ht="27.75" customHeight="1"/>
    <row r="145" ht="27.75" customHeight="1"/>
    <row r="146" ht="27.75" customHeight="1"/>
    <row r="147" ht="27.75" customHeight="1"/>
    <row r="148" ht="27.75" customHeight="1"/>
    <row r="149" ht="27.75" customHeight="1"/>
    <row r="150" ht="27.75" customHeight="1"/>
    <row r="151" ht="27.75" customHeight="1"/>
    <row r="152" ht="27.75" customHeight="1"/>
    <row r="153" ht="27.75" customHeight="1"/>
    <row r="154" ht="27.75" customHeight="1"/>
    <row r="155" ht="27.75" customHeight="1"/>
    <row r="156" ht="27.75" customHeight="1"/>
    <row r="157" ht="27.75" customHeight="1"/>
    <row r="158" ht="27.75" customHeight="1"/>
    <row r="159" ht="27.75" customHeight="1"/>
    <row r="160" ht="27.75" customHeight="1"/>
    <row r="161" ht="27.75" customHeight="1"/>
    <row r="162" ht="27.75" customHeight="1"/>
    <row r="163" ht="27.75" customHeight="1"/>
    <row r="164" ht="27.75" customHeight="1"/>
    <row r="165" ht="27.75" customHeight="1"/>
    <row r="166" ht="27.75" customHeight="1"/>
    <row r="167" ht="27.75" customHeight="1"/>
    <row r="168" ht="27.75" customHeight="1"/>
    <row r="169" ht="27.75" customHeight="1"/>
  </sheetData>
  <sheetProtection insertColumns="0" insertRows="0" insertHyperlinks="0" deleteColumns="0" deleteRows="0" selectLockedCells="1" sort="0" autoFilter="0" pivotTables="0" selectUnlockedCells="1"/>
  <dataConsolidate function="count" link="1">
    <dataRefs count="1">
      <dataRef ref="S19" sheet="Карточка персонажа" r:id="rId1"/>
    </dataRefs>
  </dataConsolidate>
  <mergeCells count="73">
    <mergeCell ref="R14:S14"/>
    <mergeCell ref="N7:N11"/>
    <mergeCell ref="R13:S13"/>
    <mergeCell ref="O14:P14"/>
    <mergeCell ref="L66:M66"/>
    <mergeCell ref="L52:M52"/>
    <mergeCell ref="L53:M53"/>
    <mergeCell ref="L46:M46"/>
    <mergeCell ref="L47:M47"/>
    <mergeCell ref="L48:M48"/>
    <mergeCell ref="L49:M49"/>
    <mergeCell ref="L51:M51"/>
    <mergeCell ref="L41:M41"/>
    <mergeCell ref="L42:M42"/>
    <mergeCell ref="L43:M43"/>
    <mergeCell ref="L44:M44"/>
    <mergeCell ref="L67:M67"/>
    <mergeCell ref="L54:M54"/>
    <mergeCell ref="L55:M55"/>
    <mergeCell ref="L61:M61"/>
    <mergeCell ref="L56:M56"/>
    <mergeCell ref="L57:M57"/>
    <mergeCell ref="L58:M58"/>
    <mergeCell ref="L59:M59"/>
    <mergeCell ref="L60:M60"/>
    <mergeCell ref="L63:M63"/>
    <mergeCell ref="L64:M64"/>
    <mergeCell ref="L65:M65"/>
    <mergeCell ref="L22:M22"/>
    <mergeCell ref="L38:M38"/>
    <mergeCell ref="L27:M27"/>
    <mergeCell ref="L28:M28"/>
    <mergeCell ref="L29:M29"/>
    <mergeCell ref="L30:M30"/>
    <mergeCell ref="L31:M31"/>
    <mergeCell ref="L32:M32"/>
    <mergeCell ref="L33:M33"/>
    <mergeCell ref="L34:M34"/>
    <mergeCell ref="L35:M35"/>
    <mergeCell ref="L36:M36"/>
    <mergeCell ref="L37:M37"/>
    <mergeCell ref="D22:J22"/>
    <mergeCell ref="D23:J67"/>
    <mergeCell ref="G9:I9"/>
    <mergeCell ref="K6:L6"/>
    <mergeCell ref="G4:I4"/>
    <mergeCell ref="G5:I5"/>
    <mergeCell ref="G6:I6"/>
    <mergeCell ref="L23:M23"/>
    <mergeCell ref="L24:M24"/>
    <mergeCell ref="L25:M25"/>
    <mergeCell ref="L26:M26"/>
    <mergeCell ref="L62:M62"/>
    <mergeCell ref="L50:M50"/>
    <mergeCell ref="L39:M39"/>
    <mergeCell ref="L40:M40"/>
    <mergeCell ref="L45:M45"/>
    <mergeCell ref="C3:E11"/>
    <mergeCell ref="G8:I8"/>
    <mergeCell ref="G7:I7"/>
    <mergeCell ref="D12:H12"/>
    <mergeCell ref="Q6:U6"/>
    <mergeCell ref="N3:P3"/>
    <mergeCell ref="O13:P13"/>
    <mergeCell ref="Q7:U7"/>
    <mergeCell ref="T8:U8"/>
    <mergeCell ref="R8:S8"/>
    <mergeCell ref="Q11:R11"/>
    <mergeCell ref="S11:U11"/>
    <mergeCell ref="Q10:R10"/>
    <mergeCell ref="S10:U10"/>
    <mergeCell ref="R9:S9"/>
    <mergeCell ref="T9:U9"/>
  </mergeCells>
  <conditionalFormatting sqref="BC1">
    <cfRule type="dataBar" priority="70">
      <dataBar>
        <cfvo type="min"/>
        <cfvo type="max"/>
        <color theme="6" tint="-0.249977111117893"/>
      </dataBar>
      <extLst>
        <ext xmlns:x14="http://schemas.microsoft.com/office/spreadsheetml/2009/9/main" uri="{B025F937-C7B1-47D3-B67F-A62EFF666E3E}">
          <x14:id>{DDF6915E-45C3-4FFA-8A29-8915B583A303}</x14:id>
        </ext>
      </extLst>
    </cfRule>
  </conditionalFormatting>
  <conditionalFormatting sqref="Q7">
    <cfRule type="dataBar" priority="69">
      <dataBar>
        <cfvo type="min"/>
        <cfvo type="max"/>
        <color theme="6" tint="-0.249977111117893"/>
      </dataBar>
      <extLst>
        <ext xmlns:x14="http://schemas.microsoft.com/office/spreadsheetml/2009/9/main" uri="{B025F937-C7B1-47D3-B67F-A62EFF666E3E}">
          <x14:id>{0192A490-D0B6-4511-A843-C7BC22AB9114}</x14:id>
        </ext>
      </extLst>
    </cfRule>
  </conditionalFormatting>
  <conditionalFormatting sqref="BC1 Q7">
    <cfRule type="dataBar" priority="68">
      <dataBar>
        <cfvo type="min"/>
        <cfvo type="max"/>
        <color theme="6" tint="-0.249977111117893"/>
      </dataBar>
      <extLst>
        <ext xmlns:x14="http://schemas.microsoft.com/office/spreadsheetml/2009/9/main" uri="{B025F937-C7B1-47D3-B67F-A62EFF666E3E}">
          <x14:id>{0DD8704B-CED1-4E1C-89F6-0AC4DBCEC7E9}</x14:id>
        </ext>
      </extLst>
    </cfRule>
  </conditionalFormatting>
  <conditionalFormatting sqref="BD1 Q7">
    <cfRule type="dataBar" priority="67">
      <dataBar>
        <cfvo type="min"/>
        <cfvo type="max"/>
        <color theme="6" tint="-0.249977111117893"/>
      </dataBar>
      <extLst>
        <ext xmlns:x14="http://schemas.microsoft.com/office/spreadsheetml/2009/9/main" uri="{B025F937-C7B1-47D3-B67F-A62EFF666E3E}">
          <x14:id>{3DE01697-428A-46C9-852D-2758DCDC8554}</x14:id>
        </ext>
      </extLst>
    </cfRule>
  </conditionalFormatting>
  <conditionalFormatting sqref="H10">
    <cfRule type="cellIs" dxfId="104" priority="54" operator="equal">
      <formula>"Незадано"</formula>
    </cfRule>
  </conditionalFormatting>
  <conditionalFormatting sqref="V13">
    <cfRule type="cellIs" dxfId="103" priority="47" operator="equal">
      <formula>"Полет"</formula>
    </cfRule>
    <cfRule type="cellIs" dxfId="102" priority="49" operator="equal">
      <formula>0</formula>
    </cfRule>
  </conditionalFormatting>
  <conditionalFormatting sqref="V14">
    <cfRule type="cellIs" dxfId="101" priority="46" operator="equal">
      <formula>40</formula>
    </cfRule>
    <cfRule type="cellIs" dxfId="100" priority="48" operator="equal">
      <formula>0</formula>
    </cfRule>
  </conditionalFormatting>
  <conditionalFormatting sqref="L24:M24">
    <cfRule type="expression" dxfId="95" priority="45">
      <formula>P24=CHAR(252)</formula>
    </cfRule>
  </conditionalFormatting>
  <conditionalFormatting sqref="L28:M28">
    <cfRule type="expression" dxfId="94" priority="43">
      <formula>P28=CHAR(252)</formula>
    </cfRule>
  </conditionalFormatting>
  <conditionalFormatting sqref="L25:M25">
    <cfRule type="expression" dxfId="93" priority="42">
      <formula>P25=CHAR(252)</formula>
    </cfRule>
  </conditionalFormatting>
  <conditionalFormatting sqref="L26:M26">
    <cfRule type="expression" dxfId="92" priority="41">
      <formula>P26=CHAR(252)</formula>
    </cfRule>
  </conditionalFormatting>
  <conditionalFormatting sqref="L27:M27">
    <cfRule type="expression" dxfId="91" priority="40">
      <formula>P27=CHAR(252)</formula>
    </cfRule>
  </conditionalFormatting>
  <conditionalFormatting sqref="L29:M29">
    <cfRule type="expression" dxfId="90" priority="39">
      <formula>P29=CHAR(252)</formula>
    </cfRule>
  </conditionalFormatting>
  <conditionalFormatting sqref="L30:M30">
    <cfRule type="expression" dxfId="89" priority="38">
      <formula>P30=CHAR(252)</formula>
    </cfRule>
  </conditionalFormatting>
  <conditionalFormatting sqref="L31:M31">
    <cfRule type="expression" dxfId="88" priority="37">
      <formula>P31=CHAR(252)</formula>
    </cfRule>
  </conditionalFormatting>
  <conditionalFormatting sqref="L32:M32">
    <cfRule type="expression" dxfId="87" priority="36">
      <formula>P32=CHAR(252)</formula>
    </cfRule>
  </conditionalFormatting>
  <conditionalFormatting sqref="L33:M33">
    <cfRule type="expression" dxfId="86" priority="35">
      <formula>P33=CHAR(252)</formula>
    </cfRule>
  </conditionalFormatting>
  <conditionalFormatting sqref="L34:M34">
    <cfRule type="expression" dxfId="85" priority="34">
      <formula>P34=CHAR(252)</formula>
    </cfRule>
  </conditionalFormatting>
  <conditionalFormatting sqref="L35:M35">
    <cfRule type="expression" dxfId="84" priority="33">
      <formula>P35=CHAR(252)</formula>
    </cfRule>
  </conditionalFormatting>
  <conditionalFormatting sqref="L36:M36">
    <cfRule type="expression" dxfId="83" priority="32">
      <formula>P36=CHAR(252)</formula>
    </cfRule>
  </conditionalFormatting>
  <conditionalFormatting sqref="L37:M37">
    <cfRule type="expression" dxfId="82" priority="31">
      <formula>P37=CHAR(252)</formula>
    </cfRule>
  </conditionalFormatting>
  <conditionalFormatting sqref="L38:M38">
    <cfRule type="expression" dxfId="81" priority="30">
      <formula>P38=CHAR(252)</formula>
    </cfRule>
  </conditionalFormatting>
  <conditionalFormatting sqref="L39:M39">
    <cfRule type="expression" dxfId="80" priority="29">
      <formula>P39=CHAR(252)</formula>
    </cfRule>
  </conditionalFormatting>
  <conditionalFormatting sqref="L40:M40">
    <cfRule type="expression" dxfId="79" priority="28">
      <formula>P40=CHAR(252)</formula>
    </cfRule>
  </conditionalFormatting>
  <conditionalFormatting sqref="L41:M41">
    <cfRule type="expression" dxfId="78" priority="27">
      <formula>P41=CHAR(252)</formula>
    </cfRule>
  </conditionalFormatting>
  <conditionalFormatting sqref="L42:M42">
    <cfRule type="expression" dxfId="77" priority="26">
      <formula>P42=CHAR(252)</formula>
    </cfRule>
  </conditionalFormatting>
  <conditionalFormatting sqref="L43:M43">
    <cfRule type="expression" dxfId="76" priority="25">
      <formula>P43=CHAR(252)</formula>
    </cfRule>
  </conditionalFormatting>
  <conditionalFormatting sqref="L44:M44">
    <cfRule type="expression" dxfId="75" priority="24">
      <formula>P44=CHAR(252)</formula>
    </cfRule>
  </conditionalFormatting>
  <conditionalFormatting sqref="L45:M45">
    <cfRule type="expression" dxfId="74" priority="23">
      <formula>P45=CHAR(252)</formula>
    </cfRule>
  </conditionalFormatting>
  <conditionalFormatting sqref="L46:M46">
    <cfRule type="expression" dxfId="73" priority="22">
      <formula>P46=CHAR(252)</formula>
    </cfRule>
  </conditionalFormatting>
  <conditionalFormatting sqref="L47:M47">
    <cfRule type="expression" dxfId="72" priority="21">
      <formula>P47=CHAR(252)</formula>
    </cfRule>
  </conditionalFormatting>
  <conditionalFormatting sqref="L48:M48">
    <cfRule type="expression" dxfId="71" priority="20">
      <formula>P48=CHAR(252)</formula>
    </cfRule>
  </conditionalFormatting>
  <conditionalFormatting sqref="L49:M49">
    <cfRule type="expression" dxfId="70" priority="19">
      <formula>P49=CHAR(252)</formula>
    </cfRule>
  </conditionalFormatting>
  <conditionalFormatting sqref="L50:M50">
    <cfRule type="expression" dxfId="69" priority="18">
      <formula>P50=CHAR(252)</formula>
    </cfRule>
  </conditionalFormatting>
  <conditionalFormatting sqref="L51:M51">
    <cfRule type="expression" dxfId="68" priority="17">
      <formula>P51=CHAR(252)</formula>
    </cfRule>
  </conditionalFormatting>
  <conditionalFormatting sqref="L52:M52">
    <cfRule type="expression" dxfId="67" priority="16">
      <formula>P52=CHAR(252)</formula>
    </cfRule>
  </conditionalFormatting>
  <conditionalFormatting sqref="L53:M53">
    <cfRule type="expression" dxfId="66" priority="15">
      <formula>P53=CHAR(252)</formula>
    </cfRule>
  </conditionalFormatting>
  <conditionalFormatting sqref="L54:M54">
    <cfRule type="expression" dxfId="65" priority="14">
      <formula>P54=CHAR(252)</formula>
    </cfRule>
  </conditionalFormatting>
  <conditionalFormatting sqref="L55:M55">
    <cfRule type="expression" dxfId="64" priority="13">
      <formula>P55=CHAR(252)</formula>
    </cfRule>
  </conditionalFormatting>
  <conditionalFormatting sqref="L56:M56">
    <cfRule type="expression" dxfId="63" priority="12">
      <formula>P56=CHAR(252)</formula>
    </cfRule>
  </conditionalFormatting>
  <conditionalFormatting sqref="L57:M57">
    <cfRule type="expression" dxfId="62" priority="11">
      <formula>P57=CHAR(252)</formula>
    </cfRule>
  </conditionalFormatting>
  <conditionalFormatting sqref="L58:M58">
    <cfRule type="expression" dxfId="61" priority="10">
      <formula>P58=CHAR(252)</formula>
    </cfRule>
  </conditionalFormatting>
  <conditionalFormatting sqref="L59:M59">
    <cfRule type="expression" dxfId="60" priority="9">
      <formula>P59=CHAR(252)</formula>
    </cfRule>
  </conditionalFormatting>
  <conditionalFormatting sqref="L60:M60">
    <cfRule type="expression" dxfId="59" priority="8">
      <formula>P60=CHAR(252)</formula>
    </cfRule>
  </conditionalFormatting>
  <conditionalFormatting sqref="L61:M61">
    <cfRule type="expression" dxfId="58" priority="7">
      <formula>P61=CHAR(252)</formula>
    </cfRule>
  </conditionalFormatting>
  <conditionalFormatting sqref="L62:M62">
    <cfRule type="expression" dxfId="57" priority="6">
      <formula>P62=CHAR(252)</formula>
    </cfRule>
  </conditionalFormatting>
  <conditionalFormatting sqref="L63:M63">
    <cfRule type="expression" dxfId="56" priority="5">
      <formula>P63=CHAR(252)</formula>
    </cfRule>
  </conditionalFormatting>
  <conditionalFormatting sqref="L64:M64">
    <cfRule type="expression" dxfId="55" priority="4">
      <formula>P64=CHAR(252)</formula>
    </cfRule>
  </conditionalFormatting>
  <conditionalFormatting sqref="L65:M65">
    <cfRule type="expression" dxfId="54" priority="3">
      <formula>P65=CHAR(252)</formula>
    </cfRule>
  </conditionalFormatting>
  <conditionalFormatting sqref="L66:M66">
    <cfRule type="expression" dxfId="53" priority="2">
      <formula>P66=CHAR(252)</formula>
    </cfRule>
  </conditionalFormatting>
  <conditionalFormatting sqref="L67:M67">
    <cfRule type="expression" dxfId="52" priority="1">
      <formula>P67=CHAR(252)</formula>
    </cfRule>
  </conditionalFormatting>
  <dataValidations count="5">
    <dataValidation type="whole" allowBlank="1" showInputMessage="1" showErrorMessage="1" sqref="Q24" xr:uid="{6065DC08-67AE-4424-9434-3C1946F2D024}">
      <formula1>0</formula1>
      <formula2>S22</formula2>
    </dataValidation>
    <dataValidation type="whole" allowBlank="1" showInputMessage="1" showErrorMessage="1" sqref="Q22" xr:uid="{00000000-0002-0000-0100-000001000000}">
      <formula1>0</formula1>
      <formula2>S22</formula2>
    </dataValidation>
    <dataValidation type="list" allowBlank="1" showInputMessage="1" showErrorMessage="1" sqref="G8:I8" xr:uid="{00000000-0002-0000-0100-000002000000}">
      <formula1>"Полуэльф,Человек,Гном,Дварф,Полуорк,Хафлинг,Эльф,Тобакси,Кобольд,Полувеликан,Драконорожденный,Драконид"</formula1>
    </dataValidation>
    <dataValidation type="list" showInputMessage="1" showErrorMessage="1" sqref="L7:L11" xr:uid="{00000000-0002-0000-0100-000003000000}">
      <formula1>"Невыбрано,Воин,Варвар,Паладин,Вор,Жрец,Друид,Маг,Бард,Монах,Рейнджер,Чародей"</formula1>
    </dataValidation>
    <dataValidation type="list" allowBlank="1" showInputMessage="1" showErrorMessage="1" sqref="H10" xr:uid="{00000000-0002-0000-0100-000004000000}">
      <formula1>"Сердце,Разум,Крылья,Незадано,"</formula1>
    </dataValidation>
  </dataValidations>
  <pageMargins left="0.7" right="0.7" top="0.75" bottom="0.75" header="0.3" footer="0.3"/>
  <pageSetup paperSize="9" orientation="portrait" r:id="rId2"/>
  <drawing r:id="rId3"/>
  <legacyDrawing r:id="rId4"/>
  <extLst>
    <ext xmlns:x14="http://schemas.microsoft.com/office/spreadsheetml/2009/9/main" uri="{78C0D931-6437-407d-A8EE-F0AAD7539E65}">
      <x14:conditionalFormattings>
        <x14:conditionalFormatting xmlns:xm="http://schemas.microsoft.com/office/excel/2006/main">
          <x14:cfRule type="dataBar" id="{DDF6915E-45C3-4FFA-8A29-8915B583A303}">
            <x14:dataBar minLength="0" maxLength="100" border="1">
              <x14:cfvo type="autoMin"/>
              <x14:cfvo type="autoMax"/>
              <x14:borderColor rgb="FF000000"/>
              <x14:negativeFillColor rgb="FFFF0000"/>
              <x14:axisColor rgb="FF000000"/>
            </x14:dataBar>
          </x14:cfRule>
          <xm:sqref>BC1</xm:sqref>
        </x14:conditionalFormatting>
        <x14:conditionalFormatting xmlns:xm="http://schemas.microsoft.com/office/excel/2006/main">
          <x14:cfRule type="dataBar" id="{0192A490-D0B6-4511-A843-C7BC22AB9114}">
            <x14:dataBar minLength="0" maxLength="100" border="1">
              <x14:cfvo type="autoMin"/>
              <x14:cfvo type="autoMax"/>
              <x14:borderColor rgb="FF000000"/>
              <x14:negativeFillColor rgb="FFFF0000"/>
              <x14:axisColor rgb="FF000000"/>
            </x14:dataBar>
          </x14:cfRule>
          <xm:sqref>Q7</xm:sqref>
        </x14:conditionalFormatting>
        <x14:conditionalFormatting xmlns:xm="http://schemas.microsoft.com/office/excel/2006/main">
          <x14:cfRule type="dataBar" id="{0DD8704B-CED1-4E1C-89F6-0AC4DBCEC7E9}">
            <x14:dataBar minLength="0" maxLength="100" border="1">
              <x14:cfvo type="autoMin"/>
              <x14:cfvo type="autoMax"/>
              <x14:borderColor rgb="FF000000"/>
              <x14:negativeFillColor rgb="FFFF0000"/>
              <x14:axisColor rgb="FF000000"/>
            </x14:dataBar>
          </x14:cfRule>
          <xm:sqref>BC1 Q7</xm:sqref>
        </x14:conditionalFormatting>
        <x14:conditionalFormatting xmlns:xm="http://schemas.microsoft.com/office/excel/2006/main">
          <x14:cfRule type="dataBar" id="{3DE01697-428A-46C9-852D-2758DCDC8554}">
            <x14:dataBar minLength="0" maxLength="100" border="1">
              <x14:cfvo type="autoMin"/>
              <x14:cfvo type="autoMax"/>
              <x14:borderColor rgb="FF000000"/>
              <x14:negativeFillColor rgb="FFFF0000"/>
              <x14:axisColor rgb="FF000000"/>
            </x14:dataBar>
          </x14:cfRule>
          <xm:sqref>BD1 Q7</xm:sqref>
        </x14:conditionalFormatting>
        <x14:conditionalFormatting xmlns:xm="http://schemas.microsoft.com/office/excel/2006/main">
          <x14:cfRule type="cellIs" priority="58" operator="equal" id="{E7263257-2EFD-4C87-8B63-23E6E0F2DC18}">
            <xm:f>Расы!$AK$3</xm:f>
            <x14:dxf>
              <font>
                <b/>
                <i val="0"/>
                <color theme="1" tint="0.14996795556505021"/>
              </font>
              <fill>
                <patternFill patternType="solid">
                  <fgColor theme="1" tint="0.14996795556505021"/>
                  <bgColor theme="2" tint="-9.9948118533890809E-2"/>
                </patternFill>
              </fill>
              <border>
                <left style="thin">
                  <color auto="1"/>
                </left>
                <right style="thin">
                  <color auto="1"/>
                </right>
                <top style="thin">
                  <color auto="1"/>
                </top>
                <bottom style="thin">
                  <color auto="1"/>
                </bottom>
                <vertical/>
                <horizontal/>
              </border>
            </x14:dxf>
          </x14:cfRule>
          <xm:sqref>H11</xm:sqref>
        </x14:conditionalFormatting>
        <x14:conditionalFormatting xmlns:xm="http://schemas.microsoft.com/office/excel/2006/main">
          <x14:cfRule type="cellIs" priority="52" operator="equal" id="{D15EAB6C-E64E-478B-A9C4-E8FE758445D5}">
            <xm:f>Расы!$AK$50</xm:f>
            <x14:dxf>
              <font>
                <color theme="1" tint="0.14996795556505021"/>
              </font>
              <fill>
                <patternFill>
                  <bgColor theme="2"/>
                </patternFill>
              </fill>
              <border>
                <left style="thin">
                  <color auto="1"/>
                </left>
                <right style="thin">
                  <color auto="1"/>
                </right>
                <top style="thin">
                  <color auto="1"/>
                </top>
                <bottom style="thin">
                  <color auto="1"/>
                </bottom>
                <vertical/>
                <horizontal/>
              </border>
            </x14:dxf>
          </x14:cfRule>
          <x14:cfRule type="cellIs" priority="53" operator="equal" id="{ACFBB141-23C6-4F0A-879C-514734B46D2E}">
            <xm:f>Расы!$AK$28</xm:f>
            <x14:dxf>
              <font>
                <color theme="1" tint="0.14996795556505021"/>
              </font>
              <fill>
                <patternFill>
                  <bgColor theme="2"/>
                </patternFill>
              </fill>
              <border>
                <left style="thin">
                  <color auto="1"/>
                </left>
                <right style="thin">
                  <color auto="1"/>
                </right>
                <top style="thin">
                  <color auto="1"/>
                </top>
                <bottom style="thin">
                  <color auto="1"/>
                </bottom>
                <vertical/>
                <horizontal/>
              </border>
            </x14:dxf>
          </x14:cfRule>
          <x14:cfRule type="cellIs" priority="55" operator="equal" id="{F65C39BA-8D94-4717-A0A5-F5836E38DE99}">
            <xm:f>Расы!$AK$5</xm:f>
            <x14:dxf>
              <fill>
                <patternFill>
                  <fgColor theme="1" tint="0.14993743705557422"/>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x14:dxf>
          </x14:cfRule>
          <xm:sqref>H10</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5000000}">
          <x14:formula1>
            <xm:f>Жрец!$CB$2:$CB$10</xm:f>
          </x14:formula1>
          <xm:sqref>Q10:R10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P167"/>
  <sheetViews>
    <sheetView showGridLines="0" zoomScale="75" zoomScaleNormal="75" workbookViewId="0">
      <selection activeCell="N11" sqref="N11"/>
    </sheetView>
  </sheetViews>
  <sheetFormatPr defaultColWidth="15.140625" defaultRowHeight="137.25" customHeight="1"/>
  <cols>
    <col min="1" max="1" width="4.42578125" style="24" customWidth="1"/>
    <col min="2" max="2" width="4.7109375" style="24" customWidth="1"/>
    <col min="3" max="3" width="20.42578125" style="24" customWidth="1"/>
    <col min="4" max="4" width="13" style="24" customWidth="1"/>
    <col min="5" max="5" width="15" style="24" customWidth="1"/>
    <col min="6" max="6" width="13.85546875" style="24" customWidth="1"/>
    <col min="7" max="7" width="12.5703125" style="24" customWidth="1"/>
    <col min="8" max="8" width="12" style="24" customWidth="1"/>
    <col min="9" max="9" width="18.5703125" style="24" customWidth="1"/>
    <col min="10" max="10" width="17.85546875" style="24" customWidth="1"/>
    <col min="11" max="11" width="18" style="24" customWidth="1"/>
    <col min="12" max="12" width="16.140625" style="24" customWidth="1"/>
    <col min="13" max="13" width="17.7109375" style="24" customWidth="1"/>
    <col min="14" max="14" width="15.85546875" style="24" customWidth="1"/>
    <col min="15" max="15" width="19" style="24" customWidth="1"/>
    <col min="16" max="16" width="19.5703125" style="24" customWidth="1"/>
    <col min="17" max="17" width="18.28515625" style="24" customWidth="1"/>
    <col min="18" max="18" width="20.28515625" style="24" customWidth="1"/>
    <col min="19" max="19" width="18.7109375" style="24" customWidth="1"/>
    <col min="20" max="20" width="16.140625" style="24" customWidth="1"/>
    <col min="21" max="21" width="18.7109375" style="24" customWidth="1"/>
    <col min="22" max="22" width="15.85546875" style="24" customWidth="1"/>
    <col min="23" max="23" width="8.140625" style="24" customWidth="1"/>
    <col min="24" max="24" width="5.28515625" style="24" customWidth="1"/>
    <col min="25" max="25" width="17.140625" style="24" customWidth="1"/>
    <col min="26" max="26" width="19.140625" style="24" customWidth="1"/>
    <col min="27" max="27" width="17.140625" style="24" customWidth="1"/>
    <col min="28" max="28" width="18.7109375" style="24" customWidth="1"/>
    <col min="29" max="29" width="16.28515625" style="24" customWidth="1"/>
    <col min="30" max="30" width="15.140625" style="24"/>
    <col min="31" max="31" width="6.85546875" style="24" customWidth="1"/>
    <col min="32" max="16384" width="15.140625" style="24"/>
  </cols>
  <sheetData>
    <row r="1" spans="1:42" ht="24" customHeight="1" thickTop="1">
      <c r="A1" s="54"/>
      <c r="B1" s="56"/>
      <c r="C1" s="56"/>
      <c r="D1" s="56"/>
      <c r="E1" s="56"/>
      <c r="F1" s="56"/>
      <c r="G1" s="56"/>
      <c r="H1" s="56"/>
      <c r="I1" s="56"/>
      <c r="J1" s="56"/>
      <c r="K1" s="56"/>
      <c r="L1" s="56"/>
      <c r="M1" s="56"/>
      <c r="N1" s="56"/>
      <c r="O1" s="56"/>
      <c r="P1" s="56"/>
      <c r="Q1" s="56"/>
      <c r="R1" s="56"/>
      <c r="S1" s="56"/>
      <c r="T1" s="56"/>
      <c r="U1" s="56"/>
      <c r="V1" s="56"/>
      <c r="W1" s="56"/>
      <c r="X1" s="54"/>
      <c r="Y1" s="240"/>
      <c r="Z1" s="241"/>
      <c r="AA1" s="241"/>
      <c r="AB1" s="241"/>
      <c r="AC1" s="241"/>
      <c r="AD1" s="241"/>
    </row>
    <row r="2" spans="1:42" ht="27.75" customHeight="1" thickBot="1">
      <c r="A2" s="54"/>
      <c r="B2" s="286"/>
      <c r="C2" s="240"/>
      <c r="D2" s="240"/>
      <c r="E2" s="240"/>
      <c r="F2" s="240"/>
      <c r="G2" s="241"/>
      <c r="H2" s="241"/>
      <c r="I2" s="241"/>
      <c r="J2" s="240"/>
      <c r="K2" s="240"/>
      <c r="L2" s="240"/>
      <c r="M2" s="240"/>
      <c r="N2" s="240"/>
      <c r="O2" s="240"/>
      <c r="P2" s="240"/>
      <c r="Q2" s="240"/>
      <c r="R2" s="240"/>
      <c r="S2" s="240"/>
      <c r="T2" s="240"/>
      <c r="U2" s="240"/>
      <c r="V2" s="240"/>
      <c r="W2" s="240"/>
      <c r="X2" s="54"/>
      <c r="Y2" s="164"/>
      <c r="Z2" s="164"/>
      <c r="AA2" s="164"/>
      <c r="AB2" s="164"/>
      <c r="AC2" s="164"/>
    </row>
    <row r="3" spans="1:42" ht="39.75" customHeight="1" thickTop="1" thickBot="1">
      <c r="A3" s="54"/>
      <c r="B3" s="286"/>
      <c r="C3" s="241"/>
      <c r="D3" s="241"/>
      <c r="E3" s="241"/>
      <c r="F3" s="240"/>
      <c r="G3" s="240"/>
      <c r="H3" s="240"/>
      <c r="I3" s="240"/>
      <c r="J3" s="240"/>
      <c r="K3" s="240"/>
      <c r="L3" s="240"/>
      <c r="M3" s="240"/>
      <c r="N3" s="287"/>
      <c r="O3" s="287"/>
      <c r="P3" s="350" t="s">
        <v>173</v>
      </c>
      <c r="Q3" s="350" t="s">
        <v>174</v>
      </c>
      <c r="R3" s="350" t="s">
        <v>175</v>
      </c>
      <c r="S3" s="350" t="s">
        <v>176</v>
      </c>
      <c r="T3" s="350" t="s">
        <v>177</v>
      </c>
      <c r="U3" s="241"/>
      <c r="V3" s="240"/>
      <c r="W3" s="240"/>
      <c r="X3" s="54"/>
      <c r="Y3" s="164"/>
      <c r="Z3" s="164"/>
      <c r="AA3" s="164"/>
      <c r="AB3" s="164"/>
      <c r="AC3" s="164"/>
    </row>
    <row r="4" spans="1:42" ht="41.25" customHeight="1" thickTop="1" thickBot="1">
      <c r="A4" s="54"/>
      <c r="B4" s="286"/>
      <c r="C4" s="707" t="s">
        <v>90</v>
      </c>
      <c r="D4" s="707"/>
      <c r="E4" s="708"/>
      <c r="F4" s="734"/>
      <c r="G4" s="734"/>
      <c r="H4" s="734"/>
      <c r="I4" s="288"/>
      <c r="J4" s="288"/>
      <c r="K4" s="288"/>
      <c r="L4" s="288"/>
      <c r="M4" s="241"/>
      <c r="N4" s="706" t="s">
        <v>98</v>
      </c>
      <c r="O4" s="706"/>
      <c r="P4" s="278" t="str">
        <f>"+"&amp;P5</f>
        <v>+3</v>
      </c>
      <c r="Q4" s="278" t="str">
        <f>"+"&amp;Q5</f>
        <v>+0</v>
      </c>
      <c r="R4" s="278" t="str">
        <f>"+"&amp;R5</f>
        <v>+0</v>
      </c>
      <c r="S4" s="278" t="str">
        <f>"+"&amp;S5</f>
        <v>+0</v>
      </c>
      <c r="T4" s="278" t="str">
        <f>"+"&amp;T5</f>
        <v>+0</v>
      </c>
      <c r="U4" s="241"/>
      <c r="V4" s="240"/>
      <c r="W4" s="240"/>
      <c r="X4" s="54"/>
      <c r="Y4" s="164"/>
      <c r="Z4" s="164"/>
      <c r="AA4" s="164"/>
      <c r="AB4" s="164"/>
      <c r="AC4" s="164"/>
      <c r="AP4" s="28"/>
    </row>
    <row r="5" spans="1:42" ht="41.25" customHeight="1" thickBot="1">
      <c r="A5" s="54"/>
      <c r="B5" s="286"/>
      <c r="C5" s="711"/>
      <c r="D5" s="712"/>
      <c r="E5" s="272" t="s">
        <v>91</v>
      </c>
      <c r="F5" s="273" t="s">
        <v>178</v>
      </c>
      <c r="G5" s="273" t="s">
        <v>179</v>
      </c>
      <c r="H5" s="273" t="s">
        <v>180</v>
      </c>
      <c r="I5" s="273" t="s">
        <v>95</v>
      </c>
      <c r="J5" s="273" t="s">
        <v>181</v>
      </c>
      <c r="K5" s="713" t="s">
        <v>97</v>
      </c>
      <c r="L5" s="714"/>
      <c r="M5" s="241"/>
      <c r="N5" s="241"/>
      <c r="O5" s="241"/>
      <c r="P5" s="390">
        <f>IF('Лист персонажа 1'!G8="Драконид",-1,0)+'Лист персонажа 1'!O7+'Лист персонажа 1'!O8+'Лист персонажа 1'!O9+'Лист персонажа 1'!O10+'Лист персонажа 1'!O11+IF('Лист персонажа 1'!G10="Маленький",1,0)</f>
        <v>3</v>
      </c>
      <c r="Q5" s="390">
        <f>IF(P5&gt;5,P5-5,0)</f>
        <v>0</v>
      </c>
      <c r="R5" s="390">
        <f>IF(P5&gt;5,IF(Q5-5&gt;0,Q5-5,0),0)</f>
        <v>0</v>
      </c>
      <c r="S5" s="390">
        <f>IF(P5&gt;5,IF(R5-5&gt;0,R5-5,0),0)</f>
        <v>0</v>
      </c>
      <c r="T5" s="390">
        <f>IF(P5&gt;5,IF(S5-5&gt;0,S5-5,0),0)</f>
        <v>0</v>
      </c>
      <c r="U5" s="241"/>
      <c r="V5" s="240"/>
      <c r="W5" s="240"/>
      <c r="X5" s="54"/>
      <c r="Y5" s="164"/>
      <c r="Z5" s="164"/>
      <c r="AA5" s="164"/>
      <c r="AB5" s="164"/>
      <c r="AC5" s="164"/>
      <c r="AP5" s="28"/>
    </row>
    <row r="6" spans="1:42" ht="41.25" customHeight="1" thickTop="1" thickBot="1">
      <c r="A6" s="54"/>
      <c r="B6" s="286"/>
      <c r="C6" s="715" t="s">
        <v>100</v>
      </c>
      <c r="D6" s="716"/>
      <c r="E6" s="260" t="str">
        <f>IF(F6+G6+H6+I6+J6&gt;0,"+"&amp;F6+G6+H6+I6+J6,F6+G6+H6+I6+J6)</f>
        <v>+3</v>
      </c>
      <c r="F6" s="261" t="str">
        <f>"+"&amp;'Лист персонажа 2'!D50+'Лист персонажа 2'!D51+'Лист персонажа 2'!D52+'Лист персонажа 2'!D53+'Лист персонажа 2'!D54 +IF('Лист персонажа 1'!G8="Драконид",2,0)</f>
        <v>+2</v>
      </c>
      <c r="G6" s="261" t="str">
        <f>'Лист персонажа 1'!G16</f>
        <v>+1</v>
      </c>
      <c r="H6" s="261"/>
      <c r="I6" s="261"/>
      <c r="J6" s="262"/>
      <c r="K6" s="717"/>
      <c r="L6" s="718"/>
      <c r="M6" s="241"/>
      <c r="N6" s="241"/>
      <c r="O6" s="241"/>
      <c r="P6" s="349" t="s">
        <v>99</v>
      </c>
      <c r="Q6" s="279"/>
      <c r="R6" s="289"/>
      <c r="S6" s="289"/>
      <c r="T6" s="289"/>
      <c r="U6" s="241"/>
      <c r="V6" s="240"/>
      <c r="W6" s="240"/>
      <c r="X6" s="54"/>
      <c r="Y6" s="164"/>
      <c r="Z6" s="164"/>
      <c r="AA6" s="164"/>
      <c r="AB6" s="164"/>
      <c r="AC6" s="164"/>
      <c r="AP6" s="28"/>
    </row>
    <row r="7" spans="1:42" ht="27.75" customHeight="1" thickTop="1" thickBot="1">
      <c r="A7" s="54"/>
      <c r="B7" s="286"/>
      <c r="C7" s="274"/>
      <c r="D7" s="275"/>
      <c r="E7" s="263"/>
      <c r="F7" s="264"/>
      <c r="G7" s="264"/>
      <c r="H7" s="264"/>
      <c r="I7" s="264"/>
      <c r="J7" s="265"/>
      <c r="K7" s="719"/>
      <c r="L7" s="720"/>
      <c r="M7" s="241"/>
      <c r="N7" s="289"/>
      <c r="O7" s="413">
        <f>IF('Лист персонажа 1'!G8="Полувеликан",O8+S7,0)</f>
        <v>0</v>
      </c>
      <c r="P7" s="289"/>
      <c r="Q7" s="289"/>
      <c r="R7" s="289"/>
      <c r="S7" s="413">
        <f>IF('Лист персонажа 1'!G8="Полувеликан",4,0)</f>
        <v>0</v>
      </c>
      <c r="T7" s="289"/>
      <c r="U7" s="241"/>
      <c r="V7" s="241"/>
      <c r="W7" s="241"/>
      <c r="X7" s="54"/>
      <c r="Y7" s="164"/>
      <c r="Z7" s="164"/>
      <c r="AA7" s="164"/>
      <c r="AB7" s="164"/>
      <c r="AC7" s="164"/>
      <c r="AP7" s="28"/>
    </row>
    <row r="8" spans="1:42" ht="31.5" customHeight="1" thickTop="1" thickBot="1">
      <c r="A8" s="54"/>
      <c r="B8" s="286"/>
      <c r="C8" s="715" t="s">
        <v>102</v>
      </c>
      <c r="D8" s="716"/>
      <c r="E8" s="266" t="str">
        <f>IF(F8+G8+H8+I8+J8&gt;0,"+"&amp;F8+G8+H8+I8+J8,F8+G8+H8+I8+J8)</f>
        <v>+6</v>
      </c>
      <c r="F8" s="267" t="str">
        <f>"+"&amp;'Лист персонажа 2'!E50+'Лист персонажа 2'!E51+'Лист персонажа 2'!E52+'Лист персонажа 2'!E53+'Лист персонажа 2'!E54+IF('Лист персонажа 1'!G8="Драконид",5,0)</f>
        <v>+2</v>
      </c>
      <c r="G8" s="267" t="str">
        <f>'Лист персонажа 1'!G15</f>
        <v>+2</v>
      </c>
      <c r="H8" s="267"/>
      <c r="I8" s="267">
        <v>2</v>
      </c>
      <c r="J8" s="268"/>
      <c r="K8" s="719"/>
      <c r="L8" s="720"/>
      <c r="M8" s="241"/>
      <c r="N8" s="334" t="s">
        <v>101</v>
      </c>
      <c r="O8" s="279" t="str">
        <f>IF(Q8+R8+S8+AA70+T8&gt;0,"+"&amp;Q8+R8+S8+AA70+T8,Q8+R8+S8+AA70+T8)</f>
        <v>+4</v>
      </c>
      <c r="P8" s="280" t="s">
        <v>30</v>
      </c>
      <c r="Q8" s="279" t="str">
        <f>P4</f>
        <v>+3</v>
      </c>
      <c r="R8" s="279" t="str">
        <f>'Лист персонажа 1'!G14</f>
        <v>+1</v>
      </c>
      <c r="S8" s="414" t="str">
        <f>"+"&amp;IF('Лист персонажа 1'!G10="Маленький",-4,IF('Лист персонажа 1'!G10="Средний",0,IF('Лист персонажа 1'!G10="Большой",4,0)))</f>
        <v>+0</v>
      </c>
      <c r="T8" s="279"/>
      <c r="U8" s="241"/>
      <c r="V8" s="241"/>
      <c r="W8" s="241"/>
      <c r="X8" s="54"/>
      <c r="Y8" s="164"/>
      <c r="Z8" s="164"/>
      <c r="AA8" s="164"/>
      <c r="AB8" s="164"/>
      <c r="AC8" s="164"/>
      <c r="AP8" s="28"/>
    </row>
    <row r="9" spans="1:42" ht="41.25" customHeight="1" thickTop="1" thickBot="1">
      <c r="A9" s="54"/>
      <c r="B9" s="286"/>
      <c r="C9" s="274"/>
      <c r="D9" s="275"/>
      <c r="E9" s="263"/>
      <c r="F9" s="264"/>
      <c r="G9" s="264"/>
      <c r="H9" s="264"/>
      <c r="I9" s="264"/>
      <c r="J9" s="265"/>
      <c r="K9" s="719"/>
      <c r="L9" s="720"/>
      <c r="M9" s="241"/>
      <c r="N9" s="289"/>
      <c r="O9" s="289"/>
      <c r="P9" s="289"/>
      <c r="Q9" s="335" t="s">
        <v>182</v>
      </c>
      <c r="R9" s="336" t="s">
        <v>183</v>
      </c>
      <c r="S9" s="336" t="s">
        <v>163</v>
      </c>
      <c r="T9" s="337" t="s">
        <v>165</v>
      </c>
      <c r="U9" s="241"/>
      <c r="V9" s="241"/>
      <c r="W9" s="241"/>
      <c r="X9" s="54"/>
      <c r="Y9" s="164"/>
      <c r="Z9" s="164"/>
      <c r="AA9" s="164"/>
      <c r="AB9" s="164"/>
      <c r="AC9" s="164"/>
    </row>
    <row r="10" spans="1:42" ht="27.75" customHeight="1" thickTop="1" thickBot="1">
      <c r="A10" s="54"/>
      <c r="B10" s="286"/>
      <c r="C10" s="723" t="s">
        <v>105</v>
      </c>
      <c r="D10" s="724"/>
      <c r="E10" s="266" t="str">
        <f>IF(F10+G10+H10+I10+J10&gt;0,"+"&amp;F10+G10+H10+I10+J10,F10+G10+H10+I10+J10)</f>
        <v>+8</v>
      </c>
      <c r="F10" s="267" t="str">
        <f>"+"&amp;'Лист персонажа 2'!F50+'Лист персонажа 2'!F51+'Лист персонажа 2'!F52+'Лист персонажа 2'!F53+'Лист персонажа 2'!F54+IF('Лист персонажа 1'!G8="Драконид",5,0)</f>
        <v>+5</v>
      </c>
      <c r="G10" s="267">
        <f>IF('Лист персонажа 1'!G8="Драконид",5,0)+'Лист персонажа 1'!G18</f>
        <v>3</v>
      </c>
      <c r="H10" s="267"/>
      <c r="I10" s="267"/>
      <c r="J10" s="268"/>
      <c r="K10" s="719"/>
      <c r="L10" s="720"/>
      <c r="M10" s="241"/>
      <c r="N10" s="289"/>
      <c r="O10" s="289"/>
      <c r="P10" s="289"/>
      <c r="Q10" s="289"/>
      <c r="R10" s="289"/>
      <c r="S10" s="289"/>
      <c r="T10" s="289"/>
      <c r="U10" s="241"/>
      <c r="V10" s="241"/>
      <c r="W10" s="241"/>
      <c r="X10" s="54"/>
      <c r="Y10" s="164"/>
      <c r="Z10" s="164"/>
      <c r="AA10" s="164"/>
      <c r="AB10" s="164"/>
      <c r="AC10" s="164"/>
    </row>
    <row r="11" spans="1:42" ht="38.25" customHeight="1" thickTop="1" thickBot="1">
      <c r="A11" s="54"/>
      <c r="B11" s="286"/>
      <c r="C11" s="276"/>
      <c r="D11" s="277"/>
      <c r="E11" s="269"/>
      <c r="F11" s="270"/>
      <c r="G11" s="270"/>
      <c r="H11" s="270"/>
      <c r="I11" s="270"/>
      <c r="J11" s="271"/>
      <c r="K11" s="721"/>
      <c r="L11" s="722"/>
      <c r="M11" s="241"/>
      <c r="N11" s="401" t="str">
        <f>IF(N12="Аспект",'Лист персонажа 1'!H10,"")</f>
        <v/>
      </c>
      <c r="O11" s="405" t="b">
        <f>IF(N11="Сердце","Дыхание",IF(N11="Разум","Темнозрение",IF(N11="Крылья",IF('Лист персонажа 1'!Q8&gt;=12,"Полет",IF('Лист персонажа 1'!Q8&gt;=6,"Полет","Нет")))))</f>
        <v>0</v>
      </c>
      <c r="P11" s="405">
        <f>IF(N11="Сердце",'Лист персонажа 1'!Q8*5,IF(N11="Разум",IF('Лист персонажа 1'!Q8&gt;=12,120,IF('Лист персонажа 1'!Q8&gt;=9,90,IF('Лист персонажа 1'!Q8&gt;=6,60,30))),IF(N11="Крылья",30,0)))</f>
        <v>0</v>
      </c>
      <c r="Q11" s="405">
        <f>IF(N11="Сердце","1d8+"&amp;FLOOR('Лист персонажа 1'!Q8/3,1)&amp;"/d8",IF(N11="Разум",IF('Лист персонажа 1'!Q8&gt;=15,"Слепое зрение","Нет"),IF(N11="Крылья","Планирование",0)))</f>
        <v>0</v>
      </c>
      <c r="R11" s="405">
        <f>IF(N11="Сердце",10+FLOOR('Лист персонажа 1'!M14/2,1)+'Лист персонажа 1'!G16,IF(N11="Крылья",30,))</f>
        <v>0</v>
      </c>
      <c r="S11" s="783">
        <f>IF(N11="Сердце","Урон/2",)</f>
        <v>0</v>
      </c>
      <c r="T11" s="289"/>
      <c r="U11" s="241"/>
      <c r="V11" s="241"/>
      <c r="W11" s="241"/>
      <c r="X11" s="54"/>
      <c r="Y11" s="164"/>
      <c r="Z11" s="164"/>
      <c r="AA11" s="164"/>
      <c r="AB11" s="164"/>
      <c r="AC11" s="164"/>
    </row>
    <row r="12" spans="1:42" ht="38.25" customHeight="1" thickBot="1">
      <c r="A12" s="54"/>
      <c r="B12" s="286"/>
      <c r="C12" s="241"/>
      <c r="D12" s="241"/>
      <c r="E12" s="241"/>
      <c r="F12" s="241"/>
      <c r="G12" s="241"/>
      <c r="H12" s="241"/>
      <c r="I12" s="241"/>
      <c r="J12" s="241"/>
      <c r="K12" s="241"/>
      <c r="L12" s="241"/>
      <c r="M12" s="241"/>
      <c r="N12" s="401">
        <f>IF('Лист персонажа 1'!G8="Драконорожденный","Аспект",)</f>
        <v>0</v>
      </c>
      <c r="O12" s="401" t="str">
        <f>IF(N11="Сердце","Оружие","Способность")</f>
        <v>Способность</v>
      </c>
      <c r="P12" s="401" t="str">
        <f>IF(N11&lt;&gt;0,"Расстояние",0)</f>
        <v>Расстояние</v>
      </c>
      <c r="Q12" s="401">
        <f>IF(N11="Сердце","Урон",IF(N11="Разум","Доп. Способ.",IF(N11="Крылья","Доп. Способ.",0)))</f>
        <v>0</v>
      </c>
      <c r="R12" s="401">
        <f>IF(N11="Сердце","СПБ",IF(N11="Крылья","Расстояние",))</f>
        <v>0</v>
      </c>
      <c r="S12" s="783"/>
      <c r="T12" s="241"/>
      <c r="U12" s="241"/>
      <c r="V12" s="241"/>
      <c r="W12" s="241"/>
      <c r="X12" s="54"/>
      <c r="Y12" s="164"/>
      <c r="Z12" s="164"/>
      <c r="AA12" s="164"/>
      <c r="AB12" s="164"/>
      <c r="AC12" s="164"/>
    </row>
    <row r="13" spans="1:42" ht="38.25" customHeight="1" thickBot="1">
      <c r="A13" s="54"/>
      <c r="B13" s="286"/>
      <c r="C13" s="740" t="s">
        <v>1159</v>
      </c>
      <c r="D13" s="419" t="s">
        <v>173</v>
      </c>
      <c r="E13" s="419" t="s">
        <v>174</v>
      </c>
      <c r="F13" s="419" t="s">
        <v>175</v>
      </c>
      <c r="G13" s="736" t="s">
        <v>176</v>
      </c>
      <c r="H13" s="737"/>
      <c r="I13" s="419" t="s">
        <v>177</v>
      </c>
      <c r="J13" s="241"/>
      <c r="K13" s="423" t="s">
        <v>1160</v>
      </c>
      <c r="L13" s="423" t="s">
        <v>14</v>
      </c>
      <c r="M13" s="241"/>
      <c r="N13" s="241"/>
      <c r="O13" s="240"/>
      <c r="P13" s="241"/>
      <c r="Q13" s="241"/>
      <c r="R13" s="241"/>
      <c r="S13" s="241"/>
      <c r="T13" s="241"/>
      <c r="U13" s="241"/>
      <c r="V13" s="241"/>
      <c r="W13" s="241"/>
      <c r="X13" s="54"/>
      <c r="Y13" s="164"/>
    </row>
    <row r="14" spans="1:42" ht="42.75" customHeight="1" thickBot="1">
      <c r="A14" s="54"/>
      <c r="B14" s="286"/>
      <c r="C14" s="741"/>
      <c r="D14" s="420" t="str">
        <f>IF('Лист персонажа 1'!L11="Монах",VLOOKUP('Лист персонажа 1'!M11,Монах!G6:Q25,7,0),IF('Лист персонажа 1'!L10="Монах",VLOOKUP('Лист персонажа 1'!M10,Монах!G6:Q25,7,0),IF('Лист персонажа 1'!L9="Монах",VLOOKUP('Лист персонажа 1'!M9,Монах!G6:Q25,7,0),IF('Лист персонажа 1'!L8="Монах",VLOOKUP('Лист персонажа 1'!M8,Монах!G6:Q25,7,0),IF('Лист персонажа 1'!L7="Монах",VLOOKUP('Лист персонажа 1'!M7,Монах!G6:Q25,7,0),"Нет")))))</f>
        <v>Нет</v>
      </c>
      <c r="E14" s="420" t="str">
        <f>IF('Лист персонажа 1'!L11="Монах",VLOOKUP('Лист персонажа 1'!M11,Монах!G6:Q25,8,0),IF('Лист персонажа 1'!L10="Монах",VLOOKUP('Лист персонажа 1'!M10,Монах!G6:Q25,8,0),IF('Лист персонажа 1'!L9="Монах",VLOOKUP('Лист персонажа 1'!M9,Монах!G6:Q25,8,0),IF('Лист персонажа 1'!L8="Монах",VLOOKUP('Лист персонажа 1'!M8,Монах!G6:Q25,8,0),IF('Лист персонажа 1'!L7="Монах",VLOOKUP('Лист персонажа 1'!M7,Монах!G6:Q25,8,0),"Нет")))))</f>
        <v>Нет</v>
      </c>
      <c r="F14" s="420" t="str">
        <f>IF('Лист персонажа 1'!L11="Монах",VLOOKUP('Лист персонажа 1'!M11,Монах!G6:Q25,9,0),IF('Лист персонажа 1'!L10="Монах",VLOOKUP('Лист персонажа 1'!M10,Монах!G6:Q25,9,0),IF('Лист персонажа 1'!L9="Монах",VLOOKUP('Лист персонажа 1'!M9,Монах!G6:Q25,9,0),IF('Лист персонажа 1'!L8="Монах",VLOOKUP('Лист персонажа 1'!M8,Монах!G6:Q25,9,0),IF('Лист персонажа 1'!L7="Монах",VLOOKUP('Лист персонажа 1'!M7,Монах!G6:Q25,9,0),"Нет")))))</f>
        <v>Нет</v>
      </c>
      <c r="G14" s="738" t="str">
        <f>IF('Лист персонажа 1'!L11="Монах",VLOOKUP('Лист персонажа 1'!M11,Монах!G6:Q25,10,0),IF('Лист персонажа 1'!L10="Монах",VLOOKUP('Лист персонажа 1'!M10,Монах!G6:Q25,10,0),IF('Лист персонажа 1'!L9="Монах",VLOOKUP('Лист персонажа 1'!M9,Монах!G6:Q25,10,0),IF('Лист персонажа 1'!L8="Монах",VLOOKUP('Лист персонажа 1'!M8,Монах!G6:Q25,10,0),IF('Лист персонажа 1'!L7="Монах",VLOOKUP('Лист персонажа 1'!M7,Монах!G6:Q25,10,0),"Нет")))))</f>
        <v>Нет</v>
      </c>
      <c r="H14" s="739"/>
      <c r="I14" s="420" t="str">
        <f>IF('Лист персонажа 1'!L11="Монах",VLOOKUP('Лист персонажа 1'!M11,Монах!G6:Q25,11,0),IF('Лист персонажа 1'!L10="Монах",VLOOKUP('Лист персонажа 1'!M10,Монах!G6:Q25,11,0),IF('Лист персонажа 1'!L9="Монах",VLOOKUP('Лист персонажа 1'!M9,Монах!G6:Q25,11,0),IF('Лист персонажа 1'!L8="Монах",VLOOKUP('Лист персонажа 1'!M8,Монах!G6:Q25,11,0),IF('Лист персонажа 1'!L7="Монах",VLOOKUP('Лист персонажа 1'!M7,Монах!G6:Q25,11,0),"Нет")))))</f>
        <v>Нет</v>
      </c>
      <c r="J14" s="241"/>
      <c r="K14" s="424">
        <f>IF('Лист персонажа 1'!L11="Монах",IF(L14="Большой",VLOOKUP('Лист персонажа 1'!M11,Монах!M28:O47,3,0),IF(L14="Маленький",VLOOKUP('Лист персонажа 1'!M11,Монах!M28:O47,2,0),IF(L14="Средний",VLOOKUP('Лист персонажа 1'!M11,Монах!G6:R25,12,0)))),IF('Лист персонажа 1'!L10="Монах",IF(L14="Большой",VLOOKUP('Лист персонажа 1'!M10,Монах!M28:O47,3,0),IF(L14="Маленький",VLOOKUP('Лист персонажа 1'!M10,Монах!M28:O47,2,0),IF(L14="Средний",VLOOKUP('Лист персонажа 1'!M10,Монах!G6:R25,12,0)))),IF('Лист персонажа 1'!L9="Монах",IF(L14="Большой",VLOOKUP('Лист персонажа 1'!M9,Монах!M28:O47,3,0),IF(L14="Маленький",VLOOKUP('Лист персонажа 1'!M9,Монах!M28:O47,2,0),IF(L14="Средний",VLOOKUP('Лист персонажа 1'!M9,Монах!G6:R25,12,0)))),IF('Лист персонажа 1'!L8="Монах",IF(L14="Большой",VLOOKUP('Лист персонажа 1'!M8,Монах!M28:O47,3,0),IF(L14="Маленький",VLOOKUP('Лист персонажа 1'!M8,Монах!M28:O47,2,0),IF(L14="Средний",VLOOKUP('Лист персонажа 1'!M8,Монах!G6:R25,12,0)))),IF('Лист персонажа 1'!L7="Монах",IF(L14="Большой",VLOOKUP('Лист персонажа 1'!M7,Монах!M28:O47,3,0),IF(L14="Маленький",VLOOKUP('Лист персонажа 1'!M7,Монах!M28:O47,2,0),IF(L14="Средний",VLOOKUP('Лист персонажа 1'!M7,Монах!G6:R25,12,0)))),0)))))</f>
        <v>0</v>
      </c>
      <c r="L14" s="424" t="s">
        <v>1161</v>
      </c>
      <c r="M14" s="241"/>
      <c r="N14" s="241"/>
      <c r="O14" s="281" t="s">
        <v>127</v>
      </c>
      <c r="P14" s="282"/>
      <c r="Q14" s="282"/>
      <c r="R14" s="282"/>
      <c r="S14" s="282"/>
      <c r="T14" s="282"/>
      <c r="U14" s="241"/>
      <c r="V14" s="241"/>
      <c r="W14" s="241"/>
      <c r="X14" s="54"/>
      <c r="Y14" s="164"/>
    </row>
    <row r="15" spans="1:42" ht="50.25" customHeight="1" thickBot="1">
      <c r="A15" s="54"/>
      <c r="B15" s="286"/>
      <c r="C15" s="241"/>
      <c r="D15" s="241"/>
      <c r="E15" s="241"/>
      <c r="F15" s="241"/>
      <c r="G15" s="241"/>
      <c r="H15" s="241"/>
      <c r="I15" s="241"/>
      <c r="J15" s="299"/>
      <c r="K15" s="241"/>
      <c r="L15" s="241"/>
      <c r="M15" s="241"/>
      <c r="N15" s="241"/>
      <c r="O15" s="780"/>
      <c r="P15" s="781"/>
      <c r="Q15" s="781"/>
      <c r="R15" s="781"/>
      <c r="S15" s="781"/>
      <c r="T15" s="782"/>
      <c r="U15" s="241"/>
      <c r="V15" s="241"/>
      <c r="W15" s="241"/>
      <c r="X15" s="54"/>
      <c r="Y15" s="164"/>
      <c r="AC15" s="240"/>
      <c r="AD15" s="786"/>
      <c r="AE15" s="786"/>
      <c r="AF15" s="786"/>
      <c r="AG15" s="786"/>
      <c r="AH15" s="786"/>
      <c r="AI15" s="786"/>
      <c r="AJ15" s="786"/>
      <c r="AK15" s="786"/>
      <c r="AL15" s="786"/>
      <c r="AM15" s="786"/>
      <c r="AN15" s="786"/>
      <c r="AO15" s="240"/>
    </row>
    <row r="16" spans="1:42" ht="38.25" customHeight="1" thickBot="1">
      <c r="A16" s="54"/>
      <c r="B16" s="286"/>
      <c r="C16" s="725" t="s">
        <v>106</v>
      </c>
      <c r="D16" s="709"/>
      <c r="E16" s="709"/>
      <c r="F16" s="709" t="s">
        <v>107</v>
      </c>
      <c r="G16" s="709"/>
      <c r="H16" s="709"/>
      <c r="I16" s="709" t="s">
        <v>108</v>
      </c>
      <c r="J16" s="709"/>
      <c r="K16" s="709"/>
      <c r="L16" s="709" t="s">
        <v>109</v>
      </c>
      <c r="M16" s="710"/>
      <c r="N16" s="241"/>
      <c r="O16" s="776" t="s">
        <v>128</v>
      </c>
      <c r="P16" s="777"/>
      <c r="Q16" s="778" t="s">
        <v>129</v>
      </c>
      <c r="R16" s="779"/>
      <c r="S16" s="779"/>
      <c r="T16" s="777"/>
      <c r="U16" s="241"/>
      <c r="V16" s="241"/>
      <c r="W16" s="241"/>
      <c r="X16" s="54"/>
      <c r="Y16" s="164"/>
      <c r="AC16" s="240"/>
      <c r="AD16" s="447"/>
      <c r="AE16" s="447"/>
      <c r="AF16" s="447"/>
      <c r="AG16" s="447"/>
      <c r="AH16" s="447"/>
      <c r="AI16" s="447"/>
      <c r="AJ16" s="447"/>
      <c r="AK16" s="447"/>
      <c r="AL16" s="447"/>
      <c r="AM16" s="447"/>
      <c r="AN16" s="447"/>
      <c r="AO16" s="240"/>
    </row>
    <row r="17" spans="1:41" ht="45" customHeight="1" thickBot="1">
      <c r="A17" s="54"/>
      <c r="B17" s="286"/>
      <c r="C17" s="728"/>
      <c r="D17" s="729"/>
      <c r="E17" s="729"/>
      <c r="F17" s="726"/>
      <c r="G17" s="726"/>
      <c r="H17" s="726"/>
      <c r="I17" s="726"/>
      <c r="J17" s="726"/>
      <c r="K17" s="726"/>
      <c r="L17" s="726"/>
      <c r="M17" s="727"/>
      <c r="N17" s="241"/>
      <c r="O17" s="780"/>
      <c r="P17" s="781"/>
      <c r="Q17" s="781"/>
      <c r="R17" s="781"/>
      <c r="S17" s="781"/>
      <c r="T17" s="782"/>
      <c r="U17" s="241"/>
      <c r="V17" s="241"/>
      <c r="W17" s="241"/>
      <c r="X17" s="54"/>
      <c r="Y17" s="164"/>
      <c r="AC17" s="240"/>
      <c r="AD17" s="784"/>
      <c r="AE17" s="784"/>
      <c r="AF17" s="784"/>
      <c r="AG17" s="448"/>
      <c r="AH17" s="448"/>
      <c r="AI17" s="448"/>
      <c r="AJ17" s="448"/>
      <c r="AK17" s="448"/>
      <c r="AL17" s="448"/>
      <c r="AM17" s="787"/>
      <c r="AN17" s="787"/>
      <c r="AO17" s="240"/>
    </row>
    <row r="18" spans="1:41" ht="30.75" customHeight="1" thickBot="1">
      <c r="A18" s="54"/>
      <c r="B18" s="286"/>
      <c r="C18" s="391" t="s">
        <v>110</v>
      </c>
      <c r="D18" s="392"/>
      <c r="E18" s="392" t="s">
        <v>111</v>
      </c>
      <c r="F18" s="392"/>
      <c r="G18" s="693" t="s">
        <v>112</v>
      </c>
      <c r="H18" s="701"/>
      <c r="I18" s="701"/>
      <c r="J18" s="701"/>
      <c r="K18" s="701"/>
      <c r="L18" s="701"/>
      <c r="M18" s="694"/>
      <c r="N18" s="241"/>
      <c r="O18" s="776" t="s">
        <v>128</v>
      </c>
      <c r="P18" s="777"/>
      <c r="Q18" s="778" t="s">
        <v>129</v>
      </c>
      <c r="R18" s="779"/>
      <c r="S18" s="779"/>
      <c r="T18" s="777"/>
      <c r="U18" s="241"/>
      <c r="V18" s="241"/>
      <c r="W18" s="241"/>
      <c r="X18" s="54"/>
      <c r="Y18" s="164"/>
      <c r="AC18" s="240"/>
      <c r="AD18" s="449"/>
      <c r="AE18" s="449"/>
      <c r="AF18" s="449"/>
      <c r="AG18" s="449"/>
      <c r="AH18" s="786"/>
      <c r="AI18" s="786"/>
      <c r="AJ18" s="786"/>
      <c r="AK18" s="786"/>
      <c r="AL18" s="786"/>
      <c r="AM18" s="786"/>
      <c r="AN18" s="786"/>
      <c r="AO18" s="240"/>
    </row>
    <row r="19" spans="1:41" ht="41.25" customHeight="1" thickTop="1" thickBot="1">
      <c r="A19" s="54"/>
      <c r="B19" s="286"/>
      <c r="C19" s="750"/>
      <c r="D19" s="751"/>
      <c r="E19" s="746"/>
      <c r="F19" s="749"/>
      <c r="G19" s="746"/>
      <c r="H19" s="747"/>
      <c r="I19" s="747"/>
      <c r="J19" s="747"/>
      <c r="K19" s="747"/>
      <c r="L19" s="747"/>
      <c r="M19" s="748"/>
      <c r="N19" s="241"/>
      <c r="O19" s="690" t="s">
        <v>784</v>
      </c>
      <c r="P19" s="691"/>
      <c r="Q19" s="691"/>
      <c r="R19" s="691"/>
      <c r="S19" s="691"/>
      <c r="T19" s="692"/>
      <c r="U19" s="241"/>
      <c r="V19" s="241"/>
      <c r="W19" s="241"/>
      <c r="X19" s="54"/>
      <c r="Y19" s="164"/>
      <c r="AC19" s="240"/>
      <c r="AD19" s="784"/>
      <c r="AE19" s="784"/>
      <c r="AF19" s="784"/>
      <c r="AG19" s="784"/>
      <c r="AH19" s="784"/>
      <c r="AI19" s="784"/>
      <c r="AJ19" s="784"/>
      <c r="AK19" s="784"/>
      <c r="AL19" s="784"/>
      <c r="AM19" s="784"/>
      <c r="AN19" s="784"/>
      <c r="AO19" s="240"/>
    </row>
    <row r="20" spans="1:41" ht="36.75" customHeight="1" thickTop="1" thickBot="1">
      <c r="A20" s="54"/>
      <c r="B20" s="286"/>
      <c r="C20" s="338" t="s">
        <v>119</v>
      </c>
      <c r="D20" s="744"/>
      <c r="E20" s="745"/>
      <c r="F20" s="745"/>
      <c r="G20" s="745"/>
      <c r="H20" s="745"/>
      <c r="I20" s="745"/>
      <c r="J20" s="745"/>
      <c r="K20" s="745"/>
      <c r="L20" s="745"/>
      <c r="M20" s="745"/>
      <c r="N20" s="241"/>
      <c r="O20" s="689"/>
      <c r="P20" s="687"/>
      <c r="Q20" s="687"/>
      <c r="R20" s="687"/>
      <c r="S20" s="687"/>
      <c r="T20" s="688"/>
      <c r="U20" s="241"/>
      <c r="V20" s="241"/>
      <c r="W20" s="241"/>
      <c r="X20" s="54"/>
      <c r="Y20" s="164"/>
      <c r="AC20" s="240"/>
      <c r="AD20" s="450"/>
      <c r="AE20" s="785"/>
      <c r="AF20" s="785"/>
      <c r="AG20" s="785"/>
      <c r="AH20" s="785"/>
      <c r="AI20" s="785"/>
      <c r="AJ20" s="785"/>
      <c r="AK20" s="785"/>
      <c r="AL20" s="785"/>
      <c r="AM20" s="785"/>
      <c r="AN20" s="785"/>
      <c r="AO20" s="240"/>
    </row>
    <row r="21" spans="1:41" ht="27.75" customHeight="1" thickTop="1" thickBot="1">
      <c r="A21" s="54"/>
      <c r="B21" s="286"/>
      <c r="C21" s="241"/>
      <c r="D21" s="241"/>
      <c r="E21" s="241"/>
      <c r="F21" s="241"/>
      <c r="G21" s="241"/>
      <c r="H21" s="241"/>
      <c r="I21" s="241"/>
      <c r="J21" s="241"/>
      <c r="K21" s="241"/>
      <c r="L21" s="241"/>
      <c r="M21" s="241"/>
      <c r="N21" s="241"/>
      <c r="O21" s="773" t="s">
        <v>134</v>
      </c>
      <c r="P21" s="774"/>
      <c r="Q21" s="775" t="s">
        <v>135</v>
      </c>
      <c r="R21" s="774"/>
      <c r="S21" s="775" t="s">
        <v>136</v>
      </c>
      <c r="T21" s="774"/>
      <c r="U21" s="241"/>
      <c r="V21" s="241"/>
      <c r="W21" s="241"/>
      <c r="X21" s="54"/>
      <c r="Y21" s="164"/>
      <c r="Z21" s="164"/>
    </row>
    <row r="22" spans="1:41" ht="38.25" customHeight="1" thickBot="1">
      <c r="A22" s="54"/>
      <c r="B22" s="286"/>
      <c r="C22" s="695" t="s">
        <v>106</v>
      </c>
      <c r="D22" s="696"/>
      <c r="E22" s="697"/>
      <c r="F22" s="698" t="s">
        <v>107</v>
      </c>
      <c r="G22" s="696"/>
      <c r="H22" s="697"/>
      <c r="I22" s="698" t="s">
        <v>108</v>
      </c>
      <c r="J22" s="696"/>
      <c r="K22" s="697"/>
      <c r="L22" s="693" t="s">
        <v>109</v>
      </c>
      <c r="M22" s="694"/>
      <c r="N22" s="241"/>
      <c r="O22" s="689"/>
      <c r="P22" s="687"/>
      <c r="Q22" s="687"/>
      <c r="R22" s="687"/>
      <c r="S22" s="687"/>
      <c r="T22" s="688"/>
      <c r="U22" s="241"/>
      <c r="V22" s="241"/>
      <c r="W22" s="241"/>
      <c r="X22" s="54"/>
      <c r="Y22" s="164"/>
      <c r="Z22" s="164"/>
    </row>
    <row r="23" spans="1:41" ht="38.25" customHeight="1" thickTop="1" thickBot="1">
      <c r="A23" s="54"/>
      <c r="B23" s="286"/>
      <c r="C23" s="756"/>
      <c r="D23" s="759"/>
      <c r="E23" s="758"/>
      <c r="F23" s="730"/>
      <c r="G23" s="735"/>
      <c r="H23" s="731"/>
      <c r="I23" s="730"/>
      <c r="J23" s="735"/>
      <c r="K23" s="731"/>
      <c r="L23" s="732"/>
      <c r="M23" s="733"/>
      <c r="N23" s="241"/>
      <c r="O23" s="393" t="s">
        <v>139</v>
      </c>
      <c r="P23" s="394"/>
      <c r="Q23" s="394"/>
      <c r="R23" s="394"/>
      <c r="S23" s="394"/>
      <c r="T23" s="395"/>
      <c r="U23" s="241"/>
      <c r="V23" s="241"/>
      <c r="W23" s="241"/>
      <c r="X23" s="54"/>
      <c r="Y23" s="164"/>
      <c r="Z23" s="164"/>
    </row>
    <row r="24" spans="1:41" ht="39" customHeight="1" thickTop="1" thickBot="1">
      <c r="A24" s="54"/>
      <c r="B24" s="286"/>
      <c r="C24" s="699" t="s">
        <v>110</v>
      </c>
      <c r="D24" s="700"/>
      <c r="E24" s="693" t="s">
        <v>111</v>
      </c>
      <c r="F24" s="700"/>
      <c r="G24" s="693" t="s">
        <v>112</v>
      </c>
      <c r="H24" s="701"/>
      <c r="I24" s="701"/>
      <c r="J24" s="701"/>
      <c r="K24" s="701"/>
      <c r="L24" s="701"/>
      <c r="M24" s="694"/>
      <c r="N24" s="241"/>
      <c r="O24" s="689"/>
      <c r="P24" s="687"/>
      <c r="Q24" s="687"/>
      <c r="R24" s="687"/>
      <c r="S24" s="687"/>
      <c r="T24" s="688"/>
      <c r="U24" s="241"/>
      <c r="V24" s="241"/>
      <c r="W24" s="241"/>
      <c r="X24" s="54"/>
      <c r="Y24" s="164"/>
      <c r="Z24" s="164"/>
      <c r="AA24" s="164"/>
      <c r="AB24" s="164"/>
      <c r="AC24" s="164"/>
    </row>
    <row r="25" spans="1:41" ht="36" customHeight="1" thickTop="1" thickBot="1">
      <c r="A25" s="54" t="e">
        <f>IF(#REF!="Гном",#REF!=Расы!A12)</f>
        <v>#REF!</v>
      </c>
      <c r="B25" s="286"/>
      <c r="C25" s="752"/>
      <c r="D25" s="753"/>
      <c r="E25" s="752"/>
      <c r="F25" s="753"/>
      <c r="G25" s="752"/>
      <c r="H25" s="754"/>
      <c r="I25" s="754"/>
      <c r="J25" s="754"/>
      <c r="K25" s="754"/>
      <c r="L25" s="754"/>
      <c r="M25" s="755"/>
      <c r="N25" s="241"/>
      <c r="O25" s="772" t="s">
        <v>122</v>
      </c>
      <c r="P25" s="771"/>
      <c r="Q25" s="770" t="s">
        <v>142</v>
      </c>
      <c r="R25" s="771"/>
      <c r="S25" s="768" t="s">
        <v>143</v>
      </c>
      <c r="T25" s="769"/>
      <c r="U25" s="241"/>
      <c r="V25" s="241"/>
      <c r="W25" s="241"/>
      <c r="X25" s="54"/>
      <c r="Y25" s="164"/>
      <c r="Z25" s="164"/>
      <c r="AA25" s="164"/>
      <c r="AB25" s="164"/>
      <c r="AC25" s="164"/>
    </row>
    <row r="26" spans="1:41" ht="40.5" customHeight="1" thickTop="1" thickBot="1">
      <c r="A26" s="54"/>
      <c r="B26" s="286"/>
      <c r="C26" s="338" t="s">
        <v>119</v>
      </c>
      <c r="D26" s="742"/>
      <c r="E26" s="743"/>
      <c r="F26" s="743"/>
      <c r="G26" s="743"/>
      <c r="H26" s="743"/>
      <c r="I26" s="743"/>
      <c r="J26" s="743"/>
      <c r="K26" s="743"/>
      <c r="L26" s="743"/>
      <c r="M26" s="743"/>
      <c r="N26" s="241"/>
      <c r="O26" s="765"/>
      <c r="P26" s="766"/>
      <c r="Q26" s="766"/>
      <c r="R26" s="766"/>
      <c r="S26" s="766"/>
      <c r="T26" s="767"/>
      <c r="U26" s="241"/>
      <c r="V26" s="241"/>
      <c r="W26" s="241"/>
      <c r="X26" s="54"/>
      <c r="Y26" s="164"/>
      <c r="Z26" s="164"/>
      <c r="AA26" s="164"/>
      <c r="AB26" s="164"/>
      <c r="AC26" s="164"/>
    </row>
    <row r="27" spans="1:41" ht="39" customHeight="1" thickTop="1" thickBot="1">
      <c r="A27" s="54"/>
      <c r="B27" s="286"/>
      <c r="C27" s="241"/>
      <c r="D27" s="241"/>
      <c r="E27" s="241"/>
      <c r="F27" s="241"/>
      <c r="G27" s="241"/>
      <c r="H27" s="241"/>
      <c r="I27" s="241"/>
      <c r="J27" s="241"/>
      <c r="K27" s="241"/>
      <c r="L27" s="241"/>
      <c r="M27" s="241"/>
      <c r="N27" s="241"/>
      <c r="O27" s="762" t="s">
        <v>146</v>
      </c>
      <c r="P27" s="763"/>
      <c r="Q27" s="763" t="s">
        <v>147</v>
      </c>
      <c r="R27" s="763"/>
      <c r="S27" s="763" t="s">
        <v>148</v>
      </c>
      <c r="T27" s="764"/>
      <c r="U27" s="241"/>
      <c r="V27" s="241"/>
      <c r="W27" s="241"/>
      <c r="X27" s="54"/>
      <c r="Y27" s="164"/>
      <c r="Z27" s="164"/>
      <c r="AA27" s="164"/>
      <c r="AB27" s="164"/>
      <c r="AC27" s="164"/>
    </row>
    <row r="28" spans="1:41" ht="40.5" customHeight="1" thickBot="1">
      <c r="A28" s="54"/>
      <c r="B28" s="286"/>
      <c r="C28" s="695" t="s">
        <v>106</v>
      </c>
      <c r="D28" s="696"/>
      <c r="E28" s="697"/>
      <c r="F28" s="698" t="s">
        <v>107</v>
      </c>
      <c r="G28" s="696"/>
      <c r="H28" s="697"/>
      <c r="I28" s="698" t="s">
        <v>108</v>
      </c>
      <c r="J28" s="696"/>
      <c r="K28" s="697"/>
      <c r="L28" s="693" t="s">
        <v>109</v>
      </c>
      <c r="M28" s="694"/>
      <c r="N28" s="241"/>
      <c r="O28" s="760" t="s">
        <v>151</v>
      </c>
      <c r="P28" s="761"/>
      <c r="Q28" s="396"/>
      <c r="R28" s="397"/>
      <c r="S28" s="397"/>
      <c r="T28" s="398"/>
      <c r="U28" s="241"/>
      <c r="V28" s="241"/>
      <c r="W28" s="241"/>
      <c r="X28" s="54"/>
      <c r="Y28" s="164"/>
      <c r="Z28" s="164"/>
      <c r="AA28" s="164"/>
      <c r="AB28" s="164"/>
      <c r="AC28" s="164"/>
    </row>
    <row r="29" spans="1:41" ht="42" customHeight="1" thickTop="1" thickBot="1">
      <c r="A29" s="54"/>
      <c r="B29" s="286"/>
      <c r="C29" s="756"/>
      <c r="D29" s="757"/>
      <c r="E29" s="758"/>
      <c r="F29" s="730"/>
      <c r="G29" s="636"/>
      <c r="H29" s="731"/>
      <c r="I29" s="730"/>
      <c r="J29" s="636"/>
      <c r="K29" s="731"/>
      <c r="L29" s="732"/>
      <c r="M29" s="733"/>
      <c r="N29" s="241"/>
      <c r="O29" s="241"/>
      <c r="P29" s="241"/>
      <c r="Q29" s="241"/>
      <c r="R29" s="241"/>
      <c r="S29" s="241"/>
      <c r="T29" s="241"/>
      <c r="U29" s="241"/>
      <c r="V29" s="241"/>
      <c r="W29" s="241"/>
      <c r="X29" s="54"/>
      <c r="Y29" s="164"/>
      <c r="Z29" s="164"/>
      <c r="AA29" s="164"/>
      <c r="AB29" s="164"/>
      <c r="AC29" s="164"/>
    </row>
    <row r="30" spans="1:41" ht="36.75" customHeight="1" thickTop="1" thickBot="1">
      <c r="A30" s="54"/>
      <c r="B30" s="286"/>
      <c r="C30" s="699" t="s">
        <v>110</v>
      </c>
      <c r="D30" s="700"/>
      <c r="E30" s="693" t="s">
        <v>111</v>
      </c>
      <c r="F30" s="700"/>
      <c r="G30" s="693" t="s">
        <v>112</v>
      </c>
      <c r="H30" s="701"/>
      <c r="I30" s="701"/>
      <c r="J30" s="701"/>
      <c r="K30" s="701"/>
      <c r="L30" s="701"/>
      <c r="M30" s="694"/>
      <c r="N30" s="241"/>
      <c r="O30" s="241"/>
      <c r="P30" s="241"/>
      <c r="Q30" s="241"/>
      <c r="R30" s="241"/>
      <c r="S30" s="241"/>
      <c r="T30" s="241"/>
      <c r="U30" s="241"/>
      <c r="V30" s="241"/>
      <c r="W30" s="241"/>
      <c r="X30" s="54"/>
      <c r="Y30" s="164"/>
      <c r="Z30" s="164"/>
      <c r="AA30" s="164"/>
      <c r="AB30" s="164"/>
      <c r="AC30" s="164"/>
    </row>
    <row r="31" spans="1:41" ht="41.25" customHeight="1" thickTop="1" thickBot="1">
      <c r="A31" s="54"/>
      <c r="B31" s="286"/>
      <c r="C31" s="752"/>
      <c r="D31" s="753"/>
      <c r="E31" s="752"/>
      <c r="F31" s="753"/>
      <c r="G31" s="752"/>
      <c r="H31" s="754"/>
      <c r="I31" s="754"/>
      <c r="J31" s="754"/>
      <c r="K31" s="754"/>
      <c r="L31" s="754"/>
      <c r="M31" s="753"/>
      <c r="N31" s="241"/>
      <c r="O31" s="241"/>
      <c r="P31" s="241"/>
      <c r="Q31" s="241"/>
      <c r="R31" s="241"/>
      <c r="S31" s="241"/>
      <c r="T31" s="241"/>
      <c r="U31" s="241"/>
      <c r="V31" s="241"/>
      <c r="W31" s="241"/>
      <c r="X31" s="54"/>
      <c r="Y31" s="164"/>
      <c r="Z31" s="164"/>
      <c r="AA31" s="164"/>
      <c r="AB31" s="164"/>
      <c r="AC31" s="164"/>
    </row>
    <row r="32" spans="1:41" ht="48" customHeight="1" thickTop="1" thickBot="1">
      <c r="A32" s="54"/>
      <c r="B32" s="286"/>
      <c r="C32" s="338" t="s">
        <v>119</v>
      </c>
      <c r="D32" s="742"/>
      <c r="E32" s="743"/>
      <c r="F32" s="743"/>
      <c r="G32" s="743"/>
      <c r="H32" s="743"/>
      <c r="I32" s="743"/>
      <c r="J32" s="743"/>
      <c r="K32" s="743"/>
      <c r="L32" s="743"/>
      <c r="M32" s="743"/>
      <c r="N32" s="241"/>
      <c r="O32" s="241"/>
      <c r="P32" s="241"/>
      <c r="Q32" s="241"/>
      <c r="R32" s="241"/>
      <c r="S32" s="241"/>
      <c r="T32" s="241"/>
      <c r="U32" s="241"/>
      <c r="V32" s="241"/>
      <c r="W32" s="241"/>
      <c r="X32" s="54"/>
      <c r="Y32" s="164"/>
      <c r="Z32" s="164"/>
      <c r="AA32" s="164"/>
      <c r="AB32" s="164"/>
      <c r="AC32" s="164"/>
    </row>
    <row r="33" spans="1:29" ht="27.75" customHeight="1" thickTop="1" thickBot="1">
      <c r="A33" s="54"/>
      <c r="B33" s="286"/>
      <c r="C33" s="241"/>
      <c r="D33" s="241"/>
      <c r="E33" s="241"/>
      <c r="F33" s="241"/>
      <c r="G33" s="241"/>
      <c r="H33" s="241"/>
      <c r="I33" s="241"/>
      <c r="J33" s="241"/>
      <c r="K33" s="241"/>
      <c r="L33" s="241"/>
      <c r="M33" s="241"/>
      <c r="N33" s="241"/>
      <c r="O33" s="241"/>
      <c r="P33" s="241"/>
      <c r="Q33" s="241"/>
      <c r="R33" s="241"/>
      <c r="S33" s="241"/>
      <c r="T33" s="241"/>
      <c r="U33" s="241"/>
      <c r="V33" s="241"/>
      <c r="W33" s="241"/>
      <c r="X33" s="54"/>
      <c r="Y33" s="164"/>
      <c r="Z33" s="164"/>
      <c r="AA33" s="164"/>
      <c r="AB33" s="164"/>
      <c r="AC33" s="164"/>
    </row>
    <row r="34" spans="1:29" ht="27.75" customHeight="1" thickTop="1" thickBot="1">
      <c r="A34" s="54"/>
      <c r="B34" s="286"/>
      <c r="C34" s="704" t="s">
        <v>184</v>
      </c>
      <c r="D34" s="702" t="s">
        <v>120</v>
      </c>
      <c r="E34" s="702"/>
      <c r="F34" s="702"/>
      <c r="G34" s="702"/>
      <c r="H34" s="702"/>
      <c r="I34" s="676" t="s">
        <v>185</v>
      </c>
      <c r="J34" s="676"/>
      <c r="K34" s="676" t="s">
        <v>186</v>
      </c>
      <c r="L34" s="676"/>
      <c r="M34" s="676" t="s">
        <v>187</v>
      </c>
      <c r="N34" s="676"/>
      <c r="O34" s="676" t="s">
        <v>188</v>
      </c>
      <c r="P34" s="676"/>
      <c r="Q34" s="676" t="s">
        <v>189</v>
      </c>
      <c r="R34" s="676"/>
      <c r="S34" s="676" t="s">
        <v>190</v>
      </c>
      <c r="T34" s="676"/>
      <c r="U34" s="676" t="s">
        <v>191</v>
      </c>
      <c r="V34" s="677"/>
      <c r="W34" s="241"/>
      <c r="X34" s="54"/>
      <c r="Y34" s="164"/>
      <c r="Z34" s="164"/>
      <c r="AA34" s="164"/>
      <c r="AB34" s="164"/>
      <c r="AC34" s="164"/>
    </row>
    <row r="35" spans="1:29" ht="49.5" customHeight="1" thickTop="1" thickBot="1">
      <c r="A35" s="54"/>
      <c r="B35" s="286"/>
      <c r="C35" s="705"/>
      <c r="D35" s="703"/>
      <c r="E35" s="703"/>
      <c r="F35" s="703"/>
      <c r="G35" s="703"/>
      <c r="H35" s="703"/>
      <c r="I35" s="258" t="s">
        <v>192</v>
      </c>
      <c r="J35" s="258" t="s">
        <v>193</v>
      </c>
      <c r="K35" s="258" t="s">
        <v>192</v>
      </c>
      <c r="L35" s="258" t="s">
        <v>193</v>
      </c>
      <c r="M35" s="258" t="s">
        <v>192</v>
      </c>
      <c r="N35" s="258" t="s">
        <v>193</v>
      </c>
      <c r="O35" s="258" t="s">
        <v>192</v>
      </c>
      <c r="P35" s="258" t="s">
        <v>193</v>
      </c>
      <c r="Q35" s="258" t="s">
        <v>192</v>
      </c>
      <c r="R35" s="258" t="s">
        <v>193</v>
      </c>
      <c r="S35" s="258" t="s">
        <v>192</v>
      </c>
      <c r="T35" s="258" t="s">
        <v>193</v>
      </c>
      <c r="U35" s="258" t="s">
        <v>192</v>
      </c>
      <c r="V35" s="259" t="s">
        <v>193</v>
      </c>
      <c r="W35" s="241"/>
      <c r="X35" s="54"/>
      <c r="Y35" s="164"/>
      <c r="Z35" s="164"/>
      <c r="AA35" s="164"/>
      <c r="AB35" s="164"/>
      <c r="AC35" s="164"/>
    </row>
    <row r="36" spans="1:29" ht="71.25" customHeight="1" thickTop="1" thickBot="1">
      <c r="A36" s="54"/>
      <c r="B36" s="286"/>
      <c r="C36" s="384">
        <v>0</v>
      </c>
      <c r="D36" s="684"/>
      <c r="E36" s="684"/>
      <c r="F36" s="684"/>
      <c r="G36" s="684"/>
      <c r="H36" s="684"/>
      <c r="I36" s="380">
        <f>IF('Лист персонажа 1'!L11="Жрец",VLOOKUP('Лист персонажа 1'!M11,Жрец!G6:V25,7,0),IF('Лист персонажа 1'!L10="Жрец",VLOOKUP('Лист персонажа 1'!M10,Жрец!G6:V25,7,0),IF('Лист персонажа 1'!L9="Жрец",VLOOKUP('Лист персонажа 1'!M9,Жрец!G6:V25,7,0),IF('Лист персонажа 1'!L8="Жрец",VLOOKUP('Лист персонажа 1'!M8,Жрец!G6:V25,7,0),IF('Лист персонажа 1'!L7="Жрец",VLOOKUP('Лист персонажа 1'!M7,Жрец!G6:V25,7,0),0)))))</f>
        <v>0</v>
      </c>
      <c r="J36" s="267">
        <f>10+'Лист персонажа 1'!G18+C36</f>
        <v>13</v>
      </c>
      <c r="K36" s="380">
        <f>IF('Лист персонажа 1'!L11="Бард",VLOOKUP('Лист персонажа 1'!M11,Бард!G3:S22,7,0),IF('Лист персонажа 1'!L10="Бард",VLOOKUP('Лист персонажа 1'!M10,Бард!G3:S22,7,0),IF('Лист персонажа 1'!L9="Бард",VLOOKUP('Лист персонажа 1'!M9,Бард!G3:S22,7,0),IF('Лист персонажа 1'!L8="Бард",VLOOKUP('Лист персонажа 1'!M8,Бард!G3:S22,7,0),IF('Лист персонажа 1'!L7="Бард",VLOOKUP('Лист персонажа 1'!M7,Бард!G3:S22,7,0),0)))))</f>
        <v>0</v>
      </c>
      <c r="L36" s="267">
        <f>10+'Лист персонажа 1'!G19+C36</f>
        <v>9</v>
      </c>
      <c r="M36" s="380">
        <f>IF('Лист персонажа 1'!L11="Друид",VLOOKUP('Лист персонажа 1'!M11,Друид!G6:V25,7,0),IF('Лист персонажа 1'!L10="Друид",VLOOKUP('Лист персонажа 1'!M10,Друид!G6:V25,7,0),IF('Лист персонажа 1'!L9="Друид",VLOOKUP('Лист персонажа 1'!M9,Друид!G6:V25,7,0),IF('Лист персонажа 1'!L8="Друид",VLOOKUP('Лист персонажа 1'!M8,Друид!G6:V25,7,0),IF('Лист персонажа 1'!L7="Друид",VLOOKUP('Лист персонажа 1'!M7,Друид!G6:V25,7,0),0)))))</f>
        <v>0</v>
      </c>
      <c r="N36" s="267">
        <f>10+'Лист персонажа 1'!G18+C36</f>
        <v>13</v>
      </c>
      <c r="O36" s="380">
        <f>IF('Лист персонажа 1'!L11="Маг",VLOOKUP('Лист персонажа 1'!M11,Маг!G6:V25,7,0),IF('Лист персонажа 1'!L10="Маг",VLOOKUP('Лист персонажа 1'!M10,Маг!G6:V25,7,0),IF('Лист персонажа 1'!L9="Маг",VLOOKUP('Лист персонажа 1'!M9,Маг!G6:V25,7,0),IF('Лист персонажа 1'!L8="Маг",VLOOKUP('Лист персонажа 1'!M8,Маг!G6:V25,7,0),IF('Лист персонажа 1'!L7="Маг",VLOOKUP('Лист персонажа 1'!M7,Маг!G6:V25,7,0),0)))))</f>
        <v>0</v>
      </c>
      <c r="P36" s="267">
        <f>10+'Лист персонажа 1'!G17+C36</f>
        <v>9</v>
      </c>
      <c r="Q36" s="380" t="s">
        <v>194</v>
      </c>
      <c r="R36" s="267" t="s">
        <v>194</v>
      </c>
      <c r="S36" s="380" t="s">
        <v>194</v>
      </c>
      <c r="T36" s="267" t="s">
        <v>194</v>
      </c>
      <c r="U36" s="380">
        <f>IF('Лист персонажа 1'!L11="Чародей",VLOOKUP('Лист персонажа 1'!M11,Чародей!G6:V25,7,0),IF('Лист персонажа 1'!L10="Чародей",VLOOKUP('Лист персонажа 1'!M10,Чародей!G6:V25,7,0),IF('Лист персонажа 1'!L9="Чародей",VLOOKUP('Лист персонажа 1'!M9,Чародей!G6:V25,7,0),IF('Лист персонажа 1'!L8="Чародей",VLOOKUP('Лист персонажа 1'!M8,Чародей!G6:V25,7,0),IF('Лист персонажа 1'!L7="Чародей",VLOOKUP('Лист персонажа 1'!M7,Чародей!G6:V25,7,0),0)))))</f>
        <v>6</v>
      </c>
      <c r="V36" s="323">
        <f>10+'Лист персонажа 1'!G19+C36</f>
        <v>9</v>
      </c>
      <c r="W36" s="241"/>
      <c r="X36" s="54"/>
      <c r="Y36" s="164"/>
      <c r="Z36" s="164"/>
      <c r="AA36" s="164"/>
      <c r="AB36" s="164"/>
      <c r="AC36" s="164"/>
    </row>
    <row r="37" spans="1:29" ht="60" customHeight="1" thickTop="1" thickBot="1">
      <c r="A37" s="54"/>
      <c r="B37" s="286"/>
      <c r="C37" s="384">
        <v>1</v>
      </c>
      <c r="D37" s="686"/>
      <c r="E37" s="686"/>
      <c r="F37" s="686"/>
      <c r="G37" s="686"/>
      <c r="H37" s="686"/>
      <c r="I37" s="380">
        <f>IF('Лист персонажа 1'!L11="Жрец",VLOOKUP('Лист персонажа 1'!M11,Жрец!G6:V25,8,0),IF('Лист персонажа 1'!L10="Жрец",VLOOKUP('Лист персонажа 1'!M10,Жрец!G6:V25,8,0),IF('Лист персонажа 1'!L9="Жрец",VLOOKUP('Лист персонажа 1'!M9,Жрец!G6:V25,8,0),IF('Лист персонажа 1'!L8="Жрец",VLOOKUP('Лист персонажа 1'!M8,Жрец!G6:V25,8,0),IF('Лист персонажа 1'!L7="Жрец",VLOOKUP('Лист персонажа 1'!M7,Жрец!G6:V25,8,0),0)))))</f>
        <v>0</v>
      </c>
      <c r="J37" s="267">
        <f>10+'Лист персонажа 1'!G18+C37</f>
        <v>14</v>
      </c>
      <c r="K37" s="380">
        <f>IF('Лист персонажа 1'!L11="Бард",VLOOKUP('Лист персонажа 1'!M11,Бард!G3:S22,8,0),IF('Лист персонажа 1'!L10="Бард",VLOOKUP('Лист персонажа 1'!M10,Бард!G3:S22,8,0),IF('Лист персонажа 1'!L9="Бард",VLOOKUP('Лист персонажа 1'!M9,Бард!G3:S22,8,0),IF('Лист персонажа 1'!L8="Бард",VLOOKUP('Лист персонажа 1'!M8,Бард!G3:S22,8,0),IF('Лист персонажа 1'!L7="Бард",VLOOKUP('Лист персонажа 1'!M7,Бард!G3:S22,8,0),0)))))</f>
        <v>0</v>
      </c>
      <c r="L37" s="267">
        <f>10+'Лист персонажа 1'!G19+C37</f>
        <v>10</v>
      </c>
      <c r="M37" s="380">
        <f>IF('Лист персонажа 1'!L11="Друид",VLOOKUP('Лист персонажа 1'!M11,Друид!G6:V25,8,0),IF('Лист персонажа 1'!L10="Друид",VLOOKUP('Лист персонажа 1'!M10,Друид!G6:V25,8,0),IF('Лист персонажа 1'!L9="Друид",VLOOKUP('Лист персонажа 1'!M9,Друид!G6:V25,8,0),IF('Лист персонажа 1'!L8="Друид",VLOOKUP('Лист персонажа 1'!M8,Друид!G6:V25,8,0),IF('Лист персонажа 1'!L7="Друид",VLOOKUP('Лист персонажа 1'!M7,Друид!G6:V25,8,0),0)))))</f>
        <v>0</v>
      </c>
      <c r="N37" s="267">
        <f>10+'Лист персонажа 1'!G18+C37</f>
        <v>14</v>
      </c>
      <c r="O37" s="380">
        <f>IF('Лист персонажа 1'!L11="Маг",VLOOKUP('Лист персонажа 1'!M11,Маг!G6:V25,8,0),IF('Лист персонажа 1'!L10="Маг",VLOOKUP('Лист персонажа 1'!M10,Маг!G6:V25,8,0),IF('Лист персонажа 1'!L9="Маг",VLOOKUP('Лист персонажа 1'!M9,Маг!G6:V25,8,0),IF('Лист персонажа 1'!L8="Маг",VLOOKUP('Лист персонажа 1'!M8,Маг!G6:V25,8,0),IF('Лист персонажа 1'!L7="Маг",VLOOKUP('Лист персонажа 1'!M7,Маг!G6:V25,8,0),0)))))</f>
        <v>0</v>
      </c>
      <c r="P37" s="267">
        <f>10+'Лист персонажа 1'!G17+C37</f>
        <v>10</v>
      </c>
      <c r="Q37" s="380">
        <f>IF('Лист персонажа 1'!L11="Паладин",VLOOKUP('Лист персонажа 1'!M11,Паладин!G6:P25,7,0),IF('Лист персонажа 1'!L10="Паладин",VLOOKUP('Лист персонажа 1'!M10,Паладин!G6:P25,7,0),IF('Лист персонажа 1'!L9="Паладин",VLOOKUP('Лист персонажа 1'!M9,Паладин!G6:P25,7,0),IF('Лист персонажа 1'!L8="Паладин",VLOOKUP('Лист персонажа 1'!M8,Паладин!G6:P25,7,0),IF('Лист персонажа 1'!L7="Паладин",VLOOKUP('Лист персонажа 1'!M7,Паладин!G6:P25,7,0),0)))))</f>
        <v>0</v>
      </c>
      <c r="R37" s="267">
        <f>10+'Лист персонажа 1'!G18+C37</f>
        <v>14</v>
      </c>
      <c r="S37" s="380">
        <f>IF('Лист персонажа 1'!L11="Рейнджер",VLOOKUP('Лист персонажа 1'!M11,Рейнджер!G6:P25,7,0),IF('Лист персонажа 1'!L10="Рейнджер",VLOOKUP('Лист персонажа 1'!M10,Рейнджер!G6:P25,7,0),IF('Лист персонажа 1'!L9="Рейнджер",VLOOKUP('Лист персонажа 1'!M9,Рейнджер!G6:P25,7,0),IF('Лист персонажа 1'!L8="Рейнджер",VLOOKUP('Лист персонажа 1'!M8,Рейнджер!G6:P25,7,0),IF('Лист персонажа 1'!L7="Рейнджер",VLOOKUP('Лист персонажа 1'!M7,Рейнджер!G6:P25,7,0),0)))))</f>
        <v>0</v>
      </c>
      <c r="T37" s="267">
        <f>10+'Лист персонажа 1'!G18+C37</f>
        <v>14</v>
      </c>
      <c r="U37" s="380">
        <f>IF('Лист персонажа 1'!L11="Чародей",VLOOKUP('Лист персонажа 1'!M11,Чародей!G6:V25,8,0),IF('Лист персонажа 1'!L10="Чародей",VLOOKUP('Лист персонажа 1'!M10,Чародей!G6:V25,8,0),IF('Лист персонажа 1'!L9="Чародей",VLOOKUP('Лист персонажа 1'!M9,Чародей!G6:V25,8,0),IF('Лист персонажа 1'!L8="Чародей",VLOOKUP('Лист персонажа 1'!M8,Чародей!G6:V25,8,0),IF('Лист персонажа 1'!L7="Чародей",VLOOKUP('Лист персонажа 1'!M7,Чародей!G6:V25,8,0),0)))))</f>
        <v>6</v>
      </c>
      <c r="V37" s="323">
        <f>10+'Лист персонажа 1'!G19+C37</f>
        <v>10</v>
      </c>
      <c r="W37" s="241"/>
      <c r="X37" s="54"/>
      <c r="Y37" s="164"/>
      <c r="Z37" s="164"/>
      <c r="AA37" s="164"/>
      <c r="AB37" s="164"/>
      <c r="AC37" s="164"/>
    </row>
    <row r="38" spans="1:29" ht="60" customHeight="1" thickTop="1" thickBot="1">
      <c r="A38" s="54"/>
      <c r="B38" s="286"/>
      <c r="C38" s="384">
        <v>2</v>
      </c>
      <c r="D38" s="684"/>
      <c r="E38" s="684"/>
      <c r="F38" s="684"/>
      <c r="G38" s="684"/>
      <c r="H38" s="684"/>
      <c r="I38" s="380">
        <f>IF('Лист персонажа 1'!L11="Жрец",VLOOKUP('Лист персонажа 1'!M11,Жрец!G6:V25,9,0),IF('Лист персонажа 1'!L10="Жрец",VLOOKUP('Лист персонажа 1'!M10,Жрец!G6:V25,9,0),IF('Лист персонажа 1'!L9="Жрец",VLOOKUP('Лист персонажа 1'!M9,Жрец!G6:V25,9,0),IF('Лист персонажа 1'!L8="Жрец",VLOOKUP('Лист персонажа 1'!M8,Жрец!G6:V25,9,0),IF('Лист персонажа 1'!L7="Жрец",VLOOKUP('Лист персонажа 1'!M7,Жрец!G6:V25,9,0),0)))))</f>
        <v>0</v>
      </c>
      <c r="J38" s="267">
        <f>10+'Лист персонажа 1'!G18+C38</f>
        <v>15</v>
      </c>
      <c r="K38" s="380">
        <f>IF('Лист персонажа 1'!L11="Бард",VLOOKUP('Лист персонажа 1'!M11,Бард!G3:S22,9,0),IF('Лист персонажа 1'!L10="Бард",VLOOKUP('Лист персонажа 1'!M10,Бард!G3:S22,9,0),IF('Лист персонажа 1'!L9="Бард",VLOOKUP('Лист персонажа 1'!M9,Бард!G3:S22,9,0),IF('Лист персонажа 1'!L8="Бард",VLOOKUP('Лист персонажа 1'!M8,Бард!G3:S22,9,0),IF('Лист персонажа 1'!L7="Бард",VLOOKUP('Лист персонажа 1'!M7,Бард!G3:S22,9,0),0)))))</f>
        <v>0</v>
      </c>
      <c r="L38" s="267">
        <f>10+'Лист персонажа 1'!G19+C38</f>
        <v>11</v>
      </c>
      <c r="M38" s="380">
        <f>IF('Лист персонажа 1'!L11="Друид",VLOOKUP('Лист персонажа 1'!M11,Друид!G6:V25,9,0),IF('Лист персонажа 1'!L10="Друид",VLOOKUP('Лист персонажа 1'!M10,Друид!G6:V25,9,0),IF('Лист персонажа 1'!L9="Друид",VLOOKUP('Лист персонажа 1'!M9,Друид!G6:V25,9,0),IF('Лист персонажа 1'!L8="Друид",VLOOKUP('Лист персонажа 1'!M8,Друид!G6:V25,9,0),IF('Лист персонажа 1'!L7="Друид",VLOOKUP('Лист персонажа 1'!M7,Друид!G6:V25,9,0),0)))))</f>
        <v>0</v>
      </c>
      <c r="N38" s="267">
        <f>10+'Лист персонажа 1'!G18+C38</f>
        <v>15</v>
      </c>
      <c r="O38" s="380">
        <f>IF('Лист персонажа 1'!L11="Маг",VLOOKUP('Лист персонажа 1'!M11,Маг!G6:V25,9,0),IF('Лист персонажа 1'!L10="Маг",VLOOKUP('Лист персонажа 1'!M10,Маг!G6:V25,9,0),IF('Лист персонажа 1'!L9="Маг",VLOOKUP('Лист персонажа 1'!M9,Маг!G6:V25,9,0),IF('Лист персонажа 1'!L8="Маг",VLOOKUP('Лист персонажа 1'!M8,Маг!G6:V25,9,0),IF('Лист персонажа 1'!L7="Маг",VLOOKUP('Лист персонажа 1'!M7,Маг!G6:V25,9,0),0)))))</f>
        <v>0</v>
      </c>
      <c r="P38" s="267">
        <f>10+'Лист персонажа 1'!G17+C38</f>
        <v>11</v>
      </c>
      <c r="Q38" s="380">
        <f>IF('Лист персонажа 1'!L11="Паладин",VLOOKUP('Лист персонажа 1'!M11,Паладин!G6:P25,8,0),IF('Лист персонажа 1'!L10="Паладин",VLOOKUP('Лист персонажа 1'!M10,Паладин!G6:P25,8,0),IF('Лист персонажа 1'!L9="Паладин",VLOOKUP('Лист персонажа 1'!M9,Паладин!G6:P25,8,0),IF('Лист персонажа 1'!L8="Паладин",VLOOKUP('Лист персонажа 1'!M8,Паладин!G6:P25,8,0),IF('Лист персонажа 1'!L7="Паладин",VLOOKUP('Лист персонажа 1'!M7,Паладин!G6:P25,8,0),0)))))</f>
        <v>0</v>
      </c>
      <c r="R38" s="267">
        <f>10+'Лист персонажа 1'!G18+C38</f>
        <v>15</v>
      </c>
      <c r="S38" s="380">
        <f>IF('Лист персонажа 1'!L11="Рейнджер",VLOOKUP('Лист персонажа 1'!M11,Рейнджер!G6:P25,8,0),IF('Лист персонажа 1'!L10="Рейнджер",VLOOKUP('Лист персонажа 1'!M10,Рейнджер!G6:P25,8,0),IF('Лист персонажа 1'!L9="Рейнджер",VLOOKUP('Лист персонажа 1'!M9,Рейнджер!G6:P25,8,0),IF('Лист персонажа 1'!L8="Рейнджер",VLOOKUP('Лист персонажа 1'!M8,Рейнджер!G6:P25,8,0),IF('Лист персонажа 1'!L7="Рейнджер",VLOOKUP('Лист персонажа 1'!M7,Рейнджер!G6:P25,8,0),0)))))</f>
        <v>0</v>
      </c>
      <c r="T38" s="267">
        <f>10+'Лист персонажа 1'!G18+C38</f>
        <v>15</v>
      </c>
      <c r="U38" s="380">
        <f>IF('Лист персонажа 1'!L11="Чародей",VLOOKUP('Лист персонажа 1'!M11,Чародей!G6:V25,9,0),IF('Лист персонажа 1'!L10="Чародей",VLOOKUP('Лист персонажа 1'!M10,Чародей!G6:V25,9,0),IF('Лист персонажа 1'!L9="Чародей",VLOOKUP('Лист персонажа 1'!M9,Чародей!G6:V25,9,0),IF('Лист персонажа 1'!L8="Чародей",VLOOKUP('Лист персонажа 1'!M8,Чародей!G6:V25,9,0),IF('Лист персонажа 1'!L7="Чародей",VLOOKUP('Лист персонажа 1'!M7,Чародей!G6:V25,9,0),0)))))</f>
        <v>5</v>
      </c>
      <c r="V38" s="323">
        <f>10+'Лист персонажа 1'!G19+C38</f>
        <v>11</v>
      </c>
      <c r="W38" s="241"/>
      <c r="X38" s="54"/>
      <c r="Y38" s="164"/>
      <c r="Z38" s="164"/>
      <c r="AA38" s="164"/>
      <c r="AB38" s="164"/>
      <c r="AC38" s="164"/>
    </row>
    <row r="39" spans="1:29" ht="67.5" customHeight="1" thickTop="1" thickBot="1">
      <c r="A39" s="54"/>
      <c r="B39" s="286"/>
      <c r="C39" s="384">
        <v>3</v>
      </c>
      <c r="D39" s="686"/>
      <c r="E39" s="686"/>
      <c r="F39" s="686"/>
      <c r="G39" s="686"/>
      <c r="H39" s="686"/>
      <c r="I39" s="380">
        <f>IF('Лист персонажа 1'!L11="Жрец",VLOOKUP('Лист персонажа 1'!M11,Жрец!G6:V25,10,0),IF('Лист персонажа 1'!L10="Жрец",VLOOKUP('Лист персонажа 1'!M10,Жрец!G6:V25,10,0),IF('Лист персонажа 1'!L9="Жрец",VLOOKUP('Лист персонажа 1'!M9,Жрец!G6:V25,10,0),IF('Лист персонажа 1'!L8="Жрец",VLOOKUP('Лист персонажа 1'!M8,Жрец!G6:V25,10,0),IF('Лист персонажа 1'!L7="Жрец",VLOOKUP('Лист персонажа 1'!M7,Жрец!G6:V25,10,0),0)))))</f>
        <v>0</v>
      </c>
      <c r="J39" s="267">
        <f>10+'Лист персонажа 1'!G18+C39</f>
        <v>16</v>
      </c>
      <c r="K39" s="380">
        <f>IF('Лист персонажа 1'!L11="Бард",VLOOKUP('Лист персонажа 1'!M11,Бард!G3:S22,10,0),IF('Лист персонажа 1'!L10="Бард",VLOOKUP('Лист персонажа 1'!M10,Бард!G3:S22,10,0),IF('Лист персонажа 1'!L9="Бард",VLOOKUP('Лист персонажа 1'!M9,Бард!G3:S22,10,0),IF('Лист персонажа 1'!L8="Бард",VLOOKUP('Лист персонажа 1'!M8,Бард!G3:S22,10,0),IF('Лист персонажа 1'!L7="Бард",VLOOKUP('Лист персонажа 1'!M7,Бард!G3:S22,10,0),0)))))</f>
        <v>0</v>
      </c>
      <c r="L39" s="267">
        <f>10+'Лист персонажа 1'!G19+C39</f>
        <v>12</v>
      </c>
      <c r="M39" s="380">
        <f>IF('Лист персонажа 1'!L11="Друид",VLOOKUP('Лист персонажа 1'!M11,Друид!G6:V25,10,0),IF('Лист персонажа 1'!L10="Друид",VLOOKUP('Лист персонажа 1'!M10,Друид!G6:V25,10,0),IF('Лист персонажа 1'!L9="Друид",VLOOKUP('Лист персонажа 1'!M9,Друид!G6:V25,10,0),IF('Лист персонажа 1'!L8="Друид",VLOOKUP('Лист персонажа 1'!M8,Друид!G6:V25,10,0),IF('Лист персонажа 1'!L7="Друид",VLOOKUP('Лист персонажа 1'!M7,Друид!G6:V25,10,0),0)))))</f>
        <v>0</v>
      </c>
      <c r="N39" s="267">
        <f>10+'Лист персонажа 1'!G18+C39</f>
        <v>16</v>
      </c>
      <c r="O39" s="380">
        <f>IF('Лист персонажа 1'!L11="Маг",VLOOKUP('Лист персонажа 1'!M11,Маг!G6:V25,10,0),IF('Лист персонажа 1'!L10="Маг",VLOOKUP('Лист персонажа 1'!M10,Маг!G6:V25,10,0),IF('Лист персонажа 1'!L9="Маг",VLOOKUP('Лист персонажа 1'!M9,Маг!G6:V25,10,0),IF('Лист персонажа 1'!L8="Маг",VLOOKUP('Лист персонажа 1'!M8,Маг!G6:V25,10,0),IF('Лист персонажа 1'!L7="Маг",VLOOKUP('Лист персонажа 1'!M7,Маг!G6:V25,10,0),0)))))</f>
        <v>0</v>
      </c>
      <c r="P39" s="267">
        <f>10+'Лист персонажа 1'!G17+C39</f>
        <v>12</v>
      </c>
      <c r="Q39" s="380">
        <f>IF('Лист персонажа 1'!L11="Паладин",VLOOKUP('Лист персонажа 1'!M11,Паладин!G6:P25,9,0),IF('Лист персонажа 1'!L10="Паладин",VLOOKUP('Лист персонажа 1'!M10,Паладин!G6:P25,9,0),IF('Лист персонажа 1'!L9="Паладин",VLOOKUP('Лист персонажа 1'!M9,Паладин!G6:P25,9,0),IF('Лист персонажа 1'!L8="Паладин",VLOOKUP('Лист персонажа 1'!M8,Паладин!G6:P25,9,0),IF('Лист персонажа 1'!L7="Паладин",VLOOKUP('Лист персонажа 1'!M7,Паладин!G6:P25,9,0),0)))))</f>
        <v>0</v>
      </c>
      <c r="R39" s="267">
        <f>10+'Лист персонажа 1'!G18+C39</f>
        <v>16</v>
      </c>
      <c r="S39" s="380">
        <f>IF('Лист персонажа 1'!L11="Рейнджер",VLOOKUP('Лист персонажа 1'!M11,Рейнджер!G6:P25,9,0),IF('Лист персонажа 1'!L10="Рейнджер",VLOOKUP('Лист персонажа 1'!M10,Рейнджер!G6:P25,9,0),IF('Лист персонажа 1'!L9="Рейнджер",VLOOKUP('Лист персонажа 1'!M9,Рейнджер!G6:P25,9,0),IF('Лист персонажа 1'!L8="Рейнджер",VLOOKUP('Лист персонажа 1'!M8,Рейнджер!G6:P25,9,0),IF('Лист персонажа 1'!L7="Рейнджер",VLOOKUP('Лист персонажа 1'!M7,Рейнджер!G6:P25,9,0),0)))))</f>
        <v>0</v>
      </c>
      <c r="T39" s="267">
        <f>10+'Лист персонажа 1'!G18+C39</f>
        <v>16</v>
      </c>
      <c r="U39" s="380">
        <f>IF('Лист персонажа 1'!L11="Чародей",VLOOKUP('Лист персонажа 1'!M11,Чародей!G6:V25,10,0),IF('Лист персонажа 1'!L10="Чародей",VLOOKUP('Лист персонажа 1'!M10,Чародей!G6:V25,10,0),IF('Лист персонажа 1'!L9="Чародей",VLOOKUP('Лист персонажа 1'!M9,Чародей!G6:V25,10,0),IF('Лист персонажа 1'!L8="Чародей",VLOOKUP('Лист персонажа 1'!M8,Чародей!G6:V25,10,0),IF('Лист персонажа 1'!L7="Чародей",VLOOKUP('Лист персонажа 1'!M7,Чародей!G6:V25,10,0),0)))))</f>
        <v>3</v>
      </c>
      <c r="V39" s="323">
        <f>10+'Лист персонажа 1'!G19+C39</f>
        <v>12</v>
      </c>
      <c r="W39" s="241"/>
      <c r="X39" s="54"/>
      <c r="Y39" s="164"/>
      <c r="Z39" s="164"/>
      <c r="AA39" s="164"/>
      <c r="AB39" s="164"/>
      <c r="AC39" s="164"/>
    </row>
    <row r="40" spans="1:29" ht="54" customHeight="1" thickTop="1" thickBot="1">
      <c r="A40" s="54"/>
      <c r="B40" s="286"/>
      <c r="C40" s="384">
        <v>4</v>
      </c>
      <c r="D40" s="684"/>
      <c r="E40" s="684"/>
      <c r="F40" s="684"/>
      <c r="G40" s="684"/>
      <c r="H40" s="684"/>
      <c r="I40" s="380">
        <f>IF('Лист персонажа 1'!L11="Жрец",VLOOKUP('Лист персонажа 1'!M11,Жрец!G6:V25,11,0),IF('Лист персонажа 1'!L10="Жрец",VLOOKUP('Лист персонажа 1'!M10,Жрец!G6:V25,11,0),IF('Лист персонажа 1'!L9="Жрец",VLOOKUP('Лист персонажа 1'!M9,Жрец!G6:V25,11,0),IF('Лист персонажа 1'!L8="Жрец",VLOOKUP('Лист персонажа 1'!M8,Жрец!G6:V25,11,0),IF('Лист персонажа 1'!L7="Жрец",VLOOKUP('Лист персонажа 1'!M7,Жрец!G6:V25,11,0),0)))))</f>
        <v>0</v>
      </c>
      <c r="J40" s="267">
        <f>10+'Лист персонажа 1'!G18+C40</f>
        <v>17</v>
      </c>
      <c r="K40" s="380">
        <f>IF('Лист персонажа 1'!L11="Бард",VLOOKUP('Лист персонажа 1'!M11,Бард!G3:S22,11,0),IF('Лист персонажа 1'!L10="Бард",VLOOKUP('Лист персонажа 1'!M10,Бард!G3:S22,11,0),IF('Лист персонажа 1'!L9="Бард",VLOOKUP('Лист персонажа 1'!M9,Бард!G3:S22,11,0),IF('Лист персонажа 1'!L8="Бард",VLOOKUP('Лист персонажа 1'!M8,Бард!G3:S22,11,0),IF('Лист персонажа 1'!L7="Бард",VLOOKUP('Лист персонажа 1'!M7,Бард!G3:S22,11,0),0)))))</f>
        <v>0</v>
      </c>
      <c r="L40" s="267">
        <f>10+'Лист персонажа 1'!G19+C40</f>
        <v>13</v>
      </c>
      <c r="M40" s="380">
        <f>IF('Лист персонажа 1'!L11="Друид",VLOOKUP('Лист персонажа 1'!M11,Друид!G6:V25,11,0),IF('Лист персонажа 1'!L10="Друид",VLOOKUP('Лист персонажа 1'!M10,Друид!G6:V25,11,0),IF('Лист персонажа 1'!L9="Друид",VLOOKUP('Лист персонажа 1'!M9,Друид!G6:V25,11,0),IF('Лист персонажа 1'!L8="Друид",VLOOKUP('Лист персонажа 1'!M8,Друид!G6:V25,11,0),IF('Лист персонажа 1'!L7="Друид",VLOOKUP('Лист персонажа 1'!M7,Друид!G6:V25,11,0),0)))))</f>
        <v>0</v>
      </c>
      <c r="N40" s="267">
        <f>10+'Лист персонажа 1'!G18+C40</f>
        <v>17</v>
      </c>
      <c r="O40" s="380">
        <f>IF('Лист персонажа 1'!L11="Маг",VLOOKUP('Лист персонажа 1'!M11,Маг!G6:V25,11,0),IF('Лист персонажа 1'!L10="Маг",VLOOKUP('Лист персонажа 1'!M10,Маг!G6:V25,11,0),IF('Лист персонажа 1'!L9="Маг",VLOOKUP('Лист персонажа 1'!M9,Маг!G6:V25,11,0),IF('Лист персонажа 1'!L8="Маг",VLOOKUP('Лист персонажа 1'!M8,Маг!G6:V25,11,0),IF('Лист персонажа 1'!L7="Маг",VLOOKUP('Лист персонажа 1'!M7,Маг!G6:V25,11,0),0)))))</f>
        <v>0</v>
      </c>
      <c r="P40" s="267">
        <f>10+'Лист персонажа 1'!G17+C40</f>
        <v>13</v>
      </c>
      <c r="Q40" s="380">
        <f>IF('Лист персонажа 1'!L11="Паладин",VLOOKUP('Лист персонажа 1'!M11,Паладин!G6:P25,10,0),IF('Лист персонажа 1'!L10="Паладин",VLOOKUP('Лист персонажа 1'!M10,Паладин!G6:P25,10,0),IF('Лист персонажа 1'!L9="Паладин",VLOOKUP('Лист персонажа 1'!M9,Паладин!G6:P25,10,0),IF('Лист персонажа 1'!L8="Паладин",VLOOKUP('Лист персонажа 1'!M8,Паладин!G6:P25,10,0),IF('Лист персонажа 1'!L7="Паладин",VLOOKUP('Лист персонажа 1'!M7,Паладин!G6:P25,10,0),0)))))</f>
        <v>0</v>
      </c>
      <c r="R40" s="267">
        <f>10+'Лист персонажа 1'!G18+C40</f>
        <v>17</v>
      </c>
      <c r="S40" s="380">
        <f>IF('Лист персонажа 1'!L11="Рейнджер",VLOOKUP('Лист персонажа 1'!M11,Рейнджер!G6:P25,10,0),IF('Лист персонажа 1'!L10="Рейнджер",VLOOKUP('Лист персонажа 1'!M10,Рейнджер!G6:P25,10,0),IF('Лист персонажа 1'!L9="Рейнджер",VLOOKUP('Лист персонажа 1'!M9,Рейнджер!G6:P25,10,0),IF('Лист персонажа 1'!L8="Рейнджер",VLOOKUP('Лист персонажа 1'!M8,Рейнджер!G6:P25,10,0),IF('Лист персонажа 1'!L7="Рейнджер",VLOOKUP('Лист персонажа 1'!M7,Рейнджер!G6:P25,10,0),0)))))</f>
        <v>0</v>
      </c>
      <c r="T40" s="267">
        <f>10+'Лист персонажа 1'!G18+C40</f>
        <v>17</v>
      </c>
      <c r="U40" s="380" t="str">
        <f>IF('Лист персонажа 1'!L11="Чародей",VLOOKUP('Лист персонажа 1'!M11,Чародей!G6:V25,11,0),IF('Лист персонажа 1'!L10="Чародей",VLOOKUP('Лист персонажа 1'!M10,Чародей!G6:V25,11,0),IF('Лист персонажа 1'!L9="Чародей",VLOOKUP('Лист персонажа 1'!M9,Чародей!G6:V25,11,0),IF('Лист персонажа 1'!L8="Чародей",VLOOKUP('Лист персонажа 1'!M8,Чародей!G6:V25,11,0),IF('Лист персонажа 1'!L7="Чародей",VLOOKUP('Лист персонажа 1'!M7,Чародей!G6:V25,11,0),0)))))</f>
        <v>—</v>
      </c>
      <c r="V40" s="323">
        <f>10+'Лист персонажа 1'!G19+C40</f>
        <v>13</v>
      </c>
      <c r="W40" s="241"/>
      <c r="X40" s="54"/>
      <c r="Y40" s="164"/>
      <c r="Z40" s="164"/>
      <c r="AA40" s="164"/>
      <c r="AB40" s="164"/>
      <c r="AC40" s="164"/>
    </row>
    <row r="41" spans="1:29" ht="69" customHeight="1" thickTop="1" thickBot="1">
      <c r="A41" s="54"/>
      <c r="B41" s="286"/>
      <c r="C41" s="384">
        <v>5</v>
      </c>
      <c r="D41" s="686"/>
      <c r="E41" s="686"/>
      <c r="F41" s="686"/>
      <c r="G41" s="686"/>
      <c r="H41" s="686"/>
      <c r="I41" s="380">
        <f>IF('Лист персонажа 1'!L11="Жрец",VLOOKUP('Лист персонажа 1'!M11,Жрец!G6:V25,12,0),IF('Лист персонажа 1'!L10="Жрец",VLOOKUP('Лист персонажа 1'!M10,Жрец!G6:V25,12,0),IF('Лист персонажа 1'!L9="Жрец",VLOOKUP('Лист персонажа 1'!M9,Жрец!G6:V25,12,0),IF('Лист персонажа 1'!L8="Жрец",VLOOKUP('Лист персонажа 1'!M8,Жрец!G6:V25,12,0),IF('Лист персонажа 1'!L7="Жрец",VLOOKUP('Лист персонажа 1'!M7,Жрец!G6:V25,12,0),0)))))</f>
        <v>0</v>
      </c>
      <c r="J41" s="267">
        <f>10+'Лист персонажа 1'!G18+C41</f>
        <v>18</v>
      </c>
      <c r="K41" s="380">
        <f>IF('Лист персонажа 1'!L11="Бард",VLOOKUP('Лист персонажа 1'!M11,Бард!G3:S22,12,0),IF('Лист персонажа 1'!L10="Бард",VLOOKUP('Лист персонажа 1'!M10,Бард!G3:S22,12,0),IF('Лист персонажа 1'!L9="Бард",VLOOKUP('Лист персонажа 1'!M9,Бард!G3:S22,12,0),IF('Лист персонажа 1'!L8="Бард",VLOOKUP('Лист персонажа 1'!M8,Бард!G3:S22,12,0),IF('Лист персонажа 1'!L7="Бард",VLOOKUP('Лист персонажа 1'!M7,Бард!G3:S22,12,0),0)))))</f>
        <v>0</v>
      </c>
      <c r="L41" s="267">
        <f>10+'Лист персонажа 1'!G19+C41</f>
        <v>14</v>
      </c>
      <c r="M41" s="380">
        <f>IF('Лист персонажа 1'!L11="Друид",VLOOKUP('Лист персонажа 1'!M11,Друид!G6:V25,12,0),IF('Лист персонажа 1'!L10="Друид",VLOOKUP('Лист персонажа 1'!M10,Друид!G6:V25,12,0),IF('Лист персонажа 1'!L9="Друид",VLOOKUP('Лист персонажа 1'!M9,Друид!G6:V25,12,0),IF('Лист персонажа 1'!L8="Друид",VLOOKUP('Лист персонажа 1'!M8,Друид!G6:V25,12,0),IF('Лист персонажа 1'!L7="Друид",VLOOKUP('Лист персонажа 1'!M7,Друид!G6:V25,12,0),0)))))</f>
        <v>0</v>
      </c>
      <c r="N41" s="267">
        <f>10+'Лист персонажа 1'!G18+C41</f>
        <v>18</v>
      </c>
      <c r="O41" s="380">
        <f>IF('Лист персонажа 1'!L11="Маг",VLOOKUP('Лист персонажа 1'!M11,Маг!G6:V25,12,0),IF('Лист персонажа 1'!L10="Маг",VLOOKUP('Лист персонажа 1'!M10,Маг!G6:V25,12,0),IF('Лист персонажа 1'!L9="Маг",VLOOKUP('Лист персонажа 1'!M9,Маг!G6:V25,12,0),IF('Лист персонажа 1'!L8="Маг",VLOOKUP('Лист персонажа 1'!M8,Маг!G6:V25,12,0),IF('Лист персонажа 1'!L7="Маг",VLOOKUP('Лист персонажа 1'!M7,Маг!G6:V25,12,0),0)))))</f>
        <v>0</v>
      </c>
      <c r="P41" s="267">
        <f>10+'Лист персонажа 1'!G17+C41</f>
        <v>14</v>
      </c>
      <c r="Q41" s="380" t="s">
        <v>194</v>
      </c>
      <c r="R41" s="267" t="s">
        <v>194</v>
      </c>
      <c r="S41" s="380" t="s">
        <v>194</v>
      </c>
      <c r="T41" s="267" t="s">
        <v>194</v>
      </c>
      <c r="U41" s="380" t="str">
        <f>IF('Лист персонажа 1'!L11="Чародей",VLOOKUP('Лист персонажа 1'!M11,Чародей!G6:V25,12,0),IF('Лист персонажа 1'!L10="Чародей",VLOOKUP('Лист персонажа 1'!M10,Чародей!G6:V25,12,0),IF('Лист персонажа 1'!L9="Чародей",VLOOKUP('Лист персонажа 1'!M9,Чародей!G6:V25,12,0),IF('Лист персонажа 1'!L8="Чародей",VLOOKUP('Лист персонажа 1'!M8,Чародей!G6:V25,12,0),IF('Лист персонажа 1'!L7="Чародей",VLOOKUP('Лист персонажа 1'!M7,Чародей!G6:V25,12,0),0)))))</f>
        <v>—</v>
      </c>
      <c r="V41" s="323">
        <f>10+'Лист персонажа 1'!G19+C41</f>
        <v>14</v>
      </c>
      <c r="W41" s="241"/>
      <c r="X41" s="54"/>
      <c r="Y41" s="164"/>
      <c r="Z41" s="164"/>
      <c r="AA41" s="164"/>
      <c r="AB41" s="164"/>
      <c r="AC41" s="164"/>
    </row>
    <row r="42" spans="1:29" ht="86.25" customHeight="1" thickTop="1" thickBot="1">
      <c r="A42" s="54"/>
      <c r="B42" s="286"/>
      <c r="C42" s="384">
        <v>6</v>
      </c>
      <c r="D42" s="684"/>
      <c r="E42" s="684"/>
      <c r="F42" s="684"/>
      <c r="G42" s="684"/>
      <c r="H42" s="684"/>
      <c r="I42" s="380">
        <f>IF('Лист персонажа 1'!L11="Жрец",VLOOKUP('Лист персонажа 1'!M11,Жрец!G6:V25,13,0),IF('Лист персонажа 1'!L10="Жрец",VLOOKUP('Лист персонажа 1'!M10,Жрец!G6:V25,13,0),IF('Лист персонажа 1'!L9="Жрец",VLOOKUP('Лист персонажа 1'!M9,Жрец!G6:V25,13,0),IF('Лист персонажа 1'!L8="Жрец",VLOOKUP('Лист персонажа 1'!M8,Жрец!G6:V25,13,0),IF('Лист персонажа 1'!L7="Жрец",VLOOKUP('Лист персонажа 1'!M7,Жрец!G6:V25,13,0),0)))))</f>
        <v>0</v>
      </c>
      <c r="J42" s="267">
        <f>10+'Лист персонажа 1'!G18+C42</f>
        <v>19</v>
      </c>
      <c r="K42" s="380">
        <f>IF('Лист персонажа 1'!L11="Бард",VLOOKUP('Лист персонажа 1'!M11,Бард!G3:S22,13,0),IF('Лист персонажа 1'!L10="Бард",VLOOKUP('Лист персонажа 1'!M10,Бард!G3:S22,13,0),IF('Лист персонажа 1'!L9="Бард",VLOOKUP('Лист персонажа 1'!M9,Бард!G3:S22,13,0),IF('Лист персонажа 1'!L8="Бард",VLOOKUP('Лист персонажа 1'!M8,Бард!G3:S22,13,0),IF('Лист персонажа 1'!L7="Бард",VLOOKUP('Лист персонажа 1'!M7,Бард!G3:S22,13,0),0)))))</f>
        <v>0</v>
      </c>
      <c r="L42" s="267">
        <f>10+'Лист персонажа 1'!G19+C42</f>
        <v>15</v>
      </c>
      <c r="M42" s="380">
        <f>IF('Лист персонажа 1'!L11="Друид",VLOOKUP('Лист персонажа 1'!M11,Друид!G6:V25,13,0),IF('Лист персонажа 1'!L10="Друид",VLOOKUP('Лист персонажа 1'!M10,Друид!G6:V25,13,0),IF('Лист персонажа 1'!L9="Друид",VLOOKUP('Лист персонажа 1'!M9,Друид!G6:V25,13,0),IF('Лист персонажа 1'!L8="Друид",VLOOKUP('Лист персонажа 1'!M8,Друид!G6:V25,13,0),IF('Лист персонажа 1'!L7="Друид",VLOOKUP('Лист персонажа 1'!M7,Друид!G6:V25,13,0),0)))))</f>
        <v>0</v>
      </c>
      <c r="N42" s="267">
        <f>10+'Лист персонажа 1'!G18+C42</f>
        <v>19</v>
      </c>
      <c r="O42" s="380">
        <f>IF('Лист персонажа 1'!L11="Маг",VLOOKUP('Лист персонажа 1'!M11,Маг!G6:V25,13,0),IF('Лист персонажа 1'!L10="Маг",VLOOKUP('Лист персонажа 1'!M10,Маг!G6:V25,13,0),IF('Лист персонажа 1'!L9="Маг",VLOOKUP('Лист персонажа 1'!M9,Маг!G6:V25,13,0),IF('Лист персонажа 1'!L8="Маг",VLOOKUP('Лист персонажа 1'!M8,Маг!G6:V25,13,0),IF('Лист персонажа 1'!L7="Маг",VLOOKUP('Лист персонажа 1'!M7,Маг!G6:V25,13,0),0)))))</f>
        <v>0</v>
      </c>
      <c r="P42" s="267">
        <f>10+'Лист персонажа 1'!G17+C42</f>
        <v>15</v>
      </c>
      <c r="Q42" s="380" t="s">
        <v>194</v>
      </c>
      <c r="R42" s="267" t="s">
        <v>194</v>
      </c>
      <c r="S42" s="380" t="s">
        <v>194</v>
      </c>
      <c r="T42" s="267" t="s">
        <v>194</v>
      </c>
      <c r="U42" s="380" t="str">
        <f>IF('Лист персонажа 1'!L11="Чародей",VLOOKUP('Лист персонажа 1'!M11,Чародей!G6:V25,13,0),IF('Лист персонажа 1'!L10="Чародей",VLOOKUP('Лист персонажа 1'!M10,Чародей!G6:V25,13,0),IF('Лист персонажа 1'!L9="Чародей",VLOOKUP('Лист персонажа 1'!M9,Чародей!G6:V25,13,0),IF('Лист персонажа 1'!L8="Чародей",VLOOKUP('Лист персонажа 1'!M8,Чародей!G6:V25,13,0),IF('Лист персонажа 1'!L7="Чародей",VLOOKUP('Лист персонажа 1'!M7,Чародей!G6:V25,13,0),0)))))</f>
        <v>—</v>
      </c>
      <c r="V42" s="323">
        <f>10+'Лист персонажа 1'!G19+C42</f>
        <v>15</v>
      </c>
      <c r="W42" s="241"/>
      <c r="X42" s="54"/>
      <c r="Y42" s="164"/>
      <c r="Z42" s="164"/>
      <c r="AA42" s="164"/>
      <c r="AB42" s="164"/>
      <c r="AC42" s="164"/>
    </row>
    <row r="43" spans="1:29" ht="72.75" customHeight="1" thickTop="1" thickBot="1">
      <c r="A43" s="54"/>
      <c r="B43" s="286"/>
      <c r="C43" s="384">
        <v>7</v>
      </c>
      <c r="D43" s="686"/>
      <c r="E43" s="686"/>
      <c r="F43" s="686"/>
      <c r="G43" s="686"/>
      <c r="H43" s="686"/>
      <c r="I43" s="380">
        <f>IF('Лист персонажа 1'!L11="Жрец",VLOOKUP('Лист персонажа 1'!M11,Жрец!G6:V25,14,0),IF('Лист персонажа 1'!L10="Жрец",VLOOKUP('Лист персонажа 1'!M10,Жрец!G6:V25,14,0),IF('Лист персонажа 1'!L9="Жрец",VLOOKUP('Лист персонажа 1'!M9,Жрец!G6:V25,14,0),IF('Лист персонажа 1'!L8="Жрец",VLOOKUP('Лист персонажа 1'!M8,Жрец!G6:V25,14,0),IF('Лист персонажа 1'!L7="Жрец",VLOOKUP('Лист персонажа 1'!M7,Жрец!G6:V25,14,0),0)))))</f>
        <v>0</v>
      </c>
      <c r="J43" s="267">
        <f>10+'Лист персонажа 1'!G18+C43</f>
        <v>20</v>
      </c>
      <c r="K43" s="380" t="s">
        <v>194</v>
      </c>
      <c r="L43" s="267">
        <v>0</v>
      </c>
      <c r="M43" s="380">
        <f>IF('Лист персонажа 1'!L11="Друид",VLOOKUP('Лист персонажа 1'!M11,Друид!G6:V25,14,0),IF('Лист персонажа 1'!L10="Друид",VLOOKUP('Лист персонажа 1'!M10,Друид!G6:V25,14,0),IF('Лист персонажа 1'!L9="Друид",VLOOKUP('Лист персонажа 1'!M9,Друид!G6:V25,14,0),IF('Лист персонажа 1'!L8="Друид",VLOOKUP('Лист персонажа 1'!M8,Друид!G6:V25,14,0),IF('Лист персонажа 1'!L7="Друид",VLOOKUP('Лист персонажа 1'!M7,Друид!G6:V25,14,0),0)))))</f>
        <v>0</v>
      </c>
      <c r="N43" s="267">
        <f>10+'Лист персонажа 1'!G18+C43</f>
        <v>20</v>
      </c>
      <c r="O43" s="380">
        <f>IF('Лист персонажа 1'!L11="Маг",VLOOKUP('Лист персонажа 1'!M11,Маг!G6:V25,14,0),IF('Лист персонажа 1'!L10="Маг",VLOOKUP('Лист персонажа 1'!M10,Маг!G6:V25,14,0),IF('Лист персонажа 1'!L9="Маг",VLOOKUP('Лист персонажа 1'!M9,Маг!G6:V25,14,0),IF('Лист персонажа 1'!L8="Маг",VLOOKUP('Лист персонажа 1'!M8,Маг!G6:V25,14,0),IF('Лист персонажа 1'!L7="Маг",VLOOKUP('Лист персонажа 1'!M7,Маг!G6:V25,14,0),0)))))</f>
        <v>0</v>
      </c>
      <c r="P43" s="267">
        <f>10+'Лист персонажа 1'!G17+C43</f>
        <v>16</v>
      </c>
      <c r="Q43" s="380" t="s">
        <v>194</v>
      </c>
      <c r="R43" s="267" t="s">
        <v>194</v>
      </c>
      <c r="S43" s="380" t="s">
        <v>194</v>
      </c>
      <c r="T43" s="267" t="s">
        <v>194</v>
      </c>
      <c r="U43" s="380" t="str">
        <f>IF('Лист персонажа 1'!L11="Чародей",VLOOKUP('Лист персонажа 1'!M11,Чародей!G6:V25,14,0),IF('Лист персонажа 1'!L10="Чародей",VLOOKUP('Лист персонажа 1'!M10,Чародей!G6:V25,14,0),IF('Лист персонажа 1'!L9="Чародей",VLOOKUP('Лист персонажа 1'!M9,Чародей!G6:V25,14,0),IF('Лист персонажа 1'!L8="Чародей",VLOOKUP('Лист персонажа 1'!M8,Чародей!G6:V25,14,0),IF('Лист персонажа 1'!L7="Чародей",VLOOKUP('Лист персонажа 1'!M7,Чародей!G6:V25,14,0),0)))))</f>
        <v>—</v>
      </c>
      <c r="V43" s="323">
        <f>10+'Лист персонажа 1'!G19+C43</f>
        <v>16</v>
      </c>
      <c r="W43" s="241"/>
      <c r="X43" s="54"/>
      <c r="Y43" s="164"/>
      <c r="Z43" s="164"/>
      <c r="AA43" s="164"/>
      <c r="AB43" s="164"/>
      <c r="AC43" s="164"/>
    </row>
    <row r="44" spans="1:29" ht="69" customHeight="1" thickTop="1" thickBot="1">
      <c r="A44" s="54"/>
      <c r="B44" s="286"/>
      <c r="C44" s="384">
        <v>8</v>
      </c>
      <c r="D44" s="684"/>
      <c r="E44" s="684"/>
      <c r="F44" s="684"/>
      <c r="G44" s="684"/>
      <c r="H44" s="684"/>
      <c r="I44" s="380">
        <f>IF('Лист персонажа 1'!L11="Жрец",VLOOKUP('Лист персонажа 1'!M11,Жрец!G6:V25,15,0),IF('Лист персонажа 1'!L10="Жрец",VLOOKUP('Лист персонажа 1'!M10,Жрец!G6:V25,15,0),IF('Лист персонажа 1'!L9="Жрец",VLOOKUP('Лист персонажа 1'!M9,Жрец!G6:V25,15,0),IF('Лист персонажа 1'!L8="Жрец",VLOOKUP('Лист персонажа 1'!M8,Жрец!G6:V25,15,0),IF('Лист персонажа 1'!L7="Жрец",VLOOKUP('Лист персонажа 1'!M7,Жрец!G6:V25,15,0),0)))))</f>
        <v>0</v>
      </c>
      <c r="J44" s="267">
        <f>10+'Лист персонажа 1'!G18+C44</f>
        <v>21</v>
      </c>
      <c r="K44" s="380" t="s">
        <v>194</v>
      </c>
      <c r="L44" s="267">
        <v>0</v>
      </c>
      <c r="M44" s="380">
        <f>IF('Лист персонажа 1'!L11="Друид",VLOOKUP('Лист персонажа 1'!M11,Друид!G6:V25,15,0),IF('Лист персонажа 1'!L10="Друид",VLOOKUP('Лист персонажа 1'!M10,Друид!G6:V25,15,0),IF('Лист персонажа 1'!L9="Друид",VLOOKUP('Лист персонажа 1'!M9,Друид!G6:V25,15,0),IF('Лист персонажа 1'!L8="Друид",VLOOKUP('Лист персонажа 1'!M8,Друид!G6:V25,15,0),IF('Лист персонажа 1'!L7="Друид",VLOOKUP('Лист персонажа 1'!M7,Друид!G6:V25,15,0),0)))))</f>
        <v>0</v>
      </c>
      <c r="N44" s="267">
        <f>10+'Лист персонажа 1'!G18+C43</f>
        <v>20</v>
      </c>
      <c r="O44" s="380">
        <f>IF('Лист персонажа 1'!L11="Маг",VLOOKUP('Лист персонажа 1'!M11,Маг!G6:V25,15,0),IF('Лист персонажа 1'!L10="Маг",VLOOKUP('Лист персонажа 1'!M10,Маг!G6:V25,15,0),IF('Лист персонажа 1'!L9="Маг",VLOOKUP('Лист персонажа 1'!M9,Маг!G6:V25,15,0),IF('Лист персонажа 1'!L8="Маг",VLOOKUP('Лист персонажа 1'!M8,Маг!G6:V25,15,0),IF('Лист персонажа 1'!L7="Маг",VLOOKUP('Лист персонажа 1'!M7,Маг!G6:V25,15,0),0)))))</f>
        <v>0</v>
      </c>
      <c r="P44" s="267">
        <f>10+'Лист персонажа 1'!G17+C43</f>
        <v>16</v>
      </c>
      <c r="Q44" s="380" t="s">
        <v>194</v>
      </c>
      <c r="R44" s="267" t="s">
        <v>194</v>
      </c>
      <c r="S44" s="380" t="s">
        <v>194</v>
      </c>
      <c r="T44" s="267" t="s">
        <v>194</v>
      </c>
      <c r="U44" s="380" t="str">
        <f>IF('Лист персонажа 1'!L11="Чародей",VLOOKUP('Лист персонажа 1'!M11,Чародей!G6:V25,15,0),IF('Лист персонажа 1'!L10="Чародей",VLOOKUP('Лист персонажа 1'!M10,Чародей!G6:V25,15,0),IF('Лист персонажа 1'!L9="Чародей",VLOOKUP('Лист персонажа 1'!M9,Чародей!G6:V25,15,0),IF('Лист персонажа 1'!L8="Чародей",VLOOKUP('Лист персонажа 1'!M8,Чародей!G6:V25,15,0),IF('Лист персонажа 1'!L7="Чародей",VLOOKUP('Лист персонажа 1'!M7,Чародей!G6:V25,15,0),0)))))</f>
        <v>—</v>
      </c>
      <c r="V44" s="323">
        <f>10+'Лист персонажа 1'!G19+C43</f>
        <v>16</v>
      </c>
      <c r="W44" s="241"/>
      <c r="X44" s="54"/>
      <c r="Y44" s="164"/>
      <c r="Z44" s="164"/>
      <c r="AA44" s="164"/>
      <c r="AB44" s="164"/>
      <c r="AC44" s="164"/>
    </row>
    <row r="45" spans="1:29" ht="90" customHeight="1" thickTop="1" thickBot="1">
      <c r="A45" s="54"/>
      <c r="B45" s="286"/>
      <c r="C45" s="385">
        <v>9</v>
      </c>
      <c r="D45" s="685"/>
      <c r="E45" s="685"/>
      <c r="F45" s="685"/>
      <c r="G45" s="685"/>
      <c r="H45" s="685"/>
      <c r="I45" s="381">
        <f>IF('Лист персонажа 1'!L11="Жрец",VLOOKUP('Лист персонажа 1'!M11,Жрец!G6:V25,16,0),IF('Лист персонажа 1'!L10="Жрец",VLOOKUP('Лист персонажа 1'!M10,Жрец!G6:V25,16,0),IF('Лист персонажа 1'!L9="Жрец",VLOOKUP('Лист персонажа 1'!M9,Жрец!G6:V25,16,0),IF('Лист персонажа 1'!L8="Жрец",VLOOKUP('Лист персонажа 1'!M8,Жрец!G6:V25,16,0),IF('Лист персонажа 1'!L7="Жрец",VLOOKUP('Лист персонажа 1'!M7,Жрец!G6:V25,16,0),0)))))</f>
        <v>0</v>
      </c>
      <c r="J45" s="382">
        <f>10+'Лист персонажа 1'!G18+C45</f>
        <v>22</v>
      </c>
      <c r="K45" s="381" t="s">
        <v>194</v>
      </c>
      <c r="L45" s="382">
        <v>0</v>
      </c>
      <c r="M45" s="381">
        <f>IF('Лист персонажа 1'!L11="Друид",VLOOKUP('Лист персонажа 1'!M11,Друид!G6:V25,16,0),IF('Лист персонажа 1'!L10="Друид",VLOOKUP('Лист персонажа 1'!M10,Друид!G6:V25,16,0),IF('Лист персонажа 1'!L9="Друид",VLOOKUP('Лист персонажа 1'!M9,Друид!G6:V25,16,0),IF('Лист персонажа 1'!L8="Друид",VLOOKUP('Лист персонажа 1'!M8,Друид!G6:V25,16,0),IF('Лист персонажа 1'!L7="Друид",VLOOKUP('Лист персонажа 1'!M7,Друид!G6:V25,16,0),0)))))</f>
        <v>0</v>
      </c>
      <c r="N45" s="382">
        <f>10+'Лист персонажа 1'!G18+C45</f>
        <v>22</v>
      </c>
      <c r="O45" s="381">
        <f>IF('Лист персонажа 1'!L11="Маг",VLOOKUP('Лист персонажа 1'!M11,Маг!G6:V25,16,0),IF('Лист персонажа 1'!L10="Маг",VLOOKUP('Лист персонажа 1'!M10,Маг!G6:V25,16,0),IF('Лист персонажа 1'!L9="Маг",VLOOKUP('Лист персонажа 1'!M9,Маг!G6:V25,16,0),IF('Лист персонажа 1'!L8="Маг",VLOOKUP('Лист персонажа 1'!M8,Маг!G6:V25,16,0),IF('Лист персонажа 1'!L7="Маг",VLOOKUP('Лист персонажа 1'!M7,Маг!G6:V25,16,0),0)))))</f>
        <v>0</v>
      </c>
      <c r="P45" s="382">
        <f>10+'Лист персонажа 1'!G17+C45</f>
        <v>18</v>
      </c>
      <c r="Q45" s="381" t="s">
        <v>194</v>
      </c>
      <c r="R45" s="382" t="s">
        <v>194</v>
      </c>
      <c r="S45" s="381" t="s">
        <v>194</v>
      </c>
      <c r="T45" s="382" t="s">
        <v>194</v>
      </c>
      <c r="U45" s="381" t="str">
        <f>IF('Лист персонажа 1'!L11="Чародей",VLOOKUP('Лист персонажа 1'!M11,Чародей!G6:V25,16,0),IF('Лист персонажа 1'!L10="Чародей",VLOOKUP('Лист персонажа 1'!M10,Чародей!G6:V25,16,0),IF('Лист персонажа 1'!L9="Чародей",VLOOKUP('Лист персонажа 1'!M9,Чародей!G6:V25,16,0),IF('Лист персонажа 1'!L8="Чародей",VLOOKUP('Лист персонажа 1'!M8,Чародей!G6:V25,16,0),IF('Лист персонажа 1'!L7="Чародей",VLOOKUP('Лист персонажа 1'!M7,Чародей!G6:V25,16,0),0)))))</f>
        <v>—</v>
      </c>
      <c r="V45" s="383">
        <f>10+'Лист персонажа 1'!G19+C45</f>
        <v>18</v>
      </c>
      <c r="W45" s="241"/>
      <c r="X45" s="54"/>
      <c r="Y45" s="164"/>
      <c r="Z45" s="164"/>
      <c r="AA45" s="164"/>
      <c r="AB45" s="164"/>
      <c r="AC45" s="164"/>
    </row>
    <row r="46" spans="1:29" ht="35.25" customHeight="1" thickTop="1">
      <c r="A46" s="54"/>
      <c r="B46" s="286"/>
      <c r="C46" s="241"/>
      <c r="D46" s="241"/>
      <c r="E46" s="241"/>
      <c r="F46" s="241"/>
      <c r="G46" s="241"/>
      <c r="H46" s="241"/>
      <c r="I46" s="241"/>
      <c r="J46" s="241"/>
      <c r="K46" s="241"/>
      <c r="L46" s="241"/>
      <c r="M46" s="241"/>
      <c r="N46" s="241"/>
      <c r="O46" s="241"/>
      <c r="P46" s="241"/>
      <c r="Q46" s="241"/>
      <c r="R46" s="241"/>
      <c r="S46" s="241"/>
      <c r="T46" s="241"/>
      <c r="U46" s="240"/>
      <c r="V46" s="241"/>
      <c r="W46" s="241"/>
      <c r="X46" s="54"/>
      <c r="Y46" s="164"/>
      <c r="Z46" s="164"/>
      <c r="AA46" s="164"/>
      <c r="AB46" s="164"/>
      <c r="AC46" s="164"/>
    </row>
    <row r="47" spans="1:29" ht="27" customHeight="1" thickBot="1">
      <c r="A47" s="54"/>
      <c r="B47" s="286"/>
      <c r="C47" s="241"/>
      <c r="D47" s="241"/>
      <c r="E47" s="241"/>
      <c r="F47" s="241"/>
      <c r="G47" s="241"/>
      <c r="H47" s="241"/>
      <c r="I47" s="241"/>
      <c r="J47" s="241"/>
      <c r="K47" s="241"/>
      <c r="L47" s="241"/>
      <c r="M47" s="241"/>
      <c r="N47" s="241"/>
      <c r="O47" s="241"/>
      <c r="P47" s="241"/>
      <c r="Q47" s="241"/>
      <c r="R47" s="241"/>
      <c r="S47" s="241"/>
      <c r="T47" s="241"/>
      <c r="U47" s="240"/>
      <c r="V47" s="241"/>
      <c r="W47" s="241"/>
      <c r="X47" s="54"/>
      <c r="Y47" s="164"/>
      <c r="Z47" s="164"/>
      <c r="AA47" s="164"/>
      <c r="AB47" s="164"/>
      <c r="AC47" s="164"/>
    </row>
    <row r="48" spans="1:29" ht="27.75" customHeight="1" thickTop="1" thickBot="1">
      <c r="A48" s="54"/>
      <c r="B48" s="286"/>
      <c r="C48" s="680" t="s">
        <v>1</v>
      </c>
      <c r="D48" s="678" t="s">
        <v>195</v>
      </c>
      <c r="E48" s="678" t="s">
        <v>196</v>
      </c>
      <c r="F48" s="682" t="s">
        <v>197</v>
      </c>
      <c r="G48" s="241"/>
      <c r="H48" s="241"/>
      <c r="I48" s="241"/>
      <c r="J48" s="241"/>
      <c r="K48" s="241"/>
      <c r="L48" s="241"/>
      <c r="M48" s="241"/>
      <c r="N48" s="241"/>
      <c r="O48" s="241"/>
      <c r="P48" s="241"/>
      <c r="Q48" s="241"/>
      <c r="R48" s="241"/>
      <c r="S48" s="241"/>
      <c r="T48" s="241"/>
      <c r="U48" s="240"/>
      <c r="V48" s="241"/>
      <c r="W48" s="241"/>
      <c r="X48" s="54"/>
      <c r="Y48" s="164"/>
      <c r="Z48" s="164"/>
      <c r="AA48" s="164"/>
      <c r="AB48" s="164"/>
      <c r="AC48" s="164"/>
    </row>
    <row r="49" spans="1:29" ht="27.75" customHeight="1" thickTop="1" thickBot="1">
      <c r="A49" s="54"/>
      <c r="B49" s="286"/>
      <c r="C49" s="681"/>
      <c r="D49" s="679"/>
      <c r="E49" s="679"/>
      <c r="F49" s="683"/>
      <c r="G49" s="241"/>
      <c r="H49" s="241"/>
      <c r="I49" s="241"/>
      <c r="J49" s="241"/>
      <c r="K49" s="241"/>
      <c r="L49" s="241"/>
      <c r="M49" s="241"/>
      <c r="N49" s="241"/>
      <c r="O49" s="241"/>
      <c r="P49" s="241"/>
      <c r="Q49" s="241"/>
      <c r="R49" s="241"/>
      <c r="S49" s="241"/>
      <c r="T49" s="241"/>
      <c r="U49" s="241"/>
      <c r="V49" s="241"/>
      <c r="W49" s="241"/>
      <c r="X49" s="54"/>
      <c r="Y49" s="164"/>
      <c r="Z49" s="164"/>
      <c r="AA49" s="164"/>
      <c r="AB49" s="164"/>
      <c r="AC49" s="164"/>
    </row>
    <row r="50" spans="1:29" ht="27.75" customHeight="1" thickTop="1" thickBot="1">
      <c r="A50" s="54"/>
      <c r="B50" s="286"/>
      <c r="C50" s="363">
        <v>1</v>
      </c>
      <c r="D50" s="253">
        <f>IF('Лист персонажа 1'!M7&lt;&gt;0,IF('Лист персонажа 1'!L7="Воин",VLOOKUP('Лист персонажа 1'!M7,Воин!G6:K25,3,0),IF('Лист персонажа 1'!L7="Варвар",VLOOKUP('Лист персонажа 1'!M7,Варвар!G6:K25,3,0),IF('Лист персонажа 1'!L7="Вор",VLOOKUP('Лист персонажа 1'!M7,Вор!G6:K25,3,0),IF('Лист персонажа 1'!L7="Бард",VLOOKUP('Лист персонажа 1'!M7,Бард!G3:K22,3,0),IF('Лист персонажа 1'!L7="Друид",VLOOKUP('Лист персонажа 1'!M7,Друид!G6:K25,3,0),IF('Лист персонажа 1'!L7="Жрец",VLOOKUP('Лист персонажа 1'!M7,Жрец!G6:K25,3,0),IF('Лист персонажа 1'!L7="Маг",VLOOKUP('Лист персонажа 1'!M7,Маг!G6:K25,3,0),IF('Лист персонажа 1'!L7="Монах",VLOOKUP('Лист персонажа 1'!M7,Монах!G6:K25,3,0),IF('Лист персонажа 1'!L7="Паладин",VLOOKUP('Лист персонажа 1'!M7,Паладин!G6:K25,3,0),IF('Лист персонажа 1'!L7="Рейнджер",VLOOKUP('Лист персонажа 1'!M7,Рейнджер!G6:K25,3,0),IF('Лист персонажа 1'!L7="Чародей",VLOOKUP('Лист персонажа 1'!M7,Чародей!G6:K25,3,0),0))))))))))),0)</f>
        <v>2</v>
      </c>
      <c r="E50" s="253">
        <f>IF('Лист персонажа 1'!M7&lt;&gt;0,IF('Лист персонажа 1'!L7="Воин",VLOOKUP('Лист персонажа 1'!M7,Воин!G6:K25,4,0),IF('Лист персонажа 1'!L7="Варвар",VLOOKUP('Лист персонажа 1'!M7,Варвар!G6:K25,4,0),IF('Лист персонажа 1'!L7="Вор",VLOOKUP('Лист персонажа 1'!M7,Вор!G6:K25,4,0),IF('Лист персонажа 1'!L7="Бард",VLOOKUP('Лист персонажа 1'!M7,Бард!G3:K22,4,0),IF('Лист персонажа 1'!L7="Друид",VLOOKUP('Лист персонажа 1'!M7,Друид!G6:K25,4,0),IF('Лист персонажа 1'!L7="Жрец",VLOOKUP('Лист персонажа 1'!M7,Жрец!G6:K25,4,0),IF('Лист персонажа 1'!L7="Маг",VLOOKUP('Лист персонажа 1'!M7,Маг!G6:K25,4,0),IF('Лист персонажа 1'!L7="Монах",VLOOKUP('Лист персонажа 1'!M7,Монах!G6:K25,4,0),IF('Лист персонажа 1'!L7="Паладин",VLOOKUP('Лист персонажа 1'!M7,Паладин!G6:K25,4,0),IF('Лист персонажа 1'!L7="Рейнджер",VLOOKUP('Лист персонажа 1'!M7,Рейнджер!G6:K25,4,0),IF('Лист персонажа 1'!L7="Чародей",VLOOKUP('Лист персонажа 1'!M7,Чародей!G6:K25,4,0),0))))))))))),0)</f>
        <v>2</v>
      </c>
      <c r="F50" s="254">
        <f>IF('Лист персонажа 1'!M7&lt;&gt;0,IF('Лист персонажа 1'!L7="Воин",VLOOKUP('Лист персонажа 1'!M7,Воин!G6:K25,5,0),IF('Лист персонажа 1'!L7="Варвар",VLOOKUP('Лист персонажа 1'!M7,Варвар!G6:K25,5,0),IF('Лист персонажа 1'!L7="Вор",VLOOKUP('Лист персонажа 1'!M7,Вор!G6:K25,5,0),IF('Лист персонажа 1'!L7="Бард",VLOOKUP('Лист персонажа 1'!M7,Бард!G3:K22,5,0),IF('Лист персонажа 1'!L7="Друид",VLOOKUP('Лист персонажа 1'!M7,Друид!G6:K25,5,0),IF('Лист персонажа 1'!L7="Жрец",VLOOKUP('Лист персонажа 1'!M7,Жрец!G6:K25,5,0),IF('Лист персонажа 1'!L7="Маг",VLOOKUP('Лист персонажа 1'!M7,Маг!G6:K25,5,0),IF('Лист персонажа 1'!L7="Монах",VLOOKUP('Лист персонажа 1'!M7,Монах!G6:K25,5,0),IF('Лист персонажа 1'!L7="Паладин",VLOOKUP('Лист персонажа 1'!M7,Паладин!G6:K25,5,0),IF('Лист персонажа 1'!L7="Рейнджер",VLOOKUP('Лист персонажа 1'!M7,Рейнджер!G6:K25,5,0),IF('Лист персонажа 1'!L7="Чародей",VLOOKUP('Лист персонажа 1'!M7,Чародей!G6:K25,5,0),0))))))))))),0)</f>
        <v>5</v>
      </c>
      <c r="G50" s="241"/>
      <c r="H50" s="241"/>
      <c r="I50" s="241"/>
      <c r="J50" s="241"/>
      <c r="K50" s="241"/>
      <c r="L50" s="241"/>
      <c r="M50" s="241"/>
      <c r="N50" s="241"/>
      <c r="O50" s="241"/>
      <c r="P50" s="241"/>
      <c r="Q50" s="241"/>
      <c r="R50" s="241"/>
      <c r="S50" s="241"/>
      <c r="T50" s="241"/>
      <c r="U50" s="241"/>
      <c r="V50" s="241"/>
      <c r="W50" s="241"/>
      <c r="X50" s="54"/>
      <c r="Y50" s="164"/>
      <c r="Z50" s="164"/>
      <c r="AA50" s="164"/>
      <c r="AB50" s="164"/>
      <c r="AC50" s="164"/>
    </row>
    <row r="51" spans="1:29" ht="27.75" customHeight="1" thickTop="1" thickBot="1">
      <c r="A51" s="54"/>
      <c r="B51" s="286"/>
      <c r="C51" s="363">
        <v>2</v>
      </c>
      <c r="D51" s="253">
        <f>IF('Лист персонажа 1'!M8&lt;&gt;0,IF('Лист персонажа 1'!L8="Воин",VLOOKUP('Лист персонажа 1'!M8,Воин!G6:K25,3,0),IF('Лист персонажа 1'!L8="Варвар",VLOOKUP('Лист персонажа 1'!M8,Варвар!G6:K25,3,0),IF('Лист персонажа 1'!L8="Вор",VLOOKUP('Лист персонажа 1'!M8,Вор!G6:K25,3,0),IF('Лист персонажа 1'!L8="Бард",VLOOKUP('Лист персонажа 1'!M8,Бард!G3:K22,3,0),IF('Лист персонажа 1'!L8="Друид",VLOOKUP('Лист персонажа 1'!M8,Друид!G6:K25,3,0),IF('Лист персонажа 1'!L8="Жрец",VLOOKUP('Лист персонажа 1'!M8,Жрец!G6:K25,3,0),IF('Лист персонажа 1'!L8="Маг",VLOOKUP('Лист персонажа 1'!M8,Маг!G6:K25,3,0),IF('Лист персонажа 1'!L8="Монах",VLOOKUP('Лист персонажа 1'!M8,Монах!G6:K25,3,0),IF('Лист персонажа 1'!L8="Паладин",VLOOKUP('Лист персонажа 1'!M8,Паладин!G6:K25,3,0),IF('Лист персонажа 1'!L8="Рейнджер",VLOOKUP('Лист персонажа 1'!M8,Рейнджер!G6:K25,3,0),IF('Лист персонажа 1'!L8="Чародей",VLOOKUP('Лист персонажа 1'!M8,Чародей!G6:K25,3,0),0))))))))))),0)</f>
        <v>0</v>
      </c>
      <c r="E51" s="253">
        <f>IF('Лист персонажа 1'!M8&lt;&gt;0,IF('Лист персонажа 1'!L8="Воин",VLOOKUP('Лист персонажа 1'!M8,Воин!G6:K25,4,0),IF('Лист персонажа 1'!L8="Варвар",VLOOKUP('Лист персонажа 1'!M8,Варвар!G6:K25,4,0),IF('Лист персонажа 1'!L8="Вор",VLOOKUP('Лист персонажа 1'!M8,Вор!G6:K25,4,0),IF('Лист персонажа 1'!L8="Бард",VLOOKUP('Лист персонажа 1'!M8,Бард!G3:K22,4,0),IF('Лист персонажа 1'!L8="Друид",VLOOKUP('Лист персонажа 1'!M8,Друид!G6:K25,4,0),IF('Лист персонажа 1'!L8="Жрец",VLOOKUP('Лист персонажа 1'!M8,Жрец!G6:K25,4,0),IF('Лист персонажа 1'!L8="Маг",VLOOKUP('Лист персонажа 1'!M8,Маг!G6:K25,4,0),IF('Лист персонажа 1'!L8="Монах",VLOOKUP('Лист персонажа 1'!M8,Монах!G6:K25,4,0),IF('Лист персонажа 1'!L8="Паладин",VLOOKUP('Лист персонажа 1'!M8,Паладин!G6:K25,4,0),IF('Лист персонажа 1'!L8="Рейнджер",VLOOKUP('Лист персонажа 1'!M8,Рейнджер!G6:K25,4,0),IF('Лист персонажа 1'!L8="Чародей",VLOOKUP('Лист персонажа 1'!M8,Чародей!G6:K25,4,0),0))))))))))),0)</f>
        <v>0</v>
      </c>
      <c r="F51" s="254">
        <f>IF('Лист персонажа 1'!M8&lt;&gt;0,IF('Лист персонажа 1'!L8="Воин",VLOOKUP('Лист персонажа 1'!M8,Воин!G6:K25,5,0),IF('Лист персонажа 1'!L8="Варвар",VLOOKUP('Лист персонажа 1'!M8,Варвар!G6:K25,5,0),IF('Лист персонажа 1'!L8="Вор",VLOOKUP('Лист персонажа 1'!M8,Вор!G6:K25,5,0),IF('Лист персонажа 1'!L8="Бард",VLOOKUP('Лист персонажа 1'!M8,Бард!G3:K22,5,0),IF('Лист персонажа 1'!L8="Друид",VLOOKUP('Лист персонажа 1'!M8,Друид!G6:K25,5,0),IF('Лист персонажа 1'!L8="Жрец",VLOOKUP('Лист персонажа 1'!M8,Жрец!G6:K25,5,0),IF('Лист персонажа 1'!L8="Маг",VLOOKUP('Лист персонажа 1'!M8,Маг!G6:K25,5,0),IF('Лист персонажа 1'!L8="Монах",VLOOKUP('Лист персонажа 1'!M8,Монах!G6:K25,5,0),IF('Лист персонажа 1'!L8="Паладин",VLOOKUP('Лист персонажа 1'!M8,Паладин!G6:K25,5,0),IF('Лист персонажа 1'!L8="Рейнджер",VLOOKUP('Лист персонажа 1'!M8,Рейнджер!G6:K25,5,0),IF('Лист персонажа 1'!L8="Чародей",VLOOKUP('Лист персонажа 1'!M8,Чародей!G6:K25,5,0),0))))))))))),0)</f>
        <v>0</v>
      </c>
      <c r="G51" s="241"/>
      <c r="H51" s="241"/>
      <c r="I51" s="241"/>
      <c r="J51" s="241"/>
      <c r="K51" s="241"/>
      <c r="L51" s="241"/>
      <c r="M51" s="241"/>
      <c r="N51" s="241"/>
      <c r="O51" s="241"/>
      <c r="P51" s="241"/>
      <c r="Q51" s="241"/>
      <c r="R51" s="241"/>
      <c r="S51" s="241"/>
      <c r="T51" s="241"/>
      <c r="U51" s="241"/>
      <c r="V51" s="241"/>
      <c r="W51" s="241"/>
      <c r="X51" s="54"/>
      <c r="Y51" s="164"/>
      <c r="Z51" s="164"/>
      <c r="AA51" s="164"/>
      <c r="AB51" s="164"/>
      <c r="AC51" s="164"/>
    </row>
    <row r="52" spans="1:29" ht="27.75" customHeight="1" thickTop="1" thickBot="1">
      <c r="A52" s="54"/>
      <c r="B52" s="286"/>
      <c r="C52" s="363">
        <v>3</v>
      </c>
      <c r="D52" s="253">
        <f>IF('Лист персонажа 1'!M9&lt;&gt;0,IF('Лист персонажа 1'!L9="Воин",VLOOKUP('Лист персонажа 1'!M9,Воин!G6:K25,3,0),IF('Лист персонажа 1'!L9="Варвар",VLOOKUP('Лист персонажа 1'!M9,Варвар!G6:K25,3,0),IF('Лист персонажа 1'!L9="Вор",VLOOKUP('Лист персонажа 1'!M9,Вор!G6:K25,3,0),IF('Лист персонажа 1'!L9="Бард",VLOOKUP('Лист персонажа 1'!M9,Бард!G3:K22,3,0),IF('Лист персонажа 1'!L9="Друид",VLOOKUP('Лист персонажа 1'!M9,Друид!G6:K25,3,0),IF('Лист персонажа 1'!L9="Жрец",VLOOKUP('Лист персонажа 1'!M9,Жрец!G6:K25,3,0),IF('Лист персонажа 1'!L9="Маг",VLOOKUP('Лист персонажа 1'!M9,Маг!G6:K25,3,0),IF('Лист персонажа 1'!L9="Монах",VLOOKUP('Лист персонажа 1'!M9,Монах!G6:K25,3,0),IF('Лист персонажа 1'!L9="Паладин",VLOOKUP('Лист персонажа 1'!M9,Паладин!G6:K25,3,0),IF('Лист персонажа 1'!L9="Рейнджер",VLOOKUP('Лист персонажа 1'!M9,Рейнджер!G6:K25,3,0),IF('Лист персонажа 1'!L9="Чародей",VLOOKUP('Лист персонажа 1'!M9,Чародей!G6:K25,3,0),0))))))))))),0)</f>
        <v>0</v>
      </c>
      <c r="E52" s="253">
        <f>IF('Лист персонажа 1'!M9&lt;&gt;0,IF('Лист персонажа 1'!L9="Воин",VLOOKUP('Лист персонажа 1'!M9,Воин!G6:K25,4,0),IF('Лист персонажа 1'!L9="Варвар",VLOOKUP('Лист персонажа 1'!M9,Варвар!G6:K25,4,0),IF('Лист персонажа 1'!L9="Вор",VLOOKUP('Лист персонажа 1'!M9,Вор!G6:K25,4,0),IF('Лист персонажа 1'!L9="Бард",VLOOKUP('Лист персонажа 1'!M9,Бард!G3:K22,4,0),IF('Лист персонажа 1'!L9="Друид",VLOOKUP('Лист персонажа 1'!M9,Друид!G6:K25,4,0),IF('Лист персонажа 1'!L9="Жрец",VLOOKUP('Лист персонажа 1'!M9,Жрец!G6:K25,4,0),IF('Лист персонажа 1'!L9="Маг",VLOOKUP('Лист персонажа 1'!M9,Маг!G6:K25,4,0),IF('Лист персонажа 1'!L9="Монах",VLOOKUP('Лист персонажа 1'!M9,Монах!G6:K25,4,0),IF('Лист персонажа 1'!L9="Паладин",VLOOKUP('Лист персонажа 1'!M9,Паладин!G6:K25,4,0),IF('Лист персонажа 1'!L9="Рейнджер",VLOOKUP('Лист персонажа 1'!M9,Рейнджер!G6:K25,4,0),IF('Лист персонажа 1'!L9="Чародей",VLOOKUP('Лист персонажа 1'!M9,Чародей!G6:K25,4,0),0))))))))))),0)</f>
        <v>0</v>
      </c>
      <c r="F52" s="254">
        <f>IF('Лист персонажа 1'!M9&lt;&gt;0,IF('Лист персонажа 1'!L9="Воин",VLOOKUP('Лист персонажа 1'!M9,Воин!G6:K25,5,0),IF('Лист персонажа 1'!L9="Варвар",VLOOKUP('Лист персонажа 1'!M9,Варвар!G6:K25,5,0),IF('Лист персонажа 1'!L9="Вор",VLOOKUP('Лист персонажа 1'!M9,Вор!G6:K25,5,0),IF('Лист персонажа 1'!L9="Бард",VLOOKUP('Лист персонажа 1'!M9,Бард!G3:K22,5,0),IF('Лист персонажа 1'!L9="Друид",VLOOKUP('Лист персонажа 1'!M9,Друид!G6:K25,5,0),IF('Лист персонажа 1'!L9="Жрец",VLOOKUP('Лист персонажа 1'!M9,Жрец!G6:K25,5,0),IF('Лист персонажа 1'!L9="Маг",VLOOKUP('Лист персонажа 1'!M9,Маг!G6:K25,5,0),IF('Лист персонажа 1'!L9="Монах",VLOOKUP('Лист персонажа 1'!M9,Монах!G6:K25,5,0),IF('Лист персонажа 1'!L9="Паладин",VLOOKUP('Лист персонажа 1'!M9,Паладин!G6:K25,5,0),IF('Лист персонажа 1'!L9="Рейнджер",VLOOKUP('Лист персонажа 1'!M9,Рейнджер!G6:K25,5,0),IF('Лист персонажа 1'!L9="Чародей",VLOOKUP('Лист персонажа 1'!M9,Чародей!G6:K25,5,0),0))))))))))),0)</f>
        <v>0</v>
      </c>
      <c r="G52" s="241"/>
      <c r="H52" s="241"/>
      <c r="I52" s="241"/>
      <c r="J52" s="241"/>
      <c r="K52" s="241"/>
      <c r="L52" s="241"/>
      <c r="M52" s="241"/>
      <c r="N52" s="241"/>
      <c r="O52" s="241"/>
      <c r="P52" s="241"/>
      <c r="Q52" s="241"/>
      <c r="R52" s="241"/>
      <c r="S52" s="241"/>
      <c r="T52" s="241"/>
      <c r="U52" s="241"/>
      <c r="V52" s="241"/>
      <c r="W52" s="241"/>
      <c r="X52" s="54"/>
      <c r="Y52" s="164"/>
      <c r="Z52" s="164"/>
      <c r="AA52" s="164"/>
      <c r="AB52" s="164"/>
      <c r="AC52" s="164"/>
    </row>
    <row r="53" spans="1:29" ht="27.75" customHeight="1" thickTop="1" thickBot="1">
      <c r="A53" s="54"/>
      <c r="B53" s="286"/>
      <c r="C53" s="363">
        <v>4</v>
      </c>
      <c r="D53" s="253">
        <f>IF('Лист персонажа 1'!M10&lt;&gt;0,IF('Лист персонажа 1'!L10="Воин",VLOOKUP('Лист персонажа 1'!M10,Воин!G6:K25,3,0),IF('Лист персонажа 1'!L10="Варвар",VLOOKUP('Лист персонажа 1'!M10,Варвар!G6:K25,3,0),IF('Лист персонажа 1'!L10="Вор",VLOOKUP('Лист персонажа 1'!M10,Вор!G6:K25,3,0),IF('Лист персонажа 1'!L10="Бард",VLOOKUP('Лист персонажа 1'!M10,Бард!G3:K22,3,0),IF('Лист персонажа 1'!L10="Друид",VLOOKUP('Лист персонажа 1'!M10,Друид!G6:K25,3,0),IF('Лист персонажа 1'!L10="Жрец",VLOOKUP('Лист персонажа 1'!M10,Жрец!G6:K25,3,0),IF('Лист персонажа 1'!L10="Маг",VLOOKUP('Лист персонажа 1'!M10,Маг!G6:K25,3,0),IF('Лист персонажа 1'!L10="Монах",VLOOKUP('Лист персонажа 1'!M10,Монах!G6:K25,3,0),IF('Лист персонажа 1'!L10="Паладин",VLOOKUP('Лист персонажа 1'!M10,Паладин!G6:K25,3,0),IF('Лист персонажа 1'!L10="Рейнджер",VLOOKUP('Лист персонажа 1'!M10,Рейнджер!G6:K25,3,0),IF('Лист персонажа 1'!L10="Чародей",VLOOKUP('Лист персонажа 1'!M10,Чародей!G6:K25,3,0),0))))))))))),0)</f>
        <v>0</v>
      </c>
      <c r="E53" s="253">
        <f>IF('Лист персонажа 1'!M10&lt;&gt;0,IF('Лист персонажа 1'!L10="Воин",VLOOKUP('Лист персонажа 1'!M10,Воин!G6:K25,4,0),IF('Лист персонажа 1'!L10="Варвар",VLOOKUP('Лист персонажа 1'!M10,Варвар!G6:K25,4,0),IF('Лист персонажа 1'!L10="Вор",VLOOKUP('Лист персонажа 1'!M10,Вор!G6:K25,4,0),IF('Лист персонажа 1'!L10="Бард",VLOOKUP('Лист персонажа 1'!M10,Бард!G3:K22,4,0),IF('Лист персонажа 1'!L10="Друид",VLOOKUP('Лист персонажа 1'!M10,Друид!G6:K25,4,0),IF('Лист персонажа 1'!L10="Жрец",VLOOKUP('Лист персонажа 1'!M10,Жрец!G6:K25,4,0),IF('Лист персонажа 1'!L10="Маг",VLOOKUP('Лист персонажа 1'!M10,Маг!G6:K25,4,0),IF('Лист персонажа 1'!L10="Монах",VLOOKUP('Лист персонажа 1'!M10,Монах!G6:K25,4,0),IF('Лист персонажа 1'!L10="Паладин",VLOOKUP('Лист персонажа 1'!M10,Паладин!G6:K25,4,0),IF('Лист персонажа 1'!L10="Рейнджер",VLOOKUP('Лист персонажа 1'!M10,Рейнджер!G6:K25,4,0),IF('Лист персонажа 1'!L10="Чародей",VLOOKUP('Лист персонажа 1'!M10,Чародей!G6:K25,4,0),0))))))))))),0)</f>
        <v>0</v>
      </c>
      <c r="F53" s="254">
        <f>IF('Лист персонажа 1'!M10&lt;&gt;0,IF('Лист персонажа 1'!L10="Воин",VLOOKUP('Лист персонажа 1'!M10,Воин!G6:K25,5,0),IF('Лист персонажа 1'!L10="Варвар",VLOOKUP('Лист персонажа 1'!M10,Варвар!G6:K25,5,0),IF('Лист персонажа 1'!L10="Вор",VLOOKUP('Лист персонажа 1'!M10,Вор!G6:K25,5,0),IF('Лист персонажа 1'!L10="Бард",VLOOKUP('Лист персонажа 1'!M10,Бард!G3:K22,5,0),IF('Лист персонажа 1'!L10="Друид",VLOOKUP('Лист персонажа 1'!M10,Друид!G6:K25,5,0),IF('Лист персонажа 1'!L10="Жрец",VLOOKUP('Лист персонажа 1'!M10,Жрец!G6:K25,5,0),IF('Лист персонажа 1'!L10="Маг",VLOOKUP('Лист персонажа 1'!M10,Маг!G6:K25,5,0),IF('Лист персонажа 1'!L10="Монах",VLOOKUP('Лист персонажа 1'!M10,Монах!G6:K25,5,0),IF('Лист персонажа 1'!L10="Паладин",VLOOKUP('Лист персонажа 1'!M10,Паладин!G6:K25,5,0),IF('Лист персонажа 1'!L10="Рейнджер",VLOOKUP('Лист персонажа 1'!M10,Рейнджер!G6:K25,5,0),IF('Лист персонажа 1'!L10="Чародей",VLOOKUP('Лист персонажа 1'!M10,Чародей!G6:K25,5,0),0))))))))))),0)</f>
        <v>0</v>
      </c>
      <c r="G53" s="241"/>
      <c r="H53" s="241"/>
      <c r="I53" s="241"/>
      <c r="J53" s="241"/>
      <c r="K53" s="241"/>
      <c r="L53" s="241"/>
      <c r="M53" s="241"/>
      <c r="N53" s="241"/>
      <c r="O53" s="241"/>
      <c r="P53" s="241"/>
      <c r="Q53" s="241"/>
      <c r="R53" s="241"/>
      <c r="S53" s="241"/>
      <c r="T53" s="241"/>
      <c r="U53" s="241"/>
      <c r="V53" s="241"/>
      <c r="W53" s="241"/>
      <c r="X53" s="54"/>
      <c r="Y53" s="164"/>
      <c r="Z53" s="164"/>
      <c r="AA53" s="164"/>
      <c r="AB53" s="164"/>
      <c r="AC53" s="164"/>
    </row>
    <row r="54" spans="1:29" ht="27.75" customHeight="1" thickTop="1" thickBot="1">
      <c r="A54" s="54"/>
      <c r="B54" s="286"/>
      <c r="C54" s="257">
        <v>5</v>
      </c>
      <c r="D54" s="255">
        <f>IF('Лист персонажа 1'!M11&lt;&gt;0,IF('Лист персонажа 1'!L11="Воин",VLOOKUP('Лист персонажа 1'!M11,Воин!G6:K25,3,0),IF('Лист персонажа 1'!L11="Варвар",VLOOKUP('Лист персонажа 1'!M11,Варвар!G6:K25,3,0),IF('Лист персонажа 1'!L11="Вор",VLOOKUP('Лист персонажа 1'!M11,Вор!G6:K25,3,0),IF('Лист персонажа 1'!L11="Бард",VLOOKUP('Лист персонажа 1'!M11,Бард!G3:K22,3,0),IF('Лист персонажа 1'!L11="Друид",VLOOKUP('Лист персонажа 1'!M11,Друид!G6:K25,3,0),IF('Лист персонажа 1'!L11="Жрец",VLOOKUP('Лист персонажа 1'!M11,Жрец!G6:K25,3,0),IF('Лист персонажа 1'!L11="Маг",VLOOKUP('Лист персонажа 1'!M11,Маг!G6:K25,3,0),IF('Лист персонажа 1'!L11="Монах",VLOOKUP('Лист персонажа 1'!M11,Монах!G6:K25,3,0),IF('Лист персонажа 1'!L11="Паладин",VLOOKUP('Лист персонажа 1'!M11,Паладин!G6:K25,3,0),IF('Лист персонажа 1'!L11="Рейнджер",VLOOKUP('Лист персонажа 1'!M11,Рейнджер!G6:K25,3,0),IF('Лист персонажа 1'!L11="Чародей",VLOOKUP('Лист персонажа 1'!M11,Чародей!G6:K25,3,0),0))))))))))),0)</f>
        <v>0</v>
      </c>
      <c r="E54" s="255">
        <f>IF('Лист персонажа 1'!M11&lt;&gt;0,IF('Лист персонажа 1'!L11="Воин",VLOOKUP('Лист персонажа 1'!M11,Воин!G6:K25,4,0),IF('Лист персонажа 1'!L11="Варвар",VLOOKUP('Лист персонажа 1'!M11,Варвар!G6:K25,4,0),IF('Лист персонажа 1'!L11="Вор",VLOOKUP('Лист персонажа 1'!M11,Вор!G6:K25,4,0),IF('Лист персонажа 1'!L11="Бард",VLOOKUP('Лист персонажа 1'!M11,Бард!G3:K22,4,0),IF('Лист персонажа 1'!L11="Друид",VLOOKUP('Лист персонажа 1'!M11,Друид!G6:K25,4,0),IF('Лист персонажа 1'!L11="Жрец",VLOOKUP('Лист персонажа 1'!M11,Жрец!G6:K25,4,0),IF('Лист персонажа 1'!L11="Маг",VLOOKUP('Лист персонажа 1'!M11,Маг!G6:K25,4,0),IF('Лист персонажа 1'!L11="Монах",VLOOKUP('Лист персонажа 1'!M11,Монах!G6:K25,4,0),IF('Лист персонажа 1'!L11="Паладин",VLOOKUP('Лист персонажа 1'!M11,Паладин!G6:K25,4,0),IF('Лист персонажа 1'!L11="Рейнджер",VLOOKUP('Лист персонажа 1'!M11,Рейнджер!G6:K25,4,0),IF('Лист персонажа 1'!L11="Чародей",VLOOKUP('Лист персонажа 1'!M11,Чародей!G6:K25,4,0),0))))))))))),0)</f>
        <v>0</v>
      </c>
      <c r="F54" s="256">
        <f>IF('Лист персонажа 1'!M11&lt;&gt;0,IF('Лист персонажа 1'!L11="Воин",VLOOKUP('Лист персонажа 1'!M11,Воин!G6:K25,5,0),IF('Лист персонажа 1'!L11="Варвар",VLOOKUP('Лист персонажа 1'!M11,Варвар!G6:K25,5,0),IF('Лист персонажа 1'!L11="Вор",VLOOKUP('Лист персонажа 1'!M11,Вор!G6:K25,5,0),IF('Лист персонажа 1'!L11="Бард",VLOOKUP('Лист персонажа 1'!M11,Бард!G3:K22,5,0),IF('Лист персонажа 1'!L11="Друид",VLOOKUP('Лист персонажа 1'!M11,Друид!G6:K25,5,0),IF('Лист персонажа 1'!L11="Жрец",VLOOKUP('Лист персонажа 1'!M11,Жрец!G6:K25,5,0),IF('Лист персонажа 1'!L11="Маг",VLOOKUP('Лист персонажа 1'!M11,Маг!G6:K25,5,0),IF('Лист персонажа 1'!L11="Монах",VLOOKUP('Лист персонажа 1'!M11,Монах!G6:K25,5,0),IF('Лист персонажа 1'!L11="Паладин",VLOOKUP('Лист персонажа 1'!M11,Паладин!G6:K25,5,0),IF('Лист персонажа 1'!L11="Рейнджер",VLOOKUP('Лист персонажа 1'!M11,Рейнджер!G6:K25,5,0),IF('Лист персонажа 1'!L11="Чародей",VLOOKUP('Лист персонажа 1'!M11,Чародей!G6:K25,5,0),0))))))))))),0)</f>
        <v>0</v>
      </c>
      <c r="G54" s="241"/>
      <c r="H54" s="241"/>
      <c r="I54" s="241"/>
      <c r="J54" s="241"/>
      <c r="K54" s="241"/>
      <c r="L54" s="241"/>
      <c r="M54" s="241"/>
      <c r="N54" s="241"/>
      <c r="O54" s="241"/>
      <c r="P54" s="241"/>
      <c r="Q54" s="241"/>
      <c r="R54" s="241"/>
      <c r="S54" s="241"/>
      <c r="T54" s="241"/>
      <c r="U54" s="241"/>
      <c r="V54" s="241"/>
      <c r="W54" s="241"/>
      <c r="X54" s="54"/>
      <c r="Y54" s="164"/>
      <c r="Z54" s="164"/>
      <c r="AA54" s="164"/>
      <c r="AB54" s="164"/>
      <c r="AC54" s="164"/>
    </row>
    <row r="55" spans="1:29" ht="27.75" customHeight="1" thickTop="1">
      <c r="A55" s="387"/>
      <c r="B55" s="241"/>
      <c r="C55" s="241"/>
      <c r="D55" s="241"/>
      <c r="E55" s="241"/>
      <c r="F55" s="241"/>
      <c r="G55" s="241"/>
      <c r="H55" s="241"/>
      <c r="I55" s="241"/>
      <c r="J55" s="241"/>
      <c r="K55" s="241"/>
      <c r="L55" s="241"/>
      <c r="M55" s="241"/>
      <c r="N55" s="241"/>
      <c r="O55" s="241"/>
      <c r="P55" s="241"/>
      <c r="Q55" s="241"/>
      <c r="R55" s="241"/>
      <c r="S55" s="241"/>
      <c r="T55" s="241"/>
      <c r="U55" s="241"/>
      <c r="V55" s="241"/>
      <c r="W55" s="241"/>
      <c r="X55" s="54"/>
      <c r="Y55" s="164"/>
      <c r="Z55" s="164"/>
      <c r="AA55" s="164"/>
      <c r="AB55" s="164"/>
      <c r="AC55" s="164"/>
    </row>
    <row r="56" spans="1:29" ht="25.5" customHeight="1" thickBot="1">
      <c r="A56" s="52"/>
      <c r="B56" s="52"/>
      <c r="C56" s="52"/>
      <c r="D56" s="52"/>
      <c r="E56" s="52"/>
      <c r="F56" s="52"/>
      <c r="G56" s="52"/>
      <c r="H56" s="52"/>
      <c r="I56" s="52"/>
      <c r="J56" s="52"/>
      <c r="K56" s="52"/>
      <c r="L56" s="52"/>
      <c r="M56" s="52"/>
      <c r="N56" s="52"/>
      <c r="O56" s="52"/>
      <c r="P56" s="52"/>
      <c r="Q56" s="52"/>
      <c r="R56" s="52"/>
      <c r="S56" s="52"/>
      <c r="T56" s="52"/>
      <c r="U56" s="52"/>
      <c r="V56" s="52"/>
      <c r="W56" s="52"/>
      <c r="X56" s="52"/>
      <c r="Y56" s="164"/>
      <c r="Z56" s="164"/>
      <c r="AA56" s="164"/>
      <c r="AB56" s="164"/>
      <c r="AC56" s="164"/>
    </row>
    <row r="57" spans="1:29" ht="27.75" customHeight="1" thickTop="1">
      <c r="Q57" s="164"/>
      <c r="R57" s="164"/>
      <c r="S57" s="164"/>
      <c r="T57" s="164"/>
      <c r="U57" s="164"/>
      <c r="V57" s="164"/>
      <c r="W57" s="164"/>
      <c r="X57" s="164"/>
      <c r="Y57" s="164"/>
      <c r="Z57" s="164"/>
      <c r="AA57" s="164"/>
      <c r="AB57" s="164"/>
      <c r="AC57" s="164"/>
    </row>
    <row r="58" spans="1:29" ht="30.75" customHeight="1">
      <c r="Q58" s="164"/>
      <c r="R58" s="164"/>
      <c r="S58" s="164"/>
      <c r="T58" s="164"/>
      <c r="U58" s="164"/>
      <c r="V58" s="164"/>
      <c r="W58" s="164"/>
      <c r="X58" s="164"/>
      <c r="Y58" s="164"/>
      <c r="Z58" s="164"/>
      <c r="AA58" s="164"/>
      <c r="AB58" s="164"/>
      <c r="AC58" s="164"/>
    </row>
    <row r="59" spans="1:29" ht="27.75" customHeight="1">
      <c r="Q59" s="164"/>
      <c r="R59" s="164"/>
      <c r="S59" s="164"/>
      <c r="T59" s="164"/>
      <c r="U59" s="164"/>
      <c r="V59" s="164"/>
      <c r="W59" s="164"/>
      <c r="X59" s="164"/>
      <c r="Y59" s="164"/>
      <c r="Z59" s="164"/>
      <c r="AA59" s="164"/>
      <c r="AB59" s="164"/>
      <c r="AC59" s="164"/>
    </row>
    <row r="60" spans="1:29" ht="27.75" customHeight="1">
      <c r="Q60" s="164"/>
      <c r="R60" s="164"/>
      <c r="S60" s="164"/>
      <c r="T60" s="164"/>
      <c r="U60" s="164"/>
      <c r="V60" s="164"/>
      <c r="W60" s="164"/>
      <c r="X60" s="164"/>
      <c r="Y60" s="164"/>
      <c r="Z60" s="164"/>
      <c r="AA60" s="164"/>
      <c r="AB60" s="164"/>
      <c r="AC60" s="164"/>
    </row>
    <row r="61" spans="1:29" ht="27.75" customHeight="1">
      <c r="Q61" s="164"/>
      <c r="R61" s="164"/>
      <c r="S61" s="164"/>
      <c r="T61" s="164"/>
      <c r="U61" s="164"/>
      <c r="V61" s="164"/>
      <c r="W61" s="164"/>
      <c r="X61" s="164"/>
      <c r="Y61" s="164"/>
      <c r="Z61" s="164"/>
      <c r="AA61" s="164"/>
      <c r="AB61" s="164"/>
      <c r="AC61" s="164"/>
    </row>
    <row r="62" spans="1:29" ht="33" customHeight="1">
      <c r="Q62" s="164"/>
      <c r="R62" s="164"/>
      <c r="S62" s="164"/>
      <c r="T62" s="164"/>
      <c r="U62" s="164"/>
      <c r="V62" s="164"/>
      <c r="W62" s="164"/>
      <c r="X62" s="164"/>
      <c r="Y62" s="164"/>
      <c r="Z62" s="164"/>
      <c r="AA62" s="164"/>
      <c r="AB62" s="164"/>
      <c r="AC62" s="164"/>
    </row>
    <row r="63" spans="1:29" ht="40.5" customHeight="1">
      <c r="Q63" s="164"/>
      <c r="R63" s="164"/>
      <c r="S63" s="164"/>
      <c r="T63" s="164"/>
      <c r="U63" s="164"/>
      <c r="V63" s="164"/>
      <c r="W63" s="164"/>
      <c r="X63" s="164"/>
      <c r="Y63" s="164"/>
      <c r="Z63" s="164"/>
      <c r="AA63" s="164"/>
      <c r="AB63" s="164"/>
      <c r="AC63" s="164"/>
    </row>
    <row r="64" spans="1:29" ht="137.25" customHeight="1">
      <c r="Q64" s="164"/>
      <c r="R64" s="164"/>
      <c r="S64" s="164"/>
      <c r="T64" s="164"/>
      <c r="U64" s="164"/>
      <c r="V64" s="164"/>
      <c r="W64" s="164"/>
      <c r="X64" s="164"/>
      <c r="Y64" s="164"/>
      <c r="Z64" s="164"/>
      <c r="AA64" s="164"/>
      <c r="AB64" s="164"/>
      <c r="AC64" s="164"/>
    </row>
    <row r="65" spans="17:29" ht="27.75" customHeight="1">
      <c r="Q65" s="164"/>
      <c r="R65" s="164"/>
      <c r="S65" s="164"/>
      <c r="T65" s="164"/>
      <c r="U65" s="164"/>
      <c r="V65" s="164"/>
      <c r="W65" s="164"/>
      <c r="X65" s="164"/>
      <c r="Y65" s="164"/>
      <c r="Z65" s="164"/>
      <c r="AA65" s="164"/>
      <c r="AB65" s="164"/>
      <c r="AC65" s="164"/>
    </row>
    <row r="66" spans="17:29" ht="27.75" customHeight="1">
      <c r="Q66" s="164"/>
      <c r="R66" s="164"/>
      <c r="S66" s="164"/>
      <c r="T66" s="164"/>
      <c r="U66" s="164"/>
      <c r="V66" s="164"/>
      <c r="W66" s="164"/>
      <c r="X66" s="164"/>
      <c r="Y66" s="164"/>
      <c r="Z66" s="164"/>
      <c r="AA66" s="164"/>
      <c r="AB66" s="164"/>
      <c r="AC66" s="164"/>
    </row>
    <row r="67" spans="17:29" ht="27.75" customHeight="1">
      <c r="Q67" s="164"/>
      <c r="R67" s="164"/>
      <c r="S67" s="164"/>
      <c r="T67" s="164"/>
      <c r="U67" s="164"/>
      <c r="V67" s="164"/>
      <c r="W67" s="164"/>
      <c r="X67" s="164"/>
      <c r="Y67" s="164"/>
      <c r="Z67" s="164"/>
      <c r="AA67" s="164"/>
      <c r="AB67" s="164"/>
      <c r="AC67" s="164"/>
    </row>
    <row r="68" spans="17:29" ht="38.25" customHeight="1">
      <c r="Q68" s="164"/>
      <c r="R68" s="164"/>
      <c r="S68" s="164"/>
      <c r="T68" s="164"/>
      <c r="U68" s="164"/>
      <c r="V68" s="164"/>
      <c r="W68" s="164"/>
      <c r="X68" s="164"/>
      <c r="Y68" s="164"/>
      <c r="Z68" s="164"/>
      <c r="AA68" s="164"/>
      <c r="AB68" s="164"/>
      <c r="AC68" s="164"/>
    </row>
    <row r="69" spans="17:29" ht="27.75" customHeight="1">
      <c r="Q69" s="164"/>
      <c r="R69" s="164"/>
      <c r="S69" s="164"/>
      <c r="T69" s="164"/>
      <c r="U69" s="164"/>
      <c r="V69" s="164"/>
      <c r="W69" s="164"/>
      <c r="X69" s="164"/>
      <c r="Y69" s="164"/>
      <c r="Z69" s="164"/>
      <c r="AA69" s="164"/>
      <c r="AB69" s="164"/>
      <c r="AC69" s="164"/>
    </row>
    <row r="70" spans="17:29" ht="27.75" customHeight="1">
      <c r="Q70" s="164"/>
      <c r="R70" s="164"/>
      <c r="S70" s="164"/>
      <c r="T70" s="164"/>
      <c r="U70" s="164"/>
      <c r="V70" s="164"/>
      <c r="W70" s="164"/>
      <c r="X70" s="164"/>
      <c r="Y70" s="164"/>
      <c r="Z70" s="164"/>
      <c r="AA70" s="164"/>
      <c r="AB70" s="164"/>
      <c r="AC70" s="164"/>
    </row>
    <row r="71" spans="17:29" ht="34.5" customHeight="1">
      <c r="Q71" s="164"/>
      <c r="R71" s="164"/>
      <c r="S71" s="164"/>
      <c r="T71" s="164"/>
      <c r="U71" s="164"/>
      <c r="V71" s="164"/>
      <c r="W71" s="164"/>
      <c r="X71" s="164"/>
      <c r="Y71" s="164"/>
      <c r="Z71" s="164"/>
      <c r="AA71" s="164"/>
      <c r="AB71" s="164"/>
      <c r="AC71" s="164"/>
    </row>
    <row r="72" spans="17:29" ht="27.75" customHeight="1">
      <c r="Q72" s="164"/>
      <c r="R72" s="164"/>
      <c r="S72" s="164"/>
      <c r="T72" s="164"/>
      <c r="U72" s="164"/>
      <c r="V72" s="164"/>
      <c r="W72" s="164"/>
      <c r="X72" s="164"/>
      <c r="Y72" s="164"/>
      <c r="Z72" s="164"/>
      <c r="AA72" s="164"/>
      <c r="AB72" s="164"/>
      <c r="AC72" s="164"/>
    </row>
    <row r="73" spans="17:29" ht="27.75" customHeight="1">
      <c r="Q73" s="164"/>
      <c r="R73" s="164"/>
      <c r="S73" s="164"/>
      <c r="T73" s="164"/>
      <c r="U73" s="164"/>
      <c r="V73" s="164"/>
      <c r="W73" s="164"/>
      <c r="X73" s="164"/>
      <c r="Y73" s="164"/>
      <c r="Z73" s="164"/>
      <c r="AA73" s="164"/>
      <c r="AB73" s="164"/>
      <c r="AC73" s="164"/>
    </row>
    <row r="74" spans="17:29" ht="27.75" customHeight="1">
      <c r="Q74" s="164"/>
      <c r="R74" s="164"/>
      <c r="S74" s="164"/>
      <c r="T74" s="164"/>
      <c r="U74" s="164"/>
      <c r="V74" s="164"/>
      <c r="W74" s="164"/>
      <c r="X74" s="164"/>
      <c r="Y74" s="164"/>
      <c r="Z74" s="164"/>
      <c r="AA74" s="164"/>
      <c r="AB74" s="164"/>
      <c r="AC74" s="164"/>
    </row>
    <row r="75" spans="17:29" ht="27.75" customHeight="1">
      <c r="Q75" s="164"/>
      <c r="R75" s="164"/>
      <c r="S75" s="164"/>
      <c r="T75" s="164"/>
      <c r="U75" s="164"/>
      <c r="V75" s="164"/>
      <c r="W75" s="164"/>
      <c r="X75" s="164"/>
      <c r="Y75" s="164"/>
      <c r="Z75" s="164"/>
      <c r="AA75" s="164"/>
      <c r="AB75" s="164"/>
      <c r="AC75" s="164"/>
    </row>
    <row r="76" spans="17:29" ht="27.75" customHeight="1">
      <c r="Q76" s="164"/>
      <c r="R76" s="164"/>
      <c r="S76" s="164"/>
      <c r="T76" s="164"/>
      <c r="U76" s="164"/>
      <c r="V76" s="164"/>
      <c r="W76" s="164"/>
      <c r="X76" s="164"/>
      <c r="Y76" s="164"/>
      <c r="Z76" s="164"/>
      <c r="AA76" s="164"/>
      <c r="AB76" s="164"/>
      <c r="AC76" s="164"/>
    </row>
    <row r="77" spans="17:29" ht="27.75" customHeight="1">
      <c r="Q77" s="164"/>
      <c r="R77" s="164"/>
      <c r="S77" s="164"/>
      <c r="T77" s="164"/>
      <c r="U77" s="164"/>
      <c r="V77" s="164"/>
      <c r="W77" s="164"/>
      <c r="X77" s="164"/>
      <c r="Y77" s="164"/>
      <c r="Z77" s="164"/>
      <c r="AA77" s="164"/>
      <c r="AB77" s="164"/>
      <c r="AC77" s="164"/>
    </row>
    <row r="78" spans="17:29" ht="27.75" customHeight="1">
      <c r="Q78" s="164"/>
      <c r="R78" s="164"/>
      <c r="S78" s="164"/>
      <c r="T78" s="164"/>
      <c r="U78" s="164"/>
      <c r="V78" s="164"/>
      <c r="W78" s="164"/>
      <c r="X78" s="164"/>
      <c r="Y78" s="164"/>
      <c r="Z78" s="164"/>
      <c r="AA78" s="164"/>
      <c r="AB78" s="164"/>
      <c r="AC78" s="164"/>
    </row>
    <row r="79" spans="17:29" ht="27.75" customHeight="1">
      <c r="Q79" s="164"/>
      <c r="R79" s="164"/>
      <c r="S79" s="164"/>
      <c r="T79" s="164"/>
      <c r="U79" s="164"/>
      <c r="V79" s="164"/>
      <c r="W79" s="164"/>
      <c r="X79" s="164"/>
      <c r="Y79" s="164"/>
      <c r="Z79" s="164"/>
      <c r="AA79" s="164"/>
      <c r="AB79" s="164"/>
      <c r="AC79" s="164"/>
    </row>
    <row r="80" spans="17:29" ht="27.75" customHeight="1">
      <c r="Q80" s="164"/>
      <c r="R80" s="164"/>
      <c r="S80" s="164"/>
      <c r="T80" s="164"/>
      <c r="U80" s="164"/>
      <c r="V80" s="164"/>
      <c r="W80" s="164"/>
      <c r="X80" s="164"/>
      <c r="Y80" s="164"/>
      <c r="Z80" s="164"/>
      <c r="AA80" s="164"/>
      <c r="AB80" s="164"/>
      <c r="AC80" s="164"/>
    </row>
    <row r="81" spans="17:29" ht="27.75" customHeight="1">
      <c r="Q81" s="164"/>
      <c r="R81" s="164"/>
      <c r="S81" s="164"/>
      <c r="T81" s="164"/>
      <c r="U81" s="164"/>
      <c r="V81" s="164"/>
      <c r="W81" s="164"/>
      <c r="X81" s="164"/>
      <c r="Y81" s="164"/>
      <c r="Z81" s="164"/>
      <c r="AA81" s="164"/>
      <c r="AB81" s="164"/>
      <c r="AC81" s="164"/>
    </row>
    <row r="82" spans="17:29" ht="27.75" customHeight="1">
      <c r="Q82" s="164"/>
      <c r="R82" s="164"/>
      <c r="S82" s="164"/>
      <c r="T82" s="164"/>
      <c r="U82" s="164"/>
      <c r="V82" s="164"/>
      <c r="W82" s="164"/>
      <c r="X82" s="164"/>
      <c r="Y82" s="164"/>
      <c r="Z82" s="164"/>
      <c r="AA82" s="164"/>
      <c r="AB82" s="164"/>
      <c r="AC82" s="164"/>
    </row>
    <row r="83" spans="17:29" ht="27.75" customHeight="1">
      <c r="Q83" s="164"/>
      <c r="R83" s="164"/>
      <c r="S83" s="164"/>
      <c r="T83" s="164"/>
      <c r="U83" s="164"/>
      <c r="V83" s="164"/>
      <c r="W83" s="164"/>
      <c r="X83" s="164"/>
      <c r="Y83" s="164"/>
      <c r="Z83" s="164"/>
      <c r="AA83" s="164"/>
      <c r="AB83" s="164"/>
      <c r="AC83" s="164"/>
    </row>
    <row r="84" spans="17:29" ht="27.75" customHeight="1">
      <c r="Q84" s="164"/>
      <c r="R84" s="164"/>
      <c r="S84" s="164"/>
      <c r="T84" s="164"/>
      <c r="U84" s="164"/>
      <c r="V84" s="164"/>
      <c r="W84" s="164"/>
      <c r="X84" s="164"/>
      <c r="Y84" s="164"/>
      <c r="Z84" s="164"/>
      <c r="AA84" s="164"/>
      <c r="AB84" s="164"/>
      <c r="AC84" s="164"/>
    </row>
    <row r="85" spans="17:29" ht="27.75" customHeight="1">
      <c r="Q85" s="164"/>
      <c r="R85" s="164"/>
      <c r="S85" s="164"/>
      <c r="T85" s="164"/>
      <c r="U85" s="164"/>
      <c r="V85" s="164"/>
      <c r="W85" s="164"/>
      <c r="X85" s="164"/>
      <c r="Y85" s="164"/>
      <c r="Z85" s="164"/>
      <c r="AA85" s="164"/>
      <c r="AB85" s="164"/>
      <c r="AC85" s="164"/>
    </row>
    <row r="86" spans="17:29" ht="27.75" customHeight="1">
      <c r="Q86" s="164"/>
      <c r="R86" s="164"/>
      <c r="S86" s="164"/>
      <c r="T86" s="164"/>
      <c r="U86" s="164"/>
      <c r="V86" s="164"/>
      <c r="W86" s="164"/>
      <c r="X86" s="164"/>
      <c r="Y86" s="164"/>
      <c r="Z86" s="164"/>
      <c r="AA86" s="164"/>
      <c r="AB86" s="164"/>
      <c r="AC86" s="164"/>
    </row>
    <row r="87" spans="17:29" ht="27.75" customHeight="1">
      <c r="Q87" s="164"/>
      <c r="R87" s="164"/>
      <c r="S87" s="164"/>
      <c r="T87" s="164"/>
      <c r="U87" s="164"/>
      <c r="V87" s="164"/>
      <c r="W87" s="164"/>
      <c r="X87" s="164"/>
      <c r="Y87" s="164"/>
      <c r="Z87" s="164"/>
      <c r="AA87" s="164"/>
      <c r="AB87" s="164"/>
      <c r="AC87" s="164"/>
    </row>
    <row r="88" spans="17:29" ht="27.75" customHeight="1">
      <c r="Q88" s="164"/>
      <c r="R88" s="164"/>
      <c r="S88" s="164"/>
      <c r="T88" s="164"/>
      <c r="U88" s="164"/>
      <c r="V88" s="164"/>
      <c r="W88" s="164"/>
      <c r="X88" s="164"/>
      <c r="Y88" s="164"/>
      <c r="Z88" s="164"/>
      <c r="AA88" s="164"/>
      <c r="AB88" s="164"/>
      <c r="AC88" s="164"/>
    </row>
    <row r="89" spans="17:29" ht="27.75" customHeight="1">
      <c r="Q89" s="164"/>
      <c r="R89" s="164"/>
      <c r="S89" s="164"/>
      <c r="T89" s="164"/>
      <c r="U89" s="164"/>
      <c r="V89" s="164"/>
      <c r="W89" s="164"/>
      <c r="X89" s="164"/>
      <c r="Y89" s="164"/>
      <c r="Z89" s="164"/>
      <c r="AA89" s="164"/>
      <c r="AB89" s="164"/>
      <c r="AC89" s="164"/>
    </row>
    <row r="90" spans="17:29" ht="27.75" customHeight="1">
      <c r="Q90" s="164"/>
      <c r="R90" s="164"/>
      <c r="S90" s="164"/>
      <c r="T90" s="164"/>
      <c r="U90" s="164"/>
      <c r="V90" s="164"/>
      <c r="W90" s="164"/>
      <c r="X90" s="164"/>
      <c r="Y90" s="164"/>
      <c r="Z90" s="164"/>
      <c r="AA90" s="164"/>
      <c r="AB90" s="164"/>
      <c r="AC90" s="164"/>
    </row>
    <row r="91" spans="17:29" ht="27.75" customHeight="1">
      <c r="Q91" s="164"/>
      <c r="R91" s="164"/>
      <c r="S91" s="164"/>
      <c r="T91" s="164"/>
      <c r="U91" s="164"/>
      <c r="V91" s="164"/>
      <c r="W91" s="164"/>
      <c r="X91" s="164"/>
      <c r="Y91" s="164"/>
      <c r="Z91" s="164"/>
      <c r="AA91" s="164"/>
      <c r="AB91" s="164"/>
      <c r="AC91" s="164"/>
    </row>
    <row r="92" spans="17:29" ht="27.75" customHeight="1">
      <c r="Q92" s="164"/>
      <c r="R92" s="164"/>
      <c r="S92" s="164"/>
      <c r="T92" s="164"/>
      <c r="U92" s="164"/>
      <c r="V92" s="164"/>
      <c r="W92" s="164"/>
      <c r="X92" s="164"/>
      <c r="Y92" s="164"/>
      <c r="Z92" s="164"/>
      <c r="AA92" s="164"/>
      <c r="AB92" s="164"/>
      <c r="AC92" s="164"/>
    </row>
    <row r="93" spans="17:29" ht="27.75" customHeight="1">
      <c r="Q93" s="164"/>
      <c r="R93" s="164"/>
      <c r="S93" s="164"/>
      <c r="T93" s="164"/>
      <c r="U93" s="164"/>
      <c r="V93" s="164"/>
      <c r="W93" s="164"/>
      <c r="X93" s="164"/>
      <c r="Y93" s="164"/>
      <c r="Z93" s="164"/>
      <c r="AA93" s="164"/>
      <c r="AB93" s="164"/>
      <c r="AC93" s="164"/>
    </row>
    <row r="94" spans="17:29" ht="27.75" customHeight="1">
      <c r="Q94" s="164"/>
      <c r="R94" s="164"/>
      <c r="S94" s="164"/>
      <c r="T94" s="164"/>
      <c r="U94" s="164"/>
      <c r="V94" s="164"/>
      <c r="W94" s="164"/>
      <c r="X94" s="164"/>
      <c r="Y94" s="164"/>
      <c r="Z94" s="164"/>
      <c r="AA94" s="164"/>
      <c r="AB94" s="164"/>
      <c r="AC94" s="164"/>
    </row>
    <row r="95" spans="17:29" ht="27.75" customHeight="1">
      <c r="Q95" s="164"/>
      <c r="R95" s="164"/>
      <c r="S95" s="164"/>
      <c r="T95" s="164"/>
      <c r="U95" s="164"/>
      <c r="V95" s="164"/>
      <c r="W95" s="164"/>
      <c r="X95" s="164"/>
      <c r="Y95" s="164"/>
      <c r="Z95" s="164"/>
      <c r="AA95" s="164"/>
      <c r="AB95" s="164"/>
      <c r="AC95" s="164"/>
    </row>
    <row r="96" spans="17:29" ht="27.75" customHeight="1">
      <c r="Q96" s="164"/>
      <c r="R96" s="164"/>
      <c r="S96" s="164"/>
      <c r="T96" s="164"/>
      <c r="U96" s="164"/>
      <c r="V96" s="164"/>
      <c r="W96" s="164"/>
      <c r="X96" s="164"/>
      <c r="Y96" s="164"/>
      <c r="Z96" s="164"/>
      <c r="AA96" s="164"/>
      <c r="AB96" s="164"/>
      <c r="AC96" s="164"/>
    </row>
    <row r="97" spans="17:29" ht="27.75" customHeight="1">
      <c r="Q97" s="164"/>
      <c r="R97" s="164"/>
      <c r="S97" s="164"/>
      <c r="T97" s="164"/>
      <c r="U97" s="164"/>
      <c r="V97" s="164"/>
      <c r="W97" s="164"/>
      <c r="X97" s="164"/>
      <c r="Y97" s="164"/>
      <c r="Z97" s="164"/>
      <c r="AA97" s="164"/>
      <c r="AB97" s="164"/>
      <c r="AC97" s="164"/>
    </row>
    <row r="98" spans="17:29" ht="27.75" customHeight="1">
      <c r="Q98" s="164"/>
      <c r="R98" s="164"/>
      <c r="S98" s="164"/>
      <c r="T98" s="164"/>
      <c r="U98" s="164"/>
      <c r="V98" s="164"/>
      <c r="W98" s="164"/>
      <c r="X98" s="164"/>
      <c r="Y98" s="164"/>
      <c r="Z98" s="164"/>
      <c r="AA98" s="164"/>
      <c r="AB98" s="164"/>
      <c r="AC98" s="164"/>
    </row>
    <row r="99" spans="17:29" ht="27.75" customHeight="1">
      <c r="Q99" s="164"/>
      <c r="R99" s="164"/>
      <c r="S99" s="164"/>
      <c r="T99" s="164"/>
      <c r="U99" s="164"/>
      <c r="V99" s="164"/>
      <c r="W99" s="164"/>
      <c r="X99" s="164"/>
      <c r="Y99" s="164"/>
      <c r="Z99" s="164"/>
      <c r="AA99" s="164"/>
      <c r="AB99" s="164"/>
      <c r="AC99" s="164"/>
    </row>
    <row r="100" spans="17:29" ht="27.75" customHeight="1">
      <c r="Q100" s="164"/>
      <c r="R100" s="164"/>
      <c r="S100" s="164"/>
      <c r="T100" s="164"/>
      <c r="U100" s="164"/>
      <c r="V100" s="164"/>
      <c r="W100" s="164"/>
      <c r="X100" s="164"/>
      <c r="Y100" s="164"/>
      <c r="Z100" s="164"/>
      <c r="AA100" s="164"/>
      <c r="AB100" s="164"/>
      <c r="AC100" s="164"/>
    </row>
    <row r="101" spans="17:29" ht="27.75" customHeight="1">
      <c r="Q101" s="164"/>
      <c r="R101" s="164"/>
      <c r="S101" s="164"/>
      <c r="T101" s="164"/>
      <c r="U101" s="164"/>
      <c r="V101" s="164"/>
      <c r="W101" s="164"/>
      <c r="X101" s="164"/>
      <c r="Y101" s="164"/>
      <c r="Z101" s="164"/>
      <c r="AA101" s="164"/>
      <c r="AB101" s="164"/>
      <c r="AC101" s="164"/>
    </row>
    <row r="102" spans="17:29" ht="27.75" customHeight="1">
      <c r="Q102" s="164"/>
      <c r="R102" s="164"/>
      <c r="S102" s="164"/>
      <c r="T102" s="164"/>
      <c r="U102" s="164"/>
      <c r="V102" s="164"/>
      <c r="W102" s="164"/>
      <c r="X102" s="164"/>
      <c r="Y102" s="164"/>
      <c r="Z102" s="164"/>
      <c r="AA102" s="164"/>
      <c r="AB102" s="164"/>
      <c r="AC102" s="164"/>
    </row>
    <row r="103" spans="17:29" ht="27.75" customHeight="1">
      <c r="Q103" s="164"/>
      <c r="R103" s="164"/>
      <c r="S103" s="164"/>
      <c r="T103" s="164"/>
      <c r="U103" s="164"/>
      <c r="V103" s="164"/>
      <c r="W103" s="164"/>
      <c r="X103" s="164"/>
      <c r="Y103" s="164"/>
      <c r="Z103" s="164"/>
      <c r="AA103" s="164"/>
      <c r="AB103" s="164"/>
      <c r="AC103" s="164"/>
    </row>
    <row r="104" spans="17:29" ht="27.75" customHeight="1">
      <c r="Q104" s="164"/>
      <c r="R104" s="164"/>
      <c r="S104" s="164"/>
      <c r="T104" s="164"/>
      <c r="U104" s="164"/>
      <c r="V104" s="164"/>
      <c r="W104" s="164"/>
      <c r="X104" s="164"/>
      <c r="Y104" s="164"/>
      <c r="Z104" s="164"/>
      <c r="AA104" s="164"/>
      <c r="AB104" s="164"/>
      <c r="AC104" s="164"/>
    </row>
    <row r="105" spans="17:29" ht="27.75" customHeight="1">
      <c r="Q105" s="164"/>
      <c r="R105" s="164"/>
      <c r="S105" s="164"/>
      <c r="T105" s="164"/>
      <c r="U105" s="164"/>
      <c r="V105" s="164"/>
      <c r="W105" s="164"/>
      <c r="X105" s="164"/>
      <c r="Y105" s="164"/>
      <c r="Z105" s="164"/>
      <c r="AA105" s="164"/>
      <c r="AB105" s="164"/>
      <c r="AC105" s="164"/>
    </row>
    <row r="106" spans="17:29" ht="27.75" customHeight="1">
      <c r="Q106" s="164"/>
      <c r="R106" s="164"/>
      <c r="S106" s="164"/>
      <c r="T106" s="164"/>
      <c r="U106" s="164"/>
      <c r="V106" s="164"/>
      <c r="W106" s="164"/>
      <c r="X106" s="164"/>
      <c r="Y106" s="164"/>
      <c r="Z106" s="164"/>
      <c r="AA106" s="164"/>
      <c r="AB106" s="164"/>
      <c r="AC106" s="164"/>
    </row>
    <row r="107" spans="17:29" ht="27.75" customHeight="1">
      <c r="Q107" s="164"/>
      <c r="R107" s="164"/>
      <c r="S107" s="164"/>
      <c r="T107" s="164"/>
      <c r="U107" s="164"/>
      <c r="V107" s="164"/>
      <c r="W107" s="164"/>
      <c r="X107" s="164"/>
      <c r="Y107" s="164"/>
      <c r="Z107" s="164"/>
      <c r="AA107" s="164"/>
      <c r="AB107" s="164"/>
      <c r="AC107" s="164"/>
    </row>
    <row r="108" spans="17:29" ht="27.75" customHeight="1">
      <c r="Q108" s="164"/>
      <c r="R108" s="164"/>
      <c r="S108" s="164"/>
      <c r="T108" s="164"/>
      <c r="U108" s="164"/>
      <c r="V108" s="164"/>
      <c r="W108" s="164"/>
      <c r="X108" s="164"/>
      <c r="Y108" s="164"/>
      <c r="Z108" s="164"/>
      <c r="AA108" s="164"/>
      <c r="AB108" s="164"/>
      <c r="AC108" s="164"/>
    </row>
    <row r="109" spans="17:29" ht="27.75" customHeight="1">
      <c r="Q109" s="164"/>
      <c r="R109" s="164"/>
      <c r="S109" s="164"/>
      <c r="T109" s="164"/>
      <c r="U109" s="164"/>
      <c r="V109" s="164"/>
      <c r="W109" s="164"/>
      <c r="X109" s="164"/>
      <c r="Y109" s="164"/>
      <c r="Z109" s="164"/>
      <c r="AA109" s="164"/>
      <c r="AB109" s="164"/>
      <c r="AC109" s="164"/>
    </row>
    <row r="110" spans="17:29" ht="27.75" customHeight="1">
      <c r="Q110" s="164"/>
      <c r="R110" s="164"/>
      <c r="S110" s="164"/>
      <c r="T110" s="164"/>
      <c r="U110" s="164"/>
      <c r="V110" s="164"/>
      <c r="W110" s="164"/>
      <c r="X110" s="164"/>
      <c r="Y110" s="164"/>
      <c r="Z110" s="164"/>
      <c r="AA110" s="164"/>
      <c r="AB110" s="164"/>
      <c r="AC110" s="164"/>
    </row>
    <row r="111" spans="17:29" ht="27.75" customHeight="1">
      <c r="Q111" s="164"/>
      <c r="R111" s="164"/>
      <c r="S111" s="164"/>
      <c r="T111" s="164"/>
      <c r="U111" s="164"/>
      <c r="V111" s="164"/>
      <c r="W111" s="164"/>
      <c r="X111" s="164"/>
      <c r="Y111" s="164"/>
      <c r="Z111" s="164"/>
      <c r="AA111" s="164"/>
      <c r="AB111" s="164"/>
      <c r="AC111" s="164"/>
    </row>
    <row r="112" spans="17:29" ht="30" customHeight="1">
      <c r="Q112" s="164"/>
      <c r="R112" s="164"/>
      <c r="S112" s="164"/>
      <c r="T112" s="164"/>
      <c r="U112" s="164"/>
      <c r="V112" s="164"/>
      <c r="W112" s="164"/>
      <c r="X112" s="164"/>
      <c r="Y112" s="164"/>
      <c r="Z112" s="164"/>
      <c r="AA112" s="164"/>
      <c r="AB112" s="164"/>
      <c r="AC112" s="164"/>
    </row>
    <row r="113" spans="17:29" ht="27.75" customHeight="1">
      <c r="Q113" s="164"/>
      <c r="R113" s="164"/>
      <c r="S113" s="164"/>
      <c r="T113" s="164"/>
      <c r="U113" s="164"/>
      <c r="V113" s="164"/>
      <c r="W113" s="164"/>
      <c r="X113" s="164"/>
      <c r="Y113" s="164"/>
      <c r="Z113" s="164"/>
      <c r="AA113" s="164"/>
      <c r="AB113" s="164"/>
      <c r="AC113" s="164"/>
    </row>
    <row r="114" spans="17:29" ht="27.75" customHeight="1">
      <c r="Q114" s="164"/>
      <c r="R114" s="164"/>
      <c r="S114" s="164"/>
      <c r="T114" s="164"/>
      <c r="U114" s="164"/>
      <c r="V114" s="164"/>
      <c r="W114" s="164"/>
      <c r="X114" s="164"/>
      <c r="Y114" s="164"/>
      <c r="Z114" s="164"/>
      <c r="AA114" s="164"/>
      <c r="AB114" s="164"/>
      <c r="AC114" s="164"/>
    </row>
    <row r="115" spans="17:29" ht="27.75" customHeight="1">
      <c r="Q115" s="164"/>
      <c r="R115" s="164"/>
      <c r="S115" s="164"/>
      <c r="T115" s="164"/>
      <c r="U115" s="164"/>
      <c r="V115" s="164"/>
      <c r="W115" s="164"/>
      <c r="X115" s="164"/>
      <c r="Y115" s="164"/>
      <c r="Z115" s="164"/>
      <c r="AA115" s="164"/>
      <c r="AB115" s="164"/>
      <c r="AC115" s="164"/>
    </row>
    <row r="116" spans="17:29" ht="27.75" customHeight="1">
      <c r="Q116" s="164"/>
      <c r="R116" s="164"/>
      <c r="S116" s="164"/>
      <c r="T116" s="164"/>
      <c r="U116" s="164"/>
      <c r="V116" s="164"/>
      <c r="W116" s="164"/>
      <c r="X116" s="164"/>
      <c r="Y116" s="164"/>
      <c r="Z116" s="164"/>
      <c r="AA116" s="164"/>
      <c r="AB116" s="164"/>
      <c r="AC116" s="164"/>
    </row>
    <row r="117" spans="17:29" ht="27.75" customHeight="1">
      <c r="Q117" s="164"/>
      <c r="R117" s="164"/>
      <c r="S117" s="164"/>
      <c r="T117" s="164"/>
      <c r="U117" s="164"/>
      <c r="V117" s="164"/>
      <c r="W117" s="164"/>
      <c r="X117" s="164"/>
      <c r="Y117" s="164"/>
      <c r="Z117" s="164"/>
      <c r="AA117" s="164"/>
      <c r="AB117" s="164"/>
      <c r="AC117" s="164"/>
    </row>
    <row r="118" spans="17:29" ht="27.75" customHeight="1">
      <c r="Q118" s="164"/>
      <c r="R118" s="164"/>
      <c r="S118" s="164"/>
      <c r="T118" s="164"/>
      <c r="U118" s="164"/>
      <c r="V118" s="164"/>
      <c r="W118" s="164"/>
      <c r="X118" s="164"/>
      <c r="Y118" s="164"/>
      <c r="Z118" s="164"/>
      <c r="AA118" s="164"/>
      <c r="AB118" s="164"/>
      <c r="AC118" s="164"/>
    </row>
    <row r="119" spans="17:29" ht="27.75" customHeight="1">
      <c r="Q119" s="164"/>
      <c r="R119" s="164"/>
      <c r="S119" s="164"/>
      <c r="T119" s="164"/>
      <c r="U119" s="164"/>
      <c r="V119" s="164"/>
      <c r="W119" s="164"/>
      <c r="X119" s="164"/>
      <c r="Y119" s="164"/>
      <c r="Z119" s="164"/>
      <c r="AA119" s="164"/>
      <c r="AB119" s="164"/>
      <c r="AC119" s="164"/>
    </row>
    <row r="120" spans="17:29" ht="27.75" customHeight="1">
      <c r="Q120" s="164"/>
      <c r="R120" s="164"/>
      <c r="S120" s="164"/>
      <c r="T120" s="164"/>
      <c r="U120" s="164"/>
      <c r="V120" s="164"/>
      <c r="W120" s="164"/>
      <c r="X120" s="164"/>
      <c r="Y120" s="164"/>
      <c r="Z120" s="164"/>
      <c r="AA120" s="164"/>
      <c r="AB120" s="164"/>
      <c r="AC120" s="164"/>
    </row>
    <row r="121" spans="17:29" ht="27.75" customHeight="1">
      <c r="Q121" s="164"/>
      <c r="R121" s="164"/>
      <c r="S121" s="164"/>
      <c r="T121" s="164"/>
      <c r="U121" s="164"/>
      <c r="V121" s="164"/>
      <c r="W121" s="164"/>
      <c r="X121" s="164"/>
      <c r="Y121" s="164"/>
      <c r="Z121" s="164"/>
      <c r="AA121" s="164"/>
      <c r="AB121" s="164"/>
      <c r="AC121" s="164"/>
    </row>
    <row r="122" spans="17:29" ht="27.75" customHeight="1">
      <c r="Q122" s="164"/>
      <c r="R122" s="164"/>
      <c r="S122" s="164"/>
      <c r="T122" s="164"/>
      <c r="U122" s="164"/>
      <c r="V122" s="164"/>
      <c r="W122" s="164"/>
      <c r="X122" s="164"/>
      <c r="Y122" s="164"/>
      <c r="Z122" s="164"/>
      <c r="AA122" s="164"/>
      <c r="AB122" s="164"/>
      <c r="AC122" s="164"/>
    </row>
    <row r="123" spans="17:29" ht="27.75" customHeight="1">
      <c r="Q123" s="164"/>
      <c r="R123" s="164"/>
      <c r="S123" s="164"/>
      <c r="T123" s="164"/>
      <c r="U123" s="164"/>
      <c r="V123" s="164"/>
      <c r="W123" s="164"/>
      <c r="X123" s="164"/>
      <c r="Y123" s="164"/>
      <c r="Z123" s="164"/>
      <c r="AA123" s="164"/>
      <c r="AB123" s="164"/>
      <c r="AC123" s="164"/>
    </row>
    <row r="124" spans="17:29" ht="27.75" customHeight="1">
      <c r="Q124" s="164"/>
      <c r="R124" s="164"/>
      <c r="S124" s="164"/>
      <c r="T124" s="164"/>
      <c r="U124" s="164"/>
      <c r="V124" s="164"/>
      <c r="W124" s="164"/>
      <c r="X124" s="164"/>
      <c r="Y124" s="164"/>
      <c r="Z124" s="164"/>
      <c r="AA124" s="164"/>
      <c r="AB124" s="164"/>
      <c r="AC124" s="164"/>
    </row>
    <row r="125" spans="17:29" ht="27.75" customHeight="1">
      <c r="Q125" s="164"/>
      <c r="R125" s="164"/>
      <c r="S125" s="164"/>
      <c r="T125" s="164"/>
      <c r="U125" s="164"/>
      <c r="V125" s="164"/>
      <c r="W125" s="164"/>
      <c r="X125" s="164"/>
      <c r="Y125" s="164"/>
      <c r="Z125" s="164"/>
      <c r="AA125" s="164"/>
      <c r="AB125" s="164"/>
      <c r="AC125" s="164"/>
    </row>
    <row r="126" spans="17:29" ht="27.75" customHeight="1">
      <c r="Q126" s="164"/>
      <c r="R126" s="164"/>
      <c r="S126" s="164"/>
      <c r="T126" s="164"/>
      <c r="U126" s="164"/>
      <c r="V126" s="164"/>
      <c r="W126" s="164"/>
      <c r="X126" s="164"/>
      <c r="Y126" s="164"/>
      <c r="Z126" s="164"/>
      <c r="AA126" s="164"/>
      <c r="AB126" s="164"/>
      <c r="AC126" s="164"/>
    </row>
    <row r="127" spans="17:29" ht="27.75" customHeight="1">
      <c r="Q127" s="164"/>
      <c r="R127" s="164"/>
      <c r="S127" s="164"/>
      <c r="T127" s="164"/>
      <c r="U127" s="164"/>
      <c r="V127" s="164"/>
      <c r="W127" s="164"/>
      <c r="X127" s="164"/>
      <c r="Y127" s="164"/>
      <c r="Z127" s="164"/>
      <c r="AA127" s="164"/>
      <c r="AB127" s="164"/>
      <c r="AC127" s="164"/>
    </row>
    <row r="128" spans="17:29" ht="27.75" customHeight="1">
      <c r="Q128" s="164"/>
      <c r="R128" s="164"/>
      <c r="S128" s="164"/>
      <c r="T128" s="164"/>
      <c r="U128" s="164"/>
      <c r="V128" s="164"/>
      <c r="W128" s="164"/>
      <c r="X128" s="164"/>
      <c r="Y128" s="164"/>
      <c r="Z128" s="164"/>
      <c r="AA128" s="164"/>
      <c r="AB128" s="164"/>
      <c r="AC128" s="164"/>
    </row>
    <row r="129" spans="17:29" ht="27.75" customHeight="1">
      <c r="Q129" s="164"/>
      <c r="R129" s="164"/>
      <c r="S129" s="164"/>
      <c r="T129" s="164"/>
      <c r="U129" s="164"/>
      <c r="V129" s="164"/>
      <c r="W129" s="164"/>
      <c r="X129" s="164"/>
      <c r="Y129" s="164"/>
      <c r="Z129" s="164"/>
      <c r="AA129" s="164"/>
      <c r="AB129" s="164"/>
      <c r="AC129" s="164"/>
    </row>
    <row r="130" spans="17:29" ht="27.75" customHeight="1"/>
    <row r="131" spans="17:29" ht="27.75" customHeight="1"/>
    <row r="132" spans="17:29" ht="27.75" customHeight="1"/>
    <row r="133" spans="17:29" ht="27.75" customHeight="1"/>
    <row r="134" spans="17:29" ht="27.75" customHeight="1"/>
    <row r="135" spans="17:29" ht="27.75" customHeight="1"/>
    <row r="136" spans="17:29" ht="27.75" customHeight="1"/>
    <row r="137" spans="17:29" ht="27.75" customHeight="1"/>
    <row r="138" spans="17:29" ht="27.75" customHeight="1"/>
    <row r="139" spans="17:29" ht="27.75" customHeight="1"/>
    <row r="140" spans="17:29" ht="27.75" customHeight="1"/>
    <row r="141" spans="17:29" ht="27.75" customHeight="1"/>
    <row r="142" spans="17:29" ht="27.75" customHeight="1"/>
    <row r="143" spans="17:29" ht="27.75" customHeight="1"/>
    <row r="144" spans="17:29" ht="27.75" customHeight="1"/>
    <row r="145" ht="27.75" customHeight="1"/>
    <row r="146" ht="27.75" customHeight="1"/>
    <row r="147" ht="27.75" customHeight="1"/>
    <row r="148" ht="27.75" customHeight="1"/>
    <row r="149" ht="27.75" customHeight="1"/>
    <row r="150" ht="27.75" customHeight="1"/>
    <row r="151" ht="27.75" customHeight="1"/>
    <row r="152" ht="27.75" customHeight="1"/>
    <row r="153" ht="27.75" customHeight="1"/>
    <row r="154" ht="27.75" customHeight="1"/>
    <row r="155" ht="27.75" customHeight="1"/>
    <row r="156" ht="27.75" customHeight="1"/>
    <row r="157" ht="27.75" customHeight="1"/>
    <row r="158" ht="27.75" customHeight="1"/>
    <row r="159" ht="27.75" customHeight="1"/>
    <row r="160" ht="27.75" customHeight="1"/>
    <row r="161" ht="27.75" customHeight="1"/>
    <row r="162" ht="27.75" customHeight="1"/>
    <row r="163" ht="27.75" customHeight="1"/>
    <row r="164" ht="27.75" customHeight="1"/>
    <row r="165" ht="27.75" customHeight="1"/>
    <row r="166" ht="27.75" customHeight="1"/>
    <row r="167" ht="27.75" customHeight="1"/>
  </sheetData>
  <sheetProtection insertColumns="0" insertRows="0" insertHyperlinks="0" deleteColumns="0" deleteRows="0" selectLockedCells="1" sort="0" autoFilter="0" pivotTables="0" selectUnlockedCells="1"/>
  <dataConsolidate function="count" link="1">
    <dataRefs count="1">
      <dataRef ref="S19" sheet="Карточка персонажа" r:id="rId1"/>
    </dataRefs>
  </dataConsolidate>
  <mergeCells count="121">
    <mergeCell ref="AD19:AE19"/>
    <mergeCell ref="AF19:AG19"/>
    <mergeCell ref="AH19:AN19"/>
    <mergeCell ref="AE20:AN20"/>
    <mergeCell ref="AD15:AF15"/>
    <mergeCell ref="AG15:AI15"/>
    <mergeCell ref="AJ15:AL15"/>
    <mergeCell ref="AM15:AN15"/>
    <mergeCell ref="AD17:AF17"/>
    <mergeCell ref="AM17:AN17"/>
    <mergeCell ref="AH18:AN18"/>
    <mergeCell ref="O18:P18"/>
    <mergeCell ref="Q18:T18"/>
    <mergeCell ref="O17:P17"/>
    <mergeCell ref="Q17:T17"/>
    <mergeCell ref="O16:P16"/>
    <mergeCell ref="Q16:T16"/>
    <mergeCell ref="O15:P15"/>
    <mergeCell ref="Q15:T15"/>
    <mergeCell ref="S11:S12"/>
    <mergeCell ref="O24:P24"/>
    <mergeCell ref="Q24:R24"/>
    <mergeCell ref="S24:T24"/>
    <mergeCell ref="O22:P22"/>
    <mergeCell ref="Q22:R22"/>
    <mergeCell ref="S22:T22"/>
    <mergeCell ref="O21:P21"/>
    <mergeCell ref="Q21:R21"/>
    <mergeCell ref="S21:T21"/>
    <mergeCell ref="O28:P28"/>
    <mergeCell ref="O27:P27"/>
    <mergeCell ref="Q27:R27"/>
    <mergeCell ref="S27:T27"/>
    <mergeCell ref="O26:P26"/>
    <mergeCell ref="Q26:R26"/>
    <mergeCell ref="S26:T26"/>
    <mergeCell ref="S25:T25"/>
    <mergeCell ref="Q25:R25"/>
    <mergeCell ref="O25:P25"/>
    <mergeCell ref="D32:M32"/>
    <mergeCell ref="D26:M26"/>
    <mergeCell ref="D20:M20"/>
    <mergeCell ref="G19:M19"/>
    <mergeCell ref="E19:F19"/>
    <mergeCell ref="C19:D19"/>
    <mergeCell ref="C25:D25"/>
    <mergeCell ref="E25:F25"/>
    <mergeCell ref="G25:M25"/>
    <mergeCell ref="C31:D31"/>
    <mergeCell ref="E31:F31"/>
    <mergeCell ref="G31:M31"/>
    <mergeCell ref="C29:E29"/>
    <mergeCell ref="C23:E23"/>
    <mergeCell ref="G18:M18"/>
    <mergeCell ref="I17:K17"/>
    <mergeCell ref="L17:M17"/>
    <mergeCell ref="F17:H17"/>
    <mergeCell ref="C17:E17"/>
    <mergeCell ref="F29:H29"/>
    <mergeCell ref="I29:K29"/>
    <mergeCell ref="L29:M29"/>
    <mergeCell ref="F4:H4"/>
    <mergeCell ref="F22:H22"/>
    <mergeCell ref="I22:K22"/>
    <mergeCell ref="L23:M23"/>
    <mergeCell ref="I23:K23"/>
    <mergeCell ref="F23:H23"/>
    <mergeCell ref="G13:H13"/>
    <mergeCell ref="G14:H14"/>
    <mergeCell ref="C13:C14"/>
    <mergeCell ref="N4:O4"/>
    <mergeCell ref="C4:E4"/>
    <mergeCell ref="F16:H16"/>
    <mergeCell ref="I16:K16"/>
    <mergeCell ref="L16:M16"/>
    <mergeCell ref="C5:D5"/>
    <mergeCell ref="K5:L5"/>
    <mergeCell ref="C6:D6"/>
    <mergeCell ref="K6:L11"/>
    <mergeCell ref="C8:D8"/>
    <mergeCell ref="C10:D10"/>
    <mergeCell ref="C16:E16"/>
    <mergeCell ref="S20:T20"/>
    <mergeCell ref="Q20:R20"/>
    <mergeCell ref="O20:P20"/>
    <mergeCell ref="O19:T19"/>
    <mergeCell ref="L28:M28"/>
    <mergeCell ref="C28:E28"/>
    <mergeCell ref="F28:H28"/>
    <mergeCell ref="I28:K28"/>
    <mergeCell ref="D41:H41"/>
    <mergeCell ref="D38:H38"/>
    <mergeCell ref="D39:H39"/>
    <mergeCell ref="D40:H40"/>
    <mergeCell ref="D36:H36"/>
    <mergeCell ref="D37:H37"/>
    <mergeCell ref="C30:D30"/>
    <mergeCell ref="E30:F30"/>
    <mergeCell ref="G30:M30"/>
    <mergeCell ref="D34:H35"/>
    <mergeCell ref="C34:C35"/>
    <mergeCell ref="C24:D24"/>
    <mergeCell ref="E24:F24"/>
    <mergeCell ref="G24:M24"/>
    <mergeCell ref="L22:M22"/>
    <mergeCell ref="C22:E22"/>
    <mergeCell ref="Q34:R34"/>
    <mergeCell ref="S34:T34"/>
    <mergeCell ref="U34:V34"/>
    <mergeCell ref="I34:J34"/>
    <mergeCell ref="K34:L34"/>
    <mergeCell ref="M34:N34"/>
    <mergeCell ref="D48:D49"/>
    <mergeCell ref="E48:E49"/>
    <mergeCell ref="C48:C49"/>
    <mergeCell ref="F48:F49"/>
    <mergeCell ref="O34:P34"/>
    <mergeCell ref="D44:H44"/>
    <mergeCell ref="D45:H45"/>
    <mergeCell ref="D42:H42"/>
    <mergeCell ref="D43:H43"/>
  </mergeCells>
  <conditionalFormatting sqref="N11">
    <cfRule type="cellIs" dxfId="1431" priority="25" operator="equal">
      <formula>$N$12="Аспект"</formula>
    </cfRule>
  </conditionalFormatting>
  <conditionalFormatting sqref="O12">
    <cfRule type="expression" dxfId="1430" priority="24">
      <formula>$N$12="Аспект"</formula>
    </cfRule>
  </conditionalFormatting>
  <conditionalFormatting sqref="P12">
    <cfRule type="expression" dxfId="1429" priority="23">
      <formula>$N$12="Аспект"</formula>
    </cfRule>
  </conditionalFormatting>
  <conditionalFormatting sqref="Q12">
    <cfRule type="expression" dxfId="1428" priority="22">
      <formula>$N$12="Аспект"</formula>
    </cfRule>
  </conditionalFormatting>
  <conditionalFormatting sqref="R12">
    <cfRule type="cellIs" dxfId="1427" priority="10" operator="equal">
      <formula>0</formula>
    </cfRule>
    <cfRule type="expression" dxfId="1426" priority="21">
      <formula>$N$12="Аспект"</formula>
    </cfRule>
  </conditionalFormatting>
  <conditionalFormatting sqref="O11">
    <cfRule type="expression" dxfId="1425" priority="20">
      <formula>$N$12="Аспект"</formula>
    </cfRule>
  </conditionalFormatting>
  <conditionalFormatting sqref="P11">
    <cfRule type="expression" dxfId="1424" priority="19">
      <formula>$N$12="Аспект"</formula>
    </cfRule>
  </conditionalFormatting>
  <conditionalFormatting sqref="Q11">
    <cfRule type="expression" dxfId="1423" priority="18">
      <formula>$N$12="Аспект"</formula>
    </cfRule>
  </conditionalFormatting>
  <conditionalFormatting sqref="R11">
    <cfRule type="cellIs" dxfId="1422" priority="11" operator="equal">
      <formula>0</formula>
    </cfRule>
    <cfRule type="expression" dxfId="1421" priority="17">
      <formula>$N$12="Аспект"</formula>
    </cfRule>
  </conditionalFormatting>
  <conditionalFormatting sqref="S11:S12">
    <cfRule type="cellIs" dxfId="1420" priority="12" operator="equal">
      <formula>0</formula>
    </cfRule>
    <cfRule type="expression" dxfId="1419" priority="16">
      <formula>$N$12="Аспект"</formula>
    </cfRule>
  </conditionalFormatting>
  <conditionalFormatting sqref="N11:S12">
    <cfRule type="expression" dxfId="1418" priority="15">
      <formula>$N$12=0</formula>
    </cfRule>
  </conditionalFormatting>
  <dataValidations count="1">
    <dataValidation type="list" allowBlank="1" showInputMessage="1" showErrorMessage="1" sqref="L14" xr:uid="{00000000-0002-0000-0200-000000000000}">
      <formula1>"Маленький,Средний,Большой"</formula1>
    </dataValidation>
  </dataValidations>
  <pageMargins left="0.7" right="0.7" top="0.75" bottom="0.75" header="0.3" footer="0.3"/>
  <pageSetup paperSize="9" orientation="portrait" r:id="rId2"/>
  <drawing r:id="rId3"/>
  <legacyDrawing r:id="rId4"/>
  <extLst>
    <ext xmlns:x14="http://schemas.microsoft.com/office/spreadsheetml/2009/9/main" uri="{78C0D931-6437-407d-A8EE-F0AAD7539E65}">
      <x14:conditionalFormattings>
        <x14:conditionalFormatting xmlns:xm="http://schemas.microsoft.com/office/excel/2006/main">
          <x14:cfRule type="cellIs" priority="26" operator="equal" id="{DFDD4089-F775-4C9C-A502-532F6C6B72C6}">
            <xm:f>Расы!$AK$3</xm:f>
            <x14:dxf>
              <font>
                <b/>
                <i val="0"/>
                <color theme="0" tint="-4.9989318521683403E-2"/>
              </font>
              <fill>
                <patternFill patternType="solid">
                  <fgColor theme="1" tint="0.14990691854609822"/>
                  <bgColor theme="1" tint="0.14996795556505021"/>
                </patternFill>
              </fill>
              <border>
                <left style="thin">
                  <color auto="1"/>
                </left>
                <right style="thin">
                  <color auto="1"/>
                </right>
                <top style="thin">
                  <color auto="1"/>
                </top>
                <bottom style="thin">
                  <color auto="1"/>
                </bottom>
                <vertical/>
                <horizontal/>
              </border>
            </x14:dxf>
          </x14:cfRule>
          <xm:sqref>N12</xm:sqref>
        </x14:conditionalFormatting>
        <x14:conditionalFormatting xmlns:xm="http://schemas.microsoft.com/office/excel/2006/main">
          <x14:cfRule type="cellIs" priority="8" operator="equal" id="{68A3673C-4FBC-4B21-906E-769A7E8EDB96}">
            <xm:f>Расы!$AK$50</xm:f>
            <x14:dxf>
              <font>
                <color theme="1" tint="0.14996795556505021"/>
              </font>
              <fill>
                <patternFill>
                  <bgColor theme="2"/>
                </patternFill>
              </fill>
              <border>
                <left style="thin">
                  <color auto="1"/>
                </left>
                <right style="thin">
                  <color auto="1"/>
                </right>
                <top style="thin">
                  <color auto="1"/>
                </top>
                <bottom style="thin">
                  <color auto="1"/>
                </bottom>
                <vertical/>
                <horizontal/>
              </border>
            </x14:dxf>
          </x14:cfRule>
          <x14:cfRule type="cellIs" priority="9" operator="equal" id="{8290D52D-F13D-49DF-AF32-F2451C90ECA5}">
            <xm:f>Расы!$AK$5</xm:f>
            <x14:dxf>
              <font>
                <b/>
                <i val="0"/>
                <color theme="1" tint="0.14996795556505021"/>
              </font>
              <fill>
                <patternFill>
                  <bgColor theme="2"/>
                </patternFill>
              </fill>
              <border>
                <left style="thin">
                  <color auto="1"/>
                </left>
                <right style="thin">
                  <color auto="1"/>
                </right>
                <top style="thin">
                  <color auto="1"/>
                </top>
                <bottom style="thin">
                  <color auto="1"/>
                </bottom>
                <vertical/>
                <horizontal/>
              </border>
            </x14:dxf>
          </x14:cfRule>
          <x14:cfRule type="cellIs" priority="13" operator="equal" id="{8B32855F-ADB1-4CBA-AF13-4B2EC5A4669F}">
            <xm:f>Расы!$AK$50</xm:f>
            <x14:dxf>
              <font>
                <b/>
                <i val="0"/>
                <color theme="1" tint="0.14996795556505021"/>
              </font>
              <fill>
                <patternFill>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x14:dxf>
          </x14:cfRule>
          <x14:cfRule type="cellIs" priority="14" operator="equal" id="{2F8096A7-2853-47B7-9262-127484D5B57D}">
            <xm:f>Расы!$AK$28</xm:f>
            <x14:dxf>
              <font>
                <b/>
                <i val="0"/>
                <color theme="1" tint="0.14996795556505021"/>
              </font>
              <fill>
                <patternFill>
                  <bgColor theme="2"/>
                </patternFill>
              </fill>
              <border>
                <left style="thin">
                  <color auto="1"/>
                </left>
                <right style="thin">
                  <color auto="1"/>
                </right>
                <top style="thin">
                  <color auto="1"/>
                </top>
                <bottom style="thin">
                  <color auto="1"/>
                </bottom>
                <vertical/>
                <horizontal/>
              </border>
            </x14:dxf>
          </x14:cfRule>
          <xm:sqref>N11</xm:sqref>
        </x14:conditionalFormatting>
        <x14:conditionalFormatting xmlns:xm="http://schemas.microsoft.com/office/excel/2006/main">
          <x14:cfRule type="expression" priority="1" id="{C965D7AD-156E-45C0-A748-5A04EF5C07E3}">
            <xm:f>'Лист персонажа 1'!$G$8="Полувеликан"</xm:f>
            <x14:dxf>
              <font>
                <color theme="1" tint="0.14996795556505021"/>
              </font>
              <fill>
                <patternFill>
                  <bgColor theme="2"/>
                </patternFill>
              </fill>
              <border>
                <left style="thin">
                  <color auto="1"/>
                </left>
                <right style="thin">
                  <color auto="1"/>
                </right>
                <top style="thin">
                  <color auto="1"/>
                </top>
                <vertical/>
                <horizontal/>
              </border>
            </x14:dxf>
          </x14:cfRule>
          <x14:cfRule type="expression" priority="2" id="{2DE53544-2788-414F-845A-2045F2B72112}">
            <xm:f>'Лист персонажа 1'!$G$8&lt;&gt;"Полувеликан"</xm:f>
            <x14:dxf>
              <font>
                <color theme="0" tint="-4.9989318521683403E-2"/>
              </font>
            </x14:dxf>
          </x14:cfRule>
          <xm:sqref>S7</xm:sqref>
        </x14:conditionalFormatting>
        <x14:conditionalFormatting xmlns:xm="http://schemas.microsoft.com/office/excel/2006/main">
          <x14:cfRule type="expression" priority="3" id="{89CCC44C-2709-48BF-89FD-71498D9DBF9D}">
            <xm:f>'Лист персонажа 1'!$G$8&lt;&gt;"Полувеликан"</xm:f>
            <x14:dxf>
              <font>
                <color theme="0" tint="-4.9989318521683403E-2"/>
              </font>
            </x14:dxf>
          </x14:cfRule>
          <x14:cfRule type="expression" priority="6" id="{3A42C2EA-4E13-4C36-AD30-0E6637E08841}">
            <xm:f>'Лист персонажа 1'!$G$8="Полувеликан"</xm:f>
            <x14:dxf>
              <fill>
                <patternFill>
                  <bgColor theme="2"/>
                </patternFill>
              </fill>
              <border>
                <left style="thin">
                  <color theme="1" tint="0.14996795556505021"/>
                </left>
                <right style="thin">
                  <color theme="1" tint="0.14996795556505021"/>
                </right>
                <top style="thin">
                  <color theme="1" tint="0.14996795556505021"/>
                </top>
                <vertical/>
                <horizontal/>
              </border>
            </x14:dxf>
          </x14:cfRule>
          <xm:sqref>O7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S40"/>
  <sheetViews>
    <sheetView showGridLines="0" showRowColHeaders="0" topLeftCell="A6" workbookViewId="0">
      <selection activeCell="G11" sqref="G11:J11"/>
    </sheetView>
  </sheetViews>
  <sheetFormatPr defaultRowHeight="15"/>
  <sheetData>
    <row r="2" spans="2:19" ht="26.25" customHeight="1" thickBot="1">
      <c r="B2" s="822" t="s">
        <v>198</v>
      </c>
      <c r="C2" s="822"/>
      <c r="D2" s="822"/>
      <c r="E2" s="822"/>
      <c r="F2" s="822"/>
      <c r="G2" s="822"/>
      <c r="H2" s="822"/>
      <c r="I2" s="822"/>
      <c r="J2" s="822"/>
      <c r="K2" s="822"/>
      <c r="L2" s="822"/>
      <c r="M2" s="823"/>
      <c r="N2" s="791" t="s">
        <v>152</v>
      </c>
      <c r="O2" s="792"/>
      <c r="P2" s="792"/>
      <c r="Q2" s="792"/>
      <c r="R2" s="792"/>
      <c r="S2" s="792"/>
    </row>
    <row r="3" spans="2:19" ht="26.25" customHeight="1">
      <c r="B3" s="824" t="s">
        <v>116</v>
      </c>
      <c r="C3" s="825"/>
      <c r="D3" s="825"/>
      <c r="E3" s="825"/>
      <c r="F3" s="826"/>
      <c r="G3" s="827" t="s">
        <v>117</v>
      </c>
      <c r="H3" s="828"/>
      <c r="I3" s="828"/>
      <c r="J3" s="829"/>
      <c r="K3" s="827" t="s">
        <v>118</v>
      </c>
      <c r="L3" s="828"/>
      <c r="M3" s="829"/>
      <c r="N3" s="793"/>
      <c r="O3" s="794"/>
      <c r="P3" s="794"/>
      <c r="Q3" s="795"/>
      <c r="R3" s="795"/>
      <c r="S3" s="796"/>
    </row>
    <row r="4" spans="2:19" ht="81.75" customHeight="1">
      <c r="B4" s="821" t="s">
        <v>1142</v>
      </c>
      <c r="C4" s="821"/>
      <c r="D4" s="821"/>
      <c r="E4" s="821"/>
      <c r="F4" s="821"/>
      <c r="G4" s="815" t="s">
        <v>1143</v>
      </c>
      <c r="H4" s="815"/>
      <c r="I4" s="815"/>
      <c r="J4" s="815"/>
      <c r="K4" s="814"/>
      <c r="L4" s="814"/>
      <c r="M4" s="814"/>
      <c r="N4" s="800" t="s">
        <v>1151</v>
      </c>
      <c r="O4" s="801"/>
      <c r="P4" s="801"/>
      <c r="Q4" s="801" t="s">
        <v>1152</v>
      </c>
      <c r="R4" s="801"/>
      <c r="S4" s="802"/>
    </row>
    <row r="5" spans="2:19" ht="74.25" customHeight="1">
      <c r="B5" s="813"/>
      <c r="C5" s="813"/>
      <c r="D5" s="813"/>
      <c r="E5" s="813"/>
      <c r="F5" s="813"/>
      <c r="G5" s="830"/>
      <c r="H5" s="830"/>
      <c r="I5" s="830"/>
      <c r="J5" s="830"/>
      <c r="K5" s="820"/>
      <c r="L5" s="820"/>
      <c r="M5" s="820"/>
      <c r="N5" s="803" t="s">
        <v>1153</v>
      </c>
      <c r="O5" s="804"/>
      <c r="P5" s="804"/>
      <c r="Q5" s="804"/>
      <c r="R5" s="804"/>
      <c r="S5" s="805"/>
    </row>
    <row r="6" spans="2:19" ht="70.5" customHeight="1" thickBot="1">
      <c r="B6" s="821" t="s">
        <v>1167</v>
      </c>
      <c r="C6" s="821"/>
      <c r="D6" s="821"/>
      <c r="E6" s="821"/>
      <c r="F6" s="821"/>
      <c r="G6" s="815" t="s">
        <v>198</v>
      </c>
      <c r="H6" s="815"/>
      <c r="I6" s="815"/>
      <c r="J6" s="815"/>
      <c r="K6" s="814"/>
      <c r="L6" s="814"/>
      <c r="M6" s="814"/>
      <c r="N6" s="797"/>
      <c r="O6" s="798"/>
      <c r="P6" s="798"/>
      <c r="Q6" s="798"/>
      <c r="R6" s="798"/>
      <c r="S6" s="799"/>
    </row>
    <row r="7" spans="2:19" ht="84" customHeight="1">
      <c r="B7" s="813" t="s">
        <v>1144</v>
      </c>
      <c r="C7" s="813"/>
      <c r="D7" s="813"/>
      <c r="E7" s="813"/>
      <c r="F7" s="813"/>
      <c r="G7" s="816" t="s">
        <v>1145</v>
      </c>
      <c r="H7" s="816"/>
      <c r="I7" s="816"/>
      <c r="J7" s="816"/>
      <c r="K7" s="819"/>
      <c r="L7" s="819"/>
      <c r="M7" s="819"/>
    </row>
    <row r="8" spans="2:19" ht="81.75" customHeight="1">
      <c r="B8" s="821" t="s">
        <v>1162</v>
      </c>
      <c r="C8" s="821"/>
      <c r="D8" s="821"/>
      <c r="E8" s="821"/>
      <c r="F8" s="821"/>
      <c r="G8" s="815" t="s">
        <v>198</v>
      </c>
      <c r="H8" s="815"/>
      <c r="I8" s="815"/>
      <c r="J8" s="815"/>
      <c r="K8" s="818"/>
      <c r="L8" s="818"/>
      <c r="M8" s="818"/>
    </row>
    <row r="9" spans="2:19" ht="78.75" customHeight="1">
      <c r="B9" s="813" t="s">
        <v>1146</v>
      </c>
      <c r="C9" s="813"/>
      <c r="D9" s="813"/>
      <c r="E9" s="813"/>
      <c r="F9" s="813"/>
      <c r="G9" s="817"/>
      <c r="H9" s="817"/>
      <c r="I9" s="817"/>
      <c r="J9" s="817"/>
      <c r="K9" s="819"/>
      <c r="L9" s="819"/>
      <c r="M9" s="819"/>
    </row>
    <row r="10" spans="2:19" ht="78" customHeight="1">
      <c r="B10" s="821"/>
      <c r="C10" s="821"/>
      <c r="D10" s="821"/>
      <c r="E10" s="821"/>
      <c r="F10" s="821"/>
      <c r="G10" s="815"/>
      <c r="H10" s="815"/>
      <c r="I10" s="815"/>
      <c r="J10" s="815"/>
      <c r="K10" s="814"/>
      <c r="L10" s="814"/>
      <c r="M10" s="814"/>
    </row>
    <row r="11" spans="2:19" ht="77.25" customHeight="1">
      <c r="B11" s="813" t="s">
        <v>1175</v>
      </c>
      <c r="C11" s="813"/>
      <c r="D11" s="813"/>
      <c r="E11" s="813"/>
      <c r="F11" s="813"/>
      <c r="G11" s="830"/>
      <c r="H11" s="830"/>
      <c r="I11" s="830"/>
      <c r="J11" s="830"/>
      <c r="K11" s="820"/>
      <c r="L11" s="820"/>
      <c r="M11" s="820"/>
    </row>
    <row r="12" spans="2:19" ht="78.75" customHeight="1">
      <c r="B12" s="821" t="s">
        <v>1165</v>
      </c>
      <c r="C12" s="821"/>
      <c r="D12" s="821"/>
      <c r="E12" s="821"/>
      <c r="F12" s="821"/>
      <c r="G12" s="832" t="s">
        <v>1173</v>
      </c>
      <c r="H12" s="832"/>
      <c r="I12" s="832"/>
      <c r="J12" s="832"/>
      <c r="K12" s="814"/>
      <c r="L12" s="814"/>
      <c r="M12" s="814"/>
    </row>
    <row r="13" spans="2:19" ht="76.5" customHeight="1">
      <c r="B13" s="813"/>
      <c r="C13" s="813"/>
      <c r="D13" s="813"/>
      <c r="E13" s="813"/>
      <c r="F13" s="813"/>
      <c r="G13" s="816"/>
      <c r="H13" s="816"/>
      <c r="I13" s="816"/>
      <c r="J13" s="816"/>
      <c r="K13" s="819"/>
      <c r="L13" s="819"/>
      <c r="M13" s="819"/>
    </row>
    <row r="14" spans="2:19" ht="77.25" customHeight="1">
      <c r="B14" s="821" t="s">
        <v>1164</v>
      </c>
      <c r="C14" s="821"/>
      <c r="D14" s="821"/>
      <c r="E14" s="821"/>
      <c r="F14" s="821"/>
      <c r="G14" s="815"/>
      <c r="H14" s="815"/>
      <c r="I14" s="815"/>
      <c r="J14" s="815"/>
      <c r="K14" s="818"/>
      <c r="L14" s="818"/>
      <c r="M14" s="818"/>
    </row>
    <row r="15" spans="2:19" ht="77.25" customHeight="1">
      <c r="B15" s="813" t="s">
        <v>1163</v>
      </c>
      <c r="C15" s="813"/>
      <c r="D15" s="813"/>
      <c r="E15" s="813"/>
      <c r="F15" s="813"/>
      <c r="G15" s="817"/>
      <c r="H15" s="817"/>
      <c r="I15" s="817"/>
      <c r="J15" s="817"/>
      <c r="K15" s="819"/>
      <c r="L15" s="819"/>
      <c r="M15" s="819"/>
    </row>
    <row r="16" spans="2:19" ht="85.5" customHeight="1">
      <c r="B16" s="821" t="s">
        <v>1174</v>
      </c>
      <c r="C16" s="821"/>
      <c r="D16" s="821"/>
      <c r="E16" s="821"/>
      <c r="F16" s="821"/>
      <c r="G16" s="815"/>
      <c r="H16" s="815"/>
      <c r="I16" s="815"/>
      <c r="J16" s="815"/>
      <c r="K16" s="818"/>
      <c r="L16" s="818"/>
      <c r="M16" s="818"/>
    </row>
    <row r="17" spans="2:13" ht="15" customHeight="1">
      <c r="B17" s="833" t="s">
        <v>130</v>
      </c>
      <c r="C17" s="834"/>
      <c r="D17" s="834"/>
      <c r="E17" s="834"/>
      <c r="F17" s="834"/>
      <c r="G17" s="834"/>
      <c r="H17" s="834"/>
      <c r="I17" s="834"/>
      <c r="J17" s="834"/>
      <c r="K17" s="834"/>
      <c r="L17" s="834"/>
      <c r="M17" s="835"/>
    </row>
    <row r="18" spans="2:13" ht="18">
      <c r="B18" s="813" t="s">
        <v>1147</v>
      </c>
      <c r="C18" s="813"/>
      <c r="D18" s="813"/>
      <c r="E18" s="813"/>
      <c r="F18" s="813"/>
      <c r="G18" s="813"/>
      <c r="H18" s="283"/>
      <c r="I18" s="837" t="s">
        <v>1147</v>
      </c>
      <c r="J18" s="837"/>
      <c r="K18" s="837"/>
      <c r="L18" s="837"/>
      <c r="M18" s="837"/>
    </row>
    <row r="19" spans="2:13" ht="18" customHeight="1">
      <c r="B19" s="836" t="s">
        <v>132</v>
      </c>
      <c r="C19" s="836"/>
      <c r="D19" s="836"/>
      <c r="E19" s="836"/>
      <c r="F19" s="836"/>
      <c r="G19" s="836"/>
      <c r="H19" s="283"/>
      <c r="I19" s="831" t="s">
        <v>133</v>
      </c>
      <c r="J19" s="831"/>
      <c r="K19" s="831"/>
      <c r="L19" s="831"/>
      <c r="M19" s="831"/>
    </row>
    <row r="20" spans="2:13" ht="18">
      <c r="B20" s="813"/>
      <c r="C20" s="813"/>
      <c r="D20" s="813"/>
      <c r="E20" s="813"/>
      <c r="F20" s="813"/>
      <c r="G20" s="813"/>
      <c r="H20" s="283"/>
      <c r="I20" s="811" t="s">
        <v>1147</v>
      </c>
      <c r="J20" s="811"/>
      <c r="K20" s="811"/>
      <c r="L20" s="811"/>
      <c r="M20" s="811"/>
    </row>
    <row r="21" spans="2:13" ht="18.75" customHeight="1">
      <c r="B21" s="836" t="s">
        <v>137</v>
      </c>
      <c r="C21" s="836"/>
      <c r="D21" s="836"/>
      <c r="E21" s="836"/>
      <c r="F21" s="836"/>
      <c r="G21" s="836"/>
      <c r="H21" s="283"/>
      <c r="I21" s="831" t="s">
        <v>138</v>
      </c>
      <c r="J21" s="831"/>
      <c r="K21" s="831"/>
      <c r="L21" s="831"/>
      <c r="M21" s="831"/>
    </row>
    <row r="22" spans="2:13" ht="18">
      <c r="B22" s="813"/>
      <c r="C22" s="813"/>
      <c r="D22" s="813"/>
      <c r="E22" s="813"/>
      <c r="F22" s="813"/>
      <c r="G22" s="813"/>
      <c r="H22" s="283"/>
      <c r="I22" s="811" t="s">
        <v>1147</v>
      </c>
      <c r="J22" s="811"/>
      <c r="K22" s="811"/>
      <c r="L22" s="811"/>
      <c r="M22" s="811"/>
    </row>
    <row r="23" spans="2:13" ht="18.75" customHeight="1">
      <c r="B23" s="836" t="s">
        <v>140</v>
      </c>
      <c r="C23" s="836"/>
      <c r="D23" s="836"/>
      <c r="E23" s="836"/>
      <c r="F23" s="836"/>
      <c r="G23" s="836"/>
      <c r="H23" s="283"/>
      <c r="I23" s="831" t="s">
        <v>141</v>
      </c>
      <c r="J23" s="831"/>
      <c r="K23" s="831"/>
      <c r="L23" s="831"/>
      <c r="M23" s="831"/>
    </row>
    <row r="24" spans="2:13" ht="18">
      <c r="B24" s="813"/>
      <c r="C24" s="813"/>
      <c r="D24" s="813"/>
      <c r="E24" s="813"/>
      <c r="F24" s="813"/>
      <c r="G24" s="813"/>
      <c r="H24" s="283"/>
      <c r="I24" s="811" t="s">
        <v>1148</v>
      </c>
      <c r="J24" s="811"/>
      <c r="K24" s="811"/>
      <c r="L24" s="811"/>
      <c r="M24" s="811"/>
    </row>
    <row r="25" spans="2:13" ht="18.75" customHeight="1">
      <c r="B25" s="831" t="s">
        <v>144</v>
      </c>
      <c r="C25" s="831"/>
      <c r="D25" s="831"/>
      <c r="E25" s="831"/>
      <c r="F25" s="831"/>
      <c r="G25" s="831"/>
      <c r="H25" s="283"/>
      <c r="I25" s="831" t="s">
        <v>145</v>
      </c>
      <c r="J25" s="831"/>
      <c r="K25" s="831"/>
      <c r="L25" s="831"/>
      <c r="M25" s="831"/>
    </row>
    <row r="26" spans="2:13" ht="18">
      <c r="B26" s="813"/>
      <c r="C26" s="813"/>
      <c r="D26" s="813"/>
      <c r="E26" s="813"/>
      <c r="F26" s="813"/>
      <c r="G26" s="813"/>
      <c r="H26" s="283"/>
      <c r="I26" s="811" t="s">
        <v>1149</v>
      </c>
      <c r="J26" s="811"/>
      <c r="K26" s="811"/>
      <c r="L26" s="811"/>
      <c r="M26" s="811"/>
    </row>
    <row r="27" spans="2:13" ht="18.75" customHeight="1">
      <c r="B27" s="831" t="s">
        <v>149</v>
      </c>
      <c r="C27" s="831"/>
      <c r="D27" s="831"/>
      <c r="E27" s="831"/>
      <c r="F27" s="831"/>
      <c r="G27" s="831"/>
      <c r="H27" s="283"/>
      <c r="I27" s="831" t="s">
        <v>150</v>
      </c>
      <c r="J27" s="831"/>
      <c r="K27" s="831"/>
      <c r="L27" s="831"/>
      <c r="M27" s="831"/>
    </row>
    <row r="28" spans="2:13" ht="18">
      <c r="B28" s="813"/>
      <c r="C28" s="813"/>
      <c r="D28" s="813"/>
      <c r="E28" s="813"/>
      <c r="F28" s="813"/>
      <c r="G28" s="813"/>
      <c r="H28" s="283"/>
      <c r="I28" s="811" t="s">
        <v>1150</v>
      </c>
      <c r="J28" s="811"/>
      <c r="K28" s="811"/>
      <c r="L28" s="811"/>
      <c r="M28" s="811"/>
    </row>
    <row r="29" spans="2:13" ht="18.75" customHeight="1">
      <c r="B29" s="831" t="s">
        <v>153</v>
      </c>
      <c r="C29" s="831"/>
      <c r="D29" s="831"/>
      <c r="E29" s="831"/>
      <c r="F29" s="831"/>
      <c r="G29" s="831"/>
      <c r="H29" s="283"/>
      <c r="I29" s="812" t="s">
        <v>154</v>
      </c>
      <c r="J29" s="812"/>
      <c r="K29" s="812"/>
      <c r="L29" s="812"/>
      <c r="M29" s="812"/>
    </row>
    <row r="30" spans="2:13" ht="15" customHeight="1">
      <c r="B30" s="813"/>
      <c r="C30" s="813"/>
      <c r="D30" s="813"/>
      <c r="E30" s="813"/>
      <c r="F30" s="813"/>
      <c r="G30" s="813"/>
      <c r="H30" s="284"/>
      <c r="I30" s="809"/>
      <c r="J30" s="809"/>
      <c r="K30" s="809"/>
      <c r="L30" s="809"/>
      <c r="M30" s="809"/>
    </row>
    <row r="31" spans="2:13" ht="24" customHeight="1">
      <c r="B31" s="838" t="s">
        <v>199</v>
      </c>
      <c r="C31" s="838"/>
      <c r="D31" s="838"/>
      <c r="E31" s="838"/>
      <c r="F31" s="838"/>
      <c r="G31" s="838"/>
      <c r="H31" s="284"/>
      <c r="I31" s="810" t="s">
        <v>156</v>
      </c>
      <c r="J31" s="810"/>
      <c r="K31" s="810"/>
      <c r="L31" s="810"/>
      <c r="M31" s="810"/>
    </row>
    <row r="32" spans="2:13" ht="26.25" customHeight="1">
      <c r="B32" s="788" t="s">
        <v>1166</v>
      </c>
      <c r="C32" s="789"/>
      <c r="D32" s="789"/>
      <c r="E32" s="789"/>
      <c r="F32" s="789"/>
      <c r="G32" s="790"/>
      <c r="H32" s="285"/>
      <c r="I32" s="806"/>
      <c r="J32" s="807"/>
      <c r="K32" s="807"/>
      <c r="L32" s="807"/>
      <c r="M32" s="808"/>
    </row>
    <row r="35" spans="8:11">
      <c r="H35">
        <v>3.15</v>
      </c>
    </row>
    <row r="36" spans="8:11">
      <c r="H36">
        <v>22.5</v>
      </c>
    </row>
    <row r="37" spans="8:11">
      <c r="H37">
        <v>1.8</v>
      </c>
    </row>
    <row r="38" spans="8:11">
      <c r="H38">
        <v>9</v>
      </c>
    </row>
    <row r="39" spans="8:11">
      <c r="H39">
        <v>0</v>
      </c>
    </row>
    <row r="40" spans="8:11">
      <c r="H40">
        <f>SUM(H35,H36,H37,H38,H39)</f>
        <v>36.450000000000003</v>
      </c>
      <c r="K40">
        <f>2650+500+40+200</f>
        <v>3390</v>
      </c>
    </row>
  </sheetData>
  <mergeCells count="83">
    <mergeCell ref="B28:G28"/>
    <mergeCell ref="B29:G29"/>
    <mergeCell ref="B30:G30"/>
    <mergeCell ref="B31:G31"/>
    <mergeCell ref="B22:G22"/>
    <mergeCell ref="B23:G23"/>
    <mergeCell ref="B24:G24"/>
    <mergeCell ref="B25:G25"/>
    <mergeCell ref="B26:G26"/>
    <mergeCell ref="B27:G27"/>
    <mergeCell ref="B18:G18"/>
    <mergeCell ref="B17:M17"/>
    <mergeCell ref="B19:G19"/>
    <mergeCell ref="B20:G20"/>
    <mergeCell ref="B21:G21"/>
    <mergeCell ref="I18:M18"/>
    <mergeCell ref="I22:M22"/>
    <mergeCell ref="I23:M23"/>
    <mergeCell ref="I24:M24"/>
    <mergeCell ref="I19:M19"/>
    <mergeCell ref="I20:M20"/>
    <mergeCell ref="I21:M21"/>
    <mergeCell ref="I25:M25"/>
    <mergeCell ref="I26:M26"/>
    <mergeCell ref="I27:M27"/>
    <mergeCell ref="B11:F11"/>
    <mergeCell ref="B12:F12"/>
    <mergeCell ref="B13:F13"/>
    <mergeCell ref="B14:F14"/>
    <mergeCell ref="B15:F15"/>
    <mergeCell ref="B16:F16"/>
    <mergeCell ref="K12:M12"/>
    <mergeCell ref="K13:M13"/>
    <mergeCell ref="K14:M14"/>
    <mergeCell ref="K15:M15"/>
    <mergeCell ref="K16:M16"/>
    <mergeCell ref="G12:J12"/>
    <mergeCell ref="G13:J13"/>
    <mergeCell ref="G14:J14"/>
    <mergeCell ref="G15:J15"/>
    <mergeCell ref="G16:J16"/>
    <mergeCell ref="B2:M2"/>
    <mergeCell ref="B3:F3"/>
    <mergeCell ref="B4:F4"/>
    <mergeCell ref="B5:F5"/>
    <mergeCell ref="B6:F6"/>
    <mergeCell ref="G3:J3"/>
    <mergeCell ref="K3:M3"/>
    <mergeCell ref="G4:J4"/>
    <mergeCell ref="K4:M4"/>
    <mergeCell ref="G5:J5"/>
    <mergeCell ref="K5:M5"/>
    <mergeCell ref="G11:J11"/>
    <mergeCell ref="K7:M7"/>
    <mergeCell ref="K10:M10"/>
    <mergeCell ref="K11:M11"/>
    <mergeCell ref="B8:F8"/>
    <mergeCell ref="B9:F9"/>
    <mergeCell ref="B10:F10"/>
    <mergeCell ref="G10:J10"/>
    <mergeCell ref="K6:M6"/>
    <mergeCell ref="G6:J6"/>
    <mergeCell ref="G7:J7"/>
    <mergeCell ref="G8:J8"/>
    <mergeCell ref="G9:J9"/>
    <mergeCell ref="K8:M8"/>
    <mergeCell ref="K9:M9"/>
    <mergeCell ref="B32:G32"/>
    <mergeCell ref="N2:S2"/>
    <mergeCell ref="N3:P3"/>
    <mergeCell ref="Q3:S3"/>
    <mergeCell ref="N6:P6"/>
    <mergeCell ref="Q6:S6"/>
    <mergeCell ref="N4:P4"/>
    <mergeCell ref="Q4:S4"/>
    <mergeCell ref="N5:P5"/>
    <mergeCell ref="Q5:S5"/>
    <mergeCell ref="I32:M32"/>
    <mergeCell ref="I30:M30"/>
    <mergeCell ref="I31:M31"/>
    <mergeCell ref="I28:M28"/>
    <mergeCell ref="I29:M29"/>
    <mergeCell ref="B7:F7"/>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D118"/>
  <sheetViews>
    <sheetView showGridLines="0" showRowColHeaders="0" topLeftCell="A78" workbookViewId="0">
      <selection activeCell="D89" sqref="D89"/>
    </sheetView>
  </sheetViews>
  <sheetFormatPr defaultRowHeight="21"/>
  <cols>
    <col min="2" max="2" width="39.28515625" style="140" customWidth="1"/>
    <col min="3" max="3" width="56.85546875" style="140" customWidth="1"/>
    <col min="4" max="4" width="62.140625" style="140" customWidth="1"/>
    <col min="5" max="5" width="29" customWidth="1"/>
    <col min="12" max="12" width="31" customWidth="1"/>
  </cols>
  <sheetData>
    <row r="1" spans="2:4" thickBot="1">
      <c r="B1" s="165" t="s">
        <v>200</v>
      </c>
      <c r="C1" s="166" t="s">
        <v>201</v>
      </c>
      <c r="D1" s="166" t="s">
        <v>202</v>
      </c>
    </row>
    <row r="2" spans="2:4" ht="45.75" customHeight="1" thickBot="1">
      <c r="B2" s="167" t="s">
        <v>203</v>
      </c>
      <c r="C2" s="168" t="s">
        <v>204</v>
      </c>
      <c r="D2" s="168" t="s">
        <v>205</v>
      </c>
    </row>
    <row r="3" spans="2:4" ht="41.25" thickBot="1">
      <c r="B3" s="167" t="s">
        <v>206</v>
      </c>
      <c r="C3" s="168"/>
      <c r="D3" s="168" t="s">
        <v>207</v>
      </c>
    </row>
    <row r="4" spans="2:4" ht="41.25" thickBot="1">
      <c r="B4" s="167" t="s">
        <v>208</v>
      </c>
      <c r="C4" s="168" t="s">
        <v>209</v>
      </c>
      <c r="D4" s="168" t="s">
        <v>210</v>
      </c>
    </row>
    <row r="5" spans="2:4" thickBot="1">
      <c r="B5" s="167" t="s">
        <v>211</v>
      </c>
      <c r="C5" s="168" t="s">
        <v>204</v>
      </c>
      <c r="D5" s="168" t="s">
        <v>212</v>
      </c>
    </row>
    <row r="6" spans="2:4" ht="41.25" thickBot="1">
      <c r="B6" s="167" t="s">
        <v>213</v>
      </c>
      <c r="C6" s="168" t="s">
        <v>204</v>
      </c>
      <c r="D6" s="168" t="s">
        <v>214</v>
      </c>
    </row>
    <row r="7" spans="2:4" ht="41.25" thickBot="1">
      <c r="B7" s="167" t="s">
        <v>215</v>
      </c>
      <c r="C7" s="168" t="s">
        <v>216</v>
      </c>
      <c r="D7" s="168" t="s">
        <v>217</v>
      </c>
    </row>
    <row r="8" spans="2:4" thickBot="1">
      <c r="B8" s="167" t="s">
        <v>218</v>
      </c>
      <c r="C8" s="168" t="s">
        <v>204</v>
      </c>
      <c r="D8" s="168" t="s">
        <v>219</v>
      </c>
    </row>
    <row r="9" spans="2:4" thickBot="1">
      <c r="B9" s="169" t="s">
        <v>220</v>
      </c>
      <c r="C9" s="170" t="s">
        <v>221</v>
      </c>
      <c r="D9" s="170" t="s">
        <v>222</v>
      </c>
    </row>
    <row r="10" spans="2:4" ht="41.25" thickBot="1">
      <c r="B10" s="169" t="s">
        <v>223</v>
      </c>
      <c r="C10" s="170" t="s">
        <v>224</v>
      </c>
      <c r="D10" s="170" t="s">
        <v>225</v>
      </c>
    </row>
    <row r="11" spans="2:4" ht="24" thickBot="1">
      <c r="B11" s="169" t="s">
        <v>226</v>
      </c>
      <c r="C11" s="170" t="s">
        <v>227</v>
      </c>
      <c r="D11" s="170" t="s">
        <v>228</v>
      </c>
    </row>
    <row r="12" spans="2:4" ht="47.25" thickBot="1">
      <c r="B12" s="169" t="s">
        <v>229</v>
      </c>
      <c r="C12" s="170" t="s">
        <v>224</v>
      </c>
      <c r="D12" s="170" t="s">
        <v>230</v>
      </c>
    </row>
    <row r="13" spans="2:4" ht="61.5" thickBot="1">
      <c r="B13" s="169" t="s">
        <v>231</v>
      </c>
      <c r="C13" s="170" t="s">
        <v>232</v>
      </c>
      <c r="D13" s="170" t="s">
        <v>233</v>
      </c>
    </row>
    <row r="14" spans="2:4" thickBot="1">
      <c r="B14" s="167" t="s">
        <v>234</v>
      </c>
      <c r="C14" s="168" t="s">
        <v>235</v>
      </c>
      <c r="D14" s="168" t="s">
        <v>236</v>
      </c>
    </row>
    <row r="15" spans="2:4" ht="41.25" thickBot="1">
      <c r="B15" s="167" t="s">
        <v>65</v>
      </c>
      <c r="C15" s="168" t="s">
        <v>204</v>
      </c>
      <c r="D15" s="168" t="s">
        <v>237</v>
      </c>
    </row>
    <row r="16" spans="2:4" thickBot="1">
      <c r="B16" s="167" t="s">
        <v>238</v>
      </c>
      <c r="C16" s="168" t="s">
        <v>239</v>
      </c>
      <c r="D16" s="168" t="s">
        <v>240</v>
      </c>
    </row>
    <row r="17" spans="2:4" ht="41.25" thickBot="1">
      <c r="B17" s="169" t="s">
        <v>241</v>
      </c>
      <c r="C17" s="170" t="s">
        <v>216</v>
      </c>
      <c r="D17" s="170" t="s">
        <v>242</v>
      </c>
    </row>
    <row r="18" spans="2:4" ht="41.25" thickBot="1">
      <c r="B18" s="169" t="s">
        <v>243</v>
      </c>
      <c r="C18" s="170" t="s">
        <v>244</v>
      </c>
      <c r="D18" s="170" t="s">
        <v>245</v>
      </c>
    </row>
    <row r="19" spans="2:4" ht="41.25" thickBot="1">
      <c r="B19" s="169" t="s">
        <v>246</v>
      </c>
      <c r="C19" s="170" t="s">
        <v>244</v>
      </c>
      <c r="D19" s="170" t="s">
        <v>247</v>
      </c>
    </row>
    <row r="20" spans="2:4" ht="41.25" thickBot="1">
      <c r="B20" s="169" t="s">
        <v>248</v>
      </c>
      <c r="C20" s="170" t="s">
        <v>249</v>
      </c>
      <c r="D20" s="170" t="s">
        <v>250</v>
      </c>
    </row>
    <row r="21" spans="2:4" ht="41.25" thickBot="1">
      <c r="B21" s="169" t="s">
        <v>251</v>
      </c>
      <c r="C21" s="170" t="s">
        <v>252</v>
      </c>
      <c r="D21" s="170" t="s">
        <v>253</v>
      </c>
    </row>
    <row r="22" spans="2:4" ht="61.5" thickBot="1">
      <c r="B22" s="169" t="s">
        <v>254</v>
      </c>
      <c r="C22" s="170" t="s">
        <v>255</v>
      </c>
      <c r="D22" s="170" t="s">
        <v>256</v>
      </c>
    </row>
    <row r="23" spans="2:4" ht="41.25" thickBot="1">
      <c r="B23" s="169" t="s">
        <v>257</v>
      </c>
      <c r="C23" s="170" t="s">
        <v>258</v>
      </c>
      <c r="D23" s="170" t="s">
        <v>259</v>
      </c>
    </row>
    <row r="24" spans="2:4" thickBot="1">
      <c r="B24" s="167" t="s">
        <v>260</v>
      </c>
      <c r="C24" s="168" t="s">
        <v>216</v>
      </c>
      <c r="D24" s="168" t="s">
        <v>261</v>
      </c>
    </row>
    <row r="25" spans="2:4" ht="41.25" thickBot="1">
      <c r="B25" s="167" t="s">
        <v>262</v>
      </c>
      <c r="C25" s="168" t="s">
        <v>263</v>
      </c>
      <c r="D25" s="168" t="s">
        <v>264</v>
      </c>
    </row>
    <row r="26" spans="2:4" ht="61.5" thickBot="1">
      <c r="B26" s="167" t="s">
        <v>265</v>
      </c>
      <c r="C26" s="168" t="s">
        <v>266</v>
      </c>
      <c r="D26" s="168" t="s">
        <v>267</v>
      </c>
    </row>
    <row r="27" spans="2:4" ht="41.25" thickBot="1">
      <c r="B27" s="167" t="s">
        <v>268</v>
      </c>
      <c r="C27" s="168" t="s">
        <v>216</v>
      </c>
      <c r="D27" s="168" t="s">
        <v>269</v>
      </c>
    </row>
    <row r="28" spans="2:4" ht="41.25" thickBot="1">
      <c r="B28" s="171" t="s">
        <v>270</v>
      </c>
      <c r="C28" s="172" t="s">
        <v>216</v>
      </c>
      <c r="D28" s="172" t="s">
        <v>271</v>
      </c>
    </row>
    <row r="29" spans="2:4" ht="41.25" thickBot="1">
      <c r="B29" s="171" t="s">
        <v>272</v>
      </c>
      <c r="C29" s="172" t="s">
        <v>270</v>
      </c>
      <c r="D29" s="172" t="s">
        <v>271</v>
      </c>
    </row>
    <row r="30" spans="2:4" ht="41.25" thickBot="1">
      <c r="B30" s="171" t="s">
        <v>273</v>
      </c>
      <c r="C30" s="172" t="s">
        <v>272</v>
      </c>
      <c r="D30" s="172" t="s">
        <v>271</v>
      </c>
    </row>
    <row r="31" spans="2:4" ht="41.25" thickBot="1">
      <c r="B31" s="167" t="s">
        <v>274</v>
      </c>
      <c r="C31" s="168" t="s">
        <v>216</v>
      </c>
      <c r="D31" s="168" t="s">
        <v>275</v>
      </c>
    </row>
    <row r="32" spans="2:4" thickBot="1">
      <c r="B32" s="171" t="s">
        <v>276</v>
      </c>
      <c r="C32" s="172" t="s">
        <v>216</v>
      </c>
      <c r="D32" s="172" t="s">
        <v>271</v>
      </c>
    </row>
    <row r="33" spans="2:4" ht="41.25" thickBot="1">
      <c r="B33" s="171" t="s">
        <v>277</v>
      </c>
      <c r="C33" s="172" t="s">
        <v>276</v>
      </c>
      <c r="D33" s="172" t="s">
        <v>278</v>
      </c>
    </row>
    <row r="34" spans="2:4" ht="41.25" thickBot="1">
      <c r="B34" s="171" t="s">
        <v>279</v>
      </c>
      <c r="C34" s="172" t="s">
        <v>276</v>
      </c>
      <c r="D34" s="172" t="s">
        <v>271</v>
      </c>
    </row>
    <row r="35" spans="2:4" ht="41.25" thickBot="1">
      <c r="B35" s="167" t="s">
        <v>280</v>
      </c>
      <c r="C35" s="168" t="s">
        <v>281</v>
      </c>
      <c r="D35" s="168" t="s">
        <v>282</v>
      </c>
    </row>
    <row r="36" spans="2:4" thickBot="1">
      <c r="B36" s="167" t="s">
        <v>283</v>
      </c>
      <c r="C36" s="168" t="s">
        <v>284</v>
      </c>
      <c r="D36" s="168" t="s">
        <v>285</v>
      </c>
    </row>
    <row r="37" spans="2:4" ht="41.25" thickBot="1">
      <c r="B37" s="167" t="s">
        <v>286</v>
      </c>
      <c r="C37" s="168" t="s">
        <v>216</v>
      </c>
      <c r="D37" s="168" t="s">
        <v>287</v>
      </c>
    </row>
    <row r="38" spans="2:4" ht="41.25" thickBot="1">
      <c r="B38" s="167" t="s">
        <v>288</v>
      </c>
      <c r="C38" s="168" t="s">
        <v>289</v>
      </c>
      <c r="D38" s="168" t="s">
        <v>290</v>
      </c>
    </row>
    <row r="39" spans="2:4" thickBot="1">
      <c r="B39" s="167" t="s">
        <v>291</v>
      </c>
      <c r="C39" s="168" t="s">
        <v>216</v>
      </c>
      <c r="D39" s="168" t="s">
        <v>292</v>
      </c>
    </row>
    <row r="40" spans="2:4" ht="41.25" thickBot="1">
      <c r="B40" s="169" t="s">
        <v>293</v>
      </c>
      <c r="C40" s="170" t="s">
        <v>294</v>
      </c>
      <c r="D40" s="170" t="s">
        <v>295</v>
      </c>
    </row>
    <row r="41" spans="2:4" ht="41.25" thickBot="1">
      <c r="B41" s="169" t="s">
        <v>296</v>
      </c>
      <c r="C41" s="170" t="s">
        <v>297</v>
      </c>
      <c r="D41" s="170" t="s">
        <v>298</v>
      </c>
    </row>
    <row r="42" spans="2:4" ht="41.25" thickBot="1">
      <c r="B42" s="169" t="s">
        <v>299</v>
      </c>
      <c r="C42" s="170" t="s">
        <v>300</v>
      </c>
      <c r="D42" s="170" t="s">
        <v>301</v>
      </c>
    </row>
    <row r="43" spans="2:4" ht="41.25" thickBot="1">
      <c r="B43" s="169" t="s">
        <v>302</v>
      </c>
      <c r="C43" s="170" t="s">
        <v>297</v>
      </c>
      <c r="D43" s="170" t="s">
        <v>303</v>
      </c>
    </row>
    <row r="44" spans="2:4" ht="41.25" thickBot="1">
      <c r="B44" s="169" t="s">
        <v>304</v>
      </c>
      <c r="C44" s="170" t="s">
        <v>297</v>
      </c>
      <c r="D44" s="170" t="s">
        <v>305</v>
      </c>
    </row>
    <row r="45" spans="2:4" ht="41.25" thickBot="1">
      <c r="B45" s="169" t="s">
        <v>306</v>
      </c>
      <c r="C45" s="170" t="s">
        <v>297</v>
      </c>
      <c r="D45" s="170" t="s">
        <v>307</v>
      </c>
    </row>
    <row r="46" spans="2:4" ht="41.25" thickBot="1">
      <c r="B46" s="167" t="s">
        <v>308</v>
      </c>
      <c r="C46" s="168" t="s">
        <v>216</v>
      </c>
      <c r="D46" s="168" t="s">
        <v>309</v>
      </c>
    </row>
    <row r="47" spans="2:4" ht="41.25" thickBot="1">
      <c r="B47" s="167" t="s">
        <v>310</v>
      </c>
      <c r="C47" s="168" t="s">
        <v>216</v>
      </c>
      <c r="D47" s="168" t="s">
        <v>311</v>
      </c>
    </row>
    <row r="48" spans="2:4" ht="41.25" thickBot="1">
      <c r="B48" s="167" t="s">
        <v>312</v>
      </c>
      <c r="C48" s="168" t="s">
        <v>216</v>
      </c>
      <c r="D48" s="168" t="s">
        <v>313</v>
      </c>
    </row>
    <row r="49" spans="2:4" thickBot="1">
      <c r="B49" s="167" t="s">
        <v>314</v>
      </c>
      <c r="C49" s="168" t="s">
        <v>216</v>
      </c>
      <c r="D49" s="168" t="s">
        <v>315</v>
      </c>
    </row>
    <row r="50" spans="2:4" ht="41.25" thickBot="1">
      <c r="B50" s="167" t="s">
        <v>316</v>
      </c>
      <c r="C50" s="168" t="s">
        <v>317</v>
      </c>
      <c r="D50" s="168" t="s">
        <v>318</v>
      </c>
    </row>
    <row r="51" spans="2:4" ht="41.25" thickBot="1">
      <c r="B51" s="167" t="s">
        <v>319</v>
      </c>
      <c r="C51" s="168" t="s">
        <v>216</v>
      </c>
      <c r="D51" s="168" t="s">
        <v>320</v>
      </c>
    </row>
    <row r="52" spans="2:4" ht="41.25" thickBot="1">
      <c r="B52" s="171" t="s">
        <v>321</v>
      </c>
      <c r="C52" s="172" t="s">
        <v>216</v>
      </c>
      <c r="D52" s="172" t="s">
        <v>322</v>
      </c>
    </row>
    <row r="53" spans="2:4" ht="61.5" thickBot="1">
      <c r="B53" s="171" t="s">
        <v>323</v>
      </c>
      <c r="C53" s="172" t="s">
        <v>321</v>
      </c>
      <c r="D53" s="172" t="s">
        <v>324</v>
      </c>
    </row>
    <row r="54" spans="2:4" thickBot="1">
      <c r="B54" s="167" t="s">
        <v>325</v>
      </c>
      <c r="C54" s="168" t="s">
        <v>216</v>
      </c>
      <c r="D54" s="168" t="s">
        <v>326</v>
      </c>
    </row>
    <row r="55" spans="2:4" ht="41.25" thickBot="1">
      <c r="B55" s="167" t="s">
        <v>327</v>
      </c>
      <c r="C55" s="168" t="s">
        <v>216</v>
      </c>
      <c r="D55" s="168" t="s">
        <v>328</v>
      </c>
    </row>
    <row r="56" spans="2:4" ht="41.25" thickBot="1">
      <c r="B56" s="167" t="s">
        <v>329</v>
      </c>
      <c r="C56" s="168" t="s">
        <v>216</v>
      </c>
      <c r="D56" s="168" t="s">
        <v>330</v>
      </c>
    </row>
    <row r="57" spans="2:4" ht="41.25" thickBot="1">
      <c r="B57" s="167" t="s">
        <v>331</v>
      </c>
      <c r="C57" s="168" t="s">
        <v>332</v>
      </c>
      <c r="D57" s="168" t="s">
        <v>333</v>
      </c>
    </row>
    <row r="58" spans="2:4" ht="41.25" thickBot="1">
      <c r="B58" s="167" t="s">
        <v>334</v>
      </c>
      <c r="C58" s="168" t="s">
        <v>216</v>
      </c>
      <c r="D58" s="168" t="s">
        <v>335</v>
      </c>
    </row>
    <row r="59" spans="2:4" ht="41.25" thickBot="1">
      <c r="B59" s="167" t="s">
        <v>336</v>
      </c>
      <c r="C59" s="168" t="s">
        <v>216</v>
      </c>
      <c r="D59" s="168" t="s">
        <v>337</v>
      </c>
    </row>
    <row r="60" spans="2:4" ht="41.25" thickBot="1">
      <c r="B60" s="169" t="s">
        <v>338</v>
      </c>
      <c r="C60" s="170" t="s">
        <v>339</v>
      </c>
      <c r="D60" s="170" t="s">
        <v>340</v>
      </c>
    </row>
    <row r="61" spans="2:4" ht="41.25" thickBot="1">
      <c r="B61" s="169" t="s">
        <v>341</v>
      </c>
      <c r="C61" s="170" t="s">
        <v>342</v>
      </c>
      <c r="D61" s="170" t="s">
        <v>343</v>
      </c>
    </row>
    <row r="62" spans="2:4" ht="41.25" thickBot="1">
      <c r="B62" s="169" t="s">
        <v>344</v>
      </c>
      <c r="C62" s="170" t="s">
        <v>342</v>
      </c>
      <c r="D62" s="170" t="s">
        <v>345</v>
      </c>
    </row>
    <row r="63" spans="2:4" ht="41.25" thickBot="1">
      <c r="B63" s="169" t="s">
        <v>346</v>
      </c>
      <c r="C63" s="170" t="s">
        <v>347</v>
      </c>
      <c r="D63" s="170" t="s">
        <v>348</v>
      </c>
    </row>
    <row r="64" spans="2:4" thickBot="1">
      <c r="B64" s="169" t="s">
        <v>349</v>
      </c>
      <c r="C64" s="170" t="s">
        <v>342</v>
      </c>
      <c r="D64" s="170" t="s">
        <v>350</v>
      </c>
    </row>
    <row r="65" spans="2:4" thickBot="1">
      <c r="B65" s="167" t="s">
        <v>351</v>
      </c>
      <c r="C65" s="168" t="s">
        <v>216</v>
      </c>
      <c r="D65" s="168" t="s">
        <v>352</v>
      </c>
    </row>
    <row r="66" spans="2:4" ht="41.25" thickBot="1">
      <c r="B66" s="169" t="s">
        <v>353</v>
      </c>
      <c r="C66" s="170" t="s">
        <v>354</v>
      </c>
      <c r="D66" s="170" t="s">
        <v>355</v>
      </c>
    </row>
    <row r="67" spans="2:4" ht="41.25" thickBot="1">
      <c r="B67" s="169" t="s">
        <v>356</v>
      </c>
      <c r="C67" s="170" t="s">
        <v>357</v>
      </c>
      <c r="D67" s="170" t="s">
        <v>358</v>
      </c>
    </row>
    <row r="68" spans="2:4" ht="41.25" thickBot="1">
      <c r="B68" s="169" t="s">
        <v>359</v>
      </c>
      <c r="C68" s="170" t="s">
        <v>360</v>
      </c>
      <c r="D68" s="170" t="s">
        <v>361</v>
      </c>
    </row>
    <row r="69" spans="2:4" ht="61.5" thickBot="1">
      <c r="B69" s="169" t="s">
        <v>362</v>
      </c>
      <c r="C69" s="170" t="s">
        <v>363</v>
      </c>
      <c r="D69" s="170" t="s">
        <v>364</v>
      </c>
    </row>
    <row r="70" spans="2:4" thickBot="1">
      <c r="B70" s="167" t="s">
        <v>365</v>
      </c>
      <c r="C70" s="168" t="s">
        <v>216</v>
      </c>
      <c r="D70" s="168" t="s">
        <v>366</v>
      </c>
    </row>
    <row r="71" spans="2:4" ht="41.25" thickBot="1">
      <c r="B71" s="167" t="s">
        <v>367</v>
      </c>
      <c r="C71" s="168" t="s">
        <v>368</v>
      </c>
      <c r="D71" s="168" t="s">
        <v>369</v>
      </c>
    </row>
    <row r="72" spans="2:4" ht="41.25" thickBot="1">
      <c r="B72" s="167" t="s">
        <v>370</v>
      </c>
      <c r="C72" s="168" t="s">
        <v>371</v>
      </c>
      <c r="D72" s="168" t="s">
        <v>372</v>
      </c>
    </row>
    <row r="73" spans="2:4" thickBot="1">
      <c r="B73" s="167" t="s">
        <v>373</v>
      </c>
      <c r="C73" s="168" t="s">
        <v>374</v>
      </c>
      <c r="D73" s="168" t="s">
        <v>375</v>
      </c>
    </row>
    <row r="74" spans="2:4" ht="41.25" thickBot="1">
      <c r="B74" s="167" t="s">
        <v>376</v>
      </c>
      <c r="C74" s="168" t="s">
        <v>332</v>
      </c>
      <c r="D74" s="168" t="s">
        <v>377</v>
      </c>
    </row>
    <row r="75" spans="2:4" thickBot="1">
      <c r="B75" s="167" t="s">
        <v>378</v>
      </c>
      <c r="C75" s="168" t="s">
        <v>216</v>
      </c>
      <c r="D75" s="168" t="s">
        <v>379</v>
      </c>
    </row>
    <row r="76" spans="2:4" ht="41.25" thickBot="1">
      <c r="B76" s="167" t="s">
        <v>380</v>
      </c>
      <c r="C76" s="168" t="s">
        <v>216</v>
      </c>
      <c r="D76" s="168" t="s">
        <v>381</v>
      </c>
    </row>
    <row r="77" spans="2:4" ht="41.25" thickBot="1">
      <c r="B77" s="167" t="s">
        <v>382</v>
      </c>
      <c r="C77" s="168" t="s">
        <v>383</v>
      </c>
      <c r="D77" s="168" t="s">
        <v>384</v>
      </c>
    </row>
    <row r="78" spans="2:4" ht="41.25" thickBot="1">
      <c r="B78" s="169" t="s">
        <v>385</v>
      </c>
      <c r="C78" s="170" t="s">
        <v>216</v>
      </c>
      <c r="D78" s="170" t="s">
        <v>386</v>
      </c>
    </row>
    <row r="79" spans="2:4" ht="41.25" thickBot="1">
      <c r="B79" s="169" t="s">
        <v>387</v>
      </c>
      <c r="C79" s="170" t="s">
        <v>388</v>
      </c>
      <c r="D79" s="170" t="s">
        <v>389</v>
      </c>
    </row>
    <row r="80" spans="2:4" ht="41.25" thickBot="1">
      <c r="B80" s="169" t="s">
        <v>390</v>
      </c>
      <c r="C80" s="170" t="s">
        <v>388</v>
      </c>
      <c r="D80" s="170" t="s">
        <v>391</v>
      </c>
    </row>
    <row r="81" spans="2:4" ht="41.25" thickBot="1">
      <c r="B81" s="169" t="s">
        <v>392</v>
      </c>
      <c r="C81" s="170" t="s">
        <v>393</v>
      </c>
      <c r="D81" s="170" t="s">
        <v>394</v>
      </c>
    </row>
    <row r="82" spans="2:4" ht="61.5" thickBot="1">
      <c r="B82" s="169" t="s">
        <v>395</v>
      </c>
      <c r="C82" s="170" t="s">
        <v>396</v>
      </c>
      <c r="D82" s="170" t="s">
        <v>397</v>
      </c>
    </row>
    <row r="83" spans="2:4" thickBot="1">
      <c r="B83" s="167" t="s">
        <v>398</v>
      </c>
      <c r="C83" s="168" t="s">
        <v>216</v>
      </c>
      <c r="D83" s="168" t="s">
        <v>399</v>
      </c>
    </row>
    <row r="84" spans="2:4" ht="41.25" thickBot="1">
      <c r="B84" s="167" t="s">
        <v>400</v>
      </c>
      <c r="C84" s="168" t="s">
        <v>103</v>
      </c>
      <c r="D84" s="168" t="s">
        <v>401</v>
      </c>
    </row>
    <row r="85" spans="2:4" ht="41.25" thickBot="1">
      <c r="B85" s="167" t="s">
        <v>402</v>
      </c>
      <c r="C85" s="168" t="s">
        <v>204</v>
      </c>
      <c r="D85" s="168" t="s">
        <v>403</v>
      </c>
    </row>
    <row r="86" spans="2:4" ht="41.25" thickBot="1">
      <c r="B86" s="167" t="s">
        <v>404</v>
      </c>
      <c r="C86" s="168" t="s">
        <v>216</v>
      </c>
      <c r="D86" s="168" t="s">
        <v>403</v>
      </c>
    </row>
    <row r="87" spans="2:4" thickBot="1">
      <c r="B87" s="167" t="s">
        <v>405</v>
      </c>
      <c r="C87" s="168" t="s">
        <v>216</v>
      </c>
      <c r="D87" s="168" t="s">
        <v>406</v>
      </c>
    </row>
    <row r="88" spans="2:4" ht="41.25" thickBot="1">
      <c r="B88" s="167" t="s">
        <v>407</v>
      </c>
      <c r="C88" s="168" t="s">
        <v>266</v>
      </c>
      <c r="D88" s="168" t="s">
        <v>408</v>
      </c>
    </row>
    <row r="89" spans="2:4" ht="41.25" thickBot="1">
      <c r="B89" s="167" t="s">
        <v>409</v>
      </c>
      <c r="C89" s="168" t="s">
        <v>410</v>
      </c>
      <c r="D89" s="168" t="s">
        <v>411</v>
      </c>
    </row>
    <row r="90" spans="2:4" ht="41.25" thickBot="1">
      <c r="B90" s="167" t="s">
        <v>412</v>
      </c>
      <c r="C90" s="168" t="s">
        <v>413</v>
      </c>
      <c r="D90" s="168" t="s">
        <v>414</v>
      </c>
    </row>
    <row r="91" spans="2:4" ht="81.75" thickBot="1">
      <c r="B91" s="167" t="s">
        <v>415</v>
      </c>
      <c r="C91" s="168" t="s">
        <v>416</v>
      </c>
      <c r="D91" s="168" t="s">
        <v>417</v>
      </c>
    </row>
    <row r="92" spans="2:4" ht="41.25" thickBot="1">
      <c r="B92" s="167" t="s">
        <v>418</v>
      </c>
      <c r="C92" s="168" t="s">
        <v>216</v>
      </c>
      <c r="D92" s="168" t="s">
        <v>419</v>
      </c>
    </row>
    <row r="93" spans="2:4" ht="41.25" thickBot="1">
      <c r="B93" s="167" t="s">
        <v>420</v>
      </c>
      <c r="C93" s="168" t="s">
        <v>216</v>
      </c>
      <c r="D93" s="168" t="s">
        <v>421</v>
      </c>
    </row>
    <row r="94" spans="2:4" ht="41.25" thickBot="1">
      <c r="B94" s="175" t="s">
        <v>422</v>
      </c>
      <c r="C94" s="176" t="s">
        <v>201</v>
      </c>
      <c r="D94" s="176" t="s">
        <v>202</v>
      </c>
    </row>
    <row r="95" spans="2:4" thickBot="1">
      <c r="B95" s="174" t="s">
        <v>423</v>
      </c>
      <c r="C95" s="173" t="s">
        <v>424</v>
      </c>
      <c r="D95" s="173" t="s">
        <v>425</v>
      </c>
    </row>
    <row r="96" spans="2:4" thickBot="1">
      <c r="B96" s="174" t="s">
        <v>426</v>
      </c>
      <c r="C96" s="173" t="s">
        <v>427</v>
      </c>
      <c r="D96" s="173" t="s">
        <v>428</v>
      </c>
    </row>
    <row r="97" spans="2:4" ht="41.25" thickBot="1">
      <c r="B97" s="174" t="s">
        <v>429</v>
      </c>
      <c r="C97" s="173" t="s">
        <v>430</v>
      </c>
      <c r="D97" s="173" t="s">
        <v>431</v>
      </c>
    </row>
    <row r="98" spans="2:4" thickBot="1">
      <c r="B98" s="174" t="s">
        <v>432</v>
      </c>
      <c r="C98" s="173" t="s">
        <v>430</v>
      </c>
      <c r="D98" s="173" t="s">
        <v>433</v>
      </c>
    </row>
    <row r="99" spans="2:4" thickBot="1">
      <c r="B99" s="174" t="s">
        <v>434</v>
      </c>
      <c r="C99" s="173" t="s">
        <v>435</v>
      </c>
      <c r="D99" s="173" t="s">
        <v>436</v>
      </c>
    </row>
    <row r="100" spans="2:4" thickBot="1">
      <c r="B100" s="174" t="s">
        <v>437</v>
      </c>
      <c r="C100" s="173" t="s">
        <v>438</v>
      </c>
      <c r="D100" s="173" t="s">
        <v>439</v>
      </c>
    </row>
    <row r="101" spans="2:4" thickBot="1">
      <c r="B101" s="174" t="s">
        <v>440</v>
      </c>
      <c r="C101" s="173" t="s">
        <v>424</v>
      </c>
      <c r="D101" s="173" t="s">
        <v>441</v>
      </c>
    </row>
    <row r="102" spans="2:4" thickBot="1">
      <c r="B102" s="174" t="s">
        <v>442</v>
      </c>
      <c r="C102" s="173" t="s">
        <v>438</v>
      </c>
      <c r="D102" s="173" t="s">
        <v>443</v>
      </c>
    </row>
    <row r="103" spans="2:4" thickBot="1">
      <c r="B103" s="179" t="s">
        <v>444</v>
      </c>
      <c r="C103" s="180" t="s">
        <v>201</v>
      </c>
      <c r="D103" s="180" t="s">
        <v>202</v>
      </c>
    </row>
    <row r="104" spans="2:4" ht="41.25" thickBot="1">
      <c r="B104" s="177" t="s">
        <v>445</v>
      </c>
      <c r="C104" s="178" t="s">
        <v>216</v>
      </c>
      <c r="D104" s="178" t="s">
        <v>446</v>
      </c>
    </row>
    <row r="105" spans="2:4" ht="41.25" thickBot="1">
      <c r="B105" s="177" t="s">
        <v>447</v>
      </c>
      <c r="C105" s="178" t="s">
        <v>216</v>
      </c>
      <c r="D105" s="178" t="s">
        <v>448</v>
      </c>
    </row>
    <row r="106" spans="2:4" ht="41.25" thickBot="1">
      <c r="B106" s="177" t="s">
        <v>449</v>
      </c>
      <c r="C106" s="178" t="s">
        <v>216</v>
      </c>
      <c r="D106" s="178" t="s">
        <v>450</v>
      </c>
    </row>
    <row r="107" spans="2:4" ht="41.25" thickBot="1">
      <c r="B107" s="177" t="s">
        <v>451</v>
      </c>
      <c r="C107" s="178" t="s">
        <v>216</v>
      </c>
      <c r="D107" s="178" t="s">
        <v>452</v>
      </c>
    </row>
    <row r="108" spans="2:4" thickBot="1">
      <c r="B108" s="177" t="s">
        <v>453</v>
      </c>
      <c r="C108" s="178" t="s">
        <v>216</v>
      </c>
      <c r="D108" s="178" t="s">
        <v>454</v>
      </c>
    </row>
    <row r="109" spans="2:4" thickBot="1">
      <c r="B109" s="177" t="s">
        <v>455</v>
      </c>
      <c r="C109" s="178" t="s">
        <v>216</v>
      </c>
      <c r="D109" s="178" t="s">
        <v>456</v>
      </c>
    </row>
    <row r="110" spans="2:4" thickBot="1">
      <c r="B110" s="177" t="s">
        <v>457</v>
      </c>
      <c r="C110" s="178" t="s">
        <v>216</v>
      </c>
      <c r="D110" s="178" t="s">
        <v>458</v>
      </c>
    </row>
    <row r="111" spans="2:4" ht="41.25" thickBot="1">
      <c r="B111" s="177" t="s">
        <v>459</v>
      </c>
      <c r="C111" s="178" t="s">
        <v>216</v>
      </c>
      <c r="D111" s="178" t="s">
        <v>460</v>
      </c>
    </row>
    <row r="112" spans="2:4" thickBot="1">
      <c r="B112" s="177" t="s">
        <v>461</v>
      </c>
      <c r="C112" s="178" t="s">
        <v>216</v>
      </c>
      <c r="D112" s="178" t="s">
        <v>462</v>
      </c>
    </row>
    <row r="113" spans="2:4" ht="21" customHeight="1" thickBot="1">
      <c r="B113" s="839" t="s">
        <v>463</v>
      </c>
      <c r="C113" s="840"/>
      <c r="D113" s="841"/>
    </row>
    <row r="114" spans="2:4" ht="21" customHeight="1" thickBot="1">
      <c r="B114" s="839"/>
      <c r="C114" s="840"/>
      <c r="D114" s="841"/>
    </row>
    <row r="115" spans="2:4" ht="21" customHeight="1" thickBot="1">
      <c r="B115" s="842" t="s">
        <v>464</v>
      </c>
      <c r="C115" s="840"/>
      <c r="D115" s="841"/>
    </row>
    <row r="116" spans="2:4" ht="21" customHeight="1" thickBot="1">
      <c r="B116" s="839"/>
      <c r="C116" s="840"/>
      <c r="D116" s="841"/>
    </row>
    <row r="117" spans="2:4" ht="21" customHeight="1" thickBot="1">
      <c r="B117" s="839" t="s">
        <v>465</v>
      </c>
      <c r="C117" s="840"/>
      <c r="D117" s="841"/>
    </row>
    <row r="118" spans="2:4" ht="21" customHeight="1" thickBot="1">
      <c r="B118" s="839"/>
      <c r="C118" s="840"/>
      <c r="D118" s="841"/>
    </row>
  </sheetData>
  <mergeCells count="3">
    <mergeCell ref="B113:D114"/>
    <mergeCell ref="B115:D116"/>
    <mergeCell ref="B117:D11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42"/>
  <sheetViews>
    <sheetView showGridLines="0" workbookViewId="0">
      <selection activeCell="L11" sqref="L11"/>
    </sheetView>
  </sheetViews>
  <sheetFormatPr defaultRowHeight="15"/>
  <cols>
    <col min="8" max="8" width="11.85546875" customWidth="1"/>
    <col min="9" max="9" width="14.42578125" customWidth="1"/>
    <col min="10" max="10" width="19.85546875" customWidth="1"/>
    <col min="11" max="11" width="11.5703125" customWidth="1"/>
    <col min="12" max="12" width="39.42578125" customWidth="1"/>
    <col min="13" max="13" width="29.85546875" customWidth="1"/>
    <col min="14" max="14" width="20" customWidth="1"/>
    <col min="18" max="18" width="9.140625" customWidth="1"/>
    <col min="20" max="20" width="3" style="142" customWidth="1"/>
    <col min="32" max="32" width="9.140625" customWidth="1"/>
  </cols>
  <sheetData>
    <row r="1" spans="1:20" ht="20.25" customHeight="1" thickTop="1" thickBot="1">
      <c r="A1" s="848" t="s">
        <v>5</v>
      </c>
      <c r="B1" s="849"/>
      <c r="C1" s="849"/>
      <c r="D1" s="849"/>
      <c r="E1" s="849"/>
      <c r="F1" s="849"/>
      <c r="G1" s="844" t="s">
        <v>26</v>
      </c>
      <c r="H1" s="846">
        <v>10</v>
      </c>
      <c r="T1"/>
    </row>
    <row r="2" spans="1:20" ht="16.5" customHeight="1" thickTop="1" thickBot="1">
      <c r="A2" s="849"/>
      <c r="B2" s="849"/>
      <c r="C2" s="849"/>
      <c r="D2" s="849"/>
      <c r="E2" s="849"/>
      <c r="F2" s="849"/>
      <c r="G2" s="845"/>
      <c r="H2" s="847"/>
      <c r="T2"/>
    </row>
    <row r="3" spans="1:20" ht="15" customHeight="1" thickTop="1" thickBot="1">
      <c r="A3" s="849"/>
      <c r="B3" s="849"/>
      <c r="C3" s="849"/>
      <c r="D3" s="849"/>
      <c r="E3" s="849"/>
      <c r="F3" s="849"/>
      <c r="G3" s="851" t="s">
        <v>107</v>
      </c>
      <c r="H3" s="852"/>
      <c r="I3" s="852"/>
      <c r="J3" s="852"/>
      <c r="K3" s="852"/>
      <c r="L3" s="852"/>
      <c r="M3" s="852"/>
      <c r="T3"/>
    </row>
    <row r="4" spans="1:20" ht="15" customHeight="1" thickTop="1" thickBot="1">
      <c r="A4" s="850" t="s">
        <v>44</v>
      </c>
      <c r="B4" s="850"/>
      <c r="C4" s="850"/>
      <c r="D4" s="850"/>
      <c r="E4" s="850"/>
      <c r="F4" s="850"/>
      <c r="G4" s="851"/>
      <c r="H4" s="852"/>
      <c r="I4" s="852"/>
      <c r="J4" s="852"/>
      <c r="K4" s="852"/>
      <c r="L4" s="852"/>
      <c r="M4" s="852"/>
      <c r="T4"/>
    </row>
    <row r="5" spans="1:20" ht="20.25" thickTop="1" thickBot="1">
      <c r="A5" s="850"/>
      <c r="B5" s="850"/>
      <c r="C5" s="850"/>
      <c r="D5" s="850"/>
      <c r="E5" s="850"/>
      <c r="F5" s="850"/>
      <c r="G5" s="182" t="s">
        <v>466</v>
      </c>
      <c r="H5" s="183" t="s">
        <v>467</v>
      </c>
      <c r="I5" s="184" t="s">
        <v>195</v>
      </c>
      <c r="J5" s="184" t="s">
        <v>196</v>
      </c>
      <c r="K5" s="184" t="s">
        <v>197</v>
      </c>
      <c r="L5" s="437" t="s">
        <v>468</v>
      </c>
      <c r="M5" s="442" t="s">
        <v>1170</v>
      </c>
      <c r="T5"/>
    </row>
    <row r="6" spans="1:20" ht="22.5" customHeight="1" thickTop="1" thickBot="1">
      <c r="A6" s="181">
        <v>1</v>
      </c>
      <c r="B6" s="843" t="s">
        <v>469</v>
      </c>
      <c r="C6" s="843"/>
      <c r="D6" s="843"/>
      <c r="E6" s="843"/>
      <c r="F6" s="843"/>
      <c r="G6" s="186">
        <v>1</v>
      </c>
      <c r="H6" s="187">
        <v>1</v>
      </c>
      <c r="I6" s="188">
        <v>2</v>
      </c>
      <c r="J6" s="188">
        <v>0</v>
      </c>
      <c r="K6" s="188">
        <v>0</v>
      </c>
      <c r="L6" s="438" t="s">
        <v>1169</v>
      </c>
      <c r="M6" s="441"/>
      <c r="T6"/>
    </row>
    <row r="7" spans="1:20" ht="22.5" customHeight="1" thickTop="1" thickBot="1">
      <c r="A7" s="181">
        <v>2</v>
      </c>
      <c r="B7" s="843" t="s">
        <v>471</v>
      </c>
      <c r="C7" s="843"/>
      <c r="D7" s="843"/>
      <c r="E7" s="843"/>
      <c r="F7" s="843"/>
      <c r="G7" s="182">
        <v>2</v>
      </c>
      <c r="H7" s="183">
        <v>2</v>
      </c>
      <c r="I7" s="185">
        <v>3</v>
      </c>
      <c r="J7" s="185">
        <v>0</v>
      </c>
      <c r="K7" s="185">
        <v>0</v>
      </c>
      <c r="L7" s="439" t="s">
        <v>470</v>
      </c>
      <c r="M7" s="443"/>
      <c r="T7"/>
    </row>
    <row r="8" spans="1:20" ht="22.5" customHeight="1" thickTop="1" thickBot="1">
      <c r="A8" s="181">
        <v>3</v>
      </c>
      <c r="B8" s="843" t="s">
        <v>59</v>
      </c>
      <c r="C8" s="843"/>
      <c r="D8" s="843"/>
      <c r="E8" s="843"/>
      <c r="F8" s="843"/>
      <c r="G8" s="186">
        <v>3</v>
      </c>
      <c r="H8" s="187">
        <v>3</v>
      </c>
      <c r="I8" s="188">
        <v>3</v>
      </c>
      <c r="J8" s="188">
        <v>1</v>
      </c>
      <c r="K8" s="188">
        <v>1</v>
      </c>
      <c r="L8" s="440" t="s">
        <v>1168</v>
      </c>
      <c r="M8" s="441"/>
      <c r="T8"/>
    </row>
    <row r="9" spans="1:20" ht="22.5" customHeight="1" thickTop="1" thickBot="1">
      <c r="A9" s="181">
        <v>4</v>
      </c>
      <c r="B9" s="843" t="s">
        <v>472</v>
      </c>
      <c r="C9" s="843"/>
      <c r="D9" s="843"/>
      <c r="E9" s="843"/>
      <c r="F9" s="843"/>
      <c r="G9" s="182">
        <v>4</v>
      </c>
      <c r="H9" s="183">
        <v>4</v>
      </c>
      <c r="I9" s="185">
        <v>4</v>
      </c>
      <c r="J9" s="185">
        <v>1</v>
      </c>
      <c r="K9" s="185">
        <v>1</v>
      </c>
      <c r="L9" s="439" t="s">
        <v>470</v>
      </c>
      <c r="M9" s="444" t="s">
        <v>1171</v>
      </c>
      <c r="T9"/>
    </row>
    <row r="10" spans="1:20" ht="22.5" customHeight="1" thickTop="1" thickBot="1">
      <c r="A10" s="181">
        <v>5</v>
      </c>
      <c r="B10" s="843" t="s">
        <v>473</v>
      </c>
      <c r="C10" s="843"/>
      <c r="D10" s="843"/>
      <c r="E10" s="843"/>
      <c r="F10" s="843"/>
      <c r="G10" s="186">
        <v>5</v>
      </c>
      <c r="H10" s="187">
        <v>5</v>
      </c>
      <c r="I10" s="188">
        <v>4</v>
      </c>
      <c r="J10" s="188">
        <v>1</v>
      </c>
      <c r="K10" s="188">
        <v>1</v>
      </c>
      <c r="L10" s="440"/>
      <c r="M10" s="441"/>
      <c r="T10"/>
    </row>
    <row r="11" spans="1:20" ht="22.5" customHeight="1" thickTop="1" thickBot="1">
      <c r="A11" s="181">
        <v>6</v>
      </c>
      <c r="B11" s="843" t="s">
        <v>474</v>
      </c>
      <c r="C11" s="843"/>
      <c r="D11" s="843"/>
      <c r="E11" s="843"/>
      <c r="F11" s="843"/>
      <c r="G11" s="182">
        <v>6</v>
      </c>
      <c r="H11" s="183">
        <v>6</v>
      </c>
      <c r="I11" s="185">
        <v>5</v>
      </c>
      <c r="J11" s="185">
        <v>2</v>
      </c>
      <c r="K11" s="185">
        <v>2</v>
      </c>
      <c r="L11" s="439" t="s">
        <v>1169</v>
      </c>
      <c r="M11" s="443"/>
      <c r="T11"/>
    </row>
    <row r="12" spans="1:20" ht="22.5" customHeight="1" thickTop="1" thickBot="1">
      <c r="A12" s="181">
        <v>7</v>
      </c>
      <c r="B12" s="843" t="s">
        <v>475</v>
      </c>
      <c r="C12" s="843"/>
      <c r="D12" s="843"/>
      <c r="E12" s="843"/>
      <c r="F12" s="843"/>
      <c r="G12" s="186">
        <v>7</v>
      </c>
      <c r="H12" s="187">
        <v>7</v>
      </c>
      <c r="I12" s="188">
        <v>5</v>
      </c>
      <c r="J12" s="188">
        <v>2</v>
      </c>
      <c r="K12" s="188">
        <v>2</v>
      </c>
      <c r="L12" s="440"/>
      <c r="M12" s="441"/>
      <c r="T12"/>
    </row>
    <row r="13" spans="1:20" ht="22.5" customHeight="1" thickTop="1" thickBot="1">
      <c r="A13" s="379"/>
      <c r="B13" s="136"/>
      <c r="C13" s="136"/>
      <c r="D13" s="136"/>
      <c r="E13" s="136"/>
      <c r="F13" s="136"/>
      <c r="G13" s="183">
        <v>8</v>
      </c>
      <c r="H13" s="183">
        <v>8</v>
      </c>
      <c r="I13" s="185">
        <v>6</v>
      </c>
      <c r="J13" s="185">
        <v>2</v>
      </c>
      <c r="K13" s="185">
        <v>2</v>
      </c>
      <c r="L13" s="439" t="s">
        <v>470</v>
      </c>
      <c r="M13" s="444" t="s">
        <v>1171</v>
      </c>
      <c r="T13"/>
    </row>
    <row r="14" spans="1:20" ht="22.5" customHeight="1" thickTop="1" thickBot="1">
      <c r="A14" s="379"/>
      <c r="B14" s="136"/>
      <c r="C14" s="136"/>
      <c r="D14" s="136"/>
      <c r="E14" s="136"/>
      <c r="F14" s="136"/>
      <c r="G14" s="187">
        <v>9</v>
      </c>
      <c r="H14" s="187">
        <v>9</v>
      </c>
      <c r="I14" s="188">
        <v>6</v>
      </c>
      <c r="J14" s="188">
        <v>3</v>
      </c>
      <c r="K14" s="188">
        <v>3</v>
      </c>
      <c r="L14" s="440" t="s">
        <v>1168</v>
      </c>
      <c r="M14" s="441"/>
      <c r="T14"/>
    </row>
    <row r="15" spans="1:20" ht="20.25" thickTop="1" thickBot="1">
      <c r="G15" s="183">
        <v>10</v>
      </c>
      <c r="H15" s="183">
        <v>10</v>
      </c>
      <c r="I15" s="185">
        <v>7</v>
      </c>
      <c r="J15" s="185">
        <v>3</v>
      </c>
      <c r="K15" s="185">
        <v>3</v>
      </c>
      <c r="L15" s="439" t="s">
        <v>470</v>
      </c>
      <c r="M15" s="443"/>
      <c r="T15"/>
    </row>
    <row r="16" spans="1:20" ht="20.25" thickTop="1" thickBot="1">
      <c r="G16" s="187">
        <v>11</v>
      </c>
      <c r="H16" s="187">
        <v>11</v>
      </c>
      <c r="I16" s="188">
        <v>7</v>
      </c>
      <c r="J16" s="188">
        <v>3</v>
      </c>
      <c r="K16" s="188">
        <v>3</v>
      </c>
      <c r="L16" s="440"/>
      <c r="M16" s="441"/>
      <c r="T16"/>
    </row>
    <row r="17" spans="7:20" ht="20.25" thickTop="1" thickBot="1">
      <c r="G17" s="183">
        <v>12</v>
      </c>
      <c r="H17" s="183">
        <v>12</v>
      </c>
      <c r="I17" s="185">
        <v>8</v>
      </c>
      <c r="J17" s="185">
        <v>4</v>
      </c>
      <c r="K17" s="185">
        <v>4</v>
      </c>
      <c r="L17" s="439" t="s">
        <v>1169</v>
      </c>
      <c r="M17" s="444" t="s">
        <v>1171</v>
      </c>
      <c r="T17"/>
    </row>
    <row r="18" spans="7:20" ht="20.25" thickTop="1" thickBot="1">
      <c r="G18" s="187">
        <v>13</v>
      </c>
      <c r="H18" s="187">
        <v>13</v>
      </c>
      <c r="I18" s="188">
        <v>8</v>
      </c>
      <c r="J18" s="188">
        <v>4</v>
      </c>
      <c r="K18" s="188">
        <v>4</v>
      </c>
      <c r="L18" s="440"/>
      <c r="M18" s="441"/>
      <c r="T18"/>
    </row>
    <row r="19" spans="7:20" ht="20.25" thickTop="1" thickBot="1">
      <c r="G19" s="183">
        <v>14</v>
      </c>
      <c r="H19" s="183">
        <v>14</v>
      </c>
      <c r="I19" s="185">
        <v>9</v>
      </c>
      <c r="J19" s="185">
        <v>4</v>
      </c>
      <c r="K19" s="185">
        <v>4</v>
      </c>
      <c r="L19" s="439" t="s">
        <v>470</v>
      </c>
      <c r="M19" s="443"/>
      <c r="T19"/>
    </row>
    <row r="20" spans="7:20" ht="20.25" thickTop="1" thickBot="1">
      <c r="G20" s="187">
        <v>15</v>
      </c>
      <c r="H20" s="187">
        <v>15</v>
      </c>
      <c r="I20" s="188">
        <v>9</v>
      </c>
      <c r="J20" s="188">
        <v>5</v>
      </c>
      <c r="K20" s="188">
        <v>5</v>
      </c>
      <c r="L20" s="440" t="s">
        <v>1168</v>
      </c>
      <c r="M20" s="441"/>
      <c r="T20"/>
    </row>
    <row r="21" spans="7:20" ht="20.25" thickTop="1" thickBot="1">
      <c r="G21" s="183">
        <v>16</v>
      </c>
      <c r="H21" s="183">
        <v>16</v>
      </c>
      <c r="I21" s="185">
        <v>10</v>
      </c>
      <c r="J21" s="185">
        <v>5</v>
      </c>
      <c r="K21" s="185">
        <v>5</v>
      </c>
      <c r="L21" s="439" t="s">
        <v>470</v>
      </c>
      <c r="M21" s="444" t="s">
        <v>1171</v>
      </c>
      <c r="T21"/>
    </row>
    <row r="22" spans="7:20" ht="20.25" thickTop="1" thickBot="1">
      <c r="G22" s="187">
        <v>17</v>
      </c>
      <c r="H22" s="187">
        <v>17</v>
      </c>
      <c r="I22" s="188">
        <v>10</v>
      </c>
      <c r="J22" s="188">
        <v>5</v>
      </c>
      <c r="K22" s="188">
        <v>5</v>
      </c>
      <c r="L22" s="440"/>
      <c r="M22" s="441"/>
      <c r="T22"/>
    </row>
    <row r="23" spans="7:20" ht="20.25" thickTop="1" thickBot="1">
      <c r="G23" s="183">
        <v>18</v>
      </c>
      <c r="H23" s="183">
        <v>18</v>
      </c>
      <c r="I23" s="185">
        <v>11</v>
      </c>
      <c r="J23" s="185">
        <v>6</v>
      </c>
      <c r="K23" s="185">
        <v>6</v>
      </c>
      <c r="L23" s="439" t="s">
        <v>1169</v>
      </c>
      <c r="M23" s="443"/>
      <c r="T23"/>
    </row>
    <row r="24" spans="7:20" ht="20.25" thickTop="1" thickBot="1">
      <c r="G24" s="187">
        <v>19</v>
      </c>
      <c r="H24" s="187">
        <v>19</v>
      </c>
      <c r="I24" s="188">
        <v>11</v>
      </c>
      <c r="J24" s="188">
        <v>6</v>
      </c>
      <c r="K24" s="188">
        <v>6</v>
      </c>
      <c r="L24" s="440"/>
      <c r="M24" s="441"/>
    </row>
    <row r="25" spans="7:20" ht="20.25" thickTop="1" thickBot="1">
      <c r="G25" s="183">
        <v>20</v>
      </c>
      <c r="H25" s="183">
        <v>20</v>
      </c>
      <c r="I25" s="185">
        <v>12</v>
      </c>
      <c r="J25" s="185">
        <v>6</v>
      </c>
      <c r="K25" s="185">
        <v>6</v>
      </c>
      <c r="L25" s="439" t="s">
        <v>470</v>
      </c>
      <c r="M25" s="444" t="s">
        <v>1171</v>
      </c>
    </row>
    <row r="26" spans="7:20" s="142" customFormat="1" ht="15.75" thickTop="1"/>
    <row r="41" spans="1:8">
      <c r="A41" s="141"/>
      <c r="B41" s="141"/>
      <c r="C41" s="141"/>
      <c r="D41" s="141"/>
      <c r="E41" s="141"/>
      <c r="F41" s="141"/>
      <c r="G41" s="141"/>
      <c r="H41" s="141"/>
    </row>
    <row r="42" spans="1:8">
      <c r="A42" s="141"/>
      <c r="B42" s="141"/>
      <c r="C42" s="141"/>
      <c r="D42" s="141"/>
      <c r="E42" s="141"/>
      <c r="F42" s="141"/>
      <c r="G42" s="141"/>
      <c r="H42" s="141"/>
    </row>
  </sheetData>
  <mergeCells count="12">
    <mergeCell ref="B12:F12"/>
    <mergeCell ref="G1:G2"/>
    <mergeCell ref="H1:H2"/>
    <mergeCell ref="A1:F3"/>
    <mergeCell ref="A4:F5"/>
    <mergeCell ref="B6:F6"/>
    <mergeCell ref="B7:F7"/>
    <mergeCell ref="B8:F8"/>
    <mergeCell ref="B9:F9"/>
    <mergeCell ref="B10:F10"/>
    <mergeCell ref="B11:F11"/>
    <mergeCell ref="G3:M4"/>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48"/>
  <sheetViews>
    <sheetView showGridLines="0" showRowColHeaders="0" zoomScale="85" zoomScaleNormal="85" workbookViewId="0">
      <selection activeCell="F1" sqref="F1:F2"/>
    </sheetView>
  </sheetViews>
  <sheetFormatPr defaultRowHeight="15"/>
  <cols>
    <col min="4" max="4" width="13.28515625" customWidth="1"/>
    <col min="5" max="5" width="9.140625" customWidth="1"/>
    <col min="7" max="7" width="11.28515625" customWidth="1"/>
    <col min="8" max="8" width="12.5703125" customWidth="1"/>
    <col min="10" max="10" width="11.140625" customWidth="1"/>
    <col min="11" max="11" width="14.7109375" customWidth="1"/>
    <col min="12" max="12" width="45" customWidth="1"/>
    <col min="14" max="14" width="8" customWidth="1"/>
    <col min="15" max="15" width="9.42578125" customWidth="1"/>
    <col min="17" max="17" width="9.140625" customWidth="1"/>
  </cols>
  <sheetData>
    <row r="1" spans="1:19" ht="37.5" customHeight="1" thickBot="1">
      <c r="A1" s="873" t="s">
        <v>186</v>
      </c>
      <c r="B1" s="874"/>
      <c r="C1" s="874"/>
      <c r="D1" s="875"/>
      <c r="E1" s="872" t="s">
        <v>26</v>
      </c>
      <c r="F1" s="872">
        <v>6</v>
      </c>
      <c r="G1" s="861" t="s">
        <v>2</v>
      </c>
      <c r="H1" s="861" t="s">
        <v>476</v>
      </c>
      <c r="I1" s="861" t="s">
        <v>477</v>
      </c>
      <c r="J1" s="870" t="s">
        <v>478</v>
      </c>
      <c r="K1" s="870" t="s">
        <v>479</v>
      </c>
      <c r="L1" s="190" t="s">
        <v>480</v>
      </c>
      <c r="M1" s="867" t="s">
        <v>192</v>
      </c>
      <c r="N1" s="868"/>
      <c r="O1" s="868"/>
      <c r="P1" s="868"/>
      <c r="Q1" s="868"/>
      <c r="R1" s="868"/>
      <c r="S1" s="869"/>
    </row>
    <row r="2" spans="1:19" ht="25.5" customHeight="1" thickBot="1">
      <c r="A2" s="874"/>
      <c r="B2" s="874"/>
      <c r="C2" s="874"/>
      <c r="D2" s="875"/>
      <c r="E2" s="872"/>
      <c r="F2" s="872"/>
      <c r="G2" s="861"/>
      <c r="H2" s="861"/>
      <c r="I2" s="861"/>
      <c r="J2" s="871"/>
      <c r="K2" s="871"/>
      <c r="L2" s="190"/>
      <c r="M2" s="191">
        <v>0</v>
      </c>
      <c r="N2" s="191">
        <v>1</v>
      </c>
      <c r="O2" s="191">
        <v>2</v>
      </c>
      <c r="P2" s="191">
        <v>3</v>
      </c>
      <c r="Q2" s="191">
        <v>4</v>
      </c>
      <c r="R2" s="191">
        <v>5</v>
      </c>
      <c r="S2" s="191">
        <v>6</v>
      </c>
    </row>
    <row r="3" spans="1:19" ht="54.75" customHeight="1" thickBot="1">
      <c r="A3" s="143"/>
      <c r="B3" s="143"/>
      <c r="C3" s="143"/>
      <c r="D3" s="143"/>
      <c r="E3" s="143"/>
      <c r="F3" s="143"/>
      <c r="G3" s="216">
        <v>1</v>
      </c>
      <c r="H3" s="216">
        <v>0</v>
      </c>
      <c r="I3" s="216">
        <v>0</v>
      </c>
      <c r="J3" s="216">
        <v>2</v>
      </c>
      <c r="K3" s="216">
        <v>2</v>
      </c>
      <c r="L3" s="159" t="s">
        <v>481</v>
      </c>
      <c r="M3" s="162">
        <v>2</v>
      </c>
      <c r="N3" s="162" t="s">
        <v>216</v>
      </c>
      <c r="O3" s="162" t="s">
        <v>216</v>
      </c>
      <c r="P3" s="162" t="s">
        <v>216</v>
      </c>
      <c r="Q3" s="162" t="s">
        <v>216</v>
      </c>
      <c r="R3" s="162" t="s">
        <v>216</v>
      </c>
      <c r="S3" s="162" t="s">
        <v>194</v>
      </c>
    </row>
    <row r="4" spans="1:19" ht="16.5" customHeight="1" thickBot="1">
      <c r="A4" s="143"/>
      <c r="B4" s="143"/>
      <c r="C4" s="143"/>
      <c r="D4" s="143"/>
      <c r="E4" s="143"/>
      <c r="F4" s="143"/>
      <c r="G4" s="194">
        <v>2</v>
      </c>
      <c r="H4" s="194">
        <v>1</v>
      </c>
      <c r="I4" s="194">
        <v>0</v>
      </c>
      <c r="J4" s="194">
        <v>3</v>
      </c>
      <c r="K4" s="194">
        <v>3</v>
      </c>
      <c r="L4" s="192" t="s">
        <v>482</v>
      </c>
      <c r="M4" s="191">
        <v>3</v>
      </c>
      <c r="N4" s="191">
        <v>0</v>
      </c>
      <c r="O4" s="191" t="s">
        <v>216</v>
      </c>
      <c r="P4" s="191" t="s">
        <v>194</v>
      </c>
      <c r="Q4" s="191" t="s">
        <v>216</v>
      </c>
      <c r="R4" s="191" t="s">
        <v>216</v>
      </c>
      <c r="S4" s="191" t="s">
        <v>194</v>
      </c>
    </row>
    <row r="5" spans="1:19" ht="35.25" customHeight="1" thickBot="1">
      <c r="A5" s="143"/>
      <c r="B5" s="143"/>
      <c r="C5" s="143"/>
      <c r="D5" s="143"/>
      <c r="E5" s="143"/>
      <c r="F5" s="143"/>
      <c r="G5" s="216">
        <v>3</v>
      </c>
      <c r="H5" s="216">
        <v>2</v>
      </c>
      <c r="I5" s="216">
        <v>1</v>
      </c>
      <c r="J5" s="216">
        <v>3</v>
      </c>
      <c r="K5" s="216">
        <v>3</v>
      </c>
      <c r="L5" s="159" t="s">
        <v>483</v>
      </c>
      <c r="M5" s="162">
        <v>3</v>
      </c>
      <c r="N5" s="162">
        <v>1</v>
      </c>
      <c r="O5" s="162" t="s">
        <v>216</v>
      </c>
      <c r="P5" s="162" t="s">
        <v>216</v>
      </c>
      <c r="Q5" s="162" t="s">
        <v>216</v>
      </c>
      <c r="R5" s="162" t="s">
        <v>216</v>
      </c>
      <c r="S5" s="162" t="s">
        <v>194</v>
      </c>
    </row>
    <row r="6" spans="1:19" ht="16.5" customHeight="1" thickBot="1">
      <c r="A6" s="143"/>
      <c r="B6" s="143"/>
      <c r="C6" s="143"/>
      <c r="D6" s="143"/>
      <c r="E6" s="143"/>
      <c r="F6" s="143"/>
      <c r="G6" s="194">
        <v>4</v>
      </c>
      <c r="H6" s="194">
        <v>3</v>
      </c>
      <c r="I6" s="194">
        <v>1</v>
      </c>
      <c r="J6" s="194">
        <v>4</v>
      </c>
      <c r="K6" s="194">
        <v>4</v>
      </c>
      <c r="L6" s="192" t="s">
        <v>482</v>
      </c>
      <c r="M6" s="191">
        <v>3</v>
      </c>
      <c r="N6" s="191">
        <v>2</v>
      </c>
      <c r="O6" s="191">
        <v>0</v>
      </c>
      <c r="P6" s="191" t="s">
        <v>216</v>
      </c>
      <c r="Q6" s="191" t="s">
        <v>216</v>
      </c>
      <c r="R6" s="191" t="s">
        <v>216</v>
      </c>
      <c r="S6" s="191" t="s">
        <v>194</v>
      </c>
    </row>
    <row r="7" spans="1:19" ht="16.5" customHeight="1" thickBot="1">
      <c r="A7" s="143"/>
      <c r="B7" s="143"/>
      <c r="C7" s="143"/>
      <c r="D7" s="143"/>
      <c r="E7" s="143"/>
      <c r="F7" s="143"/>
      <c r="G7" s="216">
        <v>5</v>
      </c>
      <c r="H7" s="216">
        <v>3</v>
      </c>
      <c r="I7" s="216">
        <v>1</v>
      </c>
      <c r="J7" s="216">
        <v>4</v>
      </c>
      <c r="K7" s="216">
        <v>4</v>
      </c>
      <c r="L7" s="159"/>
      <c r="M7" s="162">
        <v>3</v>
      </c>
      <c r="N7" s="162">
        <v>3</v>
      </c>
      <c r="O7" s="162">
        <v>1</v>
      </c>
      <c r="P7" s="162" t="s">
        <v>194</v>
      </c>
      <c r="Q7" s="162" t="s">
        <v>194</v>
      </c>
      <c r="R7" s="162" t="s">
        <v>194</v>
      </c>
      <c r="S7" s="162" t="s">
        <v>194</v>
      </c>
    </row>
    <row r="8" spans="1:19" ht="19.5" customHeight="1" thickBot="1">
      <c r="A8" s="143"/>
      <c r="B8" s="143"/>
      <c r="C8" s="143"/>
      <c r="D8" s="143"/>
      <c r="E8" s="143"/>
      <c r="F8" s="143"/>
      <c r="G8" s="195">
        <v>6</v>
      </c>
      <c r="H8" s="195">
        <v>4</v>
      </c>
      <c r="I8" s="195">
        <v>2</v>
      </c>
      <c r="J8" s="195">
        <v>5</v>
      </c>
      <c r="K8" s="195">
        <v>5</v>
      </c>
      <c r="L8" s="193" t="s">
        <v>484</v>
      </c>
      <c r="M8" s="189">
        <v>3</v>
      </c>
      <c r="N8" s="189">
        <v>3</v>
      </c>
      <c r="O8" s="189">
        <v>2</v>
      </c>
      <c r="P8" s="189" t="s">
        <v>194</v>
      </c>
      <c r="Q8" s="189" t="s">
        <v>194</v>
      </c>
      <c r="R8" s="189" t="s">
        <v>194</v>
      </c>
      <c r="S8" s="189" t="s">
        <v>194</v>
      </c>
    </row>
    <row r="9" spans="1:19" ht="19.5" customHeight="1" thickBot="1">
      <c r="A9" s="143"/>
      <c r="B9" s="143"/>
      <c r="C9" s="143"/>
      <c r="D9" s="143"/>
      <c r="E9" s="143"/>
      <c r="F9" s="143"/>
      <c r="G9" s="217">
        <v>7</v>
      </c>
      <c r="H9" s="217">
        <v>5</v>
      </c>
      <c r="I9" s="217">
        <v>2</v>
      </c>
      <c r="J9" s="217">
        <v>5</v>
      </c>
      <c r="K9" s="217">
        <v>5</v>
      </c>
      <c r="L9" s="160"/>
      <c r="M9" s="161">
        <v>3</v>
      </c>
      <c r="N9" s="161">
        <v>3</v>
      </c>
      <c r="O9" s="161">
        <v>2</v>
      </c>
      <c r="P9" s="161">
        <v>0</v>
      </c>
      <c r="Q9" s="161" t="s">
        <v>194</v>
      </c>
      <c r="R9" s="161" t="s">
        <v>194</v>
      </c>
      <c r="S9" s="161" t="s">
        <v>194</v>
      </c>
    </row>
    <row r="10" spans="1:19" ht="19.5" customHeight="1" thickBot="1">
      <c r="A10" s="143"/>
      <c r="B10" s="143"/>
      <c r="C10" s="143"/>
      <c r="D10" s="143"/>
      <c r="E10" s="143"/>
      <c r="F10" s="143"/>
      <c r="G10" s="195">
        <v>8</v>
      </c>
      <c r="H10" s="195">
        <f>6/1</f>
        <v>6</v>
      </c>
      <c r="I10" s="195">
        <v>2</v>
      </c>
      <c r="J10" s="195">
        <v>6</v>
      </c>
      <c r="K10" s="195">
        <v>6</v>
      </c>
      <c r="L10" s="193" t="s">
        <v>485</v>
      </c>
      <c r="M10" s="189">
        <v>3</v>
      </c>
      <c r="N10" s="189">
        <v>3</v>
      </c>
      <c r="O10" s="189">
        <v>3</v>
      </c>
      <c r="P10" s="189">
        <v>1</v>
      </c>
      <c r="Q10" s="189" t="s">
        <v>194</v>
      </c>
      <c r="R10" s="189" t="s">
        <v>194</v>
      </c>
      <c r="S10" s="189" t="s">
        <v>194</v>
      </c>
    </row>
    <row r="11" spans="1:19" ht="19.5" customHeight="1" thickBot="1">
      <c r="A11" s="143"/>
      <c r="B11" s="143"/>
      <c r="C11" s="143"/>
      <c r="D11" s="143"/>
      <c r="E11" s="143"/>
      <c r="F11" s="143"/>
      <c r="G11" s="217">
        <v>9</v>
      </c>
      <c r="H11" s="217">
        <f>6/1</f>
        <v>6</v>
      </c>
      <c r="I11" s="217">
        <v>3</v>
      </c>
      <c r="J11" s="217">
        <v>6</v>
      </c>
      <c r="K11" s="217">
        <v>6</v>
      </c>
      <c r="L11" s="160" t="s">
        <v>486</v>
      </c>
      <c r="M11" s="161">
        <v>3</v>
      </c>
      <c r="N11" s="161">
        <v>3</v>
      </c>
      <c r="O11" s="161">
        <v>3</v>
      </c>
      <c r="P11" s="161">
        <v>2</v>
      </c>
      <c r="Q11" s="161" t="s">
        <v>194</v>
      </c>
      <c r="R11" s="161" t="s">
        <v>194</v>
      </c>
      <c r="S11" s="161" t="s">
        <v>194</v>
      </c>
    </row>
    <row r="12" spans="1:19" ht="19.5" customHeight="1" thickBot="1">
      <c r="A12" s="143"/>
      <c r="B12" s="143"/>
      <c r="C12" s="143"/>
      <c r="D12" s="143"/>
      <c r="E12" s="143"/>
      <c r="F12" s="143"/>
      <c r="G12" s="194">
        <v>10</v>
      </c>
      <c r="H12" s="195">
        <v>7</v>
      </c>
      <c r="I12" s="195">
        <v>3</v>
      </c>
      <c r="J12" s="195">
        <v>7</v>
      </c>
      <c r="K12" s="195">
        <v>7</v>
      </c>
      <c r="L12" s="193"/>
      <c r="M12" s="189">
        <v>3</v>
      </c>
      <c r="N12" s="189">
        <v>3</v>
      </c>
      <c r="O12" s="189">
        <v>3</v>
      </c>
      <c r="P12" s="189">
        <v>2</v>
      </c>
      <c r="Q12" s="189">
        <v>0</v>
      </c>
      <c r="R12" s="189" t="s">
        <v>194</v>
      </c>
      <c r="S12" s="189" t="s">
        <v>194</v>
      </c>
    </row>
    <row r="13" spans="1:19" ht="19.5" customHeight="1" thickBot="1">
      <c r="A13" s="143"/>
      <c r="B13" s="143"/>
      <c r="C13" s="143"/>
      <c r="D13" s="143"/>
      <c r="E13" s="143"/>
      <c r="F13" s="143"/>
      <c r="G13" s="216">
        <v>11</v>
      </c>
      <c r="H13" s="217">
        <v>8</v>
      </c>
      <c r="I13" s="217">
        <v>3</v>
      </c>
      <c r="J13" s="217">
        <v>7</v>
      </c>
      <c r="K13" s="217">
        <v>7</v>
      </c>
      <c r="L13" s="160"/>
      <c r="M13" s="161">
        <v>3</v>
      </c>
      <c r="N13" s="161">
        <v>3</v>
      </c>
      <c r="O13" s="161">
        <v>3</v>
      </c>
      <c r="P13" s="161">
        <v>3</v>
      </c>
      <c r="Q13" s="161">
        <v>1</v>
      </c>
      <c r="R13" s="161" t="s">
        <v>194</v>
      </c>
      <c r="S13" s="161" t="s">
        <v>194</v>
      </c>
    </row>
    <row r="14" spans="1:19" ht="19.5" customHeight="1" thickBot="1">
      <c r="A14" s="143"/>
      <c r="B14" s="143"/>
      <c r="C14" s="143"/>
      <c r="D14" s="143"/>
      <c r="E14" s="143"/>
      <c r="F14" s="143"/>
      <c r="G14" s="194">
        <v>12</v>
      </c>
      <c r="H14" s="195">
        <v>9</v>
      </c>
      <c r="I14" s="195">
        <v>4</v>
      </c>
      <c r="J14" s="195">
        <v>8</v>
      </c>
      <c r="K14" s="195">
        <v>8</v>
      </c>
      <c r="L14" s="193" t="s">
        <v>487</v>
      </c>
      <c r="M14" s="189">
        <v>3</v>
      </c>
      <c r="N14" s="189">
        <v>3</v>
      </c>
      <c r="O14" s="189">
        <v>3</v>
      </c>
      <c r="P14" s="189">
        <v>3</v>
      </c>
      <c r="Q14" s="189">
        <v>2</v>
      </c>
      <c r="R14" s="189" t="s">
        <v>194</v>
      </c>
      <c r="S14" s="189" t="s">
        <v>194</v>
      </c>
    </row>
    <row r="15" spans="1:19" ht="19.5" customHeight="1" thickBot="1">
      <c r="A15" s="143"/>
      <c r="B15" s="143"/>
      <c r="C15" s="143"/>
      <c r="D15" s="143"/>
      <c r="E15" s="143"/>
      <c r="F15" s="143"/>
      <c r="G15" s="216">
        <v>13</v>
      </c>
      <c r="H15" s="217">
        <v>9</v>
      </c>
      <c r="I15" s="217">
        <v>4</v>
      </c>
      <c r="J15" s="217">
        <v>8</v>
      </c>
      <c r="K15" s="217">
        <v>8</v>
      </c>
      <c r="L15" s="160"/>
      <c r="M15" s="161">
        <v>3</v>
      </c>
      <c r="N15" s="161">
        <v>3</v>
      </c>
      <c r="O15" s="161">
        <v>3</v>
      </c>
      <c r="P15" s="161">
        <v>3</v>
      </c>
      <c r="Q15" s="161">
        <v>2</v>
      </c>
      <c r="R15" s="161">
        <v>0</v>
      </c>
      <c r="S15" s="161" t="s">
        <v>194</v>
      </c>
    </row>
    <row r="16" spans="1:19" ht="19.5" customHeight="1" thickBot="1">
      <c r="A16" s="143"/>
      <c r="B16" s="143"/>
      <c r="C16" s="143"/>
      <c r="D16" s="143"/>
      <c r="E16" s="143"/>
      <c r="F16" s="143"/>
      <c r="G16" s="195">
        <v>14</v>
      </c>
      <c r="H16" s="195">
        <v>10</v>
      </c>
      <c r="I16" s="195">
        <v>4</v>
      </c>
      <c r="J16" s="195">
        <v>9</v>
      </c>
      <c r="K16" s="195">
        <v>9</v>
      </c>
      <c r="L16" s="193" t="s">
        <v>488</v>
      </c>
      <c r="M16" s="189">
        <v>4</v>
      </c>
      <c r="N16" s="189">
        <v>3</v>
      </c>
      <c r="O16" s="189">
        <v>3</v>
      </c>
      <c r="P16" s="189">
        <v>3</v>
      </c>
      <c r="Q16" s="189">
        <v>3</v>
      </c>
      <c r="R16" s="189">
        <v>1</v>
      </c>
      <c r="S16" s="189" t="s">
        <v>194</v>
      </c>
    </row>
    <row r="17" spans="1:19" ht="19.5" customHeight="1" thickBot="1">
      <c r="A17" s="143"/>
      <c r="B17" s="143"/>
      <c r="C17" s="143"/>
      <c r="D17" s="143"/>
      <c r="E17" s="143"/>
      <c r="F17" s="143"/>
      <c r="G17" s="217">
        <v>15</v>
      </c>
      <c r="H17" s="217">
        <v>11</v>
      </c>
      <c r="I17" s="217">
        <v>5</v>
      </c>
      <c r="J17" s="217">
        <v>9</v>
      </c>
      <c r="K17" s="217">
        <v>9</v>
      </c>
      <c r="L17" s="160" t="s">
        <v>489</v>
      </c>
      <c r="M17" s="161">
        <v>4</v>
      </c>
      <c r="N17" s="161">
        <v>4</v>
      </c>
      <c r="O17" s="161">
        <v>3</v>
      </c>
      <c r="P17" s="161">
        <v>3</v>
      </c>
      <c r="Q17" s="161">
        <v>3</v>
      </c>
      <c r="R17" s="161">
        <v>2</v>
      </c>
      <c r="S17" s="161" t="s">
        <v>194</v>
      </c>
    </row>
    <row r="18" spans="1:19" ht="19.5" customHeight="1" thickBot="1">
      <c r="A18" s="143"/>
      <c r="B18" s="143"/>
      <c r="C18" s="143"/>
      <c r="D18" s="143"/>
      <c r="E18" s="143"/>
      <c r="F18" s="143"/>
      <c r="G18" s="195">
        <v>16</v>
      </c>
      <c r="H18" s="195">
        <v>12</v>
      </c>
      <c r="I18" s="195">
        <v>5</v>
      </c>
      <c r="J18" s="195">
        <v>10</v>
      </c>
      <c r="K18" s="195">
        <v>10</v>
      </c>
      <c r="L18" s="193"/>
      <c r="M18" s="189">
        <v>4</v>
      </c>
      <c r="N18" s="189">
        <v>4</v>
      </c>
      <c r="O18" s="189">
        <v>4</v>
      </c>
      <c r="P18" s="189">
        <v>3</v>
      </c>
      <c r="Q18" s="189">
        <v>3</v>
      </c>
      <c r="R18" s="189">
        <v>2</v>
      </c>
      <c r="S18" s="189">
        <v>0</v>
      </c>
    </row>
    <row r="19" spans="1:19" ht="19.5" customHeight="1" thickBot="1">
      <c r="A19" s="143"/>
      <c r="B19" s="143"/>
      <c r="C19" s="143"/>
      <c r="D19" s="143"/>
      <c r="E19" s="143"/>
      <c r="F19" s="143"/>
      <c r="G19" s="217">
        <v>17</v>
      </c>
      <c r="H19" s="217">
        <v>12</v>
      </c>
      <c r="I19" s="217">
        <v>5</v>
      </c>
      <c r="J19" s="217">
        <v>10</v>
      </c>
      <c r="K19" s="217">
        <v>10</v>
      </c>
      <c r="L19" s="160"/>
      <c r="M19" s="161">
        <v>4</v>
      </c>
      <c r="N19" s="161">
        <v>4</v>
      </c>
      <c r="O19" s="161">
        <v>4</v>
      </c>
      <c r="P19" s="161">
        <v>4</v>
      </c>
      <c r="Q19" s="161">
        <v>3</v>
      </c>
      <c r="R19" s="161">
        <v>3</v>
      </c>
      <c r="S19" s="161">
        <v>1</v>
      </c>
    </row>
    <row r="20" spans="1:19" ht="19.5" customHeight="1" thickBot="1">
      <c r="A20" s="143"/>
      <c r="B20" s="143"/>
      <c r="C20" s="143"/>
      <c r="D20" s="143"/>
      <c r="E20" s="143"/>
      <c r="F20" s="143"/>
      <c r="G20" s="194">
        <v>18</v>
      </c>
      <c r="H20" s="195">
        <v>13</v>
      </c>
      <c r="I20" s="195">
        <v>6</v>
      </c>
      <c r="J20" s="195">
        <v>11</v>
      </c>
      <c r="K20" s="195">
        <v>11</v>
      </c>
      <c r="L20" s="193" t="s">
        <v>490</v>
      </c>
      <c r="M20" s="189">
        <v>4</v>
      </c>
      <c r="N20" s="189">
        <v>4</v>
      </c>
      <c r="O20" s="189">
        <v>4</v>
      </c>
      <c r="P20" s="189">
        <v>4</v>
      </c>
      <c r="Q20" s="189">
        <v>4</v>
      </c>
      <c r="R20" s="189">
        <v>3</v>
      </c>
      <c r="S20" s="189">
        <v>2</v>
      </c>
    </row>
    <row r="21" spans="1:19" ht="19.5" customHeight="1" thickBot="1">
      <c r="A21" s="143"/>
      <c r="B21" s="143"/>
      <c r="C21" s="143"/>
      <c r="D21" s="143"/>
      <c r="E21" s="143"/>
      <c r="F21" s="143"/>
      <c r="G21" s="216">
        <v>19</v>
      </c>
      <c r="H21" s="217">
        <v>14</v>
      </c>
      <c r="I21" s="217">
        <v>6</v>
      </c>
      <c r="J21" s="217">
        <v>11</v>
      </c>
      <c r="K21" s="217">
        <v>11</v>
      </c>
      <c r="L21" s="160"/>
      <c r="M21" s="161">
        <v>4</v>
      </c>
      <c r="N21" s="161">
        <v>4</v>
      </c>
      <c r="O21" s="161">
        <v>4</v>
      </c>
      <c r="P21" s="161">
        <v>4</v>
      </c>
      <c r="Q21" s="161">
        <v>4</v>
      </c>
      <c r="R21" s="161">
        <v>4</v>
      </c>
      <c r="S21" s="161">
        <v>3</v>
      </c>
    </row>
    <row r="22" spans="1:19" ht="19.5" customHeight="1" thickBot="1">
      <c r="A22" s="143"/>
      <c r="B22" s="143"/>
      <c r="C22" s="143"/>
      <c r="D22" s="143"/>
      <c r="E22" s="143"/>
      <c r="F22" s="143"/>
      <c r="G22" s="194">
        <v>20</v>
      </c>
      <c r="H22" s="195">
        <v>15</v>
      </c>
      <c r="I22" s="195">
        <v>6</v>
      </c>
      <c r="J22" s="195">
        <v>12</v>
      </c>
      <c r="K22" s="195">
        <v>12</v>
      </c>
      <c r="L22" s="193" t="s">
        <v>491</v>
      </c>
      <c r="M22" s="189">
        <v>4</v>
      </c>
      <c r="N22" s="189">
        <v>4</v>
      </c>
      <c r="O22" s="189">
        <v>4</v>
      </c>
      <c r="P22" s="189">
        <v>4</v>
      </c>
      <c r="Q22" s="189">
        <v>4</v>
      </c>
      <c r="R22" s="189">
        <v>4</v>
      </c>
      <c r="S22" s="189">
        <v>4</v>
      </c>
    </row>
    <row r="23" spans="1:19" ht="15" customHeight="1">
      <c r="A23" s="143"/>
      <c r="B23" s="143"/>
      <c r="C23" s="143"/>
      <c r="D23" s="143"/>
      <c r="E23" s="143"/>
      <c r="F23" s="143"/>
      <c r="G23" s="142"/>
      <c r="H23" s="142"/>
      <c r="I23" s="142"/>
      <c r="J23" s="142"/>
      <c r="K23" s="142"/>
    </row>
    <row r="24" spans="1:19" ht="15.75" customHeight="1" thickBot="1">
      <c r="A24" s="144"/>
      <c r="B24" s="144"/>
      <c r="C24" s="144"/>
      <c r="D24" s="144"/>
      <c r="E24" s="143"/>
      <c r="F24" s="143"/>
    </row>
    <row r="25" spans="1:19" ht="37.5" customHeight="1" thickBot="1">
      <c r="A25" s="862" t="s">
        <v>492</v>
      </c>
      <c r="B25" s="863"/>
      <c r="C25" s="864"/>
      <c r="D25" s="368" t="s">
        <v>16</v>
      </c>
      <c r="E25" s="143"/>
      <c r="F25" s="143"/>
      <c r="L25" s="865" t="s">
        <v>2</v>
      </c>
      <c r="M25" s="866" t="s">
        <v>493</v>
      </c>
      <c r="N25" s="866"/>
      <c r="O25" s="866"/>
      <c r="P25" s="866"/>
      <c r="Q25" s="866"/>
      <c r="R25" s="866"/>
      <c r="S25" s="866"/>
    </row>
    <row r="26" spans="1:19" ht="21.75" customHeight="1" thickBot="1">
      <c r="A26" s="858" t="s">
        <v>494</v>
      </c>
      <c r="B26" s="859"/>
      <c r="C26" s="860"/>
      <c r="D26" s="368" t="s">
        <v>495</v>
      </c>
      <c r="L26" s="866"/>
      <c r="M26" s="366">
        <v>0</v>
      </c>
      <c r="N26" s="366">
        <v>1</v>
      </c>
      <c r="O26" s="366">
        <v>2</v>
      </c>
      <c r="P26" s="366">
        <v>3</v>
      </c>
      <c r="Q26" s="366">
        <v>4</v>
      </c>
      <c r="R26" s="366">
        <v>5</v>
      </c>
      <c r="S26" s="366">
        <v>6</v>
      </c>
    </row>
    <row r="27" spans="1:19" ht="23.25" customHeight="1" thickBot="1">
      <c r="A27" s="858" t="s">
        <v>496</v>
      </c>
      <c r="B27" s="859"/>
      <c r="C27" s="860"/>
      <c r="D27" s="368" t="s">
        <v>497</v>
      </c>
      <c r="L27" s="161">
        <v>1</v>
      </c>
      <c r="M27" s="161">
        <v>4</v>
      </c>
      <c r="N27" s="161" t="s">
        <v>194</v>
      </c>
      <c r="O27" s="161" t="s">
        <v>194</v>
      </c>
      <c r="P27" s="161" t="s">
        <v>194</v>
      </c>
      <c r="Q27" s="161" t="s">
        <v>194</v>
      </c>
      <c r="R27" s="161" t="s">
        <v>194</v>
      </c>
      <c r="S27" s="161" t="s">
        <v>194</v>
      </c>
    </row>
    <row r="28" spans="1:19" ht="23.25" customHeight="1" thickBot="1">
      <c r="A28" s="858" t="s">
        <v>498</v>
      </c>
      <c r="B28" s="859"/>
      <c r="C28" s="860"/>
      <c r="D28" s="368" t="s">
        <v>499</v>
      </c>
      <c r="L28" s="189">
        <v>2</v>
      </c>
      <c r="M28" s="189">
        <v>5</v>
      </c>
      <c r="N28" s="189" t="s">
        <v>500</v>
      </c>
      <c r="O28" s="189" t="s">
        <v>194</v>
      </c>
      <c r="P28" s="189" t="s">
        <v>194</v>
      </c>
      <c r="Q28" s="189" t="s">
        <v>194</v>
      </c>
      <c r="R28" s="189" t="s">
        <v>194</v>
      </c>
      <c r="S28" s="189" t="s">
        <v>194</v>
      </c>
    </row>
    <row r="29" spans="1:19" ht="45.75" customHeight="1" thickBot="1">
      <c r="A29" s="858" t="s">
        <v>501</v>
      </c>
      <c r="B29" s="859"/>
      <c r="C29" s="860"/>
      <c r="D29" s="368" t="s">
        <v>497</v>
      </c>
      <c r="L29" s="161">
        <v>3</v>
      </c>
      <c r="M29" s="161">
        <v>6</v>
      </c>
      <c r="N29" s="161">
        <v>3</v>
      </c>
      <c r="O29" s="161" t="s">
        <v>194</v>
      </c>
      <c r="P29" s="161" t="s">
        <v>194</v>
      </c>
      <c r="Q29" s="161" t="s">
        <v>194</v>
      </c>
      <c r="R29" s="161" t="s">
        <v>194</v>
      </c>
      <c r="S29" s="161" t="s">
        <v>194</v>
      </c>
    </row>
    <row r="30" spans="1:19" ht="34.5" customHeight="1" thickBot="1">
      <c r="A30" s="858" t="s">
        <v>502</v>
      </c>
      <c r="B30" s="859"/>
      <c r="C30" s="860"/>
      <c r="D30" s="368" t="s">
        <v>503</v>
      </c>
      <c r="L30" s="189">
        <v>4</v>
      </c>
      <c r="M30" s="189">
        <v>6</v>
      </c>
      <c r="N30" s="189">
        <v>3</v>
      </c>
      <c r="O30" s="189" t="s">
        <v>500</v>
      </c>
      <c r="P30" s="189" t="s">
        <v>194</v>
      </c>
      <c r="Q30" s="189" t="s">
        <v>194</v>
      </c>
      <c r="R30" s="189" t="s">
        <v>194</v>
      </c>
      <c r="S30" s="189" t="s">
        <v>194</v>
      </c>
    </row>
    <row r="31" spans="1:19" ht="23.25" customHeight="1" thickBot="1">
      <c r="A31" s="858" t="s">
        <v>504</v>
      </c>
      <c r="B31" s="859"/>
      <c r="C31" s="860"/>
      <c r="D31" s="368" t="s">
        <v>495</v>
      </c>
      <c r="L31" s="161">
        <v>5</v>
      </c>
      <c r="M31" s="161">
        <v>6</v>
      </c>
      <c r="N31" s="161">
        <v>4</v>
      </c>
      <c r="O31" s="161">
        <v>3</v>
      </c>
      <c r="P31" s="161" t="s">
        <v>194</v>
      </c>
      <c r="Q31" s="161" t="s">
        <v>194</v>
      </c>
      <c r="R31" s="161" t="s">
        <v>194</v>
      </c>
      <c r="S31" s="161" t="s">
        <v>194</v>
      </c>
    </row>
    <row r="32" spans="1:19" ht="23.25" customHeight="1" thickBot="1">
      <c r="A32" s="857" t="s">
        <v>505</v>
      </c>
      <c r="B32" s="857"/>
      <c r="C32" s="857"/>
      <c r="D32" s="368" t="s">
        <v>168</v>
      </c>
      <c r="L32" s="189">
        <v>6</v>
      </c>
      <c r="M32" s="189">
        <v>6</v>
      </c>
      <c r="N32" s="189">
        <v>4</v>
      </c>
      <c r="O32" s="189">
        <v>3</v>
      </c>
      <c r="P32" s="189" t="s">
        <v>194</v>
      </c>
      <c r="Q32" s="189" t="s">
        <v>194</v>
      </c>
      <c r="R32" s="189" t="s">
        <v>194</v>
      </c>
      <c r="S32" s="189" t="s">
        <v>194</v>
      </c>
    </row>
    <row r="33" spans="1:19" ht="23.25" customHeight="1" thickBot="1">
      <c r="A33" s="857" t="s">
        <v>506</v>
      </c>
      <c r="B33" s="857"/>
      <c r="C33" s="857"/>
      <c r="D33" s="368" t="s">
        <v>503</v>
      </c>
      <c r="L33" s="161">
        <v>7</v>
      </c>
      <c r="M33" s="161">
        <v>6</v>
      </c>
      <c r="N33" s="161">
        <v>4</v>
      </c>
      <c r="O33" s="161">
        <v>4</v>
      </c>
      <c r="P33" s="161" t="s">
        <v>500</v>
      </c>
      <c r="Q33" s="161" t="s">
        <v>194</v>
      </c>
      <c r="R33" s="161" t="s">
        <v>194</v>
      </c>
      <c r="S33" s="161" t="s">
        <v>194</v>
      </c>
    </row>
    <row r="34" spans="1:19" ht="19.5" thickBot="1">
      <c r="A34" s="856" t="s">
        <v>507</v>
      </c>
      <c r="B34" s="856"/>
      <c r="C34" s="856"/>
      <c r="D34" s="367" t="s">
        <v>495</v>
      </c>
      <c r="L34" s="189">
        <v>8</v>
      </c>
      <c r="M34" s="189">
        <v>6</v>
      </c>
      <c r="N34" s="189">
        <v>4</v>
      </c>
      <c r="O34" s="189">
        <v>4</v>
      </c>
      <c r="P34" s="189">
        <v>3</v>
      </c>
      <c r="Q34" s="189" t="s">
        <v>194</v>
      </c>
      <c r="R34" s="189" t="s">
        <v>194</v>
      </c>
      <c r="S34" s="189" t="s">
        <v>194</v>
      </c>
    </row>
    <row r="35" spans="1:19" ht="19.5" thickBot="1">
      <c r="A35" s="856" t="s">
        <v>508</v>
      </c>
      <c r="B35" s="856"/>
      <c r="C35" s="856"/>
      <c r="D35" s="367" t="s">
        <v>166</v>
      </c>
      <c r="L35" s="161">
        <v>9</v>
      </c>
      <c r="M35" s="161">
        <v>6</v>
      </c>
      <c r="N35" s="161">
        <v>4</v>
      </c>
      <c r="O35" s="161">
        <v>4</v>
      </c>
      <c r="P35" s="161">
        <v>3</v>
      </c>
      <c r="Q35" s="161" t="s">
        <v>194</v>
      </c>
      <c r="R35" s="161" t="s">
        <v>194</v>
      </c>
      <c r="S35" s="161" t="s">
        <v>194</v>
      </c>
    </row>
    <row r="36" spans="1:19" ht="19.5" thickBot="1">
      <c r="L36" s="189">
        <v>10</v>
      </c>
      <c r="M36" s="189">
        <v>6</v>
      </c>
      <c r="N36" s="189">
        <v>4</v>
      </c>
      <c r="O36" s="189">
        <v>4</v>
      </c>
      <c r="P36" s="189">
        <v>4</v>
      </c>
      <c r="Q36" s="189" t="s">
        <v>500</v>
      </c>
      <c r="R36" s="189" t="s">
        <v>194</v>
      </c>
      <c r="S36" s="189" t="s">
        <v>194</v>
      </c>
    </row>
    <row r="37" spans="1:19" ht="19.5" thickBot="1">
      <c r="L37" s="161">
        <v>11</v>
      </c>
      <c r="M37" s="161">
        <v>6</v>
      </c>
      <c r="N37" s="161">
        <v>4</v>
      </c>
      <c r="O37" s="161">
        <v>4</v>
      </c>
      <c r="P37" s="161">
        <v>4</v>
      </c>
      <c r="Q37" s="161">
        <v>3</v>
      </c>
      <c r="R37" s="161" t="s">
        <v>194</v>
      </c>
      <c r="S37" s="161" t="s">
        <v>194</v>
      </c>
    </row>
    <row r="38" spans="1:19" ht="19.5" thickBot="1">
      <c r="L38" s="189">
        <v>12</v>
      </c>
      <c r="M38" s="189">
        <v>6</v>
      </c>
      <c r="N38" s="189">
        <v>4</v>
      </c>
      <c r="O38" s="189">
        <v>4</v>
      </c>
      <c r="P38" s="189">
        <v>4</v>
      </c>
      <c r="Q38" s="189">
        <v>3</v>
      </c>
      <c r="R38" s="189" t="s">
        <v>194</v>
      </c>
      <c r="S38" s="189" t="s">
        <v>194</v>
      </c>
    </row>
    <row r="39" spans="1:19" ht="19.5" thickBot="1">
      <c r="L39" s="161">
        <v>13</v>
      </c>
      <c r="M39" s="161">
        <v>6</v>
      </c>
      <c r="N39" s="161">
        <v>4</v>
      </c>
      <c r="O39" s="161">
        <v>4</v>
      </c>
      <c r="P39" s="161">
        <v>4</v>
      </c>
      <c r="Q39" s="161">
        <v>4</v>
      </c>
      <c r="R39" s="161" t="s">
        <v>500</v>
      </c>
      <c r="S39" s="161" t="s">
        <v>194</v>
      </c>
    </row>
    <row r="40" spans="1:19" ht="19.5" thickBot="1">
      <c r="L40" s="189">
        <v>14</v>
      </c>
      <c r="M40" s="189">
        <v>6</v>
      </c>
      <c r="N40" s="189">
        <v>4</v>
      </c>
      <c r="O40" s="189">
        <v>4</v>
      </c>
      <c r="P40" s="189">
        <v>4</v>
      </c>
      <c r="Q40" s="189">
        <v>4</v>
      </c>
      <c r="R40" s="189">
        <v>3</v>
      </c>
      <c r="S40" s="189" t="s">
        <v>194</v>
      </c>
    </row>
    <row r="41" spans="1:19" ht="19.5" thickBot="1">
      <c r="L41" s="161">
        <v>15</v>
      </c>
      <c r="M41" s="161">
        <v>6</v>
      </c>
      <c r="N41" s="161">
        <v>4</v>
      </c>
      <c r="O41" s="161">
        <v>4</v>
      </c>
      <c r="P41" s="161">
        <v>4</v>
      </c>
      <c r="Q41" s="161">
        <v>4</v>
      </c>
      <c r="R41" s="161">
        <v>3</v>
      </c>
      <c r="S41" s="161" t="s">
        <v>194</v>
      </c>
    </row>
    <row r="42" spans="1:19" ht="19.5" thickBot="1">
      <c r="L42" s="189">
        <v>16</v>
      </c>
      <c r="M42" s="189">
        <v>6</v>
      </c>
      <c r="N42" s="189">
        <v>5</v>
      </c>
      <c r="O42" s="189">
        <v>4</v>
      </c>
      <c r="P42" s="189">
        <v>4</v>
      </c>
      <c r="Q42" s="189">
        <v>4</v>
      </c>
      <c r="R42" s="189">
        <v>4</v>
      </c>
      <c r="S42" s="189" t="s">
        <v>500</v>
      </c>
    </row>
    <row r="43" spans="1:19" ht="19.5" thickBot="1">
      <c r="L43" s="161">
        <v>17</v>
      </c>
      <c r="M43" s="161">
        <v>6</v>
      </c>
      <c r="N43" s="161">
        <v>5</v>
      </c>
      <c r="O43" s="161">
        <v>5</v>
      </c>
      <c r="P43" s="161">
        <v>4</v>
      </c>
      <c r="Q43" s="161">
        <v>4</v>
      </c>
      <c r="R43" s="161">
        <v>4</v>
      </c>
      <c r="S43" s="161">
        <v>3</v>
      </c>
    </row>
    <row r="44" spans="1:19" ht="19.5" thickBot="1">
      <c r="L44" s="189">
        <v>18</v>
      </c>
      <c r="M44" s="189">
        <v>6</v>
      </c>
      <c r="N44" s="189">
        <v>5</v>
      </c>
      <c r="O44" s="189">
        <v>5</v>
      </c>
      <c r="P44" s="189">
        <v>5</v>
      </c>
      <c r="Q44" s="189">
        <v>4</v>
      </c>
      <c r="R44" s="189">
        <v>4</v>
      </c>
      <c r="S44" s="189">
        <v>3</v>
      </c>
    </row>
    <row r="45" spans="1:19" ht="19.5" thickBot="1">
      <c r="L45" s="161">
        <v>19</v>
      </c>
      <c r="M45" s="161">
        <v>6</v>
      </c>
      <c r="N45" s="161">
        <v>5</v>
      </c>
      <c r="O45" s="161">
        <v>5</v>
      </c>
      <c r="P45" s="161">
        <v>5</v>
      </c>
      <c r="Q45" s="161">
        <v>5</v>
      </c>
      <c r="R45" s="161">
        <v>4</v>
      </c>
      <c r="S45" s="161">
        <v>4</v>
      </c>
    </row>
    <row r="46" spans="1:19" ht="19.5" thickBot="1">
      <c r="L46" s="189">
        <v>20</v>
      </c>
      <c r="M46" s="189">
        <v>6</v>
      </c>
      <c r="N46" s="189">
        <v>5</v>
      </c>
      <c r="O46" s="189">
        <v>5</v>
      </c>
      <c r="P46" s="189">
        <v>5</v>
      </c>
      <c r="Q46" s="189">
        <v>5</v>
      </c>
      <c r="R46" s="189">
        <v>5</v>
      </c>
      <c r="S46" s="189">
        <v>4</v>
      </c>
    </row>
    <row r="47" spans="1:19">
      <c r="L47" s="853" t="s">
        <v>509</v>
      </c>
      <c r="M47" s="854"/>
      <c r="N47" s="854"/>
      <c r="O47" s="854"/>
      <c r="P47" s="854"/>
      <c r="Q47" s="854"/>
      <c r="R47" s="854"/>
      <c r="S47" s="854"/>
    </row>
    <row r="48" spans="1:19">
      <c r="L48" s="855"/>
      <c r="M48" s="855"/>
      <c r="N48" s="855"/>
      <c r="O48" s="855"/>
      <c r="P48" s="855"/>
      <c r="Q48" s="855"/>
      <c r="R48" s="855"/>
      <c r="S48" s="855"/>
    </row>
  </sheetData>
  <mergeCells count="23">
    <mergeCell ref="G1:G2"/>
    <mergeCell ref="H1:H2"/>
    <mergeCell ref="A25:C25"/>
    <mergeCell ref="L25:L26"/>
    <mergeCell ref="M25:S25"/>
    <mergeCell ref="M1:S1"/>
    <mergeCell ref="A26:C26"/>
    <mergeCell ref="I1:I2"/>
    <mergeCell ref="J1:J2"/>
    <mergeCell ref="K1:K2"/>
    <mergeCell ref="E1:E2"/>
    <mergeCell ref="F1:F2"/>
    <mergeCell ref="A1:D2"/>
    <mergeCell ref="A31:C31"/>
    <mergeCell ref="A30:C30"/>
    <mergeCell ref="A29:C29"/>
    <mergeCell ref="A28:C28"/>
    <mergeCell ref="A27:C27"/>
    <mergeCell ref="L47:S48"/>
    <mergeCell ref="A34:C34"/>
    <mergeCell ref="A35:C35"/>
    <mergeCell ref="A32:C32"/>
    <mergeCell ref="A33:C3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6"/>
  <sheetViews>
    <sheetView showGridLines="0" showRowColHeaders="0" workbookViewId="0">
      <selection activeCell="H1" sqref="H1:H2"/>
    </sheetView>
  </sheetViews>
  <sheetFormatPr defaultRowHeight="15"/>
  <cols>
    <col min="1" max="8" width="9.140625" style="344"/>
    <col min="9" max="9" width="11.28515625" style="344" customWidth="1"/>
    <col min="10" max="11" width="9.140625" style="344"/>
    <col min="12" max="12" width="90.140625" style="344" customWidth="1"/>
    <col min="13" max="16384" width="9.140625" style="344"/>
  </cols>
  <sheetData>
    <row r="1" spans="1:12" ht="15" customHeight="1" thickBot="1">
      <c r="A1" s="877" t="s">
        <v>510</v>
      </c>
      <c r="B1" s="878"/>
      <c r="C1" s="878"/>
      <c r="D1" s="878"/>
      <c r="E1" s="878"/>
      <c r="F1" s="878"/>
      <c r="G1" s="879" t="s">
        <v>26</v>
      </c>
      <c r="H1" s="880">
        <v>12</v>
      </c>
    </row>
    <row r="2" spans="1:12" ht="40.5" customHeight="1" thickBot="1">
      <c r="A2" s="878"/>
      <c r="B2" s="878"/>
      <c r="C2" s="878"/>
      <c r="D2" s="878"/>
      <c r="E2" s="878"/>
      <c r="F2" s="878"/>
      <c r="G2" s="879"/>
      <c r="H2" s="880"/>
    </row>
    <row r="3" spans="1:12" ht="29.25" customHeight="1" thickBot="1">
      <c r="A3" s="878"/>
      <c r="B3" s="878"/>
      <c r="C3" s="878"/>
      <c r="D3" s="878"/>
      <c r="E3" s="878"/>
      <c r="F3" s="878"/>
      <c r="G3" s="883" t="s">
        <v>107</v>
      </c>
      <c r="H3" s="884"/>
      <c r="I3" s="884"/>
      <c r="J3" s="884"/>
      <c r="K3" s="884"/>
      <c r="L3" s="884"/>
    </row>
    <row r="4" spans="1:12" ht="19.5" customHeight="1" thickBot="1">
      <c r="A4" s="881" t="s">
        <v>44</v>
      </c>
      <c r="B4" s="881"/>
      <c r="C4" s="881"/>
      <c r="D4" s="881"/>
      <c r="E4" s="881"/>
      <c r="F4" s="881"/>
      <c r="G4" s="885"/>
      <c r="H4" s="886"/>
      <c r="I4" s="886"/>
      <c r="J4" s="886"/>
      <c r="K4" s="886"/>
      <c r="L4" s="886"/>
    </row>
    <row r="5" spans="1:12" ht="47.25" customHeight="1" thickTop="1" thickBot="1">
      <c r="A5" s="881"/>
      <c r="B5" s="881"/>
      <c r="C5" s="881"/>
      <c r="D5" s="881"/>
      <c r="E5" s="881"/>
      <c r="F5" s="882"/>
      <c r="G5" s="373" t="s">
        <v>466</v>
      </c>
      <c r="H5" s="373" t="s">
        <v>467</v>
      </c>
      <c r="I5" s="373" t="s">
        <v>511</v>
      </c>
      <c r="J5" s="373" t="s">
        <v>512</v>
      </c>
      <c r="K5" s="373" t="s">
        <v>513</v>
      </c>
      <c r="L5" s="199" t="s">
        <v>468</v>
      </c>
    </row>
    <row r="6" spans="1:12" ht="20.25" customHeight="1" thickTop="1" thickBot="1">
      <c r="A6" s="876" t="s">
        <v>469</v>
      </c>
      <c r="B6" s="876"/>
      <c r="C6" s="876"/>
      <c r="D6" s="876"/>
      <c r="E6" s="876" t="s">
        <v>25</v>
      </c>
      <c r="F6" s="887"/>
      <c r="G6" s="345">
        <v>1</v>
      </c>
      <c r="H6" s="345">
        <v>1</v>
      </c>
      <c r="I6" s="346">
        <v>2</v>
      </c>
      <c r="J6" s="346">
        <v>0</v>
      </c>
      <c r="K6" s="346">
        <v>0</v>
      </c>
      <c r="L6" s="218" t="s">
        <v>514</v>
      </c>
    </row>
    <row r="7" spans="1:12" ht="26.25" customHeight="1" thickTop="1" thickBot="1">
      <c r="A7" s="876"/>
      <c r="B7" s="876"/>
      <c r="C7" s="876"/>
      <c r="D7" s="876"/>
      <c r="E7" s="876"/>
      <c r="F7" s="887"/>
      <c r="G7" s="347">
        <v>2</v>
      </c>
      <c r="H7" s="347">
        <v>2</v>
      </c>
      <c r="I7" s="348">
        <v>3</v>
      </c>
      <c r="J7" s="348">
        <v>0</v>
      </c>
      <c r="K7" s="348">
        <v>0</v>
      </c>
      <c r="L7" s="371" t="s">
        <v>515</v>
      </c>
    </row>
    <row r="8" spans="1:12" ht="26.25" customHeight="1" thickTop="1" thickBot="1">
      <c r="A8" s="876" t="s">
        <v>516</v>
      </c>
      <c r="B8" s="876"/>
      <c r="C8" s="876"/>
      <c r="D8" s="876"/>
      <c r="E8" s="876" t="s">
        <v>166</v>
      </c>
      <c r="F8" s="887"/>
      <c r="G8" s="345">
        <v>3</v>
      </c>
      <c r="H8" s="345">
        <v>3</v>
      </c>
      <c r="I8" s="346">
        <v>3</v>
      </c>
      <c r="J8" s="346">
        <v>1</v>
      </c>
      <c r="K8" s="346">
        <v>1</v>
      </c>
      <c r="L8" s="218" t="s">
        <v>517</v>
      </c>
    </row>
    <row r="9" spans="1:12" ht="26.25" customHeight="1" thickTop="1" thickBot="1">
      <c r="A9" s="876"/>
      <c r="B9" s="876"/>
      <c r="C9" s="876"/>
      <c r="D9" s="876"/>
      <c r="E9" s="876"/>
      <c r="F9" s="887"/>
      <c r="G9" s="347">
        <v>4</v>
      </c>
      <c r="H9" s="347">
        <v>4</v>
      </c>
      <c r="I9" s="348">
        <v>4</v>
      </c>
      <c r="J9" s="348">
        <v>1</v>
      </c>
      <c r="K9" s="348">
        <v>1</v>
      </c>
      <c r="L9" s="371" t="s">
        <v>518</v>
      </c>
    </row>
    <row r="10" spans="1:12" ht="39" customHeight="1" thickTop="1" thickBot="1">
      <c r="A10" s="876" t="s">
        <v>519</v>
      </c>
      <c r="B10" s="876"/>
      <c r="C10" s="876"/>
      <c r="D10" s="876"/>
      <c r="E10" s="876" t="s">
        <v>168</v>
      </c>
      <c r="F10" s="887"/>
      <c r="G10" s="345">
        <v>5</v>
      </c>
      <c r="H10" s="345">
        <v>5</v>
      </c>
      <c r="I10" s="346">
        <v>4</v>
      </c>
      <c r="J10" s="346">
        <v>1</v>
      </c>
      <c r="K10" s="346">
        <v>1</v>
      </c>
      <c r="L10" s="218" t="s">
        <v>520</v>
      </c>
    </row>
    <row r="11" spans="1:12" ht="26.25" customHeight="1" thickTop="1" thickBot="1">
      <c r="A11" s="876"/>
      <c r="B11" s="876"/>
      <c r="C11" s="876"/>
      <c r="D11" s="876"/>
      <c r="E11" s="876"/>
      <c r="F11" s="887"/>
      <c r="G11" s="347">
        <v>6</v>
      </c>
      <c r="H11" s="347">
        <v>6</v>
      </c>
      <c r="I11" s="348">
        <v>5</v>
      </c>
      <c r="J11" s="348">
        <v>2</v>
      </c>
      <c r="K11" s="348">
        <v>2</v>
      </c>
      <c r="L11" s="371" t="s">
        <v>521</v>
      </c>
    </row>
    <row r="12" spans="1:12" ht="26.25" customHeight="1" thickTop="1" thickBot="1">
      <c r="A12" s="876" t="s">
        <v>59</v>
      </c>
      <c r="B12" s="876"/>
      <c r="C12" s="876"/>
      <c r="D12" s="876"/>
      <c r="E12" s="876" t="s">
        <v>495</v>
      </c>
      <c r="F12" s="887"/>
      <c r="G12" s="345">
        <v>7</v>
      </c>
      <c r="H12" s="345">
        <v>7</v>
      </c>
      <c r="I12" s="346">
        <v>5</v>
      </c>
      <c r="J12" s="346">
        <v>2</v>
      </c>
      <c r="K12" s="346">
        <v>2</v>
      </c>
      <c r="L12" s="218" t="s">
        <v>522</v>
      </c>
    </row>
    <row r="13" spans="1:12" ht="26.25" customHeight="1" thickTop="1" thickBot="1">
      <c r="A13" s="876"/>
      <c r="B13" s="876"/>
      <c r="C13" s="876"/>
      <c r="D13" s="876"/>
      <c r="E13" s="876"/>
      <c r="F13" s="887"/>
      <c r="G13" s="347">
        <v>8</v>
      </c>
      <c r="H13" s="347">
        <v>8</v>
      </c>
      <c r="I13" s="348">
        <v>6</v>
      </c>
      <c r="J13" s="348">
        <v>2</v>
      </c>
      <c r="K13" s="348">
        <v>2</v>
      </c>
      <c r="L13" s="371" t="s">
        <v>523</v>
      </c>
    </row>
    <row r="14" spans="1:12" ht="26.25" customHeight="1" thickTop="1" thickBot="1">
      <c r="A14" s="876" t="s">
        <v>76</v>
      </c>
      <c r="B14" s="876"/>
      <c r="C14" s="876"/>
      <c r="D14" s="876"/>
      <c r="E14" s="876" t="s">
        <v>25</v>
      </c>
      <c r="F14" s="887"/>
      <c r="G14" s="345">
        <v>9</v>
      </c>
      <c r="H14" s="345">
        <v>9</v>
      </c>
      <c r="I14" s="346">
        <v>6</v>
      </c>
      <c r="J14" s="346">
        <v>3</v>
      </c>
      <c r="K14" s="346">
        <v>3</v>
      </c>
      <c r="L14" s="218" t="s">
        <v>524</v>
      </c>
    </row>
    <row r="15" spans="1:12" ht="26.25" customHeight="1" thickTop="1" thickBot="1">
      <c r="A15" s="876"/>
      <c r="B15" s="876"/>
      <c r="C15" s="876"/>
      <c r="D15" s="876"/>
      <c r="E15" s="876"/>
      <c r="F15" s="887"/>
      <c r="G15" s="347">
        <v>10</v>
      </c>
      <c r="H15" s="347">
        <v>10</v>
      </c>
      <c r="I15" s="348">
        <v>7</v>
      </c>
      <c r="J15" s="348">
        <v>3</v>
      </c>
      <c r="K15" s="348">
        <v>3</v>
      </c>
      <c r="L15" s="371" t="s">
        <v>525</v>
      </c>
    </row>
    <row r="16" spans="1:12" ht="26.25" customHeight="1" thickTop="1" thickBot="1">
      <c r="A16" s="876" t="s">
        <v>526</v>
      </c>
      <c r="B16" s="876"/>
      <c r="C16" s="876"/>
      <c r="D16" s="876"/>
      <c r="E16" s="876" t="s">
        <v>495</v>
      </c>
      <c r="F16" s="887"/>
      <c r="G16" s="345">
        <v>11</v>
      </c>
      <c r="H16" s="345">
        <v>11</v>
      </c>
      <c r="I16" s="346">
        <v>7</v>
      </c>
      <c r="J16" s="346">
        <v>3</v>
      </c>
      <c r="K16" s="346">
        <v>3</v>
      </c>
      <c r="L16" s="218" t="s">
        <v>527</v>
      </c>
    </row>
    <row r="17" spans="1:12" ht="26.25" customHeight="1" thickTop="1" thickBot="1">
      <c r="A17" s="876"/>
      <c r="B17" s="876"/>
      <c r="C17" s="876"/>
      <c r="D17" s="876"/>
      <c r="E17" s="876"/>
      <c r="F17" s="887"/>
      <c r="G17" s="347">
        <v>12</v>
      </c>
      <c r="H17" s="347">
        <v>12</v>
      </c>
      <c r="I17" s="348">
        <v>8</v>
      </c>
      <c r="J17" s="348">
        <v>4</v>
      </c>
      <c r="K17" s="348">
        <v>4</v>
      </c>
      <c r="L17" s="371" t="s">
        <v>528</v>
      </c>
    </row>
    <row r="18" spans="1:12" ht="26.25" customHeight="1" thickTop="1" thickBot="1">
      <c r="A18" s="876" t="s">
        <v>529</v>
      </c>
      <c r="B18" s="876"/>
      <c r="C18" s="876"/>
      <c r="D18" s="876"/>
      <c r="E18" s="876" t="s">
        <v>168</v>
      </c>
      <c r="F18" s="887"/>
      <c r="G18" s="345">
        <v>13</v>
      </c>
      <c r="H18" s="345">
        <v>13</v>
      </c>
      <c r="I18" s="346">
        <v>8</v>
      </c>
      <c r="J18" s="346">
        <v>4</v>
      </c>
      <c r="K18" s="346">
        <v>4</v>
      </c>
      <c r="L18" s="218" t="s">
        <v>530</v>
      </c>
    </row>
    <row r="19" spans="1:12" ht="26.25" customHeight="1" thickTop="1" thickBot="1">
      <c r="A19" s="876"/>
      <c r="B19" s="876"/>
      <c r="C19" s="876"/>
      <c r="D19" s="876"/>
      <c r="E19" s="876"/>
      <c r="F19" s="887"/>
      <c r="G19" s="347">
        <v>14</v>
      </c>
      <c r="H19" s="347">
        <v>14</v>
      </c>
      <c r="I19" s="348">
        <v>9</v>
      </c>
      <c r="J19" s="348">
        <v>4</v>
      </c>
      <c r="K19" s="348">
        <v>4</v>
      </c>
      <c r="L19" s="371" t="s">
        <v>531</v>
      </c>
    </row>
    <row r="20" spans="1:12" ht="26.25" customHeight="1" thickTop="1" thickBot="1">
      <c r="A20" s="876" t="s">
        <v>473</v>
      </c>
      <c r="B20" s="876"/>
      <c r="C20" s="876"/>
      <c r="D20" s="876"/>
      <c r="E20" s="876" t="s">
        <v>25</v>
      </c>
      <c r="F20" s="887"/>
      <c r="G20" s="345">
        <v>15</v>
      </c>
      <c r="H20" s="345">
        <v>15</v>
      </c>
      <c r="I20" s="346">
        <v>9</v>
      </c>
      <c r="J20" s="346">
        <v>5</v>
      </c>
      <c r="K20" s="346">
        <v>5</v>
      </c>
      <c r="L20" s="218" t="s">
        <v>532</v>
      </c>
    </row>
    <row r="21" spans="1:12" ht="26.25" customHeight="1" thickTop="1" thickBot="1">
      <c r="A21" s="876"/>
      <c r="B21" s="876"/>
      <c r="C21" s="876"/>
      <c r="D21" s="876"/>
      <c r="E21" s="876"/>
      <c r="F21" s="887"/>
      <c r="G21" s="347">
        <v>16</v>
      </c>
      <c r="H21" s="347">
        <v>16</v>
      </c>
      <c r="I21" s="348">
        <v>10</v>
      </c>
      <c r="J21" s="348">
        <v>5</v>
      </c>
      <c r="K21" s="348">
        <v>5</v>
      </c>
      <c r="L21" s="371" t="s">
        <v>533</v>
      </c>
    </row>
    <row r="22" spans="1:12" ht="26.25" customHeight="1" thickTop="1" thickBot="1">
      <c r="A22" s="876" t="s">
        <v>475</v>
      </c>
      <c r="B22" s="876"/>
      <c r="C22" s="876"/>
      <c r="D22" s="876"/>
      <c r="E22" s="876" t="s">
        <v>503</v>
      </c>
      <c r="F22" s="887"/>
      <c r="G22" s="345">
        <v>17</v>
      </c>
      <c r="H22" s="345">
        <v>17</v>
      </c>
      <c r="I22" s="346">
        <v>10</v>
      </c>
      <c r="J22" s="346">
        <v>5</v>
      </c>
      <c r="K22" s="346">
        <v>5</v>
      </c>
      <c r="L22" s="218" t="s">
        <v>534</v>
      </c>
    </row>
    <row r="23" spans="1:12" ht="21.75" thickTop="1" thickBot="1">
      <c r="A23" s="876"/>
      <c r="B23" s="876"/>
      <c r="C23" s="876"/>
      <c r="D23" s="876"/>
      <c r="E23" s="876"/>
      <c r="F23" s="887"/>
      <c r="G23" s="347">
        <v>18</v>
      </c>
      <c r="H23" s="347">
        <v>18</v>
      </c>
      <c r="I23" s="348">
        <v>11</v>
      </c>
      <c r="J23" s="348">
        <v>6</v>
      </c>
      <c r="K23" s="348">
        <v>6</v>
      </c>
      <c r="L23" s="371" t="s">
        <v>535</v>
      </c>
    </row>
    <row r="24" spans="1:12" ht="21.75" thickTop="1" thickBot="1">
      <c r="G24" s="345">
        <v>19</v>
      </c>
      <c r="H24" s="345">
        <v>19</v>
      </c>
      <c r="I24" s="346">
        <v>11</v>
      </c>
      <c r="J24" s="346">
        <v>6</v>
      </c>
      <c r="K24" s="346">
        <v>6</v>
      </c>
      <c r="L24" s="218" t="s">
        <v>536</v>
      </c>
    </row>
    <row r="25" spans="1:12" ht="21.75" thickTop="1" thickBot="1">
      <c r="G25" s="347">
        <v>20</v>
      </c>
      <c r="H25" s="347">
        <v>20</v>
      </c>
      <c r="I25" s="348">
        <v>12</v>
      </c>
      <c r="J25" s="348">
        <v>6</v>
      </c>
      <c r="K25" s="348">
        <v>6</v>
      </c>
      <c r="L25" s="371" t="s">
        <v>537</v>
      </c>
    </row>
    <row r="26" spans="1:12" ht="15.75" thickTop="1"/>
  </sheetData>
  <mergeCells count="23">
    <mergeCell ref="A22:D23"/>
    <mergeCell ref="E22:F23"/>
    <mergeCell ref="A18:D19"/>
    <mergeCell ref="A20:D21"/>
    <mergeCell ref="E6:F7"/>
    <mergeCell ref="E8:F9"/>
    <mergeCell ref="E10:F11"/>
    <mergeCell ref="E12:F13"/>
    <mergeCell ref="E14:F15"/>
    <mergeCell ref="E16:F17"/>
    <mergeCell ref="E18:F19"/>
    <mergeCell ref="E20:F21"/>
    <mergeCell ref="A6:D7"/>
    <mergeCell ref="A8:D9"/>
    <mergeCell ref="A10:D11"/>
    <mergeCell ref="A12:D13"/>
    <mergeCell ref="A14:D15"/>
    <mergeCell ref="A16:D17"/>
    <mergeCell ref="A1:F3"/>
    <mergeCell ref="G1:G2"/>
    <mergeCell ref="H1:H2"/>
    <mergeCell ref="A4:F5"/>
    <mergeCell ref="G3:L4"/>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3"/>
  <sheetViews>
    <sheetView showGridLines="0" showRowColHeaders="0" workbookViewId="0">
      <selection activeCell="G3" sqref="G3:L4"/>
    </sheetView>
  </sheetViews>
  <sheetFormatPr defaultRowHeight="15"/>
  <cols>
    <col min="9" max="9" width="10.5703125" customWidth="1"/>
    <col min="12" max="12" width="56.85546875" customWidth="1"/>
  </cols>
  <sheetData>
    <row r="1" spans="1:12" ht="16.5" customHeight="1" thickTop="1" thickBot="1">
      <c r="A1" s="890" t="s">
        <v>538</v>
      </c>
      <c r="B1" s="891"/>
      <c r="C1" s="891"/>
      <c r="D1" s="891"/>
      <c r="E1" s="891"/>
      <c r="F1" s="892"/>
      <c r="G1" s="899" t="s">
        <v>26</v>
      </c>
      <c r="H1" s="901">
        <v>6</v>
      </c>
    </row>
    <row r="2" spans="1:12" ht="28.5" customHeight="1" thickTop="1" thickBot="1">
      <c r="A2" s="893"/>
      <c r="B2" s="894"/>
      <c r="C2" s="894"/>
      <c r="D2" s="894"/>
      <c r="E2" s="894"/>
      <c r="F2" s="895"/>
      <c r="G2" s="900"/>
      <c r="H2" s="902"/>
    </row>
    <row r="3" spans="1:12" ht="16.5" customHeight="1" thickTop="1" thickBot="1">
      <c r="A3" s="896"/>
      <c r="B3" s="897"/>
      <c r="C3" s="897"/>
      <c r="D3" s="897"/>
      <c r="E3" s="897"/>
      <c r="F3" s="898"/>
      <c r="G3" s="907" t="s">
        <v>107</v>
      </c>
      <c r="H3" s="907"/>
      <c r="I3" s="907"/>
      <c r="J3" s="907"/>
      <c r="K3" s="907"/>
      <c r="L3" s="907"/>
    </row>
    <row r="4" spans="1:12" ht="16.5" customHeight="1" thickTop="1" thickBot="1">
      <c r="A4" s="903" t="s">
        <v>44</v>
      </c>
      <c r="B4" s="903"/>
      <c r="C4" s="903"/>
      <c r="D4" s="903"/>
      <c r="E4" s="903"/>
      <c r="F4" s="904"/>
      <c r="G4" s="907"/>
      <c r="H4" s="907"/>
      <c r="I4" s="907"/>
      <c r="J4" s="907"/>
      <c r="K4" s="907"/>
      <c r="L4" s="907"/>
    </row>
    <row r="5" spans="1:12" ht="47.25" customHeight="1" thickTop="1" thickBot="1">
      <c r="A5" s="905"/>
      <c r="B5" s="905"/>
      <c r="C5" s="905"/>
      <c r="D5" s="905"/>
      <c r="E5" s="905"/>
      <c r="F5" s="906"/>
      <c r="G5" s="369" t="s">
        <v>466</v>
      </c>
      <c r="H5" s="369" t="s">
        <v>467</v>
      </c>
      <c r="I5" s="197" t="s">
        <v>539</v>
      </c>
      <c r="J5" s="197" t="s">
        <v>540</v>
      </c>
      <c r="K5" s="197" t="s">
        <v>541</v>
      </c>
      <c r="L5" s="198" t="s">
        <v>468</v>
      </c>
    </row>
    <row r="6" spans="1:12" ht="20.25" thickTop="1" thickBot="1">
      <c r="A6" s="888" t="s">
        <v>494</v>
      </c>
      <c r="B6" s="888"/>
      <c r="C6" s="888"/>
      <c r="D6" s="888"/>
      <c r="E6" s="888" t="s">
        <v>495</v>
      </c>
      <c r="F6" s="889"/>
      <c r="G6" s="219">
        <v>1</v>
      </c>
      <c r="H6" s="219">
        <v>0</v>
      </c>
      <c r="I6" s="219">
        <v>0</v>
      </c>
      <c r="J6" s="219">
        <v>2</v>
      </c>
      <c r="K6" s="219">
        <v>0</v>
      </c>
      <c r="L6" s="219" t="s">
        <v>542</v>
      </c>
    </row>
    <row r="7" spans="1:12" ht="20.25" thickTop="1" thickBot="1">
      <c r="A7" s="888" t="s">
        <v>543</v>
      </c>
      <c r="B7" s="888"/>
      <c r="C7" s="888"/>
      <c r="D7" s="888"/>
      <c r="E7" s="888" t="s">
        <v>166</v>
      </c>
      <c r="F7" s="889"/>
      <c r="G7" s="183">
        <v>2</v>
      </c>
      <c r="H7" s="183">
        <v>1</v>
      </c>
      <c r="I7" s="183">
        <v>0</v>
      </c>
      <c r="J7" s="183">
        <v>3</v>
      </c>
      <c r="K7" s="183">
        <v>0</v>
      </c>
      <c r="L7" s="183" t="s">
        <v>544</v>
      </c>
    </row>
    <row r="8" spans="1:12" ht="34.5" customHeight="1" thickTop="1" thickBot="1">
      <c r="A8" s="888" t="s">
        <v>545</v>
      </c>
      <c r="B8" s="888"/>
      <c r="C8" s="888"/>
      <c r="D8" s="888"/>
      <c r="E8" s="888" t="s">
        <v>546</v>
      </c>
      <c r="F8" s="889"/>
      <c r="G8" s="219">
        <v>3</v>
      </c>
      <c r="H8" s="219">
        <v>2</v>
      </c>
      <c r="I8" s="219">
        <v>1</v>
      </c>
      <c r="J8" s="219">
        <v>3</v>
      </c>
      <c r="K8" s="219">
        <v>1</v>
      </c>
      <c r="L8" s="219" t="s">
        <v>547</v>
      </c>
    </row>
    <row r="9" spans="1:12" ht="20.25" thickTop="1" thickBot="1">
      <c r="A9" s="888" t="s">
        <v>548</v>
      </c>
      <c r="B9" s="888"/>
      <c r="C9" s="888"/>
      <c r="D9" s="888"/>
      <c r="E9" s="888" t="s">
        <v>497</v>
      </c>
      <c r="F9" s="889"/>
      <c r="G9" s="183">
        <v>4</v>
      </c>
      <c r="H9" s="183">
        <v>3</v>
      </c>
      <c r="I9" s="183">
        <v>1</v>
      </c>
      <c r="J9" s="183">
        <v>4</v>
      </c>
      <c r="K9" s="183">
        <v>1</v>
      </c>
      <c r="L9" s="183" t="s">
        <v>515</v>
      </c>
    </row>
    <row r="10" spans="1:12" ht="20.25" thickTop="1" thickBot="1">
      <c r="A10" s="888" t="s">
        <v>549</v>
      </c>
      <c r="B10" s="888"/>
      <c r="C10" s="888"/>
      <c r="D10" s="888"/>
      <c r="E10" s="888" t="s">
        <v>25</v>
      </c>
      <c r="F10" s="889"/>
      <c r="G10" s="219">
        <v>5</v>
      </c>
      <c r="H10" s="219">
        <v>3</v>
      </c>
      <c r="I10" s="219">
        <v>1</v>
      </c>
      <c r="J10" s="219">
        <v>4</v>
      </c>
      <c r="K10" s="219">
        <v>1</v>
      </c>
      <c r="L10" s="219" t="s">
        <v>550</v>
      </c>
    </row>
    <row r="11" spans="1:12" ht="23.25" customHeight="1" thickTop="1" thickBot="1">
      <c r="A11" s="888" t="s">
        <v>551</v>
      </c>
      <c r="B11" s="888"/>
      <c r="C11" s="888"/>
      <c r="D11" s="888"/>
      <c r="E11" s="888" t="s">
        <v>166</v>
      </c>
      <c r="F11" s="889"/>
      <c r="G11" s="183">
        <v>6</v>
      </c>
      <c r="H11" s="183">
        <v>4</v>
      </c>
      <c r="I11" s="183">
        <v>2</v>
      </c>
      <c r="J11" s="183">
        <v>5</v>
      </c>
      <c r="K11" s="183">
        <v>2</v>
      </c>
      <c r="L11" s="183" t="s">
        <v>521</v>
      </c>
    </row>
    <row r="12" spans="1:12" ht="23.25" customHeight="1" thickTop="1" thickBot="1">
      <c r="A12" s="888" t="s">
        <v>496</v>
      </c>
      <c r="B12" s="888"/>
      <c r="C12" s="888"/>
      <c r="D12" s="888"/>
      <c r="E12" s="888" t="s">
        <v>495</v>
      </c>
      <c r="F12" s="889"/>
      <c r="G12" s="219">
        <v>7</v>
      </c>
      <c r="H12" s="219">
        <v>5</v>
      </c>
      <c r="I12" s="219">
        <v>2</v>
      </c>
      <c r="J12" s="219">
        <v>5</v>
      </c>
      <c r="K12" s="219">
        <v>2</v>
      </c>
      <c r="L12" s="219" t="s">
        <v>552</v>
      </c>
    </row>
    <row r="13" spans="1:12" ht="31.5" customHeight="1" thickTop="1" thickBot="1">
      <c r="A13" s="888" t="s">
        <v>553</v>
      </c>
      <c r="B13" s="888"/>
      <c r="C13" s="888"/>
      <c r="D13" s="888"/>
      <c r="E13" s="888" t="s">
        <v>497</v>
      </c>
      <c r="F13" s="889"/>
      <c r="G13" s="183">
        <v>8</v>
      </c>
      <c r="H13" s="183">
        <v>6</v>
      </c>
      <c r="I13" s="183">
        <v>2</v>
      </c>
      <c r="J13" s="183">
        <v>6</v>
      </c>
      <c r="K13" s="183">
        <v>2</v>
      </c>
      <c r="L13" s="183" t="s">
        <v>520</v>
      </c>
    </row>
    <row r="14" spans="1:12" ht="34.5" customHeight="1" thickTop="1" thickBot="1">
      <c r="A14" s="888" t="s">
        <v>554</v>
      </c>
      <c r="B14" s="888"/>
      <c r="C14" s="888"/>
      <c r="D14" s="888"/>
      <c r="E14" s="888" t="s">
        <v>546</v>
      </c>
      <c r="F14" s="889"/>
      <c r="G14" s="219">
        <v>9</v>
      </c>
      <c r="H14" s="219">
        <v>6</v>
      </c>
      <c r="I14" s="219">
        <v>3</v>
      </c>
      <c r="J14" s="219">
        <v>6</v>
      </c>
      <c r="K14" s="219">
        <v>3</v>
      </c>
      <c r="L14" s="219" t="s">
        <v>555</v>
      </c>
    </row>
    <row r="15" spans="1:12" ht="43.5" customHeight="1" thickTop="1" thickBot="1">
      <c r="A15" s="888" t="s">
        <v>556</v>
      </c>
      <c r="B15" s="888"/>
      <c r="C15" s="888"/>
      <c r="D15" s="888"/>
      <c r="E15" s="888" t="s">
        <v>495</v>
      </c>
      <c r="F15" s="889"/>
      <c r="G15" s="183">
        <v>10</v>
      </c>
      <c r="H15" s="183">
        <v>7</v>
      </c>
      <c r="I15" s="183">
        <v>3</v>
      </c>
      <c r="J15" s="183">
        <v>7</v>
      </c>
      <c r="K15" s="183">
        <v>3</v>
      </c>
      <c r="L15" s="183" t="s">
        <v>557</v>
      </c>
    </row>
    <row r="16" spans="1:12" ht="23.25" customHeight="1" thickTop="1" thickBot="1">
      <c r="A16" s="888" t="s">
        <v>558</v>
      </c>
      <c r="B16" s="888"/>
      <c r="C16" s="888"/>
      <c r="D16" s="888"/>
      <c r="E16" s="888" t="s">
        <v>166</v>
      </c>
      <c r="F16" s="889"/>
      <c r="G16" s="219">
        <v>11</v>
      </c>
      <c r="H16" s="219">
        <v>8</v>
      </c>
      <c r="I16" s="219">
        <v>3</v>
      </c>
      <c r="J16" s="219">
        <v>7</v>
      </c>
      <c r="K16" s="219">
        <v>3</v>
      </c>
      <c r="L16" s="219" t="s">
        <v>559</v>
      </c>
    </row>
    <row r="17" spans="1:12" ht="23.25" customHeight="1" thickTop="1" thickBot="1">
      <c r="A17" s="888" t="s">
        <v>504</v>
      </c>
      <c r="B17" s="888"/>
      <c r="C17" s="888"/>
      <c r="D17" s="888"/>
      <c r="E17" s="888" t="s">
        <v>495</v>
      </c>
      <c r="F17" s="889"/>
      <c r="G17" s="183">
        <v>12</v>
      </c>
      <c r="H17" s="183">
        <v>9</v>
      </c>
      <c r="I17" s="183">
        <v>4</v>
      </c>
      <c r="J17" s="183">
        <v>8</v>
      </c>
      <c r="K17" s="183">
        <v>4</v>
      </c>
      <c r="L17" s="183" t="s">
        <v>560</v>
      </c>
    </row>
    <row r="18" spans="1:12" ht="23.25" customHeight="1" thickTop="1" thickBot="1">
      <c r="A18" s="888" t="s">
        <v>561</v>
      </c>
      <c r="B18" s="888"/>
      <c r="C18" s="888"/>
      <c r="D18" s="888"/>
      <c r="E18" s="888" t="s">
        <v>562</v>
      </c>
      <c r="F18" s="889"/>
      <c r="G18" s="219">
        <v>13</v>
      </c>
      <c r="H18" s="219">
        <v>9</v>
      </c>
      <c r="I18" s="219">
        <v>4</v>
      </c>
      <c r="J18" s="219">
        <v>8</v>
      </c>
      <c r="K18" s="219">
        <v>4</v>
      </c>
      <c r="L18" s="219" t="s">
        <v>563</v>
      </c>
    </row>
    <row r="19" spans="1:12" ht="20.25" thickTop="1" thickBot="1">
      <c r="A19" s="888" t="s">
        <v>564</v>
      </c>
      <c r="B19" s="888"/>
      <c r="C19" s="888"/>
      <c r="D19" s="888"/>
      <c r="E19" s="888" t="s">
        <v>499</v>
      </c>
      <c r="F19" s="889"/>
      <c r="G19" s="183">
        <v>14</v>
      </c>
      <c r="H19" s="183">
        <v>10</v>
      </c>
      <c r="I19" s="183">
        <v>4</v>
      </c>
      <c r="J19" s="183">
        <v>9</v>
      </c>
      <c r="K19" s="183">
        <v>4</v>
      </c>
      <c r="L19" s="183" t="s">
        <v>194</v>
      </c>
    </row>
    <row r="20" spans="1:12" ht="23.25" customHeight="1" thickTop="1" thickBot="1">
      <c r="A20" s="888" t="s">
        <v>565</v>
      </c>
      <c r="B20" s="888"/>
      <c r="C20" s="888"/>
      <c r="D20" s="888"/>
      <c r="E20" s="888" t="s">
        <v>166</v>
      </c>
      <c r="F20" s="889"/>
      <c r="G20" s="219">
        <v>15</v>
      </c>
      <c r="H20" s="219">
        <v>11</v>
      </c>
      <c r="I20" s="219">
        <v>5</v>
      </c>
      <c r="J20" s="219">
        <v>9</v>
      </c>
      <c r="K20" s="219">
        <v>5</v>
      </c>
      <c r="L20" s="219" t="s">
        <v>566</v>
      </c>
    </row>
    <row r="21" spans="1:12" ht="20.25" thickTop="1" thickBot="1">
      <c r="A21" s="888" t="s">
        <v>474</v>
      </c>
      <c r="B21" s="888"/>
      <c r="C21" s="888"/>
      <c r="D21" s="888"/>
      <c r="E21" s="888" t="s">
        <v>25</v>
      </c>
      <c r="F21" s="889"/>
      <c r="G21" s="183">
        <v>16</v>
      </c>
      <c r="H21" s="183">
        <v>12</v>
      </c>
      <c r="I21" s="183">
        <v>5</v>
      </c>
      <c r="J21" s="183">
        <v>10</v>
      </c>
      <c r="K21" s="183">
        <v>5</v>
      </c>
      <c r="L21" s="183" t="s">
        <v>557</v>
      </c>
    </row>
    <row r="22" spans="1:12" ht="20.25" thickTop="1" thickBot="1">
      <c r="A22" s="888" t="s">
        <v>567</v>
      </c>
      <c r="B22" s="888"/>
      <c r="C22" s="888"/>
      <c r="D22" s="888"/>
      <c r="E22" s="888" t="s">
        <v>503</v>
      </c>
      <c r="F22" s="889"/>
      <c r="G22" s="219">
        <v>17</v>
      </c>
      <c r="H22" s="219">
        <v>12</v>
      </c>
      <c r="I22" s="219">
        <v>5</v>
      </c>
      <c r="J22" s="219">
        <v>10</v>
      </c>
      <c r="K22" s="219">
        <v>5</v>
      </c>
      <c r="L22" s="219" t="s">
        <v>568</v>
      </c>
    </row>
    <row r="23" spans="1:12" ht="20.25" thickTop="1" thickBot="1">
      <c r="A23" s="888" t="s">
        <v>569</v>
      </c>
      <c r="B23" s="888"/>
      <c r="C23" s="888"/>
      <c r="D23" s="888"/>
      <c r="E23" s="888" t="s">
        <v>499</v>
      </c>
      <c r="F23" s="889"/>
      <c r="G23" s="183">
        <v>18</v>
      </c>
      <c r="H23" s="183">
        <v>13</v>
      </c>
      <c r="I23" s="183">
        <v>6</v>
      </c>
      <c r="J23" s="183">
        <v>11</v>
      </c>
      <c r="K23" s="183">
        <v>6</v>
      </c>
      <c r="L23" s="183" t="s">
        <v>535</v>
      </c>
    </row>
    <row r="24" spans="1:12" ht="23.25" customHeight="1" thickTop="1" thickBot="1">
      <c r="A24" s="888" t="s">
        <v>529</v>
      </c>
      <c r="B24" s="888"/>
      <c r="C24" s="888"/>
      <c r="D24" s="888"/>
      <c r="E24" s="888" t="s">
        <v>562</v>
      </c>
      <c r="F24" s="889"/>
      <c r="G24" s="219">
        <v>19</v>
      </c>
      <c r="H24" s="219">
        <v>14</v>
      </c>
      <c r="I24" s="219">
        <v>6</v>
      </c>
      <c r="J24" s="219">
        <v>11</v>
      </c>
      <c r="K24" s="219">
        <v>6</v>
      </c>
      <c r="L24" s="219" t="s">
        <v>570</v>
      </c>
    </row>
    <row r="25" spans="1:12" ht="20.25" thickTop="1" thickBot="1">
      <c r="A25" s="888" t="s">
        <v>571</v>
      </c>
      <c r="B25" s="888"/>
      <c r="C25" s="888"/>
      <c r="D25" s="888"/>
      <c r="E25" s="888" t="s">
        <v>562</v>
      </c>
      <c r="F25" s="889"/>
      <c r="G25" s="183">
        <v>20</v>
      </c>
      <c r="H25" s="183">
        <v>15</v>
      </c>
      <c r="I25" s="183">
        <v>6</v>
      </c>
      <c r="J25" s="183">
        <v>12</v>
      </c>
      <c r="K25" s="183">
        <v>6</v>
      </c>
      <c r="L25" s="183" t="s">
        <v>194</v>
      </c>
    </row>
    <row r="26" spans="1:12" ht="19.5" thickBot="1">
      <c r="A26" s="888" t="s">
        <v>572</v>
      </c>
      <c r="B26" s="888"/>
      <c r="C26" s="888"/>
      <c r="D26" s="888"/>
      <c r="E26" s="888" t="s">
        <v>25</v>
      </c>
      <c r="F26" s="888"/>
    </row>
    <row r="27" spans="1:12" ht="34.5" customHeight="1" thickBot="1">
      <c r="A27" s="888" t="s">
        <v>573</v>
      </c>
      <c r="B27" s="888"/>
      <c r="C27" s="888"/>
      <c r="D27" s="888"/>
      <c r="E27" s="888" t="s">
        <v>499</v>
      </c>
      <c r="F27" s="888"/>
    </row>
    <row r="28" spans="1:12" ht="19.5" thickBot="1">
      <c r="A28" s="888" t="s">
        <v>574</v>
      </c>
      <c r="B28" s="888"/>
      <c r="C28" s="888"/>
      <c r="D28" s="888"/>
      <c r="E28" s="888" t="s">
        <v>499</v>
      </c>
      <c r="F28" s="888"/>
    </row>
    <row r="29" spans="1:12" ht="34.5" customHeight="1" thickBot="1">
      <c r="A29" s="888" t="s">
        <v>575</v>
      </c>
      <c r="B29" s="888"/>
      <c r="C29" s="888"/>
      <c r="D29" s="888"/>
      <c r="E29" s="888" t="s">
        <v>495</v>
      </c>
      <c r="F29" s="888"/>
    </row>
    <row r="30" spans="1:12" ht="23.25" customHeight="1" thickBot="1">
      <c r="A30" s="888" t="s">
        <v>576</v>
      </c>
      <c r="B30" s="888"/>
      <c r="C30" s="888"/>
      <c r="D30" s="888"/>
      <c r="E30" s="888" t="s">
        <v>499</v>
      </c>
      <c r="F30" s="888"/>
    </row>
    <row r="31" spans="1:12" ht="19.5" thickBot="1">
      <c r="A31" s="888" t="s">
        <v>577</v>
      </c>
      <c r="B31" s="888"/>
      <c r="C31" s="888"/>
      <c r="D31" s="888"/>
      <c r="E31" s="888" t="s">
        <v>166</v>
      </c>
      <c r="F31" s="888"/>
    </row>
    <row r="32" spans="1:12" ht="23.25" customHeight="1" thickBot="1">
      <c r="A32" s="888" t="s">
        <v>578</v>
      </c>
      <c r="B32" s="888"/>
      <c r="C32" s="888"/>
      <c r="D32" s="888"/>
      <c r="E32" s="888" t="s">
        <v>546</v>
      </c>
      <c r="F32" s="888"/>
    </row>
    <row r="33" spans="1:6" ht="23.25" customHeight="1" thickBot="1">
      <c r="A33" s="888" t="s">
        <v>579</v>
      </c>
      <c r="B33" s="888"/>
      <c r="C33" s="888"/>
      <c r="D33" s="888"/>
      <c r="E33" s="888" t="s">
        <v>168</v>
      </c>
      <c r="F33" s="888"/>
    </row>
  </sheetData>
  <mergeCells count="61">
    <mergeCell ref="A31:D31"/>
    <mergeCell ref="E31:F31"/>
    <mergeCell ref="A32:D32"/>
    <mergeCell ref="E32:F32"/>
    <mergeCell ref="A33:D33"/>
    <mergeCell ref="E33:F33"/>
    <mergeCell ref="A28:D28"/>
    <mergeCell ref="E28:F28"/>
    <mergeCell ref="A29:D29"/>
    <mergeCell ref="E29:F29"/>
    <mergeCell ref="A30:D30"/>
    <mergeCell ref="E30:F30"/>
    <mergeCell ref="A25:D25"/>
    <mergeCell ref="E25:F25"/>
    <mergeCell ref="A26:D26"/>
    <mergeCell ref="E26:F26"/>
    <mergeCell ref="A27:D27"/>
    <mergeCell ref="E27:F27"/>
    <mergeCell ref="A22:D22"/>
    <mergeCell ref="E22:F22"/>
    <mergeCell ref="A23:D23"/>
    <mergeCell ref="E23:F23"/>
    <mergeCell ref="A24:D24"/>
    <mergeCell ref="E24:F24"/>
    <mergeCell ref="A19:D19"/>
    <mergeCell ref="E19:F19"/>
    <mergeCell ref="A20:D20"/>
    <mergeCell ref="E20:F20"/>
    <mergeCell ref="A21:D21"/>
    <mergeCell ref="E21:F21"/>
    <mergeCell ref="A16:D16"/>
    <mergeCell ref="E16:F16"/>
    <mergeCell ref="A17:D17"/>
    <mergeCell ref="E17:F17"/>
    <mergeCell ref="A18:D18"/>
    <mergeCell ref="E18:F18"/>
    <mergeCell ref="A13:D13"/>
    <mergeCell ref="E13:F13"/>
    <mergeCell ref="A14:D14"/>
    <mergeCell ref="E14:F14"/>
    <mergeCell ref="A15:D15"/>
    <mergeCell ref="E15:F15"/>
    <mergeCell ref="A10:D10"/>
    <mergeCell ref="E10:F10"/>
    <mergeCell ref="A11:D11"/>
    <mergeCell ref="E11:F11"/>
    <mergeCell ref="A12:D12"/>
    <mergeCell ref="E12:F12"/>
    <mergeCell ref="A7:D7"/>
    <mergeCell ref="E7:F7"/>
    <mergeCell ref="A8:D8"/>
    <mergeCell ref="E8:F8"/>
    <mergeCell ref="A9:D9"/>
    <mergeCell ref="E9:F9"/>
    <mergeCell ref="A6:D6"/>
    <mergeCell ref="E6:F6"/>
    <mergeCell ref="A1:F3"/>
    <mergeCell ref="G1:G2"/>
    <mergeCell ref="H1:H2"/>
    <mergeCell ref="A4:F5"/>
    <mergeCell ref="G3:L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17</vt:i4>
      </vt:variant>
      <vt:variant>
        <vt:lpstr>Именованные диапазоны</vt:lpstr>
      </vt:variant>
      <vt:variant>
        <vt:i4>1</vt:i4>
      </vt:variant>
    </vt:vector>
  </HeadingPairs>
  <TitlesOfParts>
    <vt:vector size="18" baseType="lpstr">
      <vt:lpstr>Карточка персонажа</vt:lpstr>
      <vt:lpstr>Лист персонажа 1</vt:lpstr>
      <vt:lpstr>Лист персонажа 2</vt:lpstr>
      <vt:lpstr>Инвентарь</vt:lpstr>
      <vt:lpstr>Черты</vt:lpstr>
      <vt:lpstr>Воин</vt:lpstr>
      <vt:lpstr>Бард</vt:lpstr>
      <vt:lpstr>Варвар</vt:lpstr>
      <vt:lpstr>Вор</vt:lpstr>
      <vt:lpstr>Друид</vt:lpstr>
      <vt:lpstr>Жрец</vt:lpstr>
      <vt:lpstr>Маг</vt:lpstr>
      <vt:lpstr>Монах</vt:lpstr>
      <vt:lpstr>Паладин</vt:lpstr>
      <vt:lpstr>Рейнджер</vt:lpstr>
      <vt:lpstr>Чародей</vt:lpstr>
      <vt:lpstr>Расы</vt:lpstr>
      <vt:lpstr>Воин</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Berserk</dc:creator>
  <cp:keywords/>
  <dc:description/>
  <cp:lastModifiedBy>Berserk</cp:lastModifiedBy>
  <cp:revision/>
  <dcterms:created xsi:type="dcterms:W3CDTF">2015-06-05T18:19:34Z</dcterms:created>
  <dcterms:modified xsi:type="dcterms:W3CDTF">2025-02-09T12:08:08Z</dcterms:modified>
  <cp:category/>
  <cp:contentStatus/>
</cp:coreProperties>
</file>