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mq20161829\Documents\Data Wrangling MOOC\Course1\Week4\Workbooks\"/>
    </mc:Choice>
  </mc:AlternateContent>
  <xr:revisionPtr revIDLastSave="0" documentId="8_{371230E4-F4CC-41FB-B982-4B77E577C0A6}" xr6:coauthVersionLast="45" xr6:coauthVersionMax="45" xr10:uidLastSave="{00000000-0000-0000-0000-000000000000}"/>
  <bookViews>
    <workbookView xWindow="19090" yWindow="-110" windowWidth="38620" windowHeight="21820" xr2:uid="{EC2FC403-3BD3-48C3-93CE-3A4A505B5772}"/>
  </bookViews>
  <sheets>
    <sheet name="Supplier Invoice Statement" sheetId="2" r:id="rId1"/>
    <sheet name="MC Invoice Report" sheetId="1" r:id="rId2"/>
    <sheet name="Recon Analysis" sheetId="4" r:id="rId3"/>
    <sheet name="NSW Holidays 2020" sheetId="5" r:id="rId4"/>
    <sheet name="Demo Data" sheetId="6" r:id="rId5"/>
  </sheets>
  <definedNames>
    <definedName name="_xlnm._FilterDatabase" localSheetId="0" hidden="1">'Supplier Invoice Statement'!$A$1:$O$20</definedName>
    <definedName name="Amount_Paid">'MC Invoice Report'!$J$5:$J$89</definedName>
    <definedName name="Bank_Details">'MC Invoice Report'!$G$5:$G$89</definedName>
    <definedName name="Due_Date">'MC Invoice Report'!$E$5:$E$89</definedName>
    <definedName name="Flat_Rate">5</definedName>
    <definedName name="Invoice_Date">'MC Invoice Report'!$D$5:$D$89</definedName>
    <definedName name="Invoice_Day">'MC Invoice Report'!$L$5:$L$89</definedName>
    <definedName name="Invoice_Month">'MC Invoice Report'!$K$5:$K$89</definedName>
    <definedName name="Late_Charge">'MC Invoice Report'!$N$5:$N$89</definedName>
    <definedName name="Location">'MC Invoice Report'!$I$5:$I$89</definedName>
    <definedName name="Locations">'Recon Analysis'!$A$8:$A$10</definedName>
    <definedName name="Over_Due_By">'MC Invoice Report'!$M$5:$M$89</definedName>
    <definedName name="Payment_Date">'MC Invoice Report'!$F$5:$F$89</definedName>
    <definedName name="Payment_No.">'MC Invoice Report'!$C$5:$C$89</definedName>
    <definedName name="Payment_Ref">'MC Invoice Report'!$A$5:$A$89</definedName>
    <definedName name="Penalty_Rate">'MC Invoice Report'!$N$2</definedName>
    <definedName name="PO_Number">'MC Invoice Report'!$H$5:$H$89</definedName>
    <definedName name="Slicer_Invoice_Month">#N/A</definedName>
    <definedName name="Slicer_Location">#N/A</definedName>
    <definedName name="Supplier_Code">'MC Invoice Report'!$B$5:$B$89</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M2" i="2"/>
  <c r="R2" i="2" s="1"/>
  <c r="T2" i="2" s="1"/>
  <c r="M3" i="2"/>
  <c r="M4" i="2"/>
  <c r="M5" i="2"/>
  <c r="R5" i="2" s="1"/>
  <c r="T5" i="2" s="1"/>
  <c r="M6" i="2"/>
  <c r="R6" i="2" s="1"/>
  <c r="T6" i="2" s="1"/>
  <c r="M7" i="2"/>
  <c r="M8" i="2"/>
  <c r="M9" i="2"/>
  <c r="R9" i="2" s="1"/>
  <c r="T9" i="2" s="1"/>
  <c r="M10" i="2"/>
  <c r="R10" i="2" s="1"/>
  <c r="T10" i="2" s="1"/>
  <c r="M11" i="2"/>
  <c r="M12" i="2"/>
  <c r="M13" i="2"/>
  <c r="R13" i="2" s="1"/>
  <c r="T13" i="2" s="1"/>
  <c r="M14" i="2"/>
  <c r="R14" i="2" s="1"/>
  <c r="T14" i="2" s="1"/>
  <c r="M15" i="2"/>
  <c r="M16" i="2"/>
  <c r="M17" i="2"/>
  <c r="R17" i="2" s="1"/>
  <c r="T17" i="2" s="1"/>
  <c r="M18" i="2"/>
  <c r="R18" i="2" s="1"/>
  <c r="T18" i="2" s="1"/>
  <c r="M19" i="2"/>
  <c r="M20" i="2"/>
  <c r="N2" i="2"/>
  <c r="N3" i="2"/>
  <c r="N4" i="2"/>
  <c r="N5" i="2"/>
  <c r="N6" i="2"/>
  <c r="N7" i="2"/>
  <c r="N8" i="2"/>
  <c r="N9" i="2"/>
  <c r="N10" i="2"/>
  <c r="N11" i="2"/>
  <c r="N12" i="2"/>
  <c r="N13" i="2"/>
  <c r="N14" i="2"/>
  <c r="N15" i="2"/>
  <c r="N16" i="2"/>
  <c r="N17" i="2"/>
  <c r="N18" i="2"/>
  <c r="N19" i="2"/>
  <c r="N20" i="2"/>
  <c r="O2" i="2"/>
  <c r="O3" i="2"/>
  <c r="O4" i="2"/>
  <c r="O5" i="2"/>
  <c r="O6" i="2"/>
  <c r="O7" i="2"/>
  <c r="O8" i="2"/>
  <c r="O9" i="2"/>
  <c r="O10" i="2"/>
  <c r="O11" i="2"/>
  <c r="O12" i="2"/>
  <c r="O13" i="2"/>
  <c r="O14" i="2"/>
  <c r="O15" i="2"/>
  <c r="O16" i="2"/>
  <c r="O17" i="2"/>
  <c r="O18" i="2"/>
  <c r="O19" i="2"/>
  <c r="O20" i="2"/>
  <c r="P2" i="2"/>
  <c r="P3" i="2"/>
  <c r="P4" i="2"/>
  <c r="P5" i="2"/>
  <c r="P6" i="2"/>
  <c r="P7" i="2"/>
  <c r="P8" i="2"/>
  <c r="P9" i="2"/>
  <c r="P10" i="2"/>
  <c r="P11" i="2"/>
  <c r="P12" i="2"/>
  <c r="P13" i="2"/>
  <c r="P14" i="2"/>
  <c r="P15" i="2"/>
  <c r="P16" i="2"/>
  <c r="P17" i="2"/>
  <c r="P18" i="2"/>
  <c r="P19" i="2"/>
  <c r="P20" i="2"/>
  <c r="Q2" i="2"/>
  <c r="Q3" i="2"/>
  <c r="Q4" i="2"/>
  <c r="Q5" i="2"/>
  <c r="Q6" i="2"/>
  <c r="Q7" i="2"/>
  <c r="Q8" i="2"/>
  <c r="Q9" i="2"/>
  <c r="Q10" i="2"/>
  <c r="Q11" i="2"/>
  <c r="Q12" i="2"/>
  <c r="Q13" i="2"/>
  <c r="Q14" i="2"/>
  <c r="Q15" i="2"/>
  <c r="Q16" i="2"/>
  <c r="Q17" i="2"/>
  <c r="Q18" i="2"/>
  <c r="Q19" i="2"/>
  <c r="Q20" i="2"/>
  <c r="R3" i="2"/>
  <c r="R4" i="2"/>
  <c r="R7" i="2"/>
  <c r="R8" i="2"/>
  <c r="R11" i="2"/>
  <c r="R12" i="2"/>
  <c r="R15" i="2"/>
  <c r="R16" i="2"/>
  <c r="R19" i="2"/>
  <c r="R20" i="2"/>
  <c r="S2" i="2"/>
  <c r="S3" i="2"/>
  <c r="T3" i="2" s="1"/>
  <c r="S4" i="2"/>
  <c r="T4" i="2" s="1"/>
  <c r="S5" i="2"/>
  <c r="S6" i="2"/>
  <c r="S7" i="2"/>
  <c r="T7" i="2" s="1"/>
  <c r="S8" i="2"/>
  <c r="T8" i="2" s="1"/>
  <c r="S9" i="2"/>
  <c r="S10" i="2"/>
  <c r="S11" i="2"/>
  <c r="T11" i="2" s="1"/>
  <c r="S12" i="2"/>
  <c r="T12" i="2" s="1"/>
  <c r="S13" i="2"/>
  <c r="S14" i="2"/>
  <c r="S15" i="2"/>
  <c r="T15" i="2" s="1"/>
  <c r="S16" i="2"/>
  <c r="T16" i="2" s="1"/>
  <c r="S17" i="2"/>
  <c r="S18" i="2"/>
  <c r="S19" i="2"/>
  <c r="T19" i="2" s="1"/>
  <c r="S20" i="2"/>
  <c r="T20" i="2" s="1"/>
  <c r="B3" i="4"/>
  <c r="E89" i="1"/>
  <c r="K89" i="1"/>
  <c r="L89" i="1"/>
  <c r="M89" i="1"/>
  <c r="N89" i="1" s="1"/>
  <c r="B10" i="4"/>
  <c r="C10" i="4"/>
  <c r="D10" i="4"/>
  <c r="E10" i="4"/>
  <c r="W2" i="2" l="1"/>
  <c r="W1" i="2" l="1"/>
  <c r="C9" i="4" l="1"/>
  <c r="C8" i="4"/>
  <c r="B9" i="4"/>
  <c r="B8" i="4"/>
  <c r="B4" i="4"/>
  <c r="E38" i="1" l="1"/>
  <c r="M38" i="1" s="1"/>
  <c r="N38" i="1" s="1"/>
  <c r="E22" i="1"/>
  <c r="M22" i="1" s="1"/>
  <c r="N22" i="1" s="1"/>
  <c r="E33" i="1"/>
  <c r="M33" i="1" s="1"/>
  <c r="N33" i="1" s="1"/>
  <c r="E24" i="1"/>
  <c r="M24" i="1" s="1"/>
  <c r="N24" i="1" s="1"/>
  <c r="E42" i="1"/>
  <c r="M42" i="1" s="1"/>
  <c r="N42" i="1" s="1"/>
  <c r="E31" i="1"/>
  <c r="M31" i="1" s="1"/>
  <c r="N31" i="1" s="1"/>
  <c r="E74" i="1"/>
  <c r="M74" i="1" s="1"/>
  <c r="N74" i="1" s="1"/>
  <c r="E64" i="1"/>
  <c r="M64" i="1" s="1"/>
  <c r="N64" i="1" s="1"/>
  <c r="E57" i="1"/>
  <c r="M57" i="1" s="1"/>
  <c r="N57" i="1" s="1"/>
  <c r="E82" i="1"/>
  <c r="M82" i="1" s="1"/>
  <c r="N82" i="1" s="1"/>
  <c r="E5" i="1"/>
  <c r="M5" i="1" s="1"/>
  <c r="E35" i="1"/>
  <c r="M35" i="1" s="1"/>
  <c r="N35" i="1" s="1"/>
  <c r="E43" i="1"/>
  <c r="M43" i="1" s="1"/>
  <c r="N43" i="1" s="1"/>
  <c r="E17" i="1"/>
  <c r="M17" i="1" s="1"/>
  <c r="N17" i="1" s="1"/>
  <c r="E28" i="1"/>
  <c r="M28" i="1" s="1"/>
  <c r="N28" i="1" s="1"/>
  <c r="E9" i="1"/>
  <c r="M9" i="1" s="1"/>
  <c r="N9" i="1" s="1"/>
  <c r="E65" i="1"/>
  <c r="M65" i="1" s="1"/>
  <c r="N65" i="1" s="1"/>
  <c r="E61" i="1"/>
  <c r="M61" i="1" s="1"/>
  <c r="N61" i="1" s="1"/>
  <c r="E75" i="1"/>
  <c r="M75" i="1" s="1"/>
  <c r="N75" i="1" s="1"/>
  <c r="E41" i="1"/>
  <c r="M41" i="1" s="1"/>
  <c r="N41" i="1" s="1"/>
  <c r="E52" i="1"/>
  <c r="M52" i="1" s="1"/>
  <c r="N52" i="1" s="1"/>
  <c r="E51" i="1"/>
  <c r="M51" i="1" s="1"/>
  <c r="N51" i="1" s="1"/>
  <c r="E88" i="1"/>
  <c r="M88" i="1" s="1"/>
  <c r="N88" i="1" s="1"/>
  <c r="E83" i="1"/>
  <c r="M83" i="1" s="1"/>
  <c r="N83" i="1" s="1"/>
  <c r="E80" i="1"/>
  <c r="M80" i="1" s="1"/>
  <c r="N80" i="1" s="1"/>
  <c r="E29" i="1"/>
  <c r="M29" i="1" s="1"/>
  <c r="N29" i="1" s="1"/>
  <c r="E11" i="1"/>
  <c r="M11" i="1" s="1"/>
  <c r="N11" i="1" s="1"/>
  <c r="E6" i="1"/>
  <c r="M6" i="1" s="1"/>
  <c r="N6" i="1" s="1"/>
  <c r="E58" i="1"/>
  <c r="M58" i="1" s="1"/>
  <c r="N58" i="1" s="1"/>
  <c r="E71" i="1"/>
  <c r="M71" i="1" s="1"/>
  <c r="N71" i="1" s="1"/>
  <c r="E66" i="1"/>
  <c r="M66" i="1" s="1"/>
  <c r="N66" i="1" s="1"/>
  <c r="E47" i="1"/>
  <c r="M47" i="1" s="1"/>
  <c r="N47" i="1" s="1"/>
  <c r="E54" i="1"/>
  <c r="M54" i="1" s="1"/>
  <c r="N54" i="1" s="1"/>
  <c r="E12" i="1"/>
  <c r="M12" i="1" s="1"/>
  <c r="N12" i="1" s="1"/>
  <c r="E39" i="1"/>
  <c r="M39" i="1" s="1"/>
  <c r="N39" i="1" s="1"/>
  <c r="E48" i="1"/>
  <c r="M48" i="1" s="1"/>
  <c r="N48" i="1" s="1"/>
  <c r="E63" i="1"/>
  <c r="M63" i="1" s="1"/>
  <c r="N63" i="1" s="1"/>
  <c r="E49" i="1"/>
  <c r="M49" i="1" s="1"/>
  <c r="E36" i="1"/>
  <c r="M36" i="1" s="1"/>
  <c r="N36" i="1" s="1"/>
  <c r="E13" i="1"/>
  <c r="M13" i="1" s="1"/>
  <c r="N13" i="1" s="1"/>
  <c r="E25" i="1"/>
  <c r="M25" i="1" s="1"/>
  <c r="N25" i="1" s="1"/>
  <c r="E62" i="1"/>
  <c r="M62" i="1" s="1"/>
  <c r="N62" i="1" s="1"/>
  <c r="E23" i="1"/>
  <c r="M23" i="1" s="1"/>
  <c r="N23" i="1" s="1"/>
  <c r="E60" i="1"/>
  <c r="M60" i="1" s="1"/>
  <c r="N60" i="1" s="1"/>
  <c r="E14" i="1"/>
  <c r="M14" i="1" s="1"/>
  <c r="N14" i="1" s="1"/>
  <c r="E8" i="1"/>
  <c r="M8" i="1" s="1"/>
  <c r="N8" i="1" s="1"/>
  <c r="E78" i="1"/>
  <c r="M78" i="1" s="1"/>
  <c r="N78" i="1" s="1"/>
  <c r="E76" i="1"/>
  <c r="M76" i="1" s="1"/>
  <c r="N76" i="1" s="1"/>
  <c r="E26" i="1"/>
  <c r="M26" i="1" s="1"/>
  <c r="N26" i="1" s="1"/>
  <c r="E84" i="1"/>
  <c r="M84" i="1" s="1"/>
  <c r="N84" i="1" s="1"/>
  <c r="E79" i="1"/>
  <c r="M79" i="1" s="1"/>
  <c r="N79" i="1" s="1"/>
  <c r="E86" i="1"/>
  <c r="M86" i="1" s="1"/>
  <c r="N86" i="1" s="1"/>
  <c r="E32" i="1"/>
  <c r="M32" i="1" s="1"/>
  <c r="N32" i="1" s="1"/>
  <c r="E68" i="1"/>
  <c r="M68" i="1" s="1"/>
  <c r="N68" i="1" s="1"/>
  <c r="E27" i="1"/>
  <c r="M27" i="1" s="1"/>
  <c r="N27" i="1" s="1"/>
  <c r="E30" i="1"/>
  <c r="M30" i="1" s="1"/>
  <c r="N30" i="1" s="1"/>
  <c r="E40" i="1"/>
  <c r="M40" i="1" s="1"/>
  <c r="N40" i="1" s="1"/>
  <c r="E15" i="1"/>
  <c r="M15" i="1" s="1"/>
  <c r="N15" i="1" s="1"/>
  <c r="E50" i="1"/>
  <c r="M50" i="1" s="1"/>
  <c r="N50" i="1" s="1"/>
  <c r="E73" i="1"/>
  <c r="M73" i="1" s="1"/>
  <c r="N73" i="1" s="1"/>
  <c r="E44" i="1"/>
  <c r="M44" i="1" s="1"/>
  <c r="N44" i="1" s="1"/>
  <c r="E69" i="1"/>
  <c r="M69" i="1" s="1"/>
  <c r="N69" i="1" s="1"/>
  <c r="E20" i="1"/>
  <c r="M20" i="1" s="1"/>
  <c r="N20" i="1" s="1"/>
  <c r="E34" i="1"/>
  <c r="M34" i="1" s="1"/>
  <c r="N34" i="1" s="1"/>
  <c r="E19" i="1"/>
  <c r="M19" i="1" s="1"/>
  <c r="N19" i="1" s="1"/>
  <c r="E45" i="1"/>
  <c r="M45" i="1" s="1"/>
  <c r="N45" i="1" s="1"/>
  <c r="E7" i="1"/>
  <c r="M7" i="1" s="1"/>
  <c r="N7" i="1" s="1"/>
  <c r="E21" i="1"/>
  <c r="M21" i="1" s="1"/>
  <c r="N21" i="1" s="1"/>
  <c r="E59" i="1"/>
  <c r="M59" i="1" s="1"/>
  <c r="N59" i="1" s="1"/>
  <c r="E81" i="1"/>
  <c r="M81" i="1" s="1"/>
  <c r="N81" i="1" s="1"/>
  <c r="E70" i="1"/>
  <c r="M70" i="1" s="1"/>
  <c r="N70" i="1" s="1"/>
  <c r="E67" i="1"/>
  <c r="M67" i="1" s="1"/>
  <c r="N67" i="1" s="1"/>
  <c r="E77" i="1"/>
  <c r="M77" i="1" s="1"/>
  <c r="N77" i="1" s="1"/>
  <c r="E10" i="1"/>
  <c r="M10" i="1" s="1"/>
  <c r="N10" i="1" s="1"/>
  <c r="E46" i="1"/>
  <c r="M46" i="1" s="1"/>
  <c r="N46" i="1" s="1"/>
  <c r="E18" i="1"/>
  <c r="M18" i="1" s="1"/>
  <c r="N18" i="1" s="1"/>
  <c r="E85" i="1"/>
  <c r="M85" i="1" s="1"/>
  <c r="N85" i="1" s="1"/>
  <c r="E87" i="1"/>
  <c r="M87" i="1" s="1"/>
  <c r="N87" i="1" s="1"/>
  <c r="E55" i="1"/>
  <c r="M55" i="1" s="1"/>
  <c r="N55" i="1" s="1"/>
  <c r="E56" i="1"/>
  <c r="M56" i="1" s="1"/>
  <c r="N56" i="1" s="1"/>
  <c r="E37" i="1"/>
  <c r="M37" i="1" s="1"/>
  <c r="N37" i="1" s="1"/>
  <c r="E16" i="1"/>
  <c r="M16" i="1" s="1"/>
  <c r="N16" i="1" s="1"/>
  <c r="E72" i="1"/>
  <c r="M72" i="1" s="1"/>
  <c r="N72" i="1" s="1"/>
  <c r="E53" i="1"/>
  <c r="M53" i="1" s="1"/>
  <c r="N53" i="1" s="1"/>
  <c r="N5" i="1" l="1"/>
  <c r="D9" i="4"/>
  <c r="N49" i="1"/>
  <c r="D8" i="4"/>
  <c r="E9" i="4"/>
  <c r="E8" i="4"/>
  <c r="B5" i="5"/>
  <c r="B6" i="5"/>
  <c r="B7" i="5"/>
  <c r="B8" i="5"/>
  <c r="B9" i="5"/>
  <c r="B10" i="5"/>
  <c r="B11" i="5"/>
  <c r="B12" i="5"/>
  <c r="B13" i="5"/>
  <c r="B14" i="5"/>
  <c r="B15" i="5"/>
  <c r="B4" i="5"/>
  <c r="L38" i="1" l="1"/>
  <c r="L22" i="1"/>
  <c r="L33" i="1"/>
  <c r="L24" i="1"/>
  <c r="L42" i="1"/>
  <c r="L31" i="1"/>
  <c r="L74" i="1"/>
  <c r="L64" i="1"/>
  <c r="L57" i="1"/>
  <c r="L82" i="1"/>
  <c r="L5" i="1"/>
  <c r="L35" i="1"/>
  <c r="L43" i="1"/>
  <c r="L17" i="1"/>
  <c r="L28" i="1"/>
  <c r="L9" i="1"/>
  <c r="L65" i="1"/>
  <c r="L61" i="1"/>
  <c r="L75" i="1"/>
  <c r="L41" i="1"/>
  <c r="L52" i="1"/>
  <c r="L51" i="1"/>
  <c r="L88" i="1"/>
  <c r="L83" i="1"/>
  <c r="L80" i="1"/>
  <c r="L29" i="1"/>
  <c r="L11" i="1"/>
  <c r="L6" i="1"/>
  <c r="L58" i="1"/>
  <c r="L71" i="1"/>
  <c r="L66" i="1"/>
  <c r="L47" i="1"/>
  <c r="L54" i="1"/>
  <c r="L12" i="1"/>
  <c r="L39" i="1"/>
  <c r="L48" i="1"/>
  <c r="L63" i="1"/>
  <c r="L49" i="1"/>
  <c r="L36" i="1"/>
  <c r="L13" i="1"/>
  <c r="L25" i="1"/>
  <c r="L62" i="1"/>
  <c r="L23" i="1"/>
  <c r="L60" i="1"/>
  <c r="L14" i="1"/>
  <c r="L8" i="1"/>
  <c r="L78" i="1"/>
  <c r="L76" i="1"/>
  <c r="L26" i="1"/>
  <c r="L84" i="1"/>
  <c r="L79" i="1"/>
  <c r="L86" i="1"/>
  <c r="L32" i="1"/>
  <c r="L68" i="1"/>
  <c r="L27" i="1"/>
  <c r="L30" i="1"/>
  <c r="L40" i="1"/>
  <c r="L15" i="1"/>
  <c r="L50" i="1"/>
  <c r="L73" i="1"/>
  <c r="L44" i="1"/>
  <c r="L69" i="1"/>
  <c r="L20" i="1"/>
  <c r="L34" i="1"/>
  <c r="L19" i="1"/>
  <c r="L45" i="1"/>
  <c r="L7" i="1"/>
  <c r="L21" i="1"/>
  <c r="L59" i="1"/>
  <c r="L81" i="1"/>
  <c r="L70" i="1"/>
  <c r="L67" i="1"/>
  <c r="L77" i="1"/>
  <c r="L10" i="1"/>
  <c r="L46" i="1"/>
  <c r="L18" i="1"/>
  <c r="L85" i="1"/>
  <c r="L87" i="1"/>
  <c r="L55" i="1"/>
  <c r="L56" i="1"/>
  <c r="L37" i="1"/>
  <c r="L16" i="1"/>
  <c r="L72" i="1"/>
  <c r="L53" i="1"/>
  <c r="B2" i="1"/>
  <c r="K38" i="1" l="1"/>
  <c r="K22" i="1"/>
  <c r="K33" i="1"/>
  <c r="K24" i="1"/>
  <c r="K42" i="1"/>
  <c r="K31" i="1"/>
  <c r="K74" i="1"/>
  <c r="K64" i="1"/>
  <c r="K57" i="1"/>
  <c r="K82" i="1"/>
  <c r="K5" i="1"/>
  <c r="K35" i="1"/>
  <c r="K43" i="1"/>
  <c r="K17" i="1"/>
  <c r="K28" i="1"/>
  <c r="K9" i="1"/>
  <c r="K65" i="1"/>
  <c r="K61" i="1"/>
  <c r="K75" i="1"/>
  <c r="K41" i="1"/>
  <c r="K52" i="1"/>
  <c r="K51" i="1"/>
  <c r="K88" i="1"/>
  <c r="K83" i="1"/>
  <c r="K80" i="1"/>
  <c r="K29" i="1"/>
  <c r="K11" i="1"/>
  <c r="K6" i="1"/>
  <c r="K58" i="1"/>
  <c r="K71" i="1"/>
  <c r="K66" i="1"/>
  <c r="K47" i="1"/>
  <c r="K54" i="1"/>
  <c r="K12" i="1"/>
  <c r="K39" i="1"/>
  <c r="K48" i="1"/>
  <c r="K63" i="1"/>
  <c r="K49" i="1"/>
  <c r="K36" i="1"/>
  <c r="K13" i="1"/>
  <c r="K25" i="1"/>
  <c r="K62" i="1"/>
  <c r="K23" i="1"/>
  <c r="K60" i="1"/>
  <c r="K14" i="1"/>
  <c r="K8" i="1"/>
  <c r="K78" i="1"/>
  <c r="K76" i="1"/>
  <c r="K26" i="1"/>
  <c r="K84" i="1"/>
  <c r="K79" i="1"/>
  <c r="K86" i="1"/>
  <c r="K32" i="1"/>
  <c r="K68" i="1"/>
  <c r="K27" i="1"/>
  <c r="K30" i="1"/>
  <c r="K40" i="1"/>
  <c r="K15" i="1"/>
  <c r="K50" i="1"/>
  <c r="K73" i="1"/>
  <c r="K44" i="1"/>
  <c r="K69" i="1"/>
  <c r="K20" i="1"/>
  <c r="K34" i="1"/>
  <c r="K19" i="1"/>
  <c r="K45" i="1"/>
  <c r="K7" i="1"/>
  <c r="K21" i="1"/>
  <c r="K59" i="1"/>
  <c r="K81" i="1"/>
  <c r="K70" i="1"/>
  <c r="K67" i="1"/>
  <c r="K77" i="1"/>
  <c r="K10" i="1"/>
  <c r="K46" i="1"/>
  <c r="K18" i="1"/>
  <c r="K85" i="1"/>
  <c r="K87" i="1"/>
  <c r="K55" i="1"/>
  <c r="K56" i="1"/>
  <c r="K37" i="1"/>
  <c r="K16" i="1"/>
  <c r="K72" i="1"/>
  <c r="K53" i="1"/>
  <c r="B5" i="4" l="1"/>
  <c r="C53" i="1" l="1"/>
</calcChain>
</file>

<file path=xl/sharedStrings.xml><?xml version="1.0" encoding="utf-8"?>
<sst xmlns="http://schemas.openxmlformats.org/spreadsheetml/2006/main" count="656" uniqueCount="217">
  <si>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</si>
  <si>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</si>
  <si>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</si>
  <si>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</si>
  <si>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</si>
  <si>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</si>
  <si>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</si>
  <si>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</si>
  <si>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</si>
  <si>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</si>
  <si>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</si>
  <si>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</si>
  <si>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</si>
  <si>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</si>
  <si>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</si>
  <si>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</si>
  <si>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</si>
  <si>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</si>
  <si>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</si>
  <si>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</si>
  <si>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</si>
  <si>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</si>
  <si>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</si>
  <si>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</si>
  <si>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</si>
  <si>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</si>
  <si>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</si>
  <si>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</si>
  <si>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</si>
  <si>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</si>
  <si>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</si>
  <si>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</si>
  <si>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</si>
  <si>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</si>
  <si>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</si>
  <si>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</si>
  <si>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</si>
  <si>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</si>
  <si>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</si>
  <si>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</si>
  <si>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</si>
  <si>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</si>
  <si>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</si>
  <si>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</si>
  <si>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</si>
  <si>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</si>
  <si>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</si>
  <si>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</si>
  <si>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</si>
  <si>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</si>
  <si>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</si>
  <si>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</si>
  <si>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</si>
  <si>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</si>
  <si>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</si>
  <si>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</si>
  <si>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</si>
  <si>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</si>
  <si>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</si>
  <si>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</si>
  <si>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</si>
  <si>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</si>
  <si>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</si>
  <si>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</si>
  <si>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</si>
  <si>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</si>
  <si>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</si>
  <si>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</si>
  <si>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</si>
  <si>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</si>
  <si>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</si>
  <si>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</si>
  <si>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</si>
  <si>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</si>
  <si>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</si>
  <si>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</si>
  <si>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</si>
  <si>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</si>
  <si>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</si>
  <si>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</si>
  <si>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</si>
  <si>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</si>
  <si>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</si>
  <si>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</si>
  <si>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</si>
  <si>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</si>
  <si>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</si>
  <si>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</si>
  <si>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</si>
  <si>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</si>
  <si>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</si>
  <si>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</si>
  <si>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</si>
  <si>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</si>
  <si>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</si>
  <si>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</si>
  <si>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</si>
  <si>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</si>
  <si>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</si>
  <si>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</si>
  <si>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</si>
  <si>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</si>
  <si>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</si>
  <si>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</si>
  <si>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</si>
  <si>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</si>
  <si>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</si>
  <si>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</si>
  <si>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</si>
  <si>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</si>
  <si>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</si>
  <si>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</si>
  <si>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</si>
  <si>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</si>
  <si>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</si>
  <si>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</si>
  <si>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</si>
  <si>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</si>
  <si>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</si>
  <si>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</si>
  <si>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</si>
  <si>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</si>
  <si>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</si>
  <si>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</si>
  <si>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</si>
  <si>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</si>
  <si>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</si>
  <si>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</si>
  <si>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</si>
  <si>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</si>
  <si>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</si>
  <si>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Payment No</t>
  </si>
  <si>
    <t>Supplier Code</t>
  </si>
  <si>
    <t>Payment Ref</t>
  </si>
  <si>
    <t>System Report for MedsCo April 2020</t>
  </si>
  <si>
    <t>MC2741</t>
  </si>
  <si>
    <t>Invoice Month</t>
  </si>
  <si>
    <t>Paid Amount</t>
  </si>
  <si>
    <t>Late Charge</t>
  </si>
  <si>
    <t>Penalty Rate:</t>
  </si>
  <si>
    <t>Over Due By</t>
  </si>
  <si>
    <t>Analysis for MedsCo April 2020</t>
  </si>
  <si>
    <t>DC Report Total Paid:</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</si>
  <si>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</si>
  <si>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</si>
  <si>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</si>
  <si>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</si>
  <si>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</si>
  <si>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</si>
  <si>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</si>
  <si>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</si>
  <si>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</si>
  <si>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</si>
  <si>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</si>
  <si>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</si>
  <si>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</si>
  <si>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</si>
  <si>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</si>
  <si>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</si>
  <si>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</si>
  <si>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</si>
  <si>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</si>
  <si>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</si>
  <si>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</si>
  <si>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</si>
  <si>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</si>
  <si>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</si>
  <si>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</si>
  <si>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</si>
  <si>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</si>
  <si>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</si>
  <si>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</si>
  <si>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</si>
  <si>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</si>
  <si>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</si>
  <si>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</si>
  <si>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</si>
  <si>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</si>
  <si>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</si>
  <si>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</si>
  <si>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</si>
  <si>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</si>
  <si>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</si>
  <si>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</si>
  <si>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</si>
  <si>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</si>
  <si>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</si>
  <si>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</si>
  <si>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</si>
  <si>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</si>
  <si>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</si>
  <si>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</si>
  <si>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</si>
  <si>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</si>
  <si>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May 06</t>
  </si>
  <si>
    <t>S 297.27</t>
  </si>
  <si>
    <t>S 932.55</t>
  </si>
  <si>
    <t>S 827.46</t>
  </si>
  <si>
    <t>S 306.34</t>
  </si>
  <si>
    <t>S 561.88</t>
  </si>
  <si>
    <t>S 1098.70</t>
  </si>
  <si>
    <t>S 1370.15</t>
  </si>
  <si>
    <t>S 663.14</t>
  </si>
  <si>
    <t>S 139.85</t>
  </si>
  <si>
    <t>S 343.20</t>
  </si>
  <si>
    <t>S 1427.29</t>
  </si>
  <si>
    <t>S 1286.65</t>
  </si>
  <si>
    <t>S 1357.13</t>
  </si>
  <si>
    <t>S 317.11</t>
  </si>
  <si>
    <t>S 662.32</t>
  </si>
  <si>
    <t>S 1229.66</t>
  </si>
  <si>
    <t>S 96.10</t>
  </si>
  <si>
    <t>S 783.72</t>
  </si>
  <si>
    <t>S 702.87</t>
  </si>
  <si>
    <t>Days to Pay</t>
  </si>
  <si>
    <t>Perth</t>
  </si>
  <si>
    <t>24888_1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</si>
</sst>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43" formatCode="_-* #,##0.00_-;\-* #,##0.00_-;_-* &quot;-&quot;??_-;_-@_-"/>
    <numFmt numFmtId="164" formatCode="&quot;$&quot;#,##0.00"/>
    <numFmt numFmtId="165" formatCode="yyyy\-mm\-dd;@"/>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color theme="0"/>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patternFill>
    </fill>
  </fills>
  <borders count="4">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7" fillId="3" borderId="0" applyNumberFormat="0" applyBorder="0" applyAlignment="0" applyProtection="0"/>
    <xf numFmtId="9" fontId="1" fillId="0" borderId="0" applyFont="0" applyFill="0" applyBorder="0" applyAlignment="0" applyProtection="0"/>
  </cellStyleXfs>
  <cellXfs count="34">
    <xf numFmtId="0" fontId="0" fillId="0" borderId="0" xfId="0"/>
    <xf numFmtId="164" fontId="0" fillId="0" borderId="0" xfId="0" applyNumberFormat="1"/>
    <xf numFmtId="165" fontId="0" fillId="0" borderId="0" xfId="0" applyNumberFormat="1"/>
    <xf numFmtId="0" fontId="2" fillId="0" borderId="0" xfId="0" applyFont="1"/>
    <xf numFmtId="0" fontId="0" fillId="0" borderId="0" xfId="0" applyAlignment="1">
      <alignment horizontal="center"/>
    </xf>
    <xf numFmtId="0" fontId="0" fillId="0" borderId="0" xfId="0" applyNumberFormat="1"/>
    <xf numFmtId="165" fontId="0" fillId="2" borderId="2" xfId="0" applyNumberFormat="1" applyFill="1" applyBorder="1"/>
    <xf numFmtId="10" fontId="0" fillId="2" borderId="3" xfId="0" applyNumberFormat="1" applyFill="1" applyBorder="1"/>
    <xf numFmtId="0" fontId="2" fillId="0" borderId="0" xfId="0" applyFont="1" applyAlignment="1">
      <alignment horizontal="right"/>
    </xf>
    <xf numFmtId="164" fontId="0" fillId="0" borderId="0" xfId="7" applyNumberFormat="1" applyFont="1"/>
    <xf numFmtId="0" fontId="5" fillId="0" borderId="1" xfId="8"/>
    <xf numFmtId="165" fontId="0" fillId="2" borderId="3" xfId="0" applyNumberFormat="1" applyFill="1" applyBorder="1" applyAlignment="1">
      <alignment horizontal="right"/>
    </xf>
    <xf numFmtId="0" fontId="6" fillId="0" borderId="0" xfId="9"/>
    <xf numFmtId="14" fontId="0" fillId="0" borderId="0" xfId="0" applyNumberFormat="1"/>
    <xf numFmtId="14" fontId="7" fillId="3" borderId="0" xfId="10" applyNumberFormat="1" applyAlignment="1">
      <alignment horizontal="right"/>
    </xf>
    <xf numFmtId="0" fontId="7" fillId="3" borderId="0" xfId="10" applyAlignment="1">
      <alignment horizontal="center"/>
    </xf>
    <xf numFmtId="0" fontId="7" fillId="3" borderId="0" xfId="10"/>
    <xf numFmtId="14" fontId="5" fillId="0" borderId="1" xfId="8" applyNumberFormat="1"/>
    <xf numFmtId="0" fontId="0" fillId="0" borderId="0" xfId="0" applyFill="1" applyAlignment="1">
      <alignment horizontal="center"/>
    </xf>
    <xf numFmtId="0" fontId="2" fillId="0" borderId="0" xfId="0" applyFont="1" applyFill="1" applyAlignment="1">
      <alignment horizontal="center"/>
    </xf>
    <xf numFmtId="164" fontId="0" fillId="0" borderId="0" xfId="0" applyNumberFormat="1" applyFill="1" applyAlignment="1">
      <alignment horizontal="center"/>
    </xf>
    <xf numFmtId="0" fontId="0" fillId="0" borderId="0" xfId="0" applyFill="1"/>
    <xf numFmtId="164" fontId="0" fillId="0" borderId="0" xfId="0" applyNumberFormat="1" applyFill="1"/>
    <xf numFmtId="0" fontId="0" fillId="0" borderId="0" xfId="0" applyNumberFormat="1" applyFill="1"/>
    <xf numFmtId="0" fontId="0" fillId="0" borderId="0" xfId="0" applyNumberFormat="1" applyFill="1" applyAlignment="1">
      <alignment horizontal="center"/>
    </xf>
    <xf numFmtId="164" fontId="0" fillId="0" borderId="0" xfId="11" applyNumberFormat="1" applyFont="1"/>
    <xf numFmtId="0" fontId="2" fillId="0" borderId="0" xfId="0" applyFont="1" applyFill="1" applyBorder="1" applyAlignment="1">
      <alignment horizontal="center"/>
    </xf>
    <xf numFmtId="0" fontId="2" fillId="0" borderId="0" xfId="0" applyNumberFormat="1" applyFont="1" applyFill="1" applyBorder="1" applyAlignment="1">
      <alignment horizontal="center"/>
    </xf>
    <xf numFmtId="164" fontId="2" fillId="0" borderId="0" xfId="0" applyNumberFormat="1" applyFont="1" applyFill="1" applyBorder="1" applyAlignment="1">
      <alignment horizontal="center"/>
    </xf>
    <xf numFmtId="0" fontId="0" fillId="0" borderId="0" xfId="0" applyFill="1" applyBorder="1"/>
    <xf numFmtId="164" fontId="0" fillId="0" borderId="0" xfId="0" applyNumberFormat="1" applyFill="1" applyBorder="1"/>
    <xf numFmtId="14" fontId="0" fillId="0" borderId="0" xfId="0" applyNumberFormat="1" applyFill="1" applyBorder="1"/>
    <xf numFmtId="14" fontId="0" fillId="0" borderId="0" xfId="0" applyNumberFormat="1" applyFill="1"/>
    <xf numFmtId="14" fontId="0" fillId="0" borderId="0" xfId="0" applyNumberFormat="1" applyFill="1" applyAlignment="1">
      <alignment horizontal="center"/>
    </xf>
  </cellXfs>
  <cellStyles count="12">
    <cellStyle name="Accent1" xfId="10" builtinId="2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Percent" xfId="11" builtinId="5"/>
    <cellStyle name="Title" xfId="9" builtinId="15"/>
  </cellStyles>
  <dxfs count="34">
    <dxf>
      <font>
        <color auto="1"/>
      </font>
      <fill>
        <patternFill>
          <bgColor theme="8" tint="0.79998168889431442"/>
        </patternFill>
      </fill>
    </dxf>
    <dxf>
      <font>
        <color auto="1"/>
      </font>
      <fill>
        <patternFill>
          <bgColor theme="8" tint="0.79998168889431442"/>
        </patternFill>
      </fill>
    </dxf>
    <dxf>
      <numFmt numFmtId="164" formatCode="&quot;$&quot;#,##0.00"/>
    </dxf>
    <dxf>
      <font>
        <b val="0"/>
        <i val="0"/>
        <strike val="0"/>
        <condense val="0"/>
        <extend val="0"/>
        <outline val="0"/>
        <shadow val="0"/>
        <u val="none"/>
        <vertAlign val="baseline"/>
        <sz val="11"/>
        <color theme="1"/>
        <name val="Calibri"/>
        <family val="2"/>
        <scheme val="minor"/>
      </font>
      <numFmt numFmtId="164"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numFmt numFmtId="164" formatCode="&quot;$&quot;#,##0.00"/>
    </dxf>
    <dxf>
      <font>
        <b val="0"/>
        <i val="0"/>
        <strike val="0"/>
        <condense val="0"/>
        <extend val="0"/>
        <outline val="0"/>
        <shadow val="0"/>
        <u val="none"/>
        <vertAlign val="baseline"/>
        <sz val="11"/>
        <color theme="1"/>
        <name val="Calibri"/>
        <family val="2"/>
        <scheme val="minor"/>
      </font>
      <numFmt numFmtId="164" formatCode="&quot;$&quot;#,##0.00"/>
    </dxf>
    <dxf>
      <font>
        <b val="0"/>
        <i val="0"/>
        <strike val="0"/>
        <condense val="0"/>
        <extend val="0"/>
        <outline val="0"/>
        <shadow val="0"/>
        <u val="none"/>
        <vertAlign val="baseline"/>
        <sz val="11"/>
        <color theme="1"/>
        <name val="Calibri"/>
        <family val="2"/>
        <scheme val="minor"/>
      </font>
      <numFmt numFmtId="164" formatCode="&quot;$&quot;#,##0.00"/>
    </dxf>
    <dxf>
      <numFmt numFmtId="164" formatCode="&quot;$&quot;#,##0.00"/>
    </dxf>
    <dxf>
      <numFmt numFmtId="19" formatCode="d/mm/yyyy"/>
    </dxf>
    <dxf>
      <numFmt numFmtId="19" formatCode="d/mm/yyyy"/>
    </dxf>
    <dxf>
      <numFmt numFmtId="19" formatCode="d/mm/yyyy"/>
    </dxf>
    <dxf>
      <alignment horizontal="center" vertical="bottom" textRotation="0" wrapText="0" indent="0" justifyLastLine="0" shrinkToFit="0" readingOrder="0"/>
    </dxf>
    <dxf>
      <numFmt numFmtId="0" formatCode="General"/>
      <fill>
        <patternFill patternType="none">
          <fgColor indexed="64"/>
          <bgColor indexed="65"/>
        </patternFill>
      </fill>
    </dxf>
    <dxf>
      <numFmt numFmtId="19" formatCode="d/mm/yyyy"/>
      <fill>
        <patternFill patternType="none">
          <fgColor indexed="64"/>
          <bgColor indexed="65"/>
        </patternFill>
      </fill>
    </dxf>
    <dxf>
      <numFmt numFmtId="19" formatCode="d/mm/yyyy"/>
      <fill>
        <patternFill patternType="none">
          <fgColor indexed="64"/>
          <bgColor indexed="65"/>
        </patternFill>
      </fill>
    </dxf>
    <dxf>
      <numFmt numFmtId="164"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15</xdr:col>
      <xdr:colOff>53241</xdr:colOff>
      <xdr:row>3</xdr:row>
      <xdr:rowOff>11235</xdr:rowOff>
    </xdr:from>
    <xdr:to>
      <xdr:col>17</xdr:col>
      <xdr:colOff>261325</xdr:colOff>
      <xdr:row>45</xdr:row>
      <xdr:rowOff>105019</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8C7D03B9-F4C4-4364-84BC-FB914F5D802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3896241" y="680427"/>
              <a:ext cx="1429238" cy="176432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41030</xdr:colOff>
      <xdr:row>45</xdr:row>
      <xdr:rowOff>145562</xdr:rowOff>
    </xdr:from>
    <xdr:to>
      <xdr:col>17</xdr:col>
      <xdr:colOff>249114</xdr:colOff>
      <xdr:row>86</xdr:row>
      <xdr:rowOff>53731</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602AB3BF-6331-488A-8EC3-E26A5001FCD3}"/>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3884030" y="2485293"/>
              <a:ext cx="1429238" cy="176432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7D68F65-B466-4E9E-8CDB-F451D3231B42}"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65FCFA6F-E7A9-4632-BC52-36574AF97759}"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44A84713-A6FA-4E5B-81C3-5FE1F102A37A}" cache="Slicer_Location" caption="Location" style="SlicerStyleDark1" rowHeight="241300"/>
  <slicer name="Invoice Month" xr10:uid="{0AD2D23D-CEB8-4A02-B8A6-18A99DF8D5CF}"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92419D-B5CF-4A1E-900A-D033C209EF75}" name="tbl_Supplier" displayName="tbl_Supplier" ref="A1:T20" totalsRowShown="0" dataDxfId="33">
  <autoFilter ref="A1:T20" xr:uid="{8B84E068-4F33-46EA-B4B4-91470FB43111}"/>
  <tableColumns count="20">
    <tableColumn id="1" xr3:uid="{4122AEB7-70F8-4AE4-AD97-D7AB50E1B5A1}" name="Document No" dataDxfId="32" dataCellStyle="20% - Accent3"/>
    <tableColumn id="2" xr3:uid="{93DF25FF-033C-4CB9-9D94-68D923FAD6FE}" name="Payment No." dataDxfId="31" dataCellStyle="20% - Accent3"/>
    <tableColumn id="3" xr3:uid="{216CC669-4618-4629-933A-88B6BFD81544}" name="Paid" dataDxfId="30" dataCellStyle="20% - Accent3"/>
    <tableColumn id="4" xr3:uid="{760686EF-6AC7-4B3B-A9EF-B525C35669F2}" name="Invoiced" dataDxfId="29" dataCellStyle="20% - Accent3"/>
    <tableColumn id="5" xr3:uid="{781215BE-A91E-41CC-BEA4-D50CBA8C9C09}" name="Inv/cr" dataDxfId="28" dataCellStyle="20% - Accent3"/>
    <tableColumn id="6" xr3:uid="{F14D22DD-743B-4B7A-AC7A-9D0BB5AFA33E}" name="Paid Amount" dataDxfId="27" dataCellStyle="20% - Accent3"/>
    <tableColumn id="7" xr3:uid="{CB73AD46-11E9-4E7B-ABCC-0D279BD05C01}" name="Customer PO" dataDxfId="26" dataCellStyle="20% - Accent3"/>
    <tableColumn id="8" xr3:uid="{B5086CD8-1BE2-4550-8E0C-61026EB35AB5}" name="ABN" dataDxfId="25" dataCellStyle="20% - Accent3"/>
    <tableColumn id="9" xr3:uid="{2C0341F3-4D2B-4EF4-952B-ED335B80B1CD}" name="Acct" dataDxfId="24" dataCellStyle="20% - Accent3"/>
    <tableColumn id="10" xr3:uid="{B5F97B2C-9B8D-47A8-B57A-F37996058297}" name="Check" dataDxfId="23" dataCellStyle="20% - Accent3"/>
    <tableColumn id="11" xr3:uid="{11FE8A63-B6A9-4611-A2D4-46A209A90C1C}" name="Payment No" dataDxfId="22"/>
    <tableColumn id="12" xr3:uid="{51A56C72-4B53-425D-A755-296B941889FB}" name="Bank Details" dataDxfId="21">
      <calculatedColumnFormula>H2&amp;"-"&amp;I2&amp;"-"&amp;J2</calculatedColumnFormula>
    </tableColumn>
    <tableColumn id="13" xr3:uid="{7E4A1C9F-FA1E-4B4C-986B-A56127C0C05B}" name="Inv Month" dataDxfId="20">
      <calculatedColumnFormula>LEFT(D2,3)</calculatedColumnFormula>
    </tableColumn>
    <tableColumn id="14" xr3:uid="{D4088CB6-1D41-46BA-AD9F-5A8F43A95646}" name="PO Number" dataDxfId="19">
      <calculatedColumnFormula>RIGHT(G2,6)</calculatedColumnFormula>
    </tableColumn>
    <tableColumn id="15" xr3:uid="{5DE3799B-9AE2-460C-BC6F-C3CC3DD72CAA}" name="Location" dataDxfId="18">
      <calculatedColumnFormula>MID(G2,4,FIND("-",G2,4)-4)</calculatedColumnFormula>
    </tableColumn>
    <tableColumn id="16" xr3:uid="{C4769221-1E98-4A6B-BC44-BF9003006409}" name="Type" dataDxfId="17">
      <calculatedColumnFormula>UPPER(TRIM(CLEAN(E2)))</calculatedColumnFormula>
    </tableColumn>
    <tableColumn id="17" xr3:uid="{2465B6E7-D4F2-4A01-9A2E-F28AC1F5B101}" name="$ Amount" dataDxfId="16">
      <calculatedColumnFormula>VALUE(SUBSTITUTE(SUBSTITUTE(F2,"S","$"),CHAR(160),""))</calculatedColumnFormula>
    </tableColumn>
    <tableColumn id="18" xr3:uid="{40C9A2A6-11B8-47A2-8825-73DD6F99E030}" name="Invoice Date" dataDxfId="15">
      <calculatedColumnFormula>DATE(2020,MONTH(1&amp;M2),RIGHT(D2,2))</calculatedColumnFormula>
    </tableColumn>
    <tableColumn id="19" xr3:uid="{E84DEE75-5DE6-4DF7-9D5D-39FA3BFFC3A8}" name="Paid Date" dataDxfId="14">
      <calculatedColumnFormula>DATE(2020,4,RIGHT(C2,2))</calculatedColumnFormula>
    </tableColumn>
    <tableColumn id="20" xr3:uid="{F4A470A5-8FFD-4948-8E55-9EA7620B27A5}" name="Days to Pay" dataDxfId="13">
      <calculatedColumnFormula>tbl_Supplier[[#This Row],[Paid Date]]-tbl_Supplier[[#This Row],[Invoice Date]]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006D6E-FA59-4548-87F1-B090393138EA}" name="tbl_MC" displayName="tbl_MC" ref="A4:N89" headerRowDxfId="12">
  <autoFilter ref="A4:N89" xr:uid="{795371C8-D276-4A09-A97F-0D27153940EE}">
    <filterColumn colId="10">
      <filters>
        <filter val="Apr"/>
      </filters>
    </filterColumn>
  </autoFilter>
  <tableColumns count="14">
    <tableColumn id="1" xr3:uid="{5B07A8D3-6604-4D7F-B038-3894A250B0B4}" name="Payment Ref" totalsRowLabel="Total"/>
    <tableColumn id="2" xr3:uid="{48FC30A0-6D1F-43EE-8E9A-CA31D841CA96}" name="Supplier Code"/>
    <tableColumn id="3" xr3:uid="{10AC9023-EAEE-41BD-A12D-E2D8D360C6DC}" name="Payment No." totalsRowFunction="count"/>
    <tableColumn id="4" xr3:uid="{52592807-50C0-4472-9462-D657B022E49B}" name="Invoice Date" dataDxfId="11"/>
    <tableColumn id="5" xr3:uid="{FE0F38B3-B80F-422B-A608-EBA496DE56D2}" name="Due Date" dataDxfId="10">
      <calculatedColumnFormula>WORKDAY(EDATE(D5,1)-1,1)</calculatedColumnFormula>
    </tableColumn>
    <tableColumn id="6" xr3:uid="{CA3CD808-837E-4D14-B1EC-3069F5689170}" name="Payment Date" dataDxfId="9"/>
    <tableColumn id="7" xr3:uid="{076D23BF-AAD4-41ED-B652-72146A416869}" name="Bank Details"/>
    <tableColumn id="8" xr3:uid="{113DDC9A-904A-45E5-9961-19FFC7F5A6F5}" name="PO Number"/>
    <tableColumn id="9" xr3:uid="{FF842A83-0BCA-48C3-AD90-32940BB03D23}" name="Location"/>
    <tableColumn id="10" xr3:uid="{7FF6537B-EA39-4530-B857-2E93BCD1AB9F}" name="Amount" totalsRowFunction="sum" dataDxfId="8" totalsRowDxfId="2"/>
    <tableColumn id="11" xr3:uid="{FEAFF9EB-A813-4278-9ABB-C93DD54416A1}" name="Invoice Month">
      <calculatedColumnFormula>TEXT(D5,"MMM")</calculatedColumnFormula>
    </tableColumn>
    <tableColumn id="12" xr3:uid="{416EA377-5C41-43D6-8DEA-54C3866658BD}" name="Invoice Day">
      <calculatedColumnFormula>DAY(D5)</calculatedColumnFormula>
    </tableColumn>
    <tableColumn id="13" xr3:uid="{756FA9E6-49F5-4B42-A103-BFE3453CB502}" name="Over Due By">
      <calculatedColumnFormula>IF(F5&gt;E5,NETWORKDAYS(E5,F5,'NSW Holidays 2020'!$A$4:$A$15),0)</calculatedColumnFormula>
    </tableColumn>
    <tableColumn id="14" xr3:uid="{4B86935E-6FE8-425C-BAB3-F5029DE88C98}" name="Late Charge" totalsRowFunction="average" dataDxfId="7" totalsRowDxfId="3" dataCellStyle="Percent">
      <calculatedColumnFormula>J5*M5*Penalty_Rate+Flat_Rate</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869F6F-EA20-42FD-B03A-444AA2E49918}" name="Table2" displayName="Table2" ref="A7:E10" totalsRowShown="0" headerRowDxfId="4">
  <autoFilter ref="A7:E10" xr:uid="{01041162-FC3A-4B93-A713-C353FA7092D3}"/>
  <tableColumns count="5">
    <tableColumn id="1" xr3:uid="{5CDA6109-00CD-4C2B-A4F2-59E7306D86FB}" name="Locations"/>
    <tableColumn id="2" xr3:uid="{3D817553-FCCF-4E68-8CB4-30A5043FFEE2}" name="Number of Invoices">
      <calculatedColumnFormula>COUNTIFS(Location,A8)</calculatedColumnFormula>
    </tableColumn>
    <tableColumn id="3" xr3:uid="{D27F8498-2E7D-4723-9C2C-1F66E0D77F0A}" name="Total Paid" dataDxfId="6" dataCellStyle="Currency">
      <calculatedColumnFormula>SUMIFS(Amount_Paid,Location,A8)</calculatedColumnFormula>
    </tableColumn>
    <tableColumn id="4" xr3:uid="{EC23E5A7-A4D9-4512-8545-D071CCE90D4F}" name="Days Overdue">
      <calculatedColumnFormula>SUMIFS(tbl_MC[Over Due By],Location,$A8)</calculatedColumnFormula>
    </tableColumn>
    <tableColumn id="5" xr3:uid="{38AF474C-0AA1-422E-AEA3-B6954014B51F}" name="Late Charge" dataDxfId="5">
      <calculatedColumnFormula>SUMIFS(tbl_MC[Late 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W20"/>
  <sheetViews>
    <sheetView tabSelected="1" zoomScale="130" zoomScaleNormal="130" workbookViewId="0">
      <selection activeCell="A2" sqref="A2:K20"/>
    </sheetView>
  </sheetViews>
  <sheetFormatPr defaultColWidth="9.08984375" defaultRowHeight="14.5" x14ac:dyDescent="0.35"/>
  <cols>
    <col min="1" max="1" width="14" style="21" customWidth="1"/>
    <col min="2" max="2" width="13.1796875" style="21" customWidth="1"/>
    <col min="3" max="3" width="11.7265625" style="23" customWidth="1"/>
    <col min="4" max="4" width="13.1796875" style="23" customWidth="1"/>
    <col min="5" max="5" width="9.36328125" style="21" customWidth="1"/>
    <col min="6" max="6" width="12.26953125" style="21" customWidth="1"/>
    <col min="7" max="7" width="19.7265625" style="21" customWidth="1"/>
    <col min="8" max="8" width="5.6328125" style="21" customWidth="1"/>
    <col min="9" max="9" width="9.453125" style="21" customWidth="1"/>
    <col min="10" max="10" width="2.453125" style="21" customWidth="1"/>
    <col min="11" max="11" width="12.6328125" style="21" customWidth="1"/>
    <col min="12" max="12" width="17.54296875" style="21" customWidth="1"/>
    <col min="13" max="13" width="11.08984375" style="21" customWidth="1"/>
    <col min="14" max="14" width="12.08984375" style="21" customWidth="1"/>
    <col min="15" max="15" width="11.1796875" style="21" customWidth="1"/>
    <col min="16" max="16" width="8.08984375" style="21" customWidth="1"/>
    <col min="17" max="17" width="10.7265625" style="22" customWidth="1"/>
    <col min="18" max="18" width="12.81640625" style="23" customWidth="1"/>
    <col min="19" max="19" width="11.81640625" style="24" customWidth="1"/>
    <col min="20" max="20" width="11.1796875" style="21" customWidth="1"/>
    <col min="21" max="21" width="3.26953125" style="21" customWidth="1"/>
    <col min="22" max="22" width="12.08984375" style="21" customWidth="1"/>
    <col min="23" max="23" width="15.7265625" style="21" customWidth="1"/>
    <col min="24" max="16384" width="9.08984375" style="21"/>
  </cols>
  <sheetData>
    <row r="1" spans="1:23" s="18" customFormat="1" ht="22.9" customHeight="1" x14ac:dyDescent="0.35">
      <c r="A1" s="26" t="s">
        <v>3</v>
      </c>
      <c r="B1" s="26" t="s">
        <v>5</v>
      </c>
      <c r="C1" s="27" t="s">
        <v>149</v>
      </c>
      <c r="D1" s="27" t="s">
        <v>148</v>
      </c>
      <c r="E1" s="26" t="s">
        <v>150</v>
      </c>
      <c r="F1" s="26" t="s">
        <v>137</v>
      </c>
      <c r="G1" s="26" t="s">
        <v>4</v>
      </c>
      <c r="H1" s="26" t="s">
        <v>11</v>
      </c>
      <c r="I1" s="26" t="s">
        <v>6</v>
      </c>
      <c r="J1" s="26" t="s">
        <v>9</v>
      </c>
      <c r="K1" s="26" t="s">
        <v>131</v>
      </c>
      <c r="L1" s="26" t="s">
        <v>8</v>
      </c>
      <c r="M1" s="26" t="s">
        <v>19</v>
      </c>
      <c r="N1" s="26" t="s">
        <v>21</v>
      </c>
      <c r="O1" s="26" t="s">
        <v>7</v>
      </c>
      <c r="P1" s="26" t="s">
        <v>10</v>
      </c>
      <c r="Q1" s="28" t="s">
        <v>20</v>
      </c>
      <c r="R1" s="27" t="s">
        <v>0</v>
      </c>
      <c r="S1" s="27" t="s">
        <v>152</v>
      </c>
      <c r="T1" s="18" t="s">
        <v>214</v>
      </c>
      <c r="V1" s="19" t="s">
        <v>191</v>
      </c>
      <c r="W1" s="20">
        <f>SUM(tbl_Supplier[$ Amount])</f>
        <v>14403.390000000001</v>
      </c>
    </row>
    <row r="2" spans="1:23" x14ac:dyDescent="0.35">
      <c r="A2">
        <v>24673</v>
      </c>
      <c r="B2">
        <v>1</v>
      </c>
      <c r="C2" t="s">
        <v>194</v>
      </c>
      <c r="D2" t="s">
        <v>23</v>
      </c>
      <c r="E2" t="s">
        <v>12</v>
      </c>
      <c r="F2" t="s">
        <v>195</v>
      </c>
      <c r="G2" t="s">
        <v>25</v>
      </c>
      <c r="H2">
        <v>1641</v>
      </c>
      <c r="I2">
        <v>7654320</v>
      </c>
      <c r="J2">
        <v>72</v>
      </c>
      <c r="K2" t="s">
        <v>44</v>
      </c>
      <c r="L2" s="29" t="str">
        <f t="shared" ref="L2:L20" si="0">H2&amp;"-"&amp;I2&amp;"-"&amp;J2</f>
        <v>1641-7654320-72</v>
      </c>
      <c r="M2" s="29" t="str">
        <f t="shared" ref="M2:M20" si="1">LEFT(D2,3)</f>
        <v>Apr</v>
      </c>
      <c r="N2" s="29" t="str">
        <f t="shared" ref="N2:N20" si="2">RIGHT(G2,6)</f>
        <v>223809</v>
      </c>
      <c r="O2" s="29" t="str">
        <f t="shared" ref="O2:O20" si="3">MID(G2,4,FIND("-",G2,4)-4)</f>
        <v>Sydney</v>
      </c>
      <c r="P2" s="29" t="str">
        <f t="shared" ref="P2:P20" si="4">UPPER(TRIM(CLEAN(E2)))</f>
        <v>INV</v>
      </c>
      <c r="Q2" s="30">
        <f t="shared" ref="Q2:Q20" si="5">VALUE(SUBSTITUTE(SUBSTITUTE(F2,"S","$"),CHAR(160),""))</f>
        <v>297.27</v>
      </c>
      <c r="R2" s="31">
        <f t="shared" ref="R2:R20" si="6">DATE(2020,MONTH(1&amp;M2),RIGHT(D2,2))</f>
        <v>43926</v>
      </c>
      <c r="S2" s="31">
        <f t="shared" ref="S2:S20" si="7">DATE(2020,4,RIGHT(C2,2))</f>
        <v>43927</v>
      </c>
      <c r="T2" s="23">
        <f>tbl_Supplier[[#This Row],[Paid Date]]-tbl_Supplier[[#This Row],[Invoice Date]]</f>
        <v>1</v>
      </c>
      <c r="V2" s="19" t="s">
        <v>192</v>
      </c>
      <c r="W2" s="21">
        <f>ROWS(tbl_Supplier[])</f>
        <v>19</v>
      </c>
    </row>
    <row r="3" spans="1:23" x14ac:dyDescent="0.35">
      <c r="A3">
        <v>24673</v>
      </c>
      <c r="B3">
        <v>1</v>
      </c>
      <c r="C3" t="s">
        <v>194</v>
      </c>
      <c r="D3" t="s">
        <v>194</v>
      </c>
      <c r="E3" t="s">
        <v>13</v>
      </c>
      <c r="F3" t="s">
        <v>196</v>
      </c>
      <c r="G3" t="s">
        <v>26</v>
      </c>
      <c r="H3">
        <v>2554</v>
      </c>
      <c r="I3">
        <v>4551221</v>
      </c>
      <c r="J3">
        <v>33</v>
      </c>
      <c r="K3" t="s">
        <v>44</v>
      </c>
      <c r="L3" s="21" t="str">
        <f t="shared" si="0"/>
        <v>2554-4551221-33</v>
      </c>
      <c r="M3" s="21" t="str">
        <f t="shared" si="1"/>
        <v>May</v>
      </c>
      <c r="N3" s="21" t="str">
        <f t="shared" si="2"/>
        <v>327600</v>
      </c>
      <c r="O3" s="21" t="str">
        <f t="shared" si="3"/>
        <v>Melbourne</v>
      </c>
      <c r="P3" s="21" t="str">
        <f t="shared" si="4"/>
        <v>INV</v>
      </c>
      <c r="Q3" s="22">
        <f t="shared" si="5"/>
        <v>932.55</v>
      </c>
      <c r="R3" s="32">
        <f t="shared" si="6"/>
        <v>43957</v>
      </c>
      <c r="S3" s="33">
        <f t="shared" si="7"/>
        <v>43927</v>
      </c>
      <c r="T3" s="23">
        <f>tbl_Supplier[[#This Row],[Paid Date]]-tbl_Supplier[[#This Row],[Invoice Date]]</f>
        <v>-30</v>
      </c>
    </row>
    <row r="4" spans="1:23" x14ac:dyDescent="0.35">
      <c r="A4">
        <v>24675</v>
      </c>
      <c r="B4">
        <v>1</v>
      </c>
      <c r="C4" t="s">
        <v>194</v>
      </c>
      <c r="D4" t="s">
        <v>23</v>
      </c>
      <c r="E4" t="s">
        <v>12</v>
      </c>
      <c r="F4" t="s">
        <v>197</v>
      </c>
      <c r="G4" t="s">
        <v>27</v>
      </c>
      <c r="H4">
        <v>2554</v>
      </c>
      <c r="I4">
        <v>4551221</v>
      </c>
      <c r="J4">
        <v>33</v>
      </c>
      <c r="K4" t="s">
        <v>49</v>
      </c>
      <c r="L4" s="21" t="str">
        <f t="shared" si="0"/>
        <v>2554-4551221-33</v>
      </c>
      <c r="M4" s="21" t="str">
        <f t="shared" si="1"/>
        <v>Apr</v>
      </c>
      <c r="N4" s="21" t="str">
        <f t="shared" si="2"/>
        <v>332589</v>
      </c>
      <c r="O4" s="21" t="str">
        <f t="shared" si="3"/>
        <v>Melbourne</v>
      </c>
      <c r="P4" s="21" t="str">
        <f t="shared" si="4"/>
        <v>INV</v>
      </c>
      <c r="Q4" s="22">
        <f t="shared" si="5"/>
        <v>827.46</v>
      </c>
      <c r="R4" s="32">
        <f t="shared" si="6"/>
        <v>43926</v>
      </c>
      <c r="S4" s="33">
        <f t="shared" si="7"/>
        <v>43927</v>
      </c>
      <c r="T4" s="23">
        <f>tbl_Supplier[[#This Row],[Paid Date]]-tbl_Supplier[[#This Row],[Invoice Date]]</f>
        <v>1</v>
      </c>
    </row>
    <row r="5" spans="1:23" x14ac:dyDescent="0.35">
      <c r="A5">
        <v>24676</v>
      </c>
      <c r="B5">
        <v>1</v>
      </c>
      <c r="C5" t="s">
        <v>194</v>
      </c>
      <c r="D5" t="s">
        <v>23</v>
      </c>
      <c r="E5" t="s">
        <v>14</v>
      </c>
      <c r="F5" t="s">
        <v>198</v>
      </c>
      <c r="G5" t="s">
        <v>28</v>
      </c>
      <c r="H5">
        <v>2554</v>
      </c>
      <c r="I5">
        <v>4551221</v>
      </c>
      <c r="J5">
        <v>33</v>
      </c>
      <c r="K5" t="s">
        <v>50</v>
      </c>
      <c r="L5" s="21" t="str">
        <f t="shared" si="0"/>
        <v>2554-4551221-33</v>
      </c>
      <c r="M5" s="21" t="str">
        <f t="shared" si="1"/>
        <v>Apr</v>
      </c>
      <c r="N5" s="21" t="str">
        <f t="shared" si="2"/>
        <v>337131</v>
      </c>
      <c r="O5" s="21" t="str">
        <f t="shared" si="3"/>
        <v>Melbourne</v>
      </c>
      <c r="P5" s="21" t="str">
        <f t="shared" si="4"/>
        <v>CR</v>
      </c>
      <c r="Q5" s="22">
        <f t="shared" si="5"/>
        <v>306.33999999999997</v>
      </c>
      <c r="R5" s="32">
        <f t="shared" si="6"/>
        <v>43926</v>
      </c>
      <c r="S5" s="33">
        <f t="shared" si="7"/>
        <v>43927</v>
      </c>
      <c r="T5" s="23">
        <f>tbl_Supplier[[#This Row],[Paid Date]]-tbl_Supplier[[#This Row],[Invoice Date]]</f>
        <v>1</v>
      </c>
    </row>
    <row r="6" spans="1:23" x14ac:dyDescent="0.35">
      <c r="A6">
        <v>24677</v>
      </c>
      <c r="B6">
        <v>1</v>
      </c>
      <c r="C6" t="s">
        <v>194</v>
      </c>
      <c r="D6" t="s">
        <v>23</v>
      </c>
      <c r="E6" t="s">
        <v>15</v>
      </c>
      <c r="F6" t="s">
        <v>199</v>
      </c>
      <c r="G6" t="s">
        <v>29</v>
      </c>
      <c r="H6">
        <v>2554</v>
      </c>
      <c r="I6">
        <v>4551221</v>
      </c>
      <c r="J6">
        <v>33</v>
      </c>
      <c r="K6" t="s">
        <v>51</v>
      </c>
      <c r="L6" s="21" t="str">
        <f t="shared" si="0"/>
        <v>2554-4551221-33</v>
      </c>
      <c r="M6" s="21" t="str">
        <f t="shared" si="1"/>
        <v>Apr</v>
      </c>
      <c r="N6" s="21" t="str">
        <f t="shared" si="2"/>
        <v>319376</v>
      </c>
      <c r="O6" s="21" t="str">
        <f t="shared" si="3"/>
        <v>Melbourne</v>
      </c>
      <c r="P6" s="21" t="str">
        <f t="shared" si="4"/>
        <v>CR</v>
      </c>
      <c r="Q6" s="22">
        <f t="shared" si="5"/>
        <v>561.88</v>
      </c>
      <c r="R6" s="32">
        <f t="shared" si="6"/>
        <v>43926</v>
      </c>
      <c r="S6" s="33">
        <f t="shared" si="7"/>
        <v>43927</v>
      </c>
      <c r="T6" s="23">
        <f>tbl_Supplier[[#This Row],[Paid Date]]-tbl_Supplier[[#This Row],[Invoice Date]]</f>
        <v>1</v>
      </c>
    </row>
    <row r="7" spans="1:23" x14ac:dyDescent="0.35">
      <c r="A7">
        <v>24679</v>
      </c>
      <c r="B7">
        <v>1</v>
      </c>
      <c r="C7" t="s">
        <v>194</v>
      </c>
      <c r="D7" t="s">
        <v>194</v>
      </c>
      <c r="E7" t="s">
        <v>13</v>
      </c>
      <c r="F7" t="s">
        <v>200</v>
      </c>
      <c r="G7" t="s">
        <v>30</v>
      </c>
      <c r="H7">
        <v>2554</v>
      </c>
      <c r="I7">
        <v>4551221</v>
      </c>
      <c r="J7">
        <v>33</v>
      </c>
      <c r="K7" t="s">
        <v>52</v>
      </c>
      <c r="L7" s="21" t="str">
        <f t="shared" si="0"/>
        <v>2554-4551221-33</v>
      </c>
      <c r="M7" s="21" t="str">
        <f t="shared" si="1"/>
        <v>May</v>
      </c>
      <c r="N7" s="21" t="str">
        <f t="shared" si="2"/>
        <v>334724</v>
      </c>
      <c r="O7" s="21" t="str">
        <f t="shared" si="3"/>
        <v>Melbourne</v>
      </c>
      <c r="P7" s="21" t="str">
        <f t="shared" si="4"/>
        <v>INV</v>
      </c>
      <c r="Q7" s="22">
        <f t="shared" si="5"/>
        <v>1098.7</v>
      </c>
      <c r="R7" s="32">
        <f t="shared" si="6"/>
        <v>43957</v>
      </c>
      <c r="S7" s="33">
        <f t="shared" si="7"/>
        <v>43927</v>
      </c>
      <c r="T7" s="23">
        <f>tbl_Supplier[[#This Row],[Paid Date]]-tbl_Supplier[[#This Row],[Invoice Date]]</f>
        <v>-30</v>
      </c>
    </row>
    <row r="8" spans="1:23" x14ac:dyDescent="0.35">
      <c r="A8">
        <v>24679</v>
      </c>
      <c r="B8">
        <v>2</v>
      </c>
      <c r="C8" t="s">
        <v>194</v>
      </c>
      <c r="D8" t="s">
        <v>23</v>
      </c>
      <c r="E8" t="s">
        <v>16</v>
      </c>
      <c r="F8" t="s">
        <v>201</v>
      </c>
      <c r="G8" t="s">
        <v>31</v>
      </c>
      <c r="H8">
        <v>2554</v>
      </c>
      <c r="I8">
        <v>4551221</v>
      </c>
      <c r="J8">
        <v>33</v>
      </c>
      <c r="K8" t="s">
        <v>53</v>
      </c>
      <c r="L8" s="21" t="str">
        <f t="shared" si="0"/>
        <v>2554-4551221-33</v>
      </c>
      <c r="M8" s="21" t="str">
        <f t="shared" si="1"/>
        <v>Apr</v>
      </c>
      <c r="N8" s="21" t="str">
        <f t="shared" si="2"/>
        <v>310607</v>
      </c>
      <c r="O8" s="21" t="str">
        <f t="shared" si="3"/>
        <v>Melbourne</v>
      </c>
      <c r="P8" s="21" t="str">
        <f t="shared" si="4"/>
        <v>INV</v>
      </c>
      <c r="Q8" s="22">
        <f t="shared" si="5"/>
        <v>1370.15</v>
      </c>
      <c r="R8" s="32">
        <f t="shared" si="6"/>
        <v>43926</v>
      </c>
      <c r="S8" s="33">
        <f t="shared" si="7"/>
        <v>43927</v>
      </c>
      <c r="T8" s="23">
        <f>tbl_Supplier[[#This Row],[Paid Date]]-tbl_Supplier[[#This Row],[Invoice Date]]</f>
        <v>1</v>
      </c>
    </row>
    <row r="9" spans="1:23" x14ac:dyDescent="0.35">
      <c r="A9">
        <v>24680</v>
      </c>
      <c r="B9">
        <v>1</v>
      </c>
      <c r="C9" t="s">
        <v>194</v>
      </c>
      <c r="D9" t="s">
        <v>23</v>
      </c>
      <c r="E9" t="s">
        <v>17</v>
      </c>
      <c r="F9" t="s">
        <v>202</v>
      </c>
      <c r="G9" t="s">
        <v>32</v>
      </c>
      <c r="H9">
        <v>1641</v>
      </c>
      <c r="I9">
        <v>7654320</v>
      </c>
      <c r="J9">
        <v>72</v>
      </c>
      <c r="K9" t="s">
        <v>54</v>
      </c>
      <c r="L9" s="21" t="str">
        <f t="shared" si="0"/>
        <v>1641-7654320-72</v>
      </c>
      <c r="M9" s="21" t="str">
        <f t="shared" si="1"/>
        <v>Apr</v>
      </c>
      <c r="N9" s="21" t="str">
        <f t="shared" si="2"/>
        <v>226225</v>
      </c>
      <c r="O9" s="21" t="str">
        <f t="shared" si="3"/>
        <v>Sydney</v>
      </c>
      <c r="P9" s="21" t="str">
        <f t="shared" si="4"/>
        <v>INV</v>
      </c>
      <c r="Q9" s="22">
        <f t="shared" si="5"/>
        <v>663.14</v>
      </c>
      <c r="R9" s="32">
        <f t="shared" si="6"/>
        <v>43926</v>
      </c>
      <c r="S9" s="33">
        <f t="shared" si="7"/>
        <v>43927</v>
      </c>
      <c r="T9" s="23">
        <f>tbl_Supplier[[#This Row],[Paid Date]]-tbl_Supplier[[#This Row],[Invoice Date]]</f>
        <v>1</v>
      </c>
    </row>
    <row r="10" spans="1:23" x14ac:dyDescent="0.35">
      <c r="A10">
        <v>24683</v>
      </c>
      <c r="B10">
        <v>1</v>
      </c>
      <c r="C10" t="s">
        <v>194</v>
      </c>
      <c r="D10" t="s">
        <v>23</v>
      </c>
      <c r="E10" t="s">
        <v>13</v>
      </c>
      <c r="F10" t="s">
        <v>203</v>
      </c>
      <c r="G10" t="s">
        <v>33</v>
      </c>
      <c r="H10">
        <v>1641</v>
      </c>
      <c r="I10">
        <v>7654320</v>
      </c>
      <c r="J10">
        <v>72</v>
      </c>
      <c r="K10" t="s">
        <v>55</v>
      </c>
      <c r="L10" s="21" t="str">
        <f t="shared" si="0"/>
        <v>1641-7654320-72</v>
      </c>
      <c r="M10" s="21" t="str">
        <f t="shared" si="1"/>
        <v>Apr</v>
      </c>
      <c r="N10" s="21" t="str">
        <f t="shared" si="2"/>
        <v>223858</v>
      </c>
      <c r="O10" s="21" t="str">
        <f t="shared" si="3"/>
        <v>Sydney</v>
      </c>
      <c r="P10" s="21" t="str">
        <f t="shared" si="4"/>
        <v>INV</v>
      </c>
      <c r="Q10" s="22">
        <f t="shared" si="5"/>
        <v>139.85</v>
      </c>
      <c r="R10" s="32">
        <f t="shared" si="6"/>
        <v>43926</v>
      </c>
      <c r="S10" s="33">
        <f t="shared" si="7"/>
        <v>43927</v>
      </c>
      <c r="T10" s="23">
        <f>tbl_Supplier[[#This Row],[Paid Date]]-tbl_Supplier[[#This Row],[Invoice Date]]</f>
        <v>1</v>
      </c>
    </row>
    <row r="11" spans="1:23" x14ac:dyDescent="0.35">
      <c r="A11">
        <v>24685</v>
      </c>
      <c r="B11">
        <v>1</v>
      </c>
      <c r="C11" t="s">
        <v>194</v>
      </c>
      <c r="D11" t="s">
        <v>23</v>
      </c>
      <c r="E11" t="s">
        <v>12</v>
      </c>
      <c r="F11" t="s">
        <v>204</v>
      </c>
      <c r="G11" t="s">
        <v>34</v>
      </c>
      <c r="H11">
        <v>1641</v>
      </c>
      <c r="I11">
        <v>7654320</v>
      </c>
      <c r="J11">
        <v>72</v>
      </c>
      <c r="K11" t="s">
        <v>56</v>
      </c>
      <c r="L11" s="21" t="str">
        <f t="shared" si="0"/>
        <v>1641-7654320-72</v>
      </c>
      <c r="M11" s="21" t="str">
        <f t="shared" si="1"/>
        <v>Apr</v>
      </c>
      <c r="N11" s="21" t="str">
        <f t="shared" si="2"/>
        <v>211781</v>
      </c>
      <c r="O11" s="21" t="str">
        <f t="shared" si="3"/>
        <v>Sydney</v>
      </c>
      <c r="P11" s="21" t="str">
        <f t="shared" si="4"/>
        <v>INV</v>
      </c>
      <c r="Q11" s="22">
        <f t="shared" si="5"/>
        <v>343.2</v>
      </c>
      <c r="R11" s="32">
        <f t="shared" si="6"/>
        <v>43926</v>
      </c>
      <c r="S11" s="33">
        <f t="shared" si="7"/>
        <v>43927</v>
      </c>
      <c r="T11" s="23">
        <f>tbl_Supplier[[#This Row],[Paid Date]]-tbl_Supplier[[#This Row],[Invoice Date]]</f>
        <v>1</v>
      </c>
    </row>
    <row r="12" spans="1:23" x14ac:dyDescent="0.35">
      <c r="A12">
        <v>24690</v>
      </c>
      <c r="B12">
        <v>1</v>
      </c>
      <c r="C12" t="s">
        <v>194</v>
      </c>
      <c r="D12" t="s">
        <v>194</v>
      </c>
      <c r="E12" t="s">
        <v>13</v>
      </c>
      <c r="F12" t="s">
        <v>205</v>
      </c>
      <c r="G12" t="s">
        <v>35</v>
      </c>
      <c r="H12">
        <v>1641</v>
      </c>
      <c r="I12">
        <v>7654320</v>
      </c>
      <c r="J12">
        <v>72</v>
      </c>
      <c r="K12" t="s">
        <v>57</v>
      </c>
      <c r="L12" s="21" t="str">
        <f t="shared" si="0"/>
        <v>1641-7654320-72</v>
      </c>
      <c r="M12" s="21" t="str">
        <f t="shared" si="1"/>
        <v>May</v>
      </c>
      <c r="N12" s="21" t="str">
        <f t="shared" si="2"/>
        <v>232805</v>
      </c>
      <c r="O12" s="21" t="str">
        <f t="shared" si="3"/>
        <v>Sydney</v>
      </c>
      <c r="P12" s="21" t="str">
        <f t="shared" si="4"/>
        <v>INV</v>
      </c>
      <c r="Q12" s="22">
        <f t="shared" si="5"/>
        <v>1427.29</v>
      </c>
      <c r="R12" s="32">
        <f t="shared" si="6"/>
        <v>43957</v>
      </c>
      <c r="S12" s="33">
        <f t="shared" si="7"/>
        <v>43927</v>
      </c>
      <c r="T12" s="23">
        <f>tbl_Supplier[[#This Row],[Paid Date]]-tbl_Supplier[[#This Row],[Invoice Date]]</f>
        <v>-30</v>
      </c>
    </row>
    <row r="13" spans="1:23" x14ac:dyDescent="0.35">
      <c r="A13">
        <v>24693</v>
      </c>
      <c r="B13">
        <v>1</v>
      </c>
      <c r="C13" t="s">
        <v>194</v>
      </c>
      <c r="D13" t="s">
        <v>24</v>
      </c>
      <c r="E13" t="s">
        <v>18</v>
      </c>
      <c r="F13" t="s">
        <v>206</v>
      </c>
      <c r="G13" t="s">
        <v>36</v>
      </c>
      <c r="H13">
        <v>2554</v>
      </c>
      <c r="I13">
        <v>4551221</v>
      </c>
      <c r="J13">
        <v>33</v>
      </c>
      <c r="K13" t="s">
        <v>58</v>
      </c>
      <c r="L13" s="21" t="str">
        <f t="shared" si="0"/>
        <v>2554-4551221-33</v>
      </c>
      <c r="M13" s="21" t="str">
        <f t="shared" si="1"/>
        <v>Mar</v>
      </c>
      <c r="N13" s="21" t="str">
        <f t="shared" si="2"/>
        <v>312187</v>
      </c>
      <c r="O13" s="21" t="str">
        <f t="shared" si="3"/>
        <v>Melbourne</v>
      </c>
      <c r="P13" s="21" t="str">
        <f t="shared" si="4"/>
        <v>INV</v>
      </c>
      <c r="Q13" s="22">
        <f t="shared" si="5"/>
        <v>1286.6500000000001</v>
      </c>
      <c r="R13" s="32">
        <f t="shared" si="6"/>
        <v>43897</v>
      </c>
      <c r="S13" s="33">
        <f t="shared" si="7"/>
        <v>43927</v>
      </c>
      <c r="T13" s="23">
        <f>tbl_Supplier[[#This Row],[Paid Date]]-tbl_Supplier[[#This Row],[Invoice Date]]</f>
        <v>30</v>
      </c>
    </row>
    <row r="14" spans="1:23" x14ac:dyDescent="0.35">
      <c r="A14">
        <v>24697</v>
      </c>
      <c r="B14">
        <v>1</v>
      </c>
      <c r="C14" t="s">
        <v>194</v>
      </c>
      <c r="D14" t="s">
        <v>23</v>
      </c>
      <c r="E14" t="s">
        <v>13</v>
      </c>
      <c r="F14" t="s">
        <v>207</v>
      </c>
      <c r="G14" t="s">
        <v>37</v>
      </c>
      <c r="H14">
        <v>2554</v>
      </c>
      <c r="I14">
        <v>4551221</v>
      </c>
      <c r="J14">
        <v>33</v>
      </c>
      <c r="K14" t="s">
        <v>59</v>
      </c>
      <c r="L14" s="21" t="str">
        <f t="shared" si="0"/>
        <v>2554-4551221-33</v>
      </c>
      <c r="M14" s="21" t="str">
        <f t="shared" si="1"/>
        <v>Apr</v>
      </c>
      <c r="N14" s="21" t="str">
        <f t="shared" si="2"/>
        <v>319790</v>
      </c>
      <c r="O14" s="21" t="str">
        <f t="shared" si="3"/>
        <v>Melbourne</v>
      </c>
      <c r="P14" s="21" t="str">
        <f t="shared" si="4"/>
        <v>INV</v>
      </c>
      <c r="Q14" s="22">
        <f t="shared" si="5"/>
        <v>1357.13</v>
      </c>
      <c r="R14" s="32">
        <f t="shared" si="6"/>
        <v>43926</v>
      </c>
      <c r="S14" s="33">
        <f t="shared" si="7"/>
        <v>43927</v>
      </c>
      <c r="T14" s="23">
        <f>tbl_Supplier[[#This Row],[Paid Date]]-tbl_Supplier[[#This Row],[Invoice Date]]</f>
        <v>1</v>
      </c>
    </row>
    <row r="15" spans="1:23" x14ac:dyDescent="0.35">
      <c r="A15">
        <v>24698</v>
      </c>
      <c r="B15">
        <v>1</v>
      </c>
      <c r="C15" t="s">
        <v>194</v>
      </c>
      <c r="D15" t="s">
        <v>194</v>
      </c>
      <c r="E15" t="s">
        <v>13</v>
      </c>
      <c r="F15" t="s">
        <v>208</v>
      </c>
      <c r="G15" t="s">
        <v>38</v>
      </c>
      <c r="H15">
        <v>2554</v>
      </c>
      <c r="I15">
        <v>4551221</v>
      </c>
      <c r="J15">
        <v>33</v>
      </c>
      <c r="K15" t="s">
        <v>60</v>
      </c>
      <c r="L15" s="21" t="str">
        <f t="shared" si="0"/>
        <v>2554-4551221-33</v>
      </c>
      <c r="M15" s="21" t="str">
        <f t="shared" si="1"/>
        <v>May</v>
      </c>
      <c r="N15" s="21" t="str">
        <f t="shared" si="2"/>
        <v>327342</v>
      </c>
      <c r="O15" s="21" t="str">
        <f t="shared" si="3"/>
        <v>Melbourne</v>
      </c>
      <c r="P15" s="21" t="str">
        <f t="shared" si="4"/>
        <v>INV</v>
      </c>
      <c r="Q15" s="22">
        <f t="shared" si="5"/>
        <v>317.11</v>
      </c>
      <c r="R15" s="32">
        <f t="shared" si="6"/>
        <v>43957</v>
      </c>
      <c r="S15" s="33">
        <f t="shared" si="7"/>
        <v>43927</v>
      </c>
      <c r="T15" s="23">
        <f>tbl_Supplier[[#This Row],[Paid Date]]-tbl_Supplier[[#This Row],[Invoice Date]]</f>
        <v>-30</v>
      </c>
    </row>
    <row r="16" spans="1:23" x14ac:dyDescent="0.35">
      <c r="A16">
        <v>24699</v>
      </c>
      <c r="B16">
        <v>1</v>
      </c>
      <c r="C16" t="s">
        <v>194</v>
      </c>
      <c r="D16" t="s">
        <v>23</v>
      </c>
      <c r="E16" t="s">
        <v>13</v>
      </c>
      <c r="F16" t="s">
        <v>209</v>
      </c>
      <c r="G16" t="s">
        <v>39</v>
      </c>
      <c r="H16">
        <v>2554</v>
      </c>
      <c r="I16">
        <v>4551221</v>
      </c>
      <c r="J16">
        <v>33</v>
      </c>
      <c r="K16" t="s">
        <v>61</v>
      </c>
      <c r="L16" s="21" t="str">
        <f t="shared" si="0"/>
        <v>2554-4551221-33</v>
      </c>
      <c r="M16" s="21" t="str">
        <f t="shared" si="1"/>
        <v>Apr</v>
      </c>
      <c r="N16" s="21" t="str">
        <f t="shared" si="2"/>
        <v>335460</v>
      </c>
      <c r="O16" s="21" t="str">
        <f t="shared" si="3"/>
        <v>Melbourne</v>
      </c>
      <c r="P16" s="21" t="str">
        <f t="shared" si="4"/>
        <v>INV</v>
      </c>
      <c r="Q16" s="22">
        <f t="shared" si="5"/>
        <v>662.32</v>
      </c>
      <c r="R16" s="32">
        <f t="shared" si="6"/>
        <v>43926</v>
      </c>
      <c r="S16" s="33">
        <f t="shared" si="7"/>
        <v>43927</v>
      </c>
      <c r="T16" s="23">
        <f>tbl_Supplier[[#This Row],[Paid Date]]-tbl_Supplier[[#This Row],[Invoice Date]]</f>
        <v>1</v>
      </c>
    </row>
    <row r="17" spans="1:20" x14ac:dyDescent="0.35">
      <c r="A17">
        <v>24704</v>
      </c>
      <c r="B17">
        <v>1</v>
      </c>
      <c r="C17" t="s">
        <v>194</v>
      </c>
      <c r="D17" t="s">
        <v>23</v>
      </c>
      <c r="E17" t="s">
        <v>12</v>
      </c>
      <c r="F17" t="s">
        <v>210</v>
      </c>
      <c r="G17" t="s">
        <v>40</v>
      </c>
      <c r="H17">
        <v>2554</v>
      </c>
      <c r="I17">
        <v>4551221</v>
      </c>
      <c r="J17">
        <v>33</v>
      </c>
      <c r="K17" t="s">
        <v>62</v>
      </c>
      <c r="L17" s="21" t="str">
        <f t="shared" si="0"/>
        <v>2554-4551221-33</v>
      </c>
      <c r="M17" s="21" t="str">
        <f t="shared" si="1"/>
        <v>Apr</v>
      </c>
      <c r="N17" s="21" t="str">
        <f t="shared" si="2"/>
        <v>323955</v>
      </c>
      <c r="O17" s="21" t="str">
        <f t="shared" si="3"/>
        <v>Melbourne</v>
      </c>
      <c r="P17" s="21" t="str">
        <f t="shared" si="4"/>
        <v>INV</v>
      </c>
      <c r="Q17" s="22">
        <f t="shared" si="5"/>
        <v>1229.6600000000001</v>
      </c>
      <c r="R17" s="32">
        <f t="shared" si="6"/>
        <v>43926</v>
      </c>
      <c r="S17" s="33">
        <f t="shared" si="7"/>
        <v>43927</v>
      </c>
      <c r="T17" s="23">
        <f>tbl_Supplier[[#This Row],[Paid Date]]-tbl_Supplier[[#This Row],[Invoice Date]]</f>
        <v>1</v>
      </c>
    </row>
    <row r="18" spans="1:20" x14ac:dyDescent="0.35">
      <c r="A18">
        <v>24707</v>
      </c>
      <c r="B18">
        <v>1</v>
      </c>
      <c r="C18" t="s">
        <v>194</v>
      </c>
      <c r="D18" t="s">
        <v>22</v>
      </c>
      <c r="E18" t="s">
        <v>12</v>
      </c>
      <c r="F18" t="s">
        <v>211</v>
      </c>
      <c r="G18" t="s">
        <v>41</v>
      </c>
      <c r="H18">
        <v>2554</v>
      </c>
      <c r="I18">
        <v>4551221</v>
      </c>
      <c r="J18">
        <v>33</v>
      </c>
      <c r="K18" t="s">
        <v>63</v>
      </c>
      <c r="L18" s="21" t="str">
        <f t="shared" si="0"/>
        <v>2554-4551221-33</v>
      </c>
      <c r="M18" s="21" t="str">
        <f t="shared" si="1"/>
        <v>Mar</v>
      </c>
      <c r="N18" s="21" t="str">
        <f t="shared" si="2"/>
        <v>316515</v>
      </c>
      <c r="O18" s="21" t="str">
        <f t="shared" si="3"/>
        <v>Melbourne</v>
      </c>
      <c r="P18" s="21" t="str">
        <f t="shared" si="4"/>
        <v>INV</v>
      </c>
      <c r="Q18" s="22">
        <f t="shared" si="5"/>
        <v>96.1</v>
      </c>
      <c r="R18" s="32">
        <f t="shared" si="6"/>
        <v>43898</v>
      </c>
      <c r="S18" s="33">
        <f t="shared" si="7"/>
        <v>43927</v>
      </c>
      <c r="T18" s="23">
        <f>tbl_Supplier[[#This Row],[Paid Date]]-tbl_Supplier[[#This Row],[Invoice Date]]</f>
        <v>29</v>
      </c>
    </row>
    <row r="19" spans="1:20" x14ac:dyDescent="0.35">
      <c r="A19">
        <v>24712</v>
      </c>
      <c r="B19">
        <v>1</v>
      </c>
      <c r="C19" t="s">
        <v>194</v>
      </c>
      <c r="D19" t="s">
        <v>23</v>
      </c>
      <c r="E19" t="s">
        <v>12</v>
      </c>
      <c r="F19" t="s">
        <v>212</v>
      </c>
      <c r="G19" t="s">
        <v>42</v>
      </c>
      <c r="H19">
        <v>1641</v>
      </c>
      <c r="I19">
        <v>7654320</v>
      </c>
      <c r="J19">
        <v>72</v>
      </c>
      <c r="K19" t="s">
        <v>64</v>
      </c>
      <c r="L19" s="21" t="str">
        <f t="shared" si="0"/>
        <v>1641-7654320-72</v>
      </c>
      <c r="M19" s="21" t="str">
        <f t="shared" si="1"/>
        <v>Apr</v>
      </c>
      <c r="N19" s="21" t="str">
        <f t="shared" si="2"/>
        <v>231320</v>
      </c>
      <c r="O19" s="21" t="str">
        <f t="shared" si="3"/>
        <v>Sydney</v>
      </c>
      <c r="P19" s="21" t="str">
        <f t="shared" si="4"/>
        <v>INV</v>
      </c>
      <c r="Q19" s="22">
        <f t="shared" si="5"/>
        <v>783.72</v>
      </c>
      <c r="R19" s="32">
        <f t="shared" si="6"/>
        <v>43926</v>
      </c>
      <c r="S19" s="33">
        <f t="shared" si="7"/>
        <v>43927</v>
      </c>
      <c r="T19" s="23">
        <f>tbl_Supplier[[#This Row],[Paid Date]]-tbl_Supplier[[#This Row],[Invoice Date]]</f>
        <v>1</v>
      </c>
    </row>
    <row r="20" spans="1:20" x14ac:dyDescent="0.35">
      <c r="A20">
        <v>24717</v>
      </c>
      <c r="B20">
        <v>1</v>
      </c>
      <c r="C20" t="s">
        <v>194</v>
      </c>
      <c r="D20" t="s">
        <v>23</v>
      </c>
      <c r="E20" t="s">
        <v>13</v>
      </c>
      <c r="F20" t="s">
        <v>213</v>
      </c>
      <c r="G20" t="s">
        <v>43</v>
      </c>
      <c r="H20">
        <v>1641</v>
      </c>
      <c r="I20">
        <v>7654320</v>
      </c>
      <c r="J20">
        <v>72</v>
      </c>
      <c r="K20" t="s">
        <v>65</v>
      </c>
      <c r="L20" s="21" t="str">
        <f t="shared" si="0"/>
        <v>1641-7654320-72</v>
      </c>
      <c r="M20" s="21" t="str">
        <f t="shared" si="1"/>
        <v>Apr</v>
      </c>
      <c r="N20" s="21" t="str">
        <f t="shared" si="2"/>
        <v>213670</v>
      </c>
      <c r="O20" s="21" t="str">
        <f t="shared" si="3"/>
        <v>Sydney</v>
      </c>
      <c r="P20" s="21" t="str">
        <f t="shared" si="4"/>
        <v>INV</v>
      </c>
      <c r="Q20" s="22">
        <f t="shared" si="5"/>
        <v>702.87</v>
      </c>
      <c r="R20" s="32">
        <f t="shared" si="6"/>
        <v>43926</v>
      </c>
      <c r="S20" s="33">
        <f t="shared" si="7"/>
        <v>43927</v>
      </c>
      <c r="T20" s="23">
        <f>tbl_Supplier[[#This Row],[Paid Date]]-tbl_Supplier[[#This Row],[Invoice Date]]</f>
        <v>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N89"/>
  <sheetViews>
    <sheetView zoomScale="130" zoomScaleNormal="130" workbookViewId="0">
      <selection activeCell="K89" sqref="K89"/>
    </sheetView>
  </sheetViews>
  <sheetFormatPr defaultRowHeight="14.5" x14ac:dyDescent="0.35"/>
  <cols>
    <col min="1" max="1" width="13" customWidth="1"/>
    <col min="2" max="2" width="14.08984375" customWidth="1"/>
    <col min="3" max="3" width="13.1796875" customWidth="1"/>
    <col min="4" max="4" width="13.81640625" style="2" bestFit="1" customWidth="1"/>
    <col min="5" max="5" width="13.81640625" style="2" customWidth="1"/>
    <col min="6" max="6" width="14.1796875" style="2" customWidth="1"/>
    <col min="7" max="7" width="17.26953125" customWidth="1"/>
    <col min="8" max="8" width="12.08984375" customWidth="1"/>
    <col min="9" max="9" width="13.08984375" customWidth="1"/>
    <col min="10" max="10" width="13.1796875" customWidth="1"/>
    <col min="11" max="11" width="14.6328125" style="5" customWidth="1"/>
    <col min="12" max="12" width="12" style="5" customWidth="1"/>
    <col min="13" max="13" width="12.81640625" style="5" customWidth="1"/>
    <col min="14" max="14" width="12.08984375" style="5" customWidth="1"/>
  </cols>
  <sheetData>
    <row r="1" spans="1:14" ht="23.5" x14ac:dyDescent="0.55000000000000004">
      <c r="A1" s="12" t="s">
        <v>134</v>
      </c>
      <c r="N1"/>
    </row>
    <row r="2" spans="1:14" x14ac:dyDescent="0.35">
      <c r="A2" t="s">
        <v>154</v>
      </c>
      <c r="B2" s="13">
        <f ca="1">TODAY()</f>
        <v>43916</v>
      </c>
      <c r="D2" s="5"/>
      <c r="E2" s="13"/>
      <c r="J2" s="6" t="s">
        <v>147</v>
      </c>
      <c r="K2" s="11" t="s">
        <v>215</v>
      </c>
      <c r="M2" s="6" t="s">
        <v>139</v>
      </c>
      <c r="N2" s="7">
        <v>3.5999999999999999E-3</v>
      </c>
    </row>
    <row r="3" spans="1:14" x14ac:dyDescent="0.35">
      <c r="K3" s="2"/>
      <c r="M3" s="2"/>
      <c r="N3"/>
    </row>
    <row r="4" spans="1:14" s="4" customFormat="1" x14ac:dyDescent="0.35">
      <c r="A4" s="4" t="s">
        <v>133</v>
      </c>
      <c r="B4" s="4" t="s">
        <v>132</v>
      </c>
      <c r="C4" s="4" t="s">
        <v>5</v>
      </c>
      <c r="D4" s="4" t="s">
        <v>0</v>
      </c>
      <c r="E4" s="4" t="s">
        <v>1</v>
      </c>
      <c r="F4" s="4" t="s">
        <v>2</v>
      </c>
      <c r="G4" s="4" t="s">
        <v>8</v>
      </c>
      <c r="H4" s="4" t="s">
        <v>21</v>
      </c>
      <c r="I4" s="4" t="s">
        <v>7</v>
      </c>
      <c r="J4" s="4" t="s">
        <v>151</v>
      </c>
      <c r="K4" s="4" t="s">
        <v>136</v>
      </c>
      <c r="L4" s="4" t="s">
        <v>153</v>
      </c>
      <c r="M4" s="4" t="s">
        <v>140</v>
      </c>
      <c r="N4" s="4" t="s">
        <v>138</v>
      </c>
    </row>
    <row r="5" spans="1:14" hidden="1" x14ac:dyDescent="0.35">
      <c r="A5" t="s">
        <v>58</v>
      </c>
      <c r="B5" t="s">
        <v>135</v>
      </c>
      <c r="C5">
        <v>545687</v>
      </c>
      <c r="D5" s="13">
        <v>43885</v>
      </c>
      <c r="E5" s="13">
        <f t="shared" ref="E5:E36" si="0">WORKDAY(EDATE(D5,1)-1,1)</f>
        <v>43914</v>
      </c>
      <c r="F5" s="13">
        <v>43927</v>
      </c>
      <c r="G5" t="s">
        <v>47</v>
      </c>
      <c r="H5">
        <v>312187</v>
      </c>
      <c r="I5" t="s">
        <v>48</v>
      </c>
      <c r="J5" s="1">
        <v>623.70000000000005</v>
      </c>
      <c r="K5" t="str">
        <f t="shared" ref="K5:K36" si="1">TEXT(D5,"MMM")</f>
        <v>Feb</v>
      </c>
      <c r="L5">
        <f t="shared" ref="L5:L36" si="2">DAY(D5)</f>
        <v>24</v>
      </c>
      <c r="M5">
        <f>IF(F5&gt;E5,NETWORKDAYS(E5,F5,'NSW Holidays 2020'!$A$4:$A$15),0)</f>
        <v>10</v>
      </c>
      <c r="N5" s="25">
        <f t="shared" ref="N5:N36" si="3">J5*M5*Penalty_Rate+Flat_Rate</f>
        <v>27.453199999999999</v>
      </c>
    </row>
    <row r="6" spans="1:14" hidden="1" x14ac:dyDescent="0.35">
      <c r="A6" t="s">
        <v>75</v>
      </c>
      <c r="B6" t="s">
        <v>135</v>
      </c>
      <c r="C6">
        <v>545710</v>
      </c>
      <c r="D6" s="13">
        <v>43886</v>
      </c>
      <c r="E6" s="13">
        <f t="shared" si="0"/>
        <v>43915</v>
      </c>
      <c r="F6" s="13">
        <v>43931</v>
      </c>
      <c r="G6" t="s">
        <v>47</v>
      </c>
      <c r="H6">
        <v>330858</v>
      </c>
      <c r="I6" t="s">
        <v>48</v>
      </c>
      <c r="J6" s="1">
        <v>426.03</v>
      </c>
      <c r="K6" t="str">
        <f t="shared" si="1"/>
        <v>Feb</v>
      </c>
      <c r="L6">
        <f t="shared" si="2"/>
        <v>25</v>
      </c>
      <c r="M6">
        <f>IF(F6&gt;E6,NETWORKDAYS(E6,F6,'NSW Holidays 2020'!$A$4:$A$15),0)</f>
        <v>12</v>
      </c>
      <c r="N6" s="25">
        <f t="shared" si="3"/>
        <v>23.404495999999998</v>
      </c>
    </row>
    <row r="7" spans="1:14" hidden="1" x14ac:dyDescent="0.35">
      <c r="A7" t="s">
        <v>114</v>
      </c>
      <c r="B7" t="s">
        <v>135</v>
      </c>
      <c r="C7">
        <v>545769</v>
      </c>
      <c r="D7" s="13">
        <v>43887</v>
      </c>
      <c r="E7" s="13">
        <f t="shared" si="0"/>
        <v>43916</v>
      </c>
      <c r="F7" s="13">
        <v>43929</v>
      </c>
      <c r="G7" t="s">
        <v>47</v>
      </c>
      <c r="H7">
        <v>316190</v>
      </c>
      <c r="I7" t="s">
        <v>48</v>
      </c>
      <c r="J7" s="1">
        <v>600.6</v>
      </c>
      <c r="K7" t="str">
        <f t="shared" si="1"/>
        <v>Feb</v>
      </c>
      <c r="L7">
        <f t="shared" si="2"/>
        <v>26</v>
      </c>
      <c r="M7">
        <f>IF(F7&gt;E7,NETWORKDAYS(E7,F7,'NSW Holidays 2020'!$A$4:$A$15),0)</f>
        <v>10</v>
      </c>
      <c r="N7" s="25">
        <f t="shared" si="3"/>
        <v>26.621600000000001</v>
      </c>
    </row>
    <row r="8" spans="1:14" hidden="1" x14ac:dyDescent="0.35">
      <c r="A8" t="s">
        <v>93</v>
      </c>
      <c r="B8" t="s">
        <v>135</v>
      </c>
      <c r="C8">
        <v>545735</v>
      </c>
      <c r="D8" s="13">
        <v>43888</v>
      </c>
      <c r="E8" s="13">
        <f t="shared" si="0"/>
        <v>43917</v>
      </c>
      <c r="F8" s="13">
        <v>43928</v>
      </c>
      <c r="G8" t="s">
        <v>47</v>
      </c>
      <c r="H8">
        <v>327740</v>
      </c>
      <c r="I8" t="s">
        <v>48</v>
      </c>
      <c r="J8" s="1">
        <v>950.73</v>
      </c>
      <c r="K8" t="str">
        <f t="shared" si="1"/>
        <v>Feb</v>
      </c>
      <c r="L8">
        <f t="shared" si="2"/>
        <v>27</v>
      </c>
      <c r="M8">
        <f>IF(F8&gt;E8,NETWORKDAYS(E8,F8,'NSW Holidays 2020'!$A$4:$A$15),0)</f>
        <v>8</v>
      </c>
      <c r="N8" s="25">
        <f t="shared" si="3"/>
        <v>32.381023999999996</v>
      </c>
    </row>
    <row r="9" spans="1:14" hidden="1" x14ac:dyDescent="0.35">
      <c r="A9" t="s">
        <v>63</v>
      </c>
      <c r="B9" t="s">
        <v>135</v>
      </c>
      <c r="C9">
        <v>545693</v>
      </c>
      <c r="D9" s="13">
        <v>43890</v>
      </c>
      <c r="E9" s="13">
        <f t="shared" si="0"/>
        <v>43920</v>
      </c>
      <c r="F9" s="13">
        <v>43928</v>
      </c>
      <c r="G9" t="s">
        <v>47</v>
      </c>
      <c r="H9">
        <v>316515</v>
      </c>
      <c r="I9" t="s">
        <v>48</v>
      </c>
      <c r="J9" s="1">
        <v>299.64</v>
      </c>
      <c r="K9" t="str">
        <f t="shared" si="1"/>
        <v>Feb</v>
      </c>
      <c r="L9">
        <f t="shared" si="2"/>
        <v>29</v>
      </c>
      <c r="M9">
        <f>IF(F9&gt;E9,NETWORKDAYS(E9,F9,'NSW Holidays 2020'!$A$4:$A$15),0)</f>
        <v>7</v>
      </c>
      <c r="N9" s="25">
        <f t="shared" si="3"/>
        <v>12.550927999999999</v>
      </c>
    </row>
    <row r="10" spans="1:14" hidden="1" x14ac:dyDescent="0.35">
      <c r="A10" t="s">
        <v>121</v>
      </c>
      <c r="B10" t="s">
        <v>135</v>
      </c>
      <c r="C10">
        <v>545778</v>
      </c>
      <c r="D10" s="13">
        <v>43890</v>
      </c>
      <c r="E10" s="13">
        <f t="shared" si="0"/>
        <v>43920</v>
      </c>
      <c r="F10" s="13">
        <v>43932</v>
      </c>
      <c r="G10" t="s">
        <v>47</v>
      </c>
      <c r="H10">
        <v>325643</v>
      </c>
      <c r="I10" t="s">
        <v>48</v>
      </c>
      <c r="J10" s="1">
        <v>650.42999999999995</v>
      </c>
      <c r="K10" t="str">
        <f t="shared" si="1"/>
        <v>Feb</v>
      </c>
      <c r="L10">
        <f t="shared" si="2"/>
        <v>29</v>
      </c>
      <c r="M10">
        <f>IF(F10&gt;E10,NETWORKDAYS(E10,F10,'NSW Holidays 2020'!$A$4:$A$15),0)</f>
        <v>9</v>
      </c>
      <c r="N10" s="25">
        <f t="shared" si="3"/>
        <v>26.073931999999999</v>
      </c>
    </row>
    <row r="11" spans="1:14" hidden="1" x14ac:dyDescent="0.35">
      <c r="A11" t="s">
        <v>74</v>
      </c>
      <c r="B11" t="s">
        <v>135</v>
      </c>
      <c r="C11">
        <v>545708</v>
      </c>
      <c r="D11" s="13">
        <v>43892</v>
      </c>
      <c r="E11" s="13">
        <f t="shared" si="0"/>
        <v>43923</v>
      </c>
      <c r="F11" s="13">
        <v>43927</v>
      </c>
      <c r="G11" t="s">
        <v>47</v>
      </c>
      <c r="H11">
        <v>335282</v>
      </c>
      <c r="I11" t="s">
        <v>48</v>
      </c>
      <c r="J11" s="1">
        <v>302.61</v>
      </c>
      <c r="K11" t="str">
        <f t="shared" si="1"/>
        <v>Mar</v>
      </c>
      <c r="L11">
        <f t="shared" si="2"/>
        <v>2</v>
      </c>
      <c r="M11">
        <f>IF(F11&gt;E11,NETWORKDAYS(E11,F11,'NSW Holidays 2020'!$A$4:$A$15),0)</f>
        <v>3</v>
      </c>
      <c r="N11" s="25">
        <f t="shared" si="3"/>
        <v>8.2681880000000003</v>
      </c>
    </row>
    <row r="12" spans="1:14" hidden="1" x14ac:dyDescent="0.35">
      <c r="A12" t="s">
        <v>81</v>
      </c>
      <c r="B12" t="s">
        <v>135</v>
      </c>
      <c r="C12">
        <v>545719</v>
      </c>
      <c r="D12" s="13">
        <v>43892</v>
      </c>
      <c r="E12" s="13">
        <f t="shared" si="0"/>
        <v>43923</v>
      </c>
      <c r="F12" s="13">
        <v>43934</v>
      </c>
      <c r="G12" t="s">
        <v>47</v>
      </c>
      <c r="H12">
        <v>336345</v>
      </c>
      <c r="I12" t="s">
        <v>48</v>
      </c>
      <c r="J12" s="1">
        <v>644.82000000000005</v>
      </c>
      <c r="K12" t="str">
        <f t="shared" si="1"/>
        <v>Mar</v>
      </c>
      <c r="L12">
        <f t="shared" si="2"/>
        <v>2</v>
      </c>
      <c r="M12">
        <f>IF(F12&gt;E12,NETWORKDAYS(E12,F12,'NSW Holidays 2020'!$A$4:$A$15),0)</f>
        <v>6</v>
      </c>
      <c r="N12" s="25">
        <f t="shared" si="3"/>
        <v>18.928111999999999</v>
      </c>
    </row>
    <row r="13" spans="1:14" hidden="1" x14ac:dyDescent="0.35">
      <c r="A13" t="s">
        <v>87</v>
      </c>
      <c r="B13" t="s">
        <v>135</v>
      </c>
      <c r="C13">
        <v>545726</v>
      </c>
      <c r="D13" s="13">
        <v>43895</v>
      </c>
      <c r="E13" s="13">
        <f t="shared" si="0"/>
        <v>43927</v>
      </c>
      <c r="F13" s="13">
        <v>43937</v>
      </c>
      <c r="G13" t="s">
        <v>47</v>
      </c>
      <c r="H13">
        <v>312603</v>
      </c>
      <c r="I13" t="s">
        <v>48</v>
      </c>
      <c r="J13" s="1">
        <v>-600.27</v>
      </c>
      <c r="K13" t="str">
        <f t="shared" si="1"/>
        <v>Mar</v>
      </c>
      <c r="L13">
        <f t="shared" si="2"/>
        <v>5</v>
      </c>
      <c r="M13">
        <f>IF(F13&gt;E13,NETWORKDAYS(E13,F13,'NSW Holidays 2020'!$A$4:$A$15),0)</f>
        <v>7</v>
      </c>
      <c r="N13" s="25">
        <f t="shared" si="3"/>
        <v>-10.126803999999998</v>
      </c>
    </row>
    <row r="14" spans="1:14" hidden="1" x14ac:dyDescent="0.35">
      <c r="A14" t="s">
        <v>92</v>
      </c>
      <c r="B14" t="s">
        <v>135</v>
      </c>
      <c r="C14">
        <v>545734</v>
      </c>
      <c r="D14" s="13">
        <v>43895</v>
      </c>
      <c r="E14" s="13">
        <f t="shared" si="0"/>
        <v>43927</v>
      </c>
      <c r="F14" s="13">
        <v>43925</v>
      </c>
      <c r="G14" t="s">
        <v>47</v>
      </c>
      <c r="H14">
        <v>331460</v>
      </c>
      <c r="I14" t="s">
        <v>48</v>
      </c>
      <c r="J14" s="1">
        <v>821.37</v>
      </c>
      <c r="K14" t="str">
        <f t="shared" si="1"/>
        <v>Mar</v>
      </c>
      <c r="L14">
        <f t="shared" si="2"/>
        <v>5</v>
      </c>
      <c r="M14">
        <f>IF(F14&gt;E14,NETWORKDAYS(E14,F14,'NSW Holidays 2020'!$A$4:$A$15),0)</f>
        <v>0</v>
      </c>
      <c r="N14" s="25">
        <f t="shared" si="3"/>
        <v>5</v>
      </c>
    </row>
    <row r="15" spans="1:14" hidden="1" x14ac:dyDescent="0.35">
      <c r="A15" t="s">
        <v>105</v>
      </c>
      <c r="B15" t="s">
        <v>135</v>
      </c>
      <c r="C15">
        <v>545754</v>
      </c>
      <c r="D15" s="13">
        <v>43896</v>
      </c>
      <c r="E15" s="13">
        <f t="shared" si="0"/>
        <v>43927</v>
      </c>
      <c r="F15" s="13">
        <v>43925</v>
      </c>
      <c r="G15" t="s">
        <v>47</v>
      </c>
      <c r="H15">
        <v>313747</v>
      </c>
      <c r="I15" t="s">
        <v>48</v>
      </c>
      <c r="J15" s="1">
        <v>56.43</v>
      </c>
      <c r="K15" t="str">
        <f t="shared" si="1"/>
        <v>Mar</v>
      </c>
      <c r="L15">
        <f t="shared" si="2"/>
        <v>6</v>
      </c>
      <c r="M15">
        <f>IF(F15&gt;E15,NETWORKDAYS(E15,F15,'NSW Holidays 2020'!$A$4:$A$15),0)</f>
        <v>0</v>
      </c>
      <c r="N15" s="25">
        <f t="shared" si="3"/>
        <v>5</v>
      </c>
    </row>
    <row r="16" spans="1:14" hidden="1" x14ac:dyDescent="0.35">
      <c r="A16" t="s">
        <v>129</v>
      </c>
      <c r="B16" t="s">
        <v>135</v>
      </c>
      <c r="C16">
        <v>545789</v>
      </c>
      <c r="D16" s="13">
        <v>43898</v>
      </c>
      <c r="E16" s="13">
        <f t="shared" si="0"/>
        <v>43929</v>
      </c>
      <c r="F16" s="13">
        <v>43941</v>
      </c>
      <c r="G16" t="s">
        <v>47</v>
      </c>
      <c r="H16">
        <v>338553</v>
      </c>
      <c r="I16" t="s">
        <v>48</v>
      </c>
      <c r="J16" s="1">
        <v>1032.24</v>
      </c>
      <c r="K16" t="str">
        <f t="shared" si="1"/>
        <v>Mar</v>
      </c>
      <c r="L16">
        <f t="shared" si="2"/>
        <v>8</v>
      </c>
      <c r="M16">
        <f>IF(F16&gt;E16,NETWORKDAYS(E16,F16,'NSW Holidays 2020'!$A$4:$A$15),0)</f>
        <v>7</v>
      </c>
      <c r="N16" s="25">
        <f t="shared" si="3"/>
        <v>31.012447999999999</v>
      </c>
    </row>
    <row r="17" spans="1:14" hidden="1" x14ac:dyDescent="0.35">
      <c r="A17" t="s">
        <v>61</v>
      </c>
      <c r="B17" t="s">
        <v>135</v>
      </c>
      <c r="C17">
        <v>545691</v>
      </c>
      <c r="D17" s="13">
        <v>43899</v>
      </c>
      <c r="E17" s="13">
        <f t="shared" si="0"/>
        <v>43930</v>
      </c>
      <c r="F17" s="13">
        <v>43942</v>
      </c>
      <c r="G17" t="s">
        <v>47</v>
      </c>
      <c r="H17">
        <v>335460</v>
      </c>
      <c r="I17" t="s">
        <v>48</v>
      </c>
      <c r="J17" s="1">
        <v>642.17999999999995</v>
      </c>
      <c r="K17" t="str">
        <f t="shared" si="1"/>
        <v>Mar</v>
      </c>
      <c r="L17">
        <f t="shared" si="2"/>
        <v>9</v>
      </c>
      <c r="M17">
        <f>IF(F17&gt;E17,NETWORKDAYS(E17,F17,'NSW Holidays 2020'!$A$4:$A$15),0)</f>
        <v>7</v>
      </c>
      <c r="N17" s="25">
        <f t="shared" si="3"/>
        <v>21.182935999999998</v>
      </c>
    </row>
    <row r="18" spans="1:14" hidden="1" x14ac:dyDescent="0.35">
      <c r="A18" t="s">
        <v>123</v>
      </c>
      <c r="B18" t="s">
        <v>135</v>
      </c>
      <c r="C18">
        <v>545781</v>
      </c>
      <c r="D18" s="13">
        <v>43901</v>
      </c>
      <c r="E18" s="13">
        <f t="shared" si="0"/>
        <v>43934</v>
      </c>
      <c r="F18" s="13">
        <v>43943</v>
      </c>
      <c r="G18" t="s">
        <v>47</v>
      </c>
      <c r="H18">
        <v>338807</v>
      </c>
      <c r="I18" t="s">
        <v>48</v>
      </c>
      <c r="J18" s="1">
        <v>424.38</v>
      </c>
      <c r="K18" t="str">
        <f t="shared" si="1"/>
        <v>Mar</v>
      </c>
      <c r="L18">
        <f t="shared" si="2"/>
        <v>11</v>
      </c>
      <c r="M18">
        <f>IF(F18&gt;E18,NETWORKDAYS(E18,F18,'NSW Holidays 2020'!$A$4:$A$15),0)</f>
        <v>7</v>
      </c>
      <c r="N18" s="25">
        <f t="shared" si="3"/>
        <v>15.694375999999998</v>
      </c>
    </row>
    <row r="19" spans="1:14" hidden="1" x14ac:dyDescent="0.35">
      <c r="A19" t="s">
        <v>112</v>
      </c>
      <c r="B19" t="s">
        <v>135</v>
      </c>
      <c r="C19">
        <v>545767</v>
      </c>
      <c r="D19" s="13">
        <v>43904</v>
      </c>
      <c r="E19" s="13">
        <f t="shared" si="0"/>
        <v>43935</v>
      </c>
      <c r="F19" s="13">
        <v>43937</v>
      </c>
      <c r="G19" t="s">
        <v>47</v>
      </c>
      <c r="H19">
        <v>322800</v>
      </c>
      <c r="I19" t="s">
        <v>48</v>
      </c>
      <c r="J19" s="1">
        <v>446.49</v>
      </c>
      <c r="K19" t="str">
        <f t="shared" si="1"/>
        <v>Mar</v>
      </c>
      <c r="L19">
        <f t="shared" si="2"/>
        <v>14</v>
      </c>
      <c r="M19">
        <f>IF(F19&gt;E19,NETWORKDAYS(E19,F19,'NSW Holidays 2020'!$A$4:$A$15),0)</f>
        <v>3</v>
      </c>
      <c r="N19" s="25">
        <f t="shared" si="3"/>
        <v>9.8220919999999996</v>
      </c>
    </row>
    <row r="20" spans="1:14" hidden="1" x14ac:dyDescent="0.35">
      <c r="A20" t="s">
        <v>110</v>
      </c>
      <c r="B20" t="s">
        <v>135</v>
      </c>
      <c r="C20">
        <v>545763</v>
      </c>
      <c r="D20" s="13">
        <v>43905</v>
      </c>
      <c r="E20" s="13">
        <f t="shared" si="0"/>
        <v>43936</v>
      </c>
      <c r="F20" s="13">
        <v>43943</v>
      </c>
      <c r="G20" t="s">
        <v>47</v>
      </c>
      <c r="H20">
        <v>338938</v>
      </c>
      <c r="I20" t="s">
        <v>48</v>
      </c>
      <c r="J20" s="1">
        <v>1000.23</v>
      </c>
      <c r="K20" t="str">
        <f t="shared" si="1"/>
        <v>Mar</v>
      </c>
      <c r="L20">
        <f t="shared" si="2"/>
        <v>15</v>
      </c>
      <c r="M20">
        <f>IF(F20&gt;E20,NETWORKDAYS(E20,F20,'NSW Holidays 2020'!$A$4:$A$15),0)</f>
        <v>6</v>
      </c>
      <c r="N20" s="25">
        <f t="shared" si="3"/>
        <v>26.604968</v>
      </c>
    </row>
    <row r="21" spans="1:14" hidden="1" x14ac:dyDescent="0.35">
      <c r="A21" t="s">
        <v>115</v>
      </c>
      <c r="B21" t="s">
        <v>135</v>
      </c>
      <c r="C21">
        <v>545770</v>
      </c>
      <c r="D21" s="13">
        <v>43905</v>
      </c>
      <c r="E21" s="13">
        <f t="shared" si="0"/>
        <v>43936</v>
      </c>
      <c r="F21" s="13">
        <v>43942</v>
      </c>
      <c r="G21" t="s">
        <v>47</v>
      </c>
      <c r="H21">
        <v>327938</v>
      </c>
      <c r="I21" t="s">
        <v>48</v>
      </c>
      <c r="J21" s="1">
        <v>546.80999999999995</v>
      </c>
      <c r="K21" t="str">
        <f t="shared" si="1"/>
        <v>Mar</v>
      </c>
      <c r="L21">
        <f t="shared" si="2"/>
        <v>15</v>
      </c>
      <c r="M21">
        <f>IF(F21&gt;E21,NETWORKDAYS(E21,F21,'NSW Holidays 2020'!$A$4:$A$15),0)</f>
        <v>5</v>
      </c>
      <c r="N21" s="25">
        <f t="shared" si="3"/>
        <v>14.842579999999998</v>
      </c>
    </row>
    <row r="22" spans="1:14" hidden="1" x14ac:dyDescent="0.35">
      <c r="A22" t="s">
        <v>49</v>
      </c>
      <c r="B22" t="s">
        <v>135</v>
      </c>
      <c r="C22">
        <v>545674</v>
      </c>
      <c r="D22" s="13">
        <v>43906</v>
      </c>
      <c r="E22" s="13">
        <f t="shared" si="0"/>
        <v>43937</v>
      </c>
      <c r="F22" s="13">
        <v>43926</v>
      </c>
      <c r="G22" t="s">
        <v>47</v>
      </c>
      <c r="H22">
        <v>332589</v>
      </c>
      <c r="I22" t="s">
        <v>48</v>
      </c>
      <c r="J22" s="1">
        <v>409.53</v>
      </c>
      <c r="K22" t="str">
        <f t="shared" si="1"/>
        <v>Mar</v>
      </c>
      <c r="L22">
        <f t="shared" si="2"/>
        <v>16</v>
      </c>
      <c r="M22">
        <f>IF(F22&gt;E22,NETWORKDAYS(E22,F22,'NSW Holidays 2020'!$A$4:$A$15),0)</f>
        <v>0</v>
      </c>
      <c r="N22" s="25">
        <f t="shared" si="3"/>
        <v>5</v>
      </c>
    </row>
    <row r="23" spans="1:14" hidden="1" x14ac:dyDescent="0.35">
      <c r="A23" t="s">
        <v>90</v>
      </c>
      <c r="B23" t="s">
        <v>135</v>
      </c>
      <c r="C23">
        <v>545731</v>
      </c>
      <c r="D23" s="13">
        <v>43906</v>
      </c>
      <c r="E23" s="13">
        <f t="shared" si="0"/>
        <v>43937</v>
      </c>
      <c r="F23" s="13">
        <v>43949</v>
      </c>
      <c r="G23" t="s">
        <v>47</v>
      </c>
      <c r="H23">
        <v>336345</v>
      </c>
      <c r="I23" t="s">
        <v>48</v>
      </c>
      <c r="J23" s="1">
        <v>442.86</v>
      </c>
      <c r="K23" t="str">
        <f t="shared" si="1"/>
        <v>Mar</v>
      </c>
      <c r="L23">
        <f t="shared" si="2"/>
        <v>16</v>
      </c>
      <c r="M23">
        <f>IF(F23&gt;E23,NETWORKDAYS(E23,F23,'NSW Holidays 2020'!$A$4:$A$15),0)</f>
        <v>9</v>
      </c>
      <c r="N23" s="25">
        <f t="shared" si="3"/>
        <v>19.348663999999999</v>
      </c>
    </row>
    <row r="24" spans="1:14" hidden="1" x14ac:dyDescent="0.35">
      <c r="A24" t="s">
        <v>51</v>
      </c>
      <c r="B24" t="s">
        <v>135</v>
      </c>
      <c r="C24">
        <v>545677</v>
      </c>
      <c r="D24" s="13">
        <v>43907</v>
      </c>
      <c r="E24" s="13">
        <f t="shared" si="0"/>
        <v>43938</v>
      </c>
      <c r="F24" s="13">
        <v>43931</v>
      </c>
      <c r="G24" t="s">
        <v>47</v>
      </c>
      <c r="H24">
        <v>319376</v>
      </c>
      <c r="I24" t="s">
        <v>48</v>
      </c>
      <c r="J24" s="1">
        <v>-450.12</v>
      </c>
      <c r="K24" t="str">
        <f t="shared" si="1"/>
        <v>Mar</v>
      </c>
      <c r="L24">
        <f t="shared" si="2"/>
        <v>17</v>
      </c>
      <c r="M24">
        <f>IF(F24&gt;E24,NETWORKDAYS(E24,F24,'NSW Holidays 2020'!$A$4:$A$15),0)</f>
        <v>0</v>
      </c>
      <c r="N24" s="25">
        <f t="shared" si="3"/>
        <v>5</v>
      </c>
    </row>
    <row r="25" spans="1:14" hidden="1" x14ac:dyDescent="0.35">
      <c r="A25" t="s">
        <v>88</v>
      </c>
      <c r="B25" t="s">
        <v>135</v>
      </c>
      <c r="C25">
        <v>545727</v>
      </c>
      <c r="D25" s="13">
        <v>43907</v>
      </c>
      <c r="E25" s="13">
        <f t="shared" si="0"/>
        <v>43938</v>
      </c>
      <c r="F25" s="13">
        <v>43929</v>
      </c>
      <c r="G25" t="s">
        <v>47</v>
      </c>
      <c r="H25">
        <v>339907</v>
      </c>
      <c r="I25" t="s">
        <v>48</v>
      </c>
      <c r="J25" s="1">
        <v>480.81</v>
      </c>
      <c r="K25" t="str">
        <f t="shared" si="1"/>
        <v>Mar</v>
      </c>
      <c r="L25">
        <f t="shared" si="2"/>
        <v>17</v>
      </c>
      <c r="M25">
        <f>IF(F25&gt;E25,NETWORKDAYS(E25,F25,'NSW Holidays 2020'!$A$4:$A$15),0)</f>
        <v>0</v>
      </c>
      <c r="N25" s="25">
        <f t="shared" si="3"/>
        <v>5</v>
      </c>
    </row>
    <row r="26" spans="1:14" hidden="1" x14ac:dyDescent="0.35">
      <c r="A26" t="s">
        <v>96</v>
      </c>
      <c r="B26" t="s">
        <v>135</v>
      </c>
      <c r="C26">
        <v>545740</v>
      </c>
      <c r="D26" s="13">
        <v>43908</v>
      </c>
      <c r="E26" s="13">
        <f t="shared" si="0"/>
        <v>43941</v>
      </c>
      <c r="F26" s="13">
        <v>43926</v>
      </c>
      <c r="G26" t="s">
        <v>47</v>
      </c>
      <c r="H26">
        <v>321456</v>
      </c>
      <c r="I26" t="s">
        <v>48</v>
      </c>
      <c r="J26" s="1">
        <v>628.98</v>
      </c>
      <c r="K26" t="str">
        <f t="shared" si="1"/>
        <v>Mar</v>
      </c>
      <c r="L26">
        <f t="shared" si="2"/>
        <v>18</v>
      </c>
      <c r="M26">
        <f>IF(F26&gt;E26,NETWORKDAYS(E26,F26,'NSW Holidays 2020'!$A$4:$A$15),0)</f>
        <v>0</v>
      </c>
      <c r="N26" s="25">
        <f t="shared" si="3"/>
        <v>5</v>
      </c>
    </row>
    <row r="27" spans="1:14" hidden="1" x14ac:dyDescent="0.35">
      <c r="A27" t="s">
        <v>102</v>
      </c>
      <c r="B27" t="s">
        <v>135</v>
      </c>
      <c r="C27">
        <v>545750</v>
      </c>
      <c r="D27" s="13">
        <v>43908</v>
      </c>
      <c r="E27" s="13">
        <f t="shared" si="0"/>
        <v>43941</v>
      </c>
      <c r="F27" s="13">
        <v>43935</v>
      </c>
      <c r="G27" t="s">
        <v>47</v>
      </c>
      <c r="H27">
        <v>319833</v>
      </c>
      <c r="I27" t="s">
        <v>48</v>
      </c>
      <c r="J27" s="1">
        <v>1061.94</v>
      </c>
      <c r="K27" t="str">
        <f t="shared" si="1"/>
        <v>Mar</v>
      </c>
      <c r="L27">
        <f t="shared" si="2"/>
        <v>18</v>
      </c>
      <c r="M27">
        <f>IF(F27&gt;E27,NETWORKDAYS(E27,F27,'NSW Holidays 2020'!$A$4:$A$15),0)</f>
        <v>0</v>
      </c>
      <c r="N27" s="25">
        <f t="shared" si="3"/>
        <v>5</v>
      </c>
    </row>
    <row r="28" spans="1:14" hidden="1" x14ac:dyDescent="0.35">
      <c r="A28" t="s">
        <v>62</v>
      </c>
      <c r="B28" t="s">
        <v>135</v>
      </c>
      <c r="C28">
        <v>545692</v>
      </c>
      <c r="D28" s="13">
        <v>43909</v>
      </c>
      <c r="E28" s="13">
        <f t="shared" si="0"/>
        <v>43941</v>
      </c>
      <c r="F28" s="13">
        <v>43951</v>
      </c>
      <c r="G28" t="s">
        <v>47</v>
      </c>
      <c r="H28">
        <v>323955</v>
      </c>
      <c r="I28" t="s">
        <v>48</v>
      </c>
      <c r="J28" s="1">
        <v>499.95</v>
      </c>
      <c r="K28" t="str">
        <f t="shared" si="1"/>
        <v>Mar</v>
      </c>
      <c r="L28">
        <f t="shared" si="2"/>
        <v>19</v>
      </c>
      <c r="M28">
        <f>IF(F28&gt;E28,NETWORKDAYS(E28,F28,'NSW Holidays 2020'!$A$4:$A$15),0)</f>
        <v>9</v>
      </c>
      <c r="N28" s="25">
        <f t="shared" si="3"/>
        <v>21.19838</v>
      </c>
    </row>
    <row r="29" spans="1:14" hidden="1" x14ac:dyDescent="0.35">
      <c r="A29" t="s">
        <v>73</v>
      </c>
      <c r="B29" t="s">
        <v>135</v>
      </c>
      <c r="C29">
        <v>545707</v>
      </c>
      <c r="D29" s="13">
        <v>43911</v>
      </c>
      <c r="E29" s="13">
        <f t="shared" si="0"/>
        <v>43942</v>
      </c>
      <c r="F29" s="13">
        <v>43925</v>
      </c>
      <c r="G29" t="s">
        <v>47</v>
      </c>
      <c r="H29">
        <v>331383</v>
      </c>
      <c r="I29" t="s">
        <v>48</v>
      </c>
      <c r="J29" s="1">
        <v>78.540000000000006</v>
      </c>
      <c r="K29" t="str">
        <f t="shared" si="1"/>
        <v>Mar</v>
      </c>
      <c r="L29">
        <f t="shared" si="2"/>
        <v>21</v>
      </c>
      <c r="M29">
        <f>IF(F29&gt;E29,NETWORKDAYS(E29,F29,'NSW Holidays 2020'!$A$4:$A$15),0)</f>
        <v>0</v>
      </c>
      <c r="N29" s="25">
        <f t="shared" si="3"/>
        <v>5</v>
      </c>
    </row>
    <row r="30" spans="1:14" hidden="1" x14ac:dyDescent="0.35">
      <c r="A30" t="s">
        <v>103</v>
      </c>
      <c r="B30" t="s">
        <v>135</v>
      </c>
      <c r="C30">
        <v>545751</v>
      </c>
      <c r="D30" s="13">
        <v>43912</v>
      </c>
      <c r="E30" s="13">
        <f t="shared" si="0"/>
        <v>43943</v>
      </c>
      <c r="F30" s="13">
        <v>43927</v>
      </c>
      <c r="G30" t="s">
        <v>47</v>
      </c>
      <c r="H30">
        <v>310345</v>
      </c>
      <c r="I30" t="s">
        <v>48</v>
      </c>
      <c r="J30" s="1">
        <v>602.58000000000004</v>
      </c>
      <c r="K30" t="str">
        <f t="shared" si="1"/>
        <v>Mar</v>
      </c>
      <c r="L30">
        <f t="shared" si="2"/>
        <v>22</v>
      </c>
      <c r="M30">
        <f>IF(F30&gt;E30,NETWORKDAYS(E30,F30,'NSW Holidays 2020'!$A$4:$A$15),0)</f>
        <v>0</v>
      </c>
      <c r="N30" s="25">
        <f t="shared" si="3"/>
        <v>5</v>
      </c>
    </row>
    <row r="31" spans="1:14" hidden="1" x14ac:dyDescent="0.35">
      <c r="A31" t="s">
        <v>53</v>
      </c>
      <c r="B31" t="s">
        <v>135</v>
      </c>
      <c r="C31">
        <v>545679</v>
      </c>
      <c r="D31" s="13">
        <v>43913</v>
      </c>
      <c r="E31" s="13">
        <f t="shared" si="0"/>
        <v>43944</v>
      </c>
      <c r="F31" s="13">
        <v>43951</v>
      </c>
      <c r="G31" t="s">
        <v>47</v>
      </c>
      <c r="H31">
        <v>310607</v>
      </c>
      <c r="I31" t="s">
        <v>48</v>
      </c>
      <c r="J31" s="1">
        <v>930.93</v>
      </c>
      <c r="K31" t="str">
        <f t="shared" si="1"/>
        <v>Mar</v>
      </c>
      <c r="L31">
        <f t="shared" si="2"/>
        <v>23</v>
      </c>
      <c r="M31">
        <f>IF(F31&gt;E31,NETWORKDAYS(E31,F31,'NSW Holidays 2020'!$A$4:$A$15),0)</f>
        <v>6</v>
      </c>
      <c r="N31" s="25">
        <f t="shared" si="3"/>
        <v>25.108087999999999</v>
      </c>
    </row>
    <row r="32" spans="1:14" hidden="1" x14ac:dyDescent="0.35">
      <c r="A32" t="s">
        <v>100</v>
      </c>
      <c r="B32" t="s">
        <v>135</v>
      </c>
      <c r="C32">
        <v>545747</v>
      </c>
      <c r="D32" s="13">
        <v>43914</v>
      </c>
      <c r="E32" s="13">
        <f t="shared" si="0"/>
        <v>43945</v>
      </c>
      <c r="F32" s="13">
        <v>43928</v>
      </c>
      <c r="G32" t="s">
        <v>47</v>
      </c>
      <c r="H32">
        <v>314876</v>
      </c>
      <c r="I32" t="s">
        <v>48</v>
      </c>
      <c r="J32" s="1">
        <v>417.12</v>
      </c>
      <c r="K32" t="str">
        <f t="shared" si="1"/>
        <v>Mar</v>
      </c>
      <c r="L32">
        <f t="shared" si="2"/>
        <v>24</v>
      </c>
      <c r="M32">
        <f>IF(F32&gt;E32,NETWORKDAYS(E32,F32,'NSW Holidays 2020'!$A$4:$A$15),0)</f>
        <v>0</v>
      </c>
      <c r="N32" s="25">
        <f t="shared" si="3"/>
        <v>5</v>
      </c>
    </row>
    <row r="33" spans="1:14" hidden="1" x14ac:dyDescent="0.35">
      <c r="A33" t="s">
        <v>50</v>
      </c>
      <c r="B33" t="s">
        <v>135</v>
      </c>
      <c r="C33">
        <v>545676</v>
      </c>
      <c r="D33" s="13">
        <v>43915</v>
      </c>
      <c r="E33" s="13">
        <f t="shared" si="0"/>
        <v>43948</v>
      </c>
      <c r="F33" s="13">
        <v>43941</v>
      </c>
      <c r="G33" t="s">
        <v>47</v>
      </c>
      <c r="H33">
        <v>337131</v>
      </c>
      <c r="I33" t="s">
        <v>48</v>
      </c>
      <c r="J33" s="1">
        <v>-234.96</v>
      </c>
      <c r="K33" t="str">
        <f t="shared" si="1"/>
        <v>Mar</v>
      </c>
      <c r="L33">
        <f t="shared" si="2"/>
        <v>25</v>
      </c>
      <c r="M33">
        <f>IF(F33&gt;E33,NETWORKDAYS(E33,F33,'NSW Holidays 2020'!$A$4:$A$15),0)</f>
        <v>0</v>
      </c>
      <c r="N33" s="25">
        <f t="shared" si="3"/>
        <v>5</v>
      </c>
    </row>
    <row r="34" spans="1:14" hidden="1" x14ac:dyDescent="0.35">
      <c r="A34" t="s">
        <v>111</v>
      </c>
      <c r="B34" t="s">
        <v>135</v>
      </c>
      <c r="C34">
        <v>545765</v>
      </c>
      <c r="D34" s="13">
        <v>43918</v>
      </c>
      <c r="E34" s="13">
        <f t="shared" si="0"/>
        <v>43949</v>
      </c>
      <c r="F34" s="13">
        <v>43939</v>
      </c>
      <c r="G34" t="s">
        <v>47</v>
      </c>
      <c r="H34">
        <v>320536</v>
      </c>
      <c r="I34" t="s">
        <v>48</v>
      </c>
      <c r="J34" s="1">
        <v>948.75</v>
      </c>
      <c r="K34" t="str">
        <f t="shared" si="1"/>
        <v>Mar</v>
      </c>
      <c r="L34">
        <f t="shared" si="2"/>
        <v>28</v>
      </c>
      <c r="M34">
        <f>IF(F34&gt;E34,NETWORKDAYS(E34,F34,'NSW Holidays 2020'!$A$4:$A$15),0)</f>
        <v>0</v>
      </c>
      <c r="N34" s="25">
        <f t="shared" si="3"/>
        <v>5</v>
      </c>
    </row>
    <row r="35" spans="1:14" hidden="1" x14ac:dyDescent="0.35">
      <c r="A35" t="s">
        <v>59</v>
      </c>
      <c r="B35" t="s">
        <v>135</v>
      </c>
      <c r="C35">
        <v>545689</v>
      </c>
      <c r="D35" s="13">
        <v>43919</v>
      </c>
      <c r="E35" s="13">
        <f t="shared" si="0"/>
        <v>43950</v>
      </c>
      <c r="F35" s="13">
        <v>43945</v>
      </c>
      <c r="G35" t="s">
        <v>47</v>
      </c>
      <c r="H35">
        <v>319790</v>
      </c>
      <c r="I35" t="s">
        <v>48</v>
      </c>
      <c r="J35" s="1">
        <v>221.1</v>
      </c>
      <c r="K35" t="str">
        <f t="shared" si="1"/>
        <v>Mar</v>
      </c>
      <c r="L35">
        <f t="shared" si="2"/>
        <v>29</v>
      </c>
      <c r="M35">
        <f>IF(F35&gt;E35,NETWORKDAYS(E35,F35,'NSW Holidays 2020'!$A$4:$A$15),0)</f>
        <v>0</v>
      </c>
      <c r="N35" s="25">
        <f t="shared" si="3"/>
        <v>5</v>
      </c>
    </row>
    <row r="36" spans="1:14" hidden="1" x14ac:dyDescent="0.35">
      <c r="A36" t="s">
        <v>86</v>
      </c>
      <c r="B36" t="s">
        <v>135</v>
      </c>
      <c r="C36">
        <v>545725</v>
      </c>
      <c r="D36" s="13">
        <v>43919</v>
      </c>
      <c r="E36" s="13">
        <f t="shared" si="0"/>
        <v>43950</v>
      </c>
      <c r="F36" s="13">
        <v>43935</v>
      </c>
      <c r="G36" t="s">
        <v>47</v>
      </c>
      <c r="H36">
        <v>316436</v>
      </c>
      <c r="I36" t="s">
        <v>48</v>
      </c>
      <c r="J36" s="1">
        <v>736.23</v>
      </c>
      <c r="K36" t="str">
        <f t="shared" si="1"/>
        <v>Mar</v>
      </c>
      <c r="L36">
        <f t="shared" si="2"/>
        <v>29</v>
      </c>
      <c r="M36">
        <f>IF(F36&gt;E36,NETWORKDAYS(E36,F36,'NSW Holidays 2020'!$A$4:$A$15),0)</f>
        <v>0</v>
      </c>
      <c r="N36" s="25">
        <f t="shared" si="3"/>
        <v>5</v>
      </c>
    </row>
    <row r="37" spans="1:14" hidden="1" x14ac:dyDescent="0.35">
      <c r="A37" t="s">
        <v>128</v>
      </c>
      <c r="B37" t="s">
        <v>135</v>
      </c>
      <c r="C37">
        <v>545788</v>
      </c>
      <c r="D37" s="13">
        <v>43919</v>
      </c>
      <c r="E37" s="13">
        <f t="shared" ref="E37:E68" si="4">WORKDAY(EDATE(D37,1)-1,1)</f>
        <v>43950</v>
      </c>
      <c r="F37" s="13">
        <v>43933</v>
      </c>
      <c r="G37" t="s">
        <v>47</v>
      </c>
      <c r="H37">
        <v>326543</v>
      </c>
      <c r="I37" t="s">
        <v>48</v>
      </c>
      <c r="J37" s="1">
        <v>446.16</v>
      </c>
      <c r="K37" t="str">
        <f t="shared" ref="K37:K68" si="5">TEXT(D37,"MMM")</f>
        <v>Mar</v>
      </c>
      <c r="L37">
        <f t="shared" ref="L37:L68" si="6">DAY(D37)</f>
        <v>29</v>
      </c>
      <c r="M37">
        <f>IF(F37&gt;E37,NETWORKDAYS(E37,F37,'NSW Holidays 2020'!$A$4:$A$15),0)</f>
        <v>0</v>
      </c>
      <c r="N37" s="25">
        <f t="shared" ref="N37:N68" si="7">J37*M37*Penalty_Rate+Flat_Rate</f>
        <v>5</v>
      </c>
    </row>
    <row r="38" spans="1:14" x14ac:dyDescent="0.35">
      <c r="A38" t="s">
        <v>44</v>
      </c>
      <c r="B38" t="s">
        <v>135</v>
      </c>
      <c r="C38">
        <v>545672</v>
      </c>
      <c r="D38" s="13">
        <v>43923</v>
      </c>
      <c r="E38" s="13">
        <f t="shared" si="4"/>
        <v>43955</v>
      </c>
      <c r="F38" s="13">
        <v>43941</v>
      </c>
      <c r="G38" t="s">
        <v>47</v>
      </c>
      <c r="H38">
        <v>327600</v>
      </c>
      <c r="I38" t="s">
        <v>48</v>
      </c>
      <c r="J38" s="1">
        <v>1021.02</v>
      </c>
      <c r="K38" t="str">
        <f t="shared" si="5"/>
        <v>Apr</v>
      </c>
      <c r="L38">
        <f t="shared" si="6"/>
        <v>2</v>
      </c>
      <c r="M38">
        <f>IF(F38&gt;E38,NETWORKDAYS(E38,F38,'NSW Holidays 2020'!$A$4:$A$15),0)</f>
        <v>0</v>
      </c>
      <c r="N38" s="25">
        <f t="shared" si="7"/>
        <v>5</v>
      </c>
    </row>
    <row r="39" spans="1:14" x14ac:dyDescent="0.35">
      <c r="A39" t="s">
        <v>82</v>
      </c>
      <c r="B39" t="s">
        <v>135</v>
      </c>
      <c r="C39">
        <v>545721</v>
      </c>
      <c r="D39" s="13">
        <v>43923</v>
      </c>
      <c r="E39" s="13">
        <f t="shared" si="4"/>
        <v>43955</v>
      </c>
      <c r="F39" s="13">
        <v>43944</v>
      </c>
      <c r="G39" t="s">
        <v>47</v>
      </c>
      <c r="H39">
        <v>338595</v>
      </c>
      <c r="I39" t="s">
        <v>48</v>
      </c>
      <c r="J39" s="1">
        <v>113.19</v>
      </c>
      <c r="K39" t="str">
        <f t="shared" si="5"/>
        <v>Apr</v>
      </c>
      <c r="L39">
        <f t="shared" si="6"/>
        <v>2</v>
      </c>
      <c r="M39">
        <f>IF(F39&gt;E39,NETWORKDAYS(E39,F39,'NSW Holidays 2020'!$A$4:$A$15),0)</f>
        <v>0</v>
      </c>
      <c r="N39" s="25">
        <f t="shared" si="7"/>
        <v>5</v>
      </c>
    </row>
    <row r="40" spans="1:14" x14ac:dyDescent="0.35">
      <c r="A40" t="s">
        <v>104</v>
      </c>
      <c r="B40" t="s">
        <v>135</v>
      </c>
      <c r="C40">
        <v>545753</v>
      </c>
      <c r="D40" s="13">
        <v>43927</v>
      </c>
      <c r="E40" s="13">
        <f t="shared" si="4"/>
        <v>43957</v>
      </c>
      <c r="F40" s="13">
        <v>43951</v>
      </c>
      <c r="G40" t="s">
        <v>47</v>
      </c>
      <c r="H40">
        <v>317142</v>
      </c>
      <c r="I40" t="s">
        <v>48</v>
      </c>
      <c r="J40" s="1">
        <v>132.66</v>
      </c>
      <c r="K40" t="str">
        <f t="shared" si="5"/>
        <v>Apr</v>
      </c>
      <c r="L40">
        <f t="shared" si="6"/>
        <v>6</v>
      </c>
      <c r="M40">
        <f>IF(F40&gt;E40,NETWORKDAYS(E40,F40,'NSW Holidays 2020'!$A$4:$A$15),0)</f>
        <v>0</v>
      </c>
      <c r="N40" s="25">
        <f t="shared" si="7"/>
        <v>5</v>
      </c>
    </row>
    <row r="41" spans="1:14" x14ac:dyDescent="0.35">
      <c r="A41" t="s">
        <v>67</v>
      </c>
      <c r="B41" t="s">
        <v>135</v>
      </c>
      <c r="C41">
        <v>545698</v>
      </c>
      <c r="D41" s="13">
        <v>43929</v>
      </c>
      <c r="E41" s="13">
        <f t="shared" si="4"/>
        <v>43959</v>
      </c>
      <c r="F41" s="13">
        <v>43951</v>
      </c>
      <c r="G41" t="s">
        <v>47</v>
      </c>
      <c r="H41">
        <v>316479</v>
      </c>
      <c r="I41" t="s">
        <v>48</v>
      </c>
      <c r="J41" s="1">
        <v>1047.75</v>
      </c>
      <c r="K41" t="str">
        <f t="shared" si="5"/>
        <v>Apr</v>
      </c>
      <c r="L41">
        <f t="shared" si="6"/>
        <v>8</v>
      </c>
      <c r="M41">
        <f>IF(F41&gt;E41,NETWORKDAYS(E41,F41,'NSW Holidays 2020'!$A$4:$A$15),0)</f>
        <v>0</v>
      </c>
      <c r="N41" s="25">
        <f t="shared" si="7"/>
        <v>5</v>
      </c>
    </row>
    <row r="42" spans="1:14" x14ac:dyDescent="0.35">
      <c r="A42" t="s">
        <v>52</v>
      </c>
      <c r="B42" t="s">
        <v>135</v>
      </c>
      <c r="C42">
        <v>545678</v>
      </c>
      <c r="D42" s="13">
        <v>43930</v>
      </c>
      <c r="E42" s="13">
        <f t="shared" si="4"/>
        <v>43962</v>
      </c>
      <c r="F42" s="13">
        <v>43951</v>
      </c>
      <c r="G42" t="s">
        <v>47</v>
      </c>
      <c r="H42">
        <v>334724</v>
      </c>
      <c r="I42" t="s">
        <v>48</v>
      </c>
      <c r="J42" s="1">
        <v>114.18</v>
      </c>
      <c r="K42" t="str">
        <f t="shared" si="5"/>
        <v>Apr</v>
      </c>
      <c r="L42">
        <f t="shared" si="6"/>
        <v>9</v>
      </c>
      <c r="M42">
        <f>IF(F42&gt;E42,NETWORKDAYS(E42,F42,'NSW Holidays 2020'!$A$4:$A$15),0)</f>
        <v>0</v>
      </c>
      <c r="N42" s="25">
        <f t="shared" si="7"/>
        <v>5</v>
      </c>
    </row>
    <row r="43" spans="1:14" x14ac:dyDescent="0.35">
      <c r="A43" t="s">
        <v>60</v>
      </c>
      <c r="B43" t="s">
        <v>135</v>
      </c>
      <c r="C43">
        <v>545690</v>
      </c>
      <c r="D43" s="13">
        <v>43930</v>
      </c>
      <c r="E43" s="13">
        <f t="shared" si="4"/>
        <v>43962</v>
      </c>
      <c r="F43" s="13">
        <v>43949</v>
      </c>
      <c r="G43" t="s">
        <v>47</v>
      </c>
      <c r="H43">
        <v>327342</v>
      </c>
      <c r="I43" t="s">
        <v>48</v>
      </c>
      <c r="J43" s="1">
        <v>393.36</v>
      </c>
      <c r="K43" t="str">
        <f t="shared" si="5"/>
        <v>Apr</v>
      </c>
      <c r="L43">
        <f t="shared" si="6"/>
        <v>9</v>
      </c>
      <c r="M43">
        <f>IF(F43&gt;E43,NETWORKDAYS(E43,F43,'NSW Holidays 2020'!$A$4:$A$15),0)</f>
        <v>0</v>
      </c>
      <c r="N43" s="25">
        <f t="shared" si="7"/>
        <v>5</v>
      </c>
    </row>
    <row r="44" spans="1:14" x14ac:dyDescent="0.35">
      <c r="A44" t="s">
        <v>108</v>
      </c>
      <c r="B44" t="s">
        <v>135</v>
      </c>
      <c r="C44">
        <v>545760</v>
      </c>
      <c r="D44" s="13">
        <v>43932</v>
      </c>
      <c r="E44" s="13">
        <f t="shared" si="4"/>
        <v>43962</v>
      </c>
      <c r="F44" s="13">
        <v>43948</v>
      </c>
      <c r="G44" t="s">
        <v>47</v>
      </c>
      <c r="H44">
        <v>328536</v>
      </c>
      <c r="I44" t="s">
        <v>48</v>
      </c>
      <c r="J44" s="1">
        <v>668.25</v>
      </c>
      <c r="K44" t="str">
        <f t="shared" si="5"/>
        <v>Apr</v>
      </c>
      <c r="L44">
        <f t="shared" si="6"/>
        <v>11</v>
      </c>
      <c r="M44">
        <f>IF(F44&gt;E44,NETWORKDAYS(E44,F44,'NSW Holidays 2020'!$A$4:$A$15),0)</f>
        <v>0</v>
      </c>
      <c r="N44" s="25">
        <f t="shared" si="7"/>
        <v>5</v>
      </c>
    </row>
    <row r="45" spans="1:14" x14ac:dyDescent="0.35">
      <c r="A45" t="s">
        <v>113</v>
      </c>
      <c r="B45" t="s">
        <v>135</v>
      </c>
      <c r="C45">
        <v>545768</v>
      </c>
      <c r="D45" s="13">
        <v>43933</v>
      </c>
      <c r="E45" s="13">
        <f t="shared" si="4"/>
        <v>43963</v>
      </c>
      <c r="F45" s="13">
        <v>43940</v>
      </c>
      <c r="G45" t="s">
        <v>47</v>
      </c>
      <c r="H45">
        <v>321358</v>
      </c>
      <c r="I45" t="s">
        <v>48</v>
      </c>
      <c r="J45" s="1">
        <v>242.22</v>
      </c>
      <c r="K45" t="str">
        <f t="shared" si="5"/>
        <v>Apr</v>
      </c>
      <c r="L45">
        <f t="shared" si="6"/>
        <v>12</v>
      </c>
      <c r="M45">
        <f>IF(F45&gt;E45,NETWORKDAYS(E45,F45,'NSW Holidays 2020'!$A$4:$A$15),0)</f>
        <v>0</v>
      </c>
      <c r="N45" s="25">
        <f t="shared" si="7"/>
        <v>5</v>
      </c>
    </row>
    <row r="46" spans="1:14" x14ac:dyDescent="0.35">
      <c r="A46" t="s">
        <v>122</v>
      </c>
      <c r="B46" t="s">
        <v>135</v>
      </c>
      <c r="C46">
        <v>545780</v>
      </c>
      <c r="D46" s="13">
        <v>43934</v>
      </c>
      <c r="E46" s="13">
        <f t="shared" si="4"/>
        <v>43964</v>
      </c>
      <c r="F46" s="13">
        <v>43943</v>
      </c>
      <c r="G46" t="s">
        <v>47</v>
      </c>
      <c r="H46">
        <v>312800</v>
      </c>
      <c r="I46" t="s">
        <v>48</v>
      </c>
      <c r="J46" s="1">
        <v>809.49</v>
      </c>
      <c r="K46" t="str">
        <f t="shared" si="5"/>
        <v>Apr</v>
      </c>
      <c r="L46">
        <f t="shared" si="6"/>
        <v>13</v>
      </c>
      <c r="M46">
        <f>IF(F46&gt;E46,NETWORKDAYS(E46,F46,'NSW Holidays 2020'!$A$4:$A$15),0)</f>
        <v>0</v>
      </c>
      <c r="N46" s="25">
        <f t="shared" si="7"/>
        <v>5</v>
      </c>
    </row>
    <row r="47" spans="1:14" x14ac:dyDescent="0.35">
      <c r="A47" t="s">
        <v>79</v>
      </c>
      <c r="B47" t="s">
        <v>135</v>
      </c>
      <c r="C47">
        <v>545716</v>
      </c>
      <c r="D47" s="13">
        <v>43936</v>
      </c>
      <c r="E47" s="13">
        <f t="shared" si="4"/>
        <v>43966</v>
      </c>
      <c r="F47" s="13">
        <v>43941</v>
      </c>
      <c r="G47" t="s">
        <v>47</v>
      </c>
      <c r="H47">
        <v>332725</v>
      </c>
      <c r="I47" t="s">
        <v>48</v>
      </c>
      <c r="J47" s="1">
        <v>549.12</v>
      </c>
      <c r="K47" t="str">
        <f t="shared" si="5"/>
        <v>Apr</v>
      </c>
      <c r="L47">
        <f t="shared" si="6"/>
        <v>15</v>
      </c>
      <c r="M47">
        <f>IF(F47&gt;E47,NETWORKDAYS(E47,F47,'NSW Holidays 2020'!$A$4:$A$15),0)</f>
        <v>0</v>
      </c>
      <c r="N47" s="25">
        <f t="shared" si="7"/>
        <v>5</v>
      </c>
    </row>
    <row r="48" spans="1:14" x14ac:dyDescent="0.35">
      <c r="A48" t="s">
        <v>83</v>
      </c>
      <c r="B48" t="s">
        <v>135</v>
      </c>
      <c r="C48">
        <v>545722</v>
      </c>
      <c r="D48" s="13">
        <v>43941</v>
      </c>
      <c r="E48" s="13">
        <f t="shared" si="4"/>
        <v>43971</v>
      </c>
      <c r="F48" s="13">
        <v>43949</v>
      </c>
      <c r="G48" t="s">
        <v>47</v>
      </c>
      <c r="H48">
        <v>325149</v>
      </c>
      <c r="I48" t="s">
        <v>48</v>
      </c>
      <c r="J48" s="1">
        <v>449.13</v>
      </c>
      <c r="K48" t="str">
        <f t="shared" si="5"/>
        <v>Apr</v>
      </c>
      <c r="L48">
        <f t="shared" si="6"/>
        <v>20</v>
      </c>
      <c r="M48">
        <f>IF(F48&gt;E48,NETWORKDAYS(E48,F48,'NSW Holidays 2020'!$A$4:$A$15),0)</f>
        <v>0</v>
      </c>
      <c r="N48" s="25">
        <f t="shared" si="7"/>
        <v>5</v>
      </c>
    </row>
    <row r="49" spans="1:14" hidden="1" x14ac:dyDescent="0.35">
      <c r="A49" t="s">
        <v>85</v>
      </c>
      <c r="B49" t="s">
        <v>135</v>
      </c>
      <c r="C49">
        <v>545724</v>
      </c>
      <c r="D49" s="13">
        <v>43880</v>
      </c>
      <c r="E49" s="13">
        <f t="shared" si="4"/>
        <v>43909</v>
      </c>
      <c r="F49" s="13">
        <v>43924</v>
      </c>
      <c r="G49" t="s">
        <v>45</v>
      </c>
      <c r="H49">
        <v>222399</v>
      </c>
      <c r="I49" t="s">
        <v>46</v>
      </c>
      <c r="J49" s="1">
        <v>1019.04</v>
      </c>
      <c r="K49" t="str">
        <f t="shared" si="5"/>
        <v>Feb</v>
      </c>
      <c r="L49">
        <f t="shared" si="6"/>
        <v>19</v>
      </c>
      <c r="M49">
        <f>IF(F49&gt;E49,NETWORKDAYS(E49,F49,'NSW Holidays 2020'!$A$4:$A$15),0)</f>
        <v>12</v>
      </c>
      <c r="N49" s="25">
        <f t="shared" si="7"/>
        <v>49.022527999999994</v>
      </c>
    </row>
    <row r="50" spans="1:14" hidden="1" x14ac:dyDescent="0.35">
      <c r="A50" t="s">
        <v>106</v>
      </c>
      <c r="B50" t="s">
        <v>135</v>
      </c>
      <c r="C50">
        <v>545756</v>
      </c>
      <c r="D50" s="13">
        <v>43881</v>
      </c>
      <c r="E50" s="13">
        <f t="shared" si="4"/>
        <v>43910</v>
      </c>
      <c r="F50" s="13">
        <v>43926</v>
      </c>
      <c r="G50" t="s">
        <v>45</v>
      </c>
      <c r="H50">
        <v>234966</v>
      </c>
      <c r="I50" t="s">
        <v>46</v>
      </c>
      <c r="J50" s="1">
        <v>511.83</v>
      </c>
      <c r="K50" t="str">
        <f t="shared" si="5"/>
        <v>Feb</v>
      </c>
      <c r="L50">
        <f t="shared" si="6"/>
        <v>20</v>
      </c>
      <c r="M50">
        <f>IF(F50&gt;E50,NETWORKDAYS(E50,F50,'NSW Holidays 2020'!$A$4:$A$15),0)</f>
        <v>11</v>
      </c>
      <c r="N50" s="25">
        <f t="shared" si="7"/>
        <v>25.268467999999999</v>
      </c>
    </row>
    <row r="51" spans="1:14" hidden="1" x14ac:dyDescent="0.35">
      <c r="A51" t="s">
        <v>69</v>
      </c>
      <c r="B51" t="s">
        <v>135</v>
      </c>
      <c r="C51">
        <v>545702</v>
      </c>
      <c r="D51" s="13">
        <v>43886</v>
      </c>
      <c r="E51" s="13">
        <f t="shared" si="4"/>
        <v>43915</v>
      </c>
      <c r="F51" s="13">
        <v>43928</v>
      </c>
      <c r="G51" t="s">
        <v>45</v>
      </c>
      <c r="H51">
        <v>224680</v>
      </c>
      <c r="I51" t="s">
        <v>46</v>
      </c>
      <c r="J51" s="1">
        <v>257.07</v>
      </c>
      <c r="K51" t="str">
        <f t="shared" si="5"/>
        <v>Feb</v>
      </c>
      <c r="L51">
        <f t="shared" si="6"/>
        <v>25</v>
      </c>
      <c r="M51">
        <f>IF(F51&gt;E51,NETWORKDAYS(E51,F51,'NSW Holidays 2020'!$A$4:$A$15),0)</f>
        <v>10</v>
      </c>
      <c r="N51" s="25">
        <f t="shared" si="7"/>
        <v>14.254519999999999</v>
      </c>
    </row>
    <row r="52" spans="1:14" hidden="1" x14ac:dyDescent="0.35">
      <c r="A52" t="s">
        <v>68</v>
      </c>
      <c r="B52" t="s">
        <v>135</v>
      </c>
      <c r="C52">
        <v>545700</v>
      </c>
      <c r="D52" s="13">
        <v>43888</v>
      </c>
      <c r="E52" s="13">
        <f t="shared" si="4"/>
        <v>43917</v>
      </c>
      <c r="F52" s="13">
        <v>43929</v>
      </c>
      <c r="G52" t="s">
        <v>45</v>
      </c>
      <c r="H52">
        <v>230046</v>
      </c>
      <c r="I52" t="s">
        <v>46</v>
      </c>
      <c r="J52" s="1">
        <v>1096.92</v>
      </c>
      <c r="K52" t="str">
        <f t="shared" si="5"/>
        <v>Feb</v>
      </c>
      <c r="L52">
        <f t="shared" si="6"/>
        <v>27</v>
      </c>
      <c r="M52">
        <f>IF(F52&gt;E52,NETWORKDAYS(E52,F52,'NSW Holidays 2020'!$A$4:$A$15),0)</f>
        <v>9</v>
      </c>
      <c r="N52" s="25">
        <f t="shared" si="7"/>
        <v>40.540208</v>
      </c>
    </row>
    <row r="53" spans="1:14" hidden="1" x14ac:dyDescent="0.35">
      <c r="A53" t="s">
        <v>44</v>
      </c>
      <c r="B53" t="s">
        <v>135</v>
      </c>
      <c r="C53">
        <f>545671</f>
        <v>545671</v>
      </c>
      <c r="D53" s="13">
        <v>43892</v>
      </c>
      <c r="E53" s="13">
        <f t="shared" si="4"/>
        <v>43923</v>
      </c>
      <c r="F53" s="13">
        <v>43938</v>
      </c>
      <c r="G53" t="s">
        <v>45</v>
      </c>
      <c r="H53">
        <v>223809</v>
      </c>
      <c r="I53" t="s">
        <v>46</v>
      </c>
      <c r="J53" s="1">
        <v>742.5</v>
      </c>
      <c r="K53" t="str">
        <f t="shared" si="5"/>
        <v>Mar</v>
      </c>
      <c r="L53">
        <f t="shared" si="6"/>
        <v>2</v>
      </c>
      <c r="M53">
        <f>IF(F53&gt;E53,NETWORKDAYS(E53,F53,'NSW Holidays 2020'!$A$4:$A$15),0)</f>
        <v>10</v>
      </c>
      <c r="N53" s="25">
        <f t="shared" si="7"/>
        <v>31.73</v>
      </c>
    </row>
    <row r="54" spans="1:14" hidden="1" x14ac:dyDescent="0.35">
      <c r="A54" t="s">
        <v>80</v>
      </c>
      <c r="B54" t="s">
        <v>135</v>
      </c>
      <c r="C54">
        <v>545718</v>
      </c>
      <c r="D54" s="13">
        <v>43893</v>
      </c>
      <c r="E54" s="13">
        <f t="shared" si="4"/>
        <v>43924</v>
      </c>
      <c r="F54" s="13">
        <v>43923</v>
      </c>
      <c r="G54" t="s">
        <v>45</v>
      </c>
      <c r="H54">
        <v>227351</v>
      </c>
      <c r="I54" t="s">
        <v>46</v>
      </c>
      <c r="J54" s="1">
        <v>322.41000000000003</v>
      </c>
      <c r="K54" t="str">
        <f t="shared" si="5"/>
        <v>Mar</v>
      </c>
      <c r="L54">
        <f t="shared" si="6"/>
        <v>3</v>
      </c>
      <c r="M54">
        <f>IF(F54&gt;E54,NETWORKDAYS(E54,F54,'NSW Holidays 2020'!$A$4:$A$15),0)</f>
        <v>0</v>
      </c>
      <c r="N54" s="25">
        <f t="shared" si="7"/>
        <v>5</v>
      </c>
    </row>
    <row r="55" spans="1:14" hidden="1" x14ac:dyDescent="0.35">
      <c r="A55" t="s">
        <v>126</v>
      </c>
      <c r="B55" t="s">
        <v>135</v>
      </c>
      <c r="C55">
        <v>545785</v>
      </c>
      <c r="D55" s="13">
        <v>43897</v>
      </c>
      <c r="E55" s="13">
        <f t="shared" si="4"/>
        <v>43928</v>
      </c>
      <c r="F55" s="13">
        <v>43926</v>
      </c>
      <c r="G55" t="s">
        <v>45</v>
      </c>
      <c r="H55">
        <v>235040</v>
      </c>
      <c r="I55" t="s">
        <v>46</v>
      </c>
      <c r="J55" s="1">
        <v>335.61</v>
      </c>
      <c r="K55" t="str">
        <f t="shared" si="5"/>
        <v>Mar</v>
      </c>
      <c r="L55">
        <f t="shared" si="6"/>
        <v>7</v>
      </c>
      <c r="M55">
        <f>IF(F55&gt;E55,NETWORKDAYS(E55,F55,'NSW Holidays 2020'!$A$4:$A$15),0)</f>
        <v>0</v>
      </c>
      <c r="N55" s="25">
        <f t="shared" si="7"/>
        <v>5</v>
      </c>
    </row>
    <row r="56" spans="1:14" hidden="1" x14ac:dyDescent="0.35">
      <c r="A56" t="s">
        <v>127</v>
      </c>
      <c r="B56" t="s">
        <v>135</v>
      </c>
      <c r="C56">
        <v>545786</v>
      </c>
      <c r="D56" s="13">
        <v>43898</v>
      </c>
      <c r="E56" s="13">
        <f t="shared" si="4"/>
        <v>43929</v>
      </c>
      <c r="F56" s="13">
        <v>43940</v>
      </c>
      <c r="G56" t="s">
        <v>45</v>
      </c>
      <c r="H56">
        <v>211771</v>
      </c>
      <c r="I56" t="s">
        <v>46</v>
      </c>
      <c r="J56" s="1">
        <v>763.29</v>
      </c>
      <c r="K56" t="str">
        <f t="shared" si="5"/>
        <v>Mar</v>
      </c>
      <c r="L56">
        <f t="shared" si="6"/>
        <v>8</v>
      </c>
      <c r="M56">
        <f>IF(F56&gt;E56,NETWORKDAYS(E56,F56,'NSW Holidays 2020'!$A$4:$A$15),0)</f>
        <v>6</v>
      </c>
      <c r="N56" s="25">
        <f t="shared" si="7"/>
        <v>21.487064</v>
      </c>
    </row>
    <row r="57" spans="1:14" hidden="1" x14ac:dyDescent="0.35">
      <c r="A57" t="s">
        <v>56</v>
      </c>
      <c r="B57" t="s">
        <v>135</v>
      </c>
      <c r="C57">
        <v>545683</v>
      </c>
      <c r="D57" s="13">
        <v>43899</v>
      </c>
      <c r="E57" s="13">
        <f t="shared" si="4"/>
        <v>43930</v>
      </c>
      <c r="F57" s="13">
        <v>43932</v>
      </c>
      <c r="G57" t="s">
        <v>45</v>
      </c>
      <c r="H57">
        <v>211781</v>
      </c>
      <c r="I57" t="s">
        <v>46</v>
      </c>
      <c r="J57" s="1">
        <v>679.8</v>
      </c>
      <c r="K57" t="str">
        <f t="shared" si="5"/>
        <v>Mar</v>
      </c>
      <c r="L57">
        <f t="shared" si="6"/>
        <v>9</v>
      </c>
      <c r="M57">
        <f>IF(F57&gt;E57,NETWORKDAYS(E57,F57,'NSW Holidays 2020'!$A$4:$A$15),0)</f>
        <v>1</v>
      </c>
      <c r="N57" s="25">
        <f t="shared" si="7"/>
        <v>7.4472799999999992</v>
      </c>
    </row>
    <row r="58" spans="1:14" hidden="1" x14ac:dyDescent="0.35">
      <c r="A58" t="s">
        <v>76</v>
      </c>
      <c r="B58" t="s">
        <v>135</v>
      </c>
      <c r="C58">
        <v>545711</v>
      </c>
      <c r="D58" s="13">
        <v>43899</v>
      </c>
      <c r="E58" s="13">
        <f t="shared" si="4"/>
        <v>43930</v>
      </c>
      <c r="F58" s="13">
        <v>43932</v>
      </c>
      <c r="G58" t="s">
        <v>45</v>
      </c>
      <c r="H58">
        <v>238202</v>
      </c>
      <c r="I58" t="s">
        <v>46</v>
      </c>
      <c r="J58" s="1">
        <v>489.72</v>
      </c>
      <c r="K58" t="str">
        <f t="shared" si="5"/>
        <v>Mar</v>
      </c>
      <c r="L58">
        <f t="shared" si="6"/>
        <v>9</v>
      </c>
      <c r="M58">
        <f>IF(F58&gt;E58,NETWORKDAYS(E58,F58,'NSW Holidays 2020'!$A$4:$A$15),0)</f>
        <v>1</v>
      </c>
      <c r="N58" s="25">
        <f t="shared" si="7"/>
        <v>6.7629920000000006</v>
      </c>
    </row>
    <row r="59" spans="1:14" hidden="1" x14ac:dyDescent="0.35">
      <c r="A59" t="s">
        <v>116</v>
      </c>
      <c r="B59" t="s">
        <v>135</v>
      </c>
      <c r="C59">
        <v>545772</v>
      </c>
      <c r="D59" s="13">
        <v>43900</v>
      </c>
      <c r="E59" s="13">
        <f t="shared" si="4"/>
        <v>43931</v>
      </c>
      <c r="F59" s="13">
        <v>43931</v>
      </c>
      <c r="G59" t="s">
        <v>45</v>
      </c>
      <c r="H59">
        <v>234487</v>
      </c>
      <c r="I59" t="s">
        <v>46</v>
      </c>
      <c r="J59" s="1">
        <v>840.51</v>
      </c>
      <c r="K59" t="str">
        <f t="shared" si="5"/>
        <v>Mar</v>
      </c>
      <c r="L59">
        <f t="shared" si="6"/>
        <v>10</v>
      </c>
      <c r="M59">
        <f>IF(F59&gt;E59,NETWORKDAYS(E59,F59,'NSW Holidays 2020'!$A$4:$A$15),0)</f>
        <v>0</v>
      </c>
      <c r="N59" s="25">
        <f t="shared" si="7"/>
        <v>5</v>
      </c>
    </row>
    <row r="60" spans="1:14" hidden="1" x14ac:dyDescent="0.35">
      <c r="A60" t="s">
        <v>91</v>
      </c>
      <c r="B60" t="s">
        <v>135</v>
      </c>
      <c r="C60">
        <v>545732</v>
      </c>
      <c r="D60" s="13">
        <v>43901</v>
      </c>
      <c r="E60" s="13">
        <f t="shared" si="4"/>
        <v>43934</v>
      </c>
      <c r="F60" s="13">
        <v>43924</v>
      </c>
      <c r="G60" t="s">
        <v>45</v>
      </c>
      <c r="H60">
        <v>227664</v>
      </c>
      <c r="I60" t="s">
        <v>46</v>
      </c>
      <c r="J60" s="1">
        <v>630.96</v>
      </c>
      <c r="K60" t="str">
        <f t="shared" si="5"/>
        <v>Mar</v>
      </c>
      <c r="L60">
        <f t="shared" si="6"/>
        <v>11</v>
      </c>
      <c r="M60">
        <f>IF(F60&gt;E60,NETWORKDAYS(E60,F60,'NSW Holidays 2020'!$A$4:$A$15),0)</f>
        <v>0</v>
      </c>
      <c r="N60" s="25">
        <f t="shared" si="7"/>
        <v>5</v>
      </c>
    </row>
    <row r="61" spans="1:14" hidden="1" x14ac:dyDescent="0.35">
      <c r="A61" t="s">
        <v>65</v>
      </c>
      <c r="B61" t="s">
        <v>135</v>
      </c>
      <c r="C61">
        <v>545696</v>
      </c>
      <c r="D61" s="13">
        <v>43904</v>
      </c>
      <c r="E61" s="13">
        <f t="shared" si="4"/>
        <v>43935</v>
      </c>
      <c r="F61" s="13">
        <v>43926</v>
      </c>
      <c r="G61" t="s">
        <v>45</v>
      </c>
      <c r="H61">
        <v>213670</v>
      </c>
      <c r="I61" t="s">
        <v>46</v>
      </c>
      <c r="J61" s="1">
        <v>993.63</v>
      </c>
      <c r="K61" t="str">
        <f t="shared" si="5"/>
        <v>Mar</v>
      </c>
      <c r="L61">
        <f t="shared" si="6"/>
        <v>14</v>
      </c>
      <c r="M61">
        <f>IF(F61&gt;E61,NETWORKDAYS(E61,F61,'NSW Holidays 2020'!$A$4:$A$15),0)</f>
        <v>0</v>
      </c>
      <c r="N61" s="25">
        <f t="shared" si="7"/>
        <v>5</v>
      </c>
    </row>
    <row r="62" spans="1:14" hidden="1" x14ac:dyDescent="0.35">
      <c r="A62" t="s">
        <v>89</v>
      </c>
      <c r="B62" t="s">
        <v>135</v>
      </c>
      <c r="C62">
        <v>545729</v>
      </c>
      <c r="D62" s="13">
        <v>43908</v>
      </c>
      <c r="E62" s="13">
        <f t="shared" si="4"/>
        <v>43941</v>
      </c>
      <c r="F62" s="13">
        <v>43948</v>
      </c>
      <c r="G62" t="s">
        <v>45</v>
      </c>
      <c r="H62">
        <v>218463</v>
      </c>
      <c r="I62" t="s">
        <v>46</v>
      </c>
      <c r="J62" s="1">
        <v>253.77</v>
      </c>
      <c r="K62" t="str">
        <f t="shared" si="5"/>
        <v>Mar</v>
      </c>
      <c r="L62">
        <f t="shared" si="6"/>
        <v>18</v>
      </c>
      <c r="M62">
        <f>IF(F62&gt;E62,NETWORKDAYS(E62,F62,'NSW Holidays 2020'!$A$4:$A$15),0)</f>
        <v>6</v>
      </c>
      <c r="N62" s="25">
        <f t="shared" si="7"/>
        <v>10.481432</v>
      </c>
    </row>
    <row r="63" spans="1:14" hidden="1" x14ac:dyDescent="0.35">
      <c r="A63" t="s">
        <v>84</v>
      </c>
      <c r="B63" t="s">
        <v>135</v>
      </c>
      <c r="C63">
        <v>545723</v>
      </c>
      <c r="D63" s="13">
        <v>43911</v>
      </c>
      <c r="E63" s="13">
        <f t="shared" si="4"/>
        <v>43942</v>
      </c>
      <c r="F63" s="13">
        <v>43933</v>
      </c>
      <c r="G63" t="s">
        <v>45</v>
      </c>
      <c r="H63">
        <v>227994</v>
      </c>
      <c r="I63" t="s">
        <v>46</v>
      </c>
      <c r="J63" s="1">
        <v>819.06</v>
      </c>
      <c r="K63" t="str">
        <f t="shared" si="5"/>
        <v>Mar</v>
      </c>
      <c r="L63">
        <f t="shared" si="6"/>
        <v>21</v>
      </c>
      <c r="M63">
        <f>IF(F63&gt;E63,NETWORKDAYS(E63,F63,'NSW Holidays 2020'!$A$4:$A$15),0)</f>
        <v>0</v>
      </c>
      <c r="N63" s="25">
        <f t="shared" si="7"/>
        <v>5</v>
      </c>
    </row>
    <row r="64" spans="1:14" hidden="1" x14ac:dyDescent="0.35">
      <c r="A64" t="s">
        <v>55</v>
      </c>
      <c r="B64" t="s">
        <v>135</v>
      </c>
      <c r="C64">
        <v>545682</v>
      </c>
      <c r="D64" s="13">
        <v>43912</v>
      </c>
      <c r="E64" s="13">
        <f t="shared" si="4"/>
        <v>43943</v>
      </c>
      <c r="F64" s="13">
        <v>43948</v>
      </c>
      <c r="G64" t="s">
        <v>45</v>
      </c>
      <c r="H64">
        <v>223858</v>
      </c>
      <c r="I64" t="s">
        <v>46</v>
      </c>
      <c r="J64" s="1">
        <v>222.42</v>
      </c>
      <c r="K64" t="str">
        <f t="shared" si="5"/>
        <v>Mar</v>
      </c>
      <c r="L64">
        <f t="shared" si="6"/>
        <v>22</v>
      </c>
      <c r="M64">
        <f>IF(F64&gt;E64,NETWORKDAYS(E64,F64,'NSW Holidays 2020'!$A$4:$A$15),0)</f>
        <v>4</v>
      </c>
      <c r="N64" s="25">
        <f t="shared" si="7"/>
        <v>8.2028479999999995</v>
      </c>
    </row>
    <row r="65" spans="1:14" hidden="1" x14ac:dyDescent="0.35">
      <c r="A65" t="s">
        <v>64</v>
      </c>
      <c r="B65" t="s">
        <v>135</v>
      </c>
      <c r="C65">
        <v>545695</v>
      </c>
      <c r="D65" s="13">
        <v>43912</v>
      </c>
      <c r="E65" s="13">
        <f t="shared" si="4"/>
        <v>43943</v>
      </c>
      <c r="F65" s="13">
        <v>43951</v>
      </c>
      <c r="G65" t="s">
        <v>45</v>
      </c>
      <c r="H65">
        <v>231320</v>
      </c>
      <c r="I65" t="s">
        <v>46</v>
      </c>
      <c r="J65" s="1">
        <v>312.83999999999997</v>
      </c>
      <c r="K65" t="str">
        <f t="shared" si="5"/>
        <v>Mar</v>
      </c>
      <c r="L65">
        <f t="shared" si="6"/>
        <v>22</v>
      </c>
      <c r="M65">
        <f>IF(F65&gt;E65,NETWORKDAYS(E65,F65,'NSW Holidays 2020'!$A$4:$A$15),0)</f>
        <v>7</v>
      </c>
      <c r="N65" s="25">
        <f t="shared" si="7"/>
        <v>12.883567999999999</v>
      </c>
    </row>
    <row r="66" spans="1:14" hidden="1" x14ac:dyDescent="0.35">
      <c r="A66" t="s">
        <v>78</v>
      </c>
      <c r="B66" t="s">
        <v>135</v>
      </c>
      <c r="C66">
        <v>545715</v>
      </c>
      <c r="D66" s="13">
        <v>43912</v>
      </c>
      <c r="E66" s="13">
        <f t="shared" si="4"/>
        <v>43943</v>
      </c>
      <c r="F66" s="13">
        <v>43937</v>
      </c>
      <c r="G66" t="s">
        <v>45</v>
      </c>
      <c r="H66">
        <v>234637</v>
      </c>
      <c r="I66" t="s">
        <v>46</v>
      </c>
      <c r="J66" s="1">
        <v>238.59</v>
      </c>
      <c r="K66" t="str">
        <f t="shared" si="5"/>
        <v>Mar</v>
      </c>
      <c r="L66">
        <f t="shared" si="6"/>
        <v>22</v>
      </c>
      <c r="M66">
        <f>IF(F66&gt;E66,NETWORKDAYS(E66,F66,'NSW Holidays 2020'!$A$4:$A$15),0)</f>
        <v>0</v>
      </c>
      <c r="N66" s="25">
        <f t="shared" si="7"/>
        <v>5</v>
      </c>
    </row>
    <row r="67" spans="1:14" hidden="1" x14ac:dyDescent="0.35">
      <c r="A67" t="s">
        <v>119</v>
      </c>
      <c r="B67" t="s">
        <v>135</v>
      </c>
      <c r="C67">
        <v>545775</v>
      </c>
      <c r="D67" s="13">
        <v>43912</v>
      </c>
      <c r="E67" s="13">
        <f t="shared" si="4"/>
        <v>43943</v>
      </c>
      <c r="F67" s="13">
        <v>43951</v>
      </c>
      <c r="G67" t="s">
        <v>45</v>
      </c>
      <c r="H67">
        <v>217275</v>
      </c>
      <c r="I67" t="s">
        <v>46</v>
      </c>
      <c r="J67" s="1">
        <v>1065.57</v>
      </c>
      <c r="K67" t="str">
        <f t="shared" si="5"/>
        <v>Mar</v>
      </c>
      <c r="L67">
        <f t="shared" si="6"/>
        <v>22</v>
      </c>
      <c r="M67">
        <f>IF(F67&gt;E67,NETWORKDAYS(E67,F67,'NSW Holidays 2020'!$A$4:$A$15),0)</f>
        <v>7</v>
      </c>
      <c r="N67" s="25">
        <f t="shared" si="7"/>
        <v>31.852363999999998</v>
      </c>
    </row>
    <row r="68" spans="1:14" hidden="1" x14ac:dyDescent="0.35">
      <c r="A68" t="s">
        <v>101</v>
      </c>
      <c r="B68" t="s">
        <v>135</v>
      </c>
      <c r="C68">
        <v>545748</v>
      </c>
      <c r="D68" s="13">
        <v>43913</v>
      </c>
      <c r="E68" s="13">
        <f t="shared" si="4"/>
        <v>43944</v>
      </c>
      <c r="F68" s="13">
        <v>43939</v>
      </c>
      <c r="G68" t="s">
        <v>45</v>
      </c>
      <c r="H68">
        <v>223602</v>
      </c>
      <c r="I68" t="s">
        <v>46</v>
      </c>
      <c r="J68" s="1">
        <v>422.73</v>
      </c>
      <c r="K68" t="str">
        <f t="shared" si="5"/>
        <v>Mar</v>
      </c>
      <c r="L68">
        <f t="shared" si="6"/>
        <v>23</v>
      </c>
      <c r="M68">
        <f>IF(F68&gt;E68,NETWORKDAYS(E68,F68,'NSW Holidays 2020'!$A$4:$A$15),0)</f>
        <v>0</v>
      </c>
      <c r="N68" s="25">
        <f t="shared" si="7"/>
        <v>5</v>
      </c>
    </row>
    <row r="69" spans="1:14" hidden="1" x14ac:dyDescent="0.35">
      <c r="A69" t="s">
        <v>109</v>
      </c>
      <c r="B69" t="s">
        <v>135</v>
      </c>
      <c r="C69">
        <v>545762</v>
      </c>
      <c r="D69" s="13">
        <v>43914</v>
      </c>
      <c r="E69" s="13">
        <f t="shared" ref="E69:E88" si="8">WORKDAY(EDATE(D69,1)-1,1)</f>
        <v>43945</v>
      </c>
      <c r="F69" s="13">
        <v>43933</v>
      </c>
      <c r="G69" t="s">
        <v>45</v>
      </c>
      <c r="H69">
        <v>210023</v>
      </c>
      <c r="I69" t="s">
        <v>46</v>
      </c>
      <c r="J69" s="1">
        <v>126.72</v>
      </c>
      <c r="K69" t="str">
        <f t="shared" ref="K69:K88" si="9">TEXT(D69,"MMM")</f>
        <v>Mar</v>
      </c>
      <c r="L69">
        <f t="shared" ref="L69:L88" si="10">DAY(D69)</f>
        <v>24</v>
      </c>
      <c r="M69">
        <f>IF(F69&gt;E69,NETWORKDAYS(E69,F69,'NSW Holidays 2020'!$A$4:$A$15),0)</f>
        <v>0</v>
      </c>
      <c r="N69" s="25">
        <f t="shared" ref="N69:N88" si="11">J69*M69*Penalty_Rate+Flat_Rate</f>
        <v>5</v>
      </c>
    </row>
    <row r="70" spans="1:14" hidden="1" x14ac:dyDescent="0.35">
      <c r="A70" t="s">
        <v>118</v>
      </c>
      <c r="B70" t="s">
        <v>135</v>
      </c>
      <c r="C70">
        <v>545774</v>
      </c>
      <c r="D70" s="13">
        <v>43914</v>
      </c>
      <c r="E70" s="13">
        <f t="shared" si="8"/>
        <v>43945</v>
      </c>
      <c r="F70" s="13">
        <v>43944</v>
      </c>
      <c r="G70" t="s">
        <v>45</v>
      </c>
      <c r="H70">
        <v>224955</v>
      </c>
      <c r="I70" t="s">
        <v>46</v>
      </c>
      <c r="J70" s="1">
        <v>816.75</v>
      </c>
      <c r="K70" t="str">
        <f t="shared" si="9"/>
        <v>Mar</v>
      </c>
      <c r="L70">
        <f t="shared" si="10"/>
        <v>24</v>
      </c>
      <c r="M70">
        <f>IF(F70&gt;E70,NETWORKDAYS(E70,F70,'NSW Holidays 2020'!$A$4:$A$15),0)</f>
        <v>0</v>
      </c>
      <c r="N70" s="25">
        <f t="shared" si="11"/>
        <v>5</v>
      </c>
    </row>
    <row r="71" spans="1:14" hidden="1" x14ac:dyDescent="0.35">
      <c r="A71" t="s">
        <v>77</v>
      </c>
      <c r="B71" t="s">
        <v>135</v>
      </c>
      <c r="C71">
        <v>545713</v>
      </c>
      <c r="D71" s="13">
        <v>43915</v>
      </c>
      <c r="E71" s="13">
        <f t="shared" si="8"/>
        <v>43948</v>
      </c>
      <c r="F71" s="13">
        <v>43949</v>
      </c>
      <c r="G71" t="s">
        <v>45</v>
      </c>
      <c r="H71">
        <v>217217</v>
      </c>
      <c r="I71" t="s">
        <v>46</v>
      </c>
      <c r="J71" s="1">
        <v>352.44</v>
      </c>
      <c r="K71" t="str">
        <f t="shared" si="9"/>
        <v>Mar</v>
      </c>
      <c r="L71">
        <f t="shared" si="10"/>
        <v>25</v>
      </c>
      <c r="M71">
        <f>IF(F71&gt;E71,NETWORKDAYS(E71,F71,'NSW Holidays 2020'!$A$4:$A$15),0)</f>
        <v>2</v>
      </c>
      <c r="N71" s="25">
        <f t="shared" si="11"/>
        <v>7.5375680000000003</v>
      </c>
    </row>
    <row r="72" spans="1:14" hidden="1" x14ac:dyDescent="0.35">
      <c r="A72" t="s">
        <v>130</v>
      </c>
      <c r="B72" t="s">
        <v>135</v>
      </c>
      <c r="C72">
        <v>545790</v>
      </c>
      <c r="D72" s="13">
        <v>43915</v>
      </c>
      <c r="E72" s="13">
        <f t="shared" si="8"/>
        <v>43948</v>
      </c>
      <c r="F72" s="13">
        <v>43933</v>
      </c>
      <c r="G72" t="s">
        <v>45</v>
      </c>
      <c r="H72">
        <v>213342</v>
      </c>
      <c r="I72" t="s">
        <v>46</v>
      </c>
      <c r="J72" s="1">
        <v>533.28</v>
      </c>
      <c r="K72" t="str">
        <f t="shared" si="9"/>
        <v>Mar</v>
      </c>
      <c r="L72">
        <f t="shared" si="10"/>
        <v>25</v>
      </c>
      <c r="M72">
        <f>IF(F72&gt;E72,NETWORKDAYS(E72,F72,'NSW Holidays 2020'!$A$4:$A$15),0)</f>
        <v>0</v>
      </c>
      <c r="N72" s="25">
        <f t="shared" si="11"/>
        <v>5</v>
      </c>
    </row>
    <row r="73" spans="1:14" hidden="1" x14ac:dyDescent="0.35">
      <c r="A73" t="s">
        <v>107</v>
      </c>
      <c r="B73" t="s">
        <v>135</v>
      </c>
      <c r="C73">
        <v>545758</v>
      </c>
      <c r="D73" s="13">
        <v>43916</v>
      </c>
      <c r="E73" s="13">
        <f t="shared" si="8"/>
        <v>43948</v>
      </c>
      <c r="F73" s="13">
        <v>43929</v>
      </c>
      <c r="G73" t="s">
        <v>45</v>
      </c>
      <c r="H73">
        <v>215639</v>
      </c>
      <c r="I73" t="s">
        <v>46</v>
      </c>
      <c r="J73" s="1">
        <v>361.02</v>
      </c>
      <c r="K73" t="str">
        <f t="shared" si="9"/>
        <v>Mar</v>
      </c>
      <c r="L73">
        <f t="shared" si="10"/>
        <v>26</v>
      </c>
      <c r="M73">
        <f>IF(F73&gt;E73,NETWORKDAYS(E73,F73,'NSW Holidays 2020'!$A$4:$A$15),0)</f>
        <v>0</v>
      </c>
      <c r="N73" s="25">
        <f t="shared" si="11"/>
        <v>5</v>
      </c>
    </row>
    <row r="74" spans="1:14" hidden="1" x14ac:dyDescent="0.35">
      <c r="A74" t="s">
        <v>54</v>
      </c>
      <c r="B74" t="s">
        <v>135</v>
      </c>
      <c r="C74">
        <v>545681</v>
      </c>
      <c r="D74" s="13">
        <v>43917</v>
      </c>
      <c r="E74" s="13">
        <f t="shared" si="8"/>
        <v>43948</v>
      </c>
      <c r="F74" s="13">
        <v>43935</v>
      </c>
      <c r="G74" t="s">
        <v>45</v>
      </c>
      <c r="H74">
        <v>226225</v>
      </c>
      <c r="I74" t="s">
        <v>46</v>
      </c>
      <c r="J74" s="1">
        <v>466.29</v>
      </c>
      <c r="K74" t="str">
        <f t="shared" si="9"/>
        <v>Mar</v>
      </c>
      <c r="L74">
        <f t="shared" si="10"/>
        <v>27</v>
      </c>
      <c r="M74">
        <f>IF(F74&gt;E74,NETWORKDAYS(E74,F74,'NSW Holidays 2020'!$A$4:$A$15),0)</f>
        <v>0</v>
      </c>
      <c r="N74" s="25">
        <f t="shared" si="11"/>
        <v>5</v>
      </c>
    </row>
    <row r="75" spans="1:14" hidden="1" x14ac:dyDescent="0.35">
      <c r="A75" t="s">
        <v>66</v>
      </c>
      <c r="B75" t="s">
        <v>135</v>
      </c>
      <c r="C75">
        <v>545697</v>
      </c>
      <c r="D75" s="13">
        <v>43917</v>
      </c>
      <c r="E75" s="13">
        <f t="shared" si="8"/>
        <v>43948</v>
      </c>
      <c r="F75" s="13">
        <v>43922</v>
      </c>
      <c r="G75" t="s">
        <v>45</v>
      </c>
      <c r="H75">
        <v>226166</v>
      </c>
      <c r="I75" t="s">
        <v>46</v>
      </c>
      <c r="J75" s="1">
        <v>1053.69</v>
      </c>
      <c r="K75" t="str">
        <f t="shared" si="9"/>
        <v>Mar</v>
      </c>
      <c r="L75">
        <f t="shared" si="10"/>
        <v>27</v>
      </c>
      <c r="M75">
        <f>IF(F75&gt;E75,NETWORKDAYS(E75,F75,'NSW Holidays 2020'!$A$4:$A$15),0)</f>
        <v>0</v>
      </c>
      <c r="N75" s="25">
        <f t="shared" si="11"/>
        <v>5</v>
      </c>
    </row>
    <row r="76" spans="1:14" hidden="1" x14ac:dyDescent="0.35">
      <c r="A76" t="s">
        <v>95</v>
      </c>
      <c r="B76" t="s">
        <v>135</v>
      </c>
      <c r="C76">
        <v>545739</v>
      </c>
      <c r="D76" s="13">
        <v>43917</v>
      </c>
      <c r="E76" s="13">
        <f t="shared" si="8"/>
        <v>43948</v>
      </c>
      <c r="F76" s="13">
        <v>43933</v>
      </c>
      <c r="G76" t="s">
        <v>45</v>
      </c>
      <c r="H76">
        <v>214234</v>
      </c>
      <c r="I76" t="s">
        <v>46</v>
      </c>
      <c r="J76" s="1">
        <v>1094.28</v>
      </c>
      <c r="K76" t="str">
        <f t="shared" si="9"/>
        <v>Mar</v>
      </c>
      <c r="L76">
        <f t="shared" si="10"/>
        <v>27</v>
      </c>
      <c r="M76">
        <f>IF(F76&gt;E76,NETWORKDAYS(E76,F76,'NSW Holidays 2020'!$A$4:$A$15),0)</f>
        <v>0</v>
      </c>
      <c r="N76" s="25">
        <f t="shared" si="11"/>
        <v>5</v>
      </c>
    </row>
    <row r="77" spans="1:14" hidden="1" x14ac:dyDescent="0.35">
      <c r="A77" t="s">
        <v>120</v>
      </c>
      <c r="B77" t="s">
        <v>135</v>
      </c>
      <c r="C77">
        <v>545776</v>
      </c>
      <c r="D77" s="13">
        <v>43919</v>
      </c>
      <c r="E77" s="13">
        <f t="shared" si="8"/>
        <v>43950</v>
      </c>
      <c r="F77" s="13">
        <v>43925</v>
      </c>
      <c r="G77" t="s">
        <v>45</v>
      </c>
      <c r="H77">
        <v>226240</v>
      </c>
      <c r="I77" t="s">
        <v>46</v>
      </c>
      <c r="J77" s="1">
        <v>523.38</v>
      </c>
      <c r="K77" t="str">
        <f t="shared" si="9"/>
        <v>Mar</v>
      </c>
      <c r="L77">
        <f t="shared" si="10"/>
        <v>29</v>
      </c>
      <c r="M77">
        <f>IF(F77&gt;E77,NETWORKDAYS(E77,F77,'NSW Holidays 2020'!$A$4:$A$15),0)</f>
        <v>0</v>
      </c>
      <c r="N77" s="25">
        <f t="shared" si="11"/>
        <v>5</v>
      </c>
    </row>
    <row r="78" spans="1:14" hidden="1" x14ac:dyDescent="0.35">
      <c r="A78" t="s">
        <v>94</v>
      </c>
      <c r="B78" t="s">
        <v>135</v>
      </c>
      <c r="C78">
        <v>545737</v>
      </c>
      <c r="D78" s="13">
        <v>43921</v>
      </c>
      <c r="E78" s="13">
        <f t="shared" si="8"/>
        <v>43951</v>
      </c>
      <c r="F78" s="13">
        <v>43931</v>
      </c>
      <c r="G78" t="s">
        <v>45</v>
      </c>
      <c r="H78">
        <v>221183</v>
      </c>
      <c r="I78" t="s">
        <v>46</v>
      </c>
      <c r="J78" s="1">
        <v>956.34</v>
      </c>
      <c r="K78" t="str">
        <f t="shared" si="9"/>
        <v>Mar</v>
      </c>
      <c r="L78">
        <f t="shared" si="10"/>
        <v>31</v>
      </c>
      <c r="M78">
        <f>IF(F78&gt;E78,NETWORKDAYS(E78,F78,'NSW Holidays 2020'!$A$4:$A$15),0)</f>
        <v>0</v>
      </c>
      <c r="N78" s="25">
        <f t="shared" si="11"/>
        <v>5</v>
      </c>
    </row>
    <row r="79" spans="1:14" hidden="1" x14ac:dyDescent="0.35">
      <c r="A79" t="s">
        <v>98</v>
      </c>
      <c r="B79" t="s">
        <v>135</v>
      </c>
      <c r="C79">
        <v>545743</v>
      </c>
      <c r="D79" s="13">
        <v>43921</v>
      </c>
      <c r="E79" s="13">
        <f t="shared" si="8"/>
        <v>43951</v>
      </c>
      <c r="F79" s="13">
        <v>43929</v>
      </c>
      <c r="G79" t="s">
        <v>45</v>
      </c>
      <c r="H79">
        <v>222998</v>
      </c>
      <c r="I79" t="s">
        <v>46</v>
      </c>
      <c r="J79" s="1">
        <v>705.54</v>
      </c>
      <c r="K79" t="str">
        <f t="shared" si="9"/>
        <v>Mar</v>
      </c>
      <c r="L79">
        <f t="shared" si="10"/>
        <v>31</v>
      </c>
      <c r="M79">
        <f>IF(F79&gt;E79,NETWORKDAYS(E79,F79,'NSW Holidays 2020'!$A$4:$A$15),0)</f>
        <v>0</v>
      </c>
      <c r="N79" s="25">
        <f t="shared" si="11"/>
        <v>5</v>
      </c>
    </row>
    <row r="80" spans="1:14" x14ac:dyDescent="0.35">
      <c r="A80" t="s">
        <v>72</v>
      </c>
      <c r="B80" t="s">
        <v>135</v>
      </c>
      <c r="C80">
        <v>545706</v>
      </c>
      <c r="D80" s="13">
        <v>43923</v>
      </c>
      <c r="E80" s="13">
        <f t="shared" si="8"/>
        <v>43955</v>
      </c>
      <c r="F80" s="13">
        <v>43930</v>
      </c>
      <c r="G80" t="s">
        <v>45</v>
      </c>
      <c r="H80">
        <v>216205</v>
      </c>
      <c r="I80" t="s">
        <v>46</v>
      </c>
      <c r="J80" s="1">
        <v>711.81</v>
      </c>
      <c r="K80" t="str">
        <f t="shared" si="9"/>
        <v>Apr</v>
      </c>
      <c r="L80">
        <f t="shared" si="10"/>
        <v>2</v>
      </c>
      <c r="M80">
        <f>IF(F80&gt;E80,NETWORKDAYS(E80,F80,'NSW Holidays 2020'!$A$4:$A$15),0)</f>
        <v>0</v>
      </c>
      <c r="N80" s="25">
        <f t="shared" si="11"/>
        <v>5</v>
      </c>
    </row>
    <row r="81" spans="1:14" x14ac:dyDescent="0.35">
      <c r="A81" t="s">
        <v>117</v>
      </c>
      <c r="B81" t="s">
        <v>135</v>
      </c>
      <c r="C81">
        <v>545773</v>
      </c>
      <c r="D81" s="13">
        <v>43923</v>
      </c>
      <c r="E81" s="13">
        <f t="shared" si="8"/>
        <v>43955</v>
      </c>
      <c r="F81" s="13">
        <v>43951</v>
      </c>
      <c r="G81" t="s">
        <v>45</v>
      </c>
      <c r="H81">
        <v>231274</v>
      </c>
      <c r="I81" t="s">
        <v>46</v>
      </c>
      <c r="J81" s="1">
        <v>603.57000000000005</v>
      </c>
      <c r="K81" t="str">
        <f t="shared" si="9"/>
        <v>Apr</v>
      </c>
      <c r="L81">
        <f t="shared" si="10"/>
        <v>2</v>
      </c>
      <c r="M81">
        <f>IF(F81&gt;E81,NETWORKDAYS(E81,F81,'NSW Holidays 2020'!$A$4:$A$15),0)</f>
        <v>0</v>
      </c>
      <c r="N81" s="25">
        <f t="shared" si="11"/>
        <v>5</v>
      </c>
    </row>
    <row r="82" spans="1:14" x14ac:dyDescent="0.35">
      <c r="A82" t="s">
        <v>57</v>
      </c>
      <c r="B82" t="s">
        <v>135</v>
      </c>
      <c r="C82">
        <v>545685</v>
      </c>
      <c r="D82" s="13">
        <v>43925</v>
      </c>
      <c r="E82" s="13">
        <f t="shared" si="8"/>
        <v>43955</v>
      </c>
      <c r="F82" s="13">
        <v>43944</v>
      </c>
      <c r="G82" t="s">
        <v>45</v>
      </c>
      <c r="H82">
        <v>232805</v>
      </c>
      <c r="I82" t="s">
        <v>46</v>
      </c>
      <c r="J82" s="1">
        <v>171.93</v>
      </c>
      <c r="K82" t="str">
        <f t="shared" si="9"/>
        <v>Apr</v>
      </c>
      <c r="L82">
        <f t="shared" si="10"/>
        <v>4</v>
      </c>
      <c r="M82">
        <f>IF(F82&gt;E82,NETWORKDAYS(E82,F82,'NSW Holidays 2020'!$A$4:$A$15),0)</f>
        <v>0</v>
      </c>
      <c r="N82" s="25">
        <f t="shared" si="11"/>
        <v>5</v>
      </c>
    </row>
    <row r="83" spans="1:14" x14ac:dyDescent="0.35">
      <c r="A83" t="s">
        <v>71</v>
      </c>
      <c r="B83" t="s">
        <v>135</v>
      </c>
      <c r="C83">
        <v>545705</v>
      </c>
      <c r="D83" s="13">
        <v>43926</v>
      </c>
      <c r="E83" s="13">
        <f t="shared" si="8"/>
        <v>43956</v>
      </c>
      <c r="F83" s="13">
        <v>43945</v>
      </c>
      <c r="G83" t="s">
        <v>45</v>
      </c>
      <c r="H83">
        <v>224184</v>
      </c>
      <c r="I83" t="s">
        <v>46</v>
      </c>
      <c r="J83" s="1">
        <v>455.07</v>
      </c>
      <c r="K83" t="str">
        <f t="shared" si="9"/>
        <v>Apr</v>
      </c>
      <c r="L83">
        <f t="shared" si="10"/>
        <v>5</v>
      </c>
      <c r="M83">
        <f>IF(F83&gt;E83,NETWORKDAYS(E83,F83,'NSW Holidays 2020'!$A$4:$A$15),0)</f>
        <v>0</v>
      </c>
      <c r="N83" s="25">
        <f t="shared" si="11"/>
        <v>5</v>
      </c>
    </row>
    <row r="84" spans="1:14" x14ac:dyDescent="0.35">
      <c r="A84" t="s">
        <v>97</v>
      </c>
      <c r="B84" t="s">
        <v>135</v>
      </c>
      <c r="C84">
        <v>545742</v>
      </c>
      <c r="D84" s="13">
        <v>43929</v>
      </c>
      <c r="E84" s="13">
        <f t="shared" si="8"/>
        <v>43959</v>
      </c>
      <c r="F84" s="13">
        <v>43941</v>
      </c>
      <c r="G84" t="s">
        <v>45</v>
      </c>
      <c r="H84">
        <v>233209</v>
      </c>
      <c r="I84" t="s">
        <v>46</v>
      </c>
      <c r="J84" s="1">
        <v>1058.31</v>
      </c>
      <c r="K84" t="str">
        <f t="shared" si="9"/>
        <v>Apr</v>
      </c>
      <c r="L84">
        <f t="shared" si="10"/>
        <v>8</v>
      </c>
      <c r="M84">
        <f>IF(F84&gt;E84,NETWORKDAYS(E84,F84,'NSW Holidays 2020'!$A$4:$A$15),0)</f>
        <v>0</v>
      </c>
      <c r="N84" s="25">
        <f t="shared" si="11"/>
        <v>5</v>
      </c>
    </row>
    <row r="85" spans="1:14" x14ac:dyDescent="0.35">
      <c r="A85" t="s">
        <v>124</v>
      </c>
      <c r="B85" t="s">
        <v>135</v>
      </c>
      <c r="C85">
        <v>545783</v>
      </c>
      <c r="D85" s="13">
        <v>43933</v>
      </c>
      <c r="E85" s="13">
        <f t="shared" si="8"/>
        <v>43963</v>
      </c>
      <c r="F85" s="13">
        <v>43935</v>
      </c>
      <c r="G85" t="s">
        <v>45</v>
      </c>
      <c r="H85">
        <v>239476</v>
      </c>
      <c r="I85" t="s">
        <v>46</v>
      </c>
      <c r="J85" s="1">
        <v>955.68</v>
      </c>
      <c r="K85" t="str">
        <f t="shared" si="9"/>
        <v>Apr</v>
      </c>
      <c r="L85">
        <f t="shared" si="10"/>
        <v>12</v>
      </c>
      <c r="M85">
        <f>IF(F85&gt;E85,NETWORKDAYS(E85,F85,'NSW Holidays 2020'!$A$4:$A$15),0)</f>
        <v>0</v>
      </c>
      <c r="N85" s="25">
        <f t="shared" si="11"/>
        <v>5</v>
      </c>
    </row>
    <row r="86" spans="1:14" x14ac:dyDescent="0.35">
      <c r="A86" t="s">
        <v>99</v>
      </c>
      <c r="B86" t="s">
        <v>135</v>
      </c>
      <c r="C86">
        <v>545745</v>
      </c>
      <c r="D86" s="13">
        <v>43935</v>
      </c>
      <c r="E86" s="13">
        <f t="shared" si="8"/>
        <v>43965</v>
      </c>
      <c r="F86" s="13">
        <v>43948</v>
      </c>
      <c r="G86" t="s">
        <v>45</v>
      </c>
      <c r="H86">
        <v>228246</v>
      </c>
      <c r="I86" t="s">
        <v>46</v>
      </c>
      <c r="J86" s="1">
        <v>138.6</v>
      </c>
      <c r="K86" t="str">
        <f t="shared" si="9"/>
        <v>Apr</v>
      </c>
      <c r="L86">
        <f t="shared" si="10"/>
        <v>14</v>
      </c>
      <c r="M86">
        <f>IF(F86&gt;E86,NETWORKDAYS(E86,F86,'NSW Holidays 2020'!$A$4:$A$15),0)</f>
        <v>0</v>
      </c>
      <c r="N86" s="25">
        <f t="shared" si="11"/>
        <v>5</v>
      </c>
    </row>
    <row r="87" spans="1:14" x14ac:dyDescent="0.35">
      <c r="A87" t="s">
        <v>125</v>
      </c>
      <c r="B87" t="s">
        <v>135</v>
      </c>
      <c r="C87">
        <v>545784</v>
      </c>
      <c r="D87" s="13">
        <v>43942</v>
      </c>
      <c r="E87" s="13">
        <f t="shared" si="8"/>
        <v>43972</v>
      </c>
      <c r="F87" s="13">
        <v>43950</v>
      </c>
      <c r="G87" t="s">
        <v>45</v>
      </c>
      <c r="H87">
        <v>213693</v>
      </c>
      <c r="I87" t="s">
        <v>46</v>
      </c>
      <c r="J87" s="1">
        <v>764.28</v>
      </c>
      <c r="K87" t="str">
        <f t="shared" si="9"/>
        <v>Apr</v>
      </c>
      <c r="L87">
        <f t="shared" si="10"/>
        <v>21</v>
      </c>
      <c r="M87">
        <f>IF(F87&gt;E87,NETWORKDAYS(E87,F87,'NSW Holidays 2020'!$A$4:$A$15),0)</f>
        <v>0</v>
      </c>
      <c r="N87" s="25">
        <f t="shared" si="11"/>
        <v>5</v>
      </c>
    </row>
    <row r="88" spans="1:14" x14ac:dyDescent="0.35">
      <c r="A88" t="s">
        <v>70</v>
      </c>
      <c r="B88" t="s">
        <v>135</v>
      </c>
      <c r="C88">
        <v>545703</v>
      </c>
      <c r="D88" s="13">
        <v>43945</v>
      </c>
      <c r="E88" s="13">
        <f t="shared" si="8"/>
        <v>43976</v>
      </c>
      <c r="F88" s="13">
        <v>43949</v>
      </c>
      <c r="G88" t="s">
        <v>45</v>
      </c>
      <c r="H88">
        <v>238023</v>
      </c>
      <c r="I88" t="s">
        <v>46</v>
      </c>
      <c r="J88" s="1">
        <v>215.49</v>
      </c>
      <c r="K88" t="str">
        <f t="shared" si="9"/>
        <v>Apr</v>
      </c>
      <c r="L88">
        <f t="shared" si="10"/>
        <v>24</v>
      </c>
      <c r="M88">
        <f>IF(F88&gt;E88,NETWORKDAYS(E88,F88,'NSW Holidays 2020'!$A$4:$A$15),0)</f>
        <v>0</v>
      </c>
      <c r="N88" s="25">
        <f t="shared" si="11"/>
        <v>5</v>
      </c>
    </row>
    <row r="89" spans="1:14" x14ac:dyDescent="0.35">
      <c r="A89" t="s">
        <v>216</v>
      </c>
      <c r="B89" t="s">
        <v>135</v>
      </c>
      <c r="C89">
        <v>545703</v>
      </c>
      <c r="D89" s="13">
        <v>43945</v>
      </c>
      <c r="E89" s="13">
        <f t="shared" ref="E89" si="12">WORKDAY(EDATE(D89,1)-1,1)</f>
        <v>43976</v>
      </c>
      <c r="F89" s="13">
        <v>43949</v>
      </c>
      <c r="G89" t="s">
        <v>45</v>
      </c>
      <c r="H89">
        <v>238023</v>
      </c>
      <c r="I89" t="s">
        <v>215</v>
      </c>
      <c r="J89" s="1">
        <v>800</v>
      </c>
      <c r="K89" s="5" t="str">
        <f>TEXT(D89,"MMM")</f>
        <v>Apr</v>
      </c>
      <c r="L89" s="5">
        <f>DAY(D89)</f>
        <v>24</v>
      </c>
      <c r="M89" s="5">
        <f>IF(F89&gt;E89,NETWORKDAYS(E89,F89,'NSW Holidays 2020'!$A$4:$A$15),0)</f>
        <v>0</v>
      </c>
      <c r="N89" s="25">
        <f>J89*M89*Penalty_Rate+Flat_Rate</f>
        <v>5</v>
      </c>
    </row>
  </sheetData>
  <sortState xmlns:xlrd2="http://schemas.microsoft.com/office/spreadsheetml/2017/richdata2" ref="D5:F88">
    <sortCondition ref="F5:F88"/>
  </sortState>
  <phoneticPr fontId="4" type="noConversion"/>
  <conditionalFormatting sqref="A5:N89">
    <cfRule type="expression" dxfId="0" priority="1">
      <formula>$I5=$K$2</formula>
    </cfRule>
  </conditionalFormatting>
  <dataValidations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10"/>
  <sheetViews>
    <sheetView zoomScale="180" zoomScaleNormal="180" workbookViewId="0">
      <selection activeCell="D12" sqref="D12"/>
    </sheetView>
  </sheetViews>
  <sheetFormatPr defaultRowHeight="14.5" x14ac:dyDescent="0.35"/>
  <cols>
    <col min="1" max="1" width="22.36328125" customWidth="1"/>
    <col min="2" max="5" width="19.26953125" customWidth="1"/>
    <col min="6" max="6" width="21.36328125" customWidth="1"/>
  </cols>
  <sheetData>
    <row r="1" spans="1:5" ht="20" thickBot="1" x14ac:dyDescent="0.5">
      <c r="A1" s="10" t="s">
        <v>141</v>
      </c>
      <c r="B1" s="10"/>
      <c r="C1" s="10"/>
    </row>
    <row r="2" spans="1:5" ht="15" thickTop="1" x14ac:dyDescent="0.35"/>
    <row r="3" spans="1:5" x14ac:dyDescent="0.35">
      <c r="A3" t="s">
        <v>143</v>
      </c>
      <c r="B3" s="1">
        <f>SUM('Supplier Invoice Statement'!Q2:Q20)</f>
        <v>14403.390000000001</v>
      </c>
    </row>
    <row r="4" spans="1:5" x14ac:dyDescent="0.35">
      <c r="A4" t="s">
        <v>142</v>
      </c>
      <c r="B4" s="1">
        <f>SUM(Amount_Paid)</f>
        <v>46511.93</v>
      </c>
    </row>
    <row r="5" spans="1:5" x14ac:dyDescent="0.35">
      <c r="A5" t="s">
        <v>144</v>
      </c>
      <c r="B5" s="1">
        <f>B3-B4</f>
        <v>-32108.54</v>
      </c>
    </row>
    <row r="7" spans="1:5" x14ac:dyDescent="0.35">
      <c r="A7" s="3" t="s">
        <v>190</v>
      </c>
      <c r="B7" s="8" t="s">
        <v>145</v>
      </c>
      <c r="C7" s="8" t="s">
        <v>146</v>
      </c>
      <c r="D7" s="8" t="s">
        <v>193</v>
      </c>
      <c r="E7" s="8" t="s">
        <v>138</v>
      </c>
    </row>
    <row r="8" spans="1:5" x14ac:dyDescent="0.35">
      <c r="A8" t="s">
        <v>46</v>
      </c>
      <c r="B8">
        <f>COUNTIFS(Location,A8)</f>
        <v>40</v>
      </c>
      <c r="C8" s="9">
        <f>SUMIFS(Amount_Paid,Location,A8)</f>
        <v>24082.740000000005</v>
      </c>
      <c r="D8">
        <f>SUMIFS(tbl_MC[Over Due By],Location,$A8)</f>
        <v>86</v>
      </c>
      <c r="E8" s="1">
        <f>SUMIFS(tbl_MC[Late Charge],Location,$A8)</f>
        <v>402.47084000000007</v>
      </c>
    </row>
    <row r="9" spans="1:5" x14ac:dyDescent="0.35">
      <c r="A9" t="s">
        <v>48</v>
      </c>
      <c r="B9">
        <f>COUNTIFS(Location,A9)</f>
        <v>44</v>
      </c>
      <c r="C9" s="9">
        <f>SUMIFS(Amount_Paid,Location,A9)</f>
        <v>21629.190000000006</v>
      </c>
      <c r="D9">
        <f>SUMIFS(tbl_MC[Over Due By],Location,$A9)</f>
        <v>131</v>
      </c>
      <c r="E9" s="1">
        <f>SUMIFS(tbl_MC[Late Charge],Location,$A9)</f>
        <v>480.36920800000001</v>
      </c>
    </row>
    <row r="10" spans="1:5" x14ac:dyDescent="0.35">
      <c r="A10" t="s">
        <v>215</v>
      </c>
      <c r="B10">
        <f>COUNTIFS(Location,A10)</f>
        <v>1</v>
      </c>
      <c r="C10" s="9">
        <f>SUMIFS(Amount_Paid,Location,A10)</f>
        <v>800</v>
      </c>
      <c r="D10">
        <f>SUMIFS(tbl_MC[Over Due By],Location,$A10)</f>
        <v>0</v>
      </c>
      <c r="E10" s="1">
        <f>SUMIFS(tbl_MC[Late Charge],Location,$A10)</f>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G11" sqref="G11"/>
    </sheetView>
  </sheetViews>
  <sheetFormatPr defaultRowHeight="14.5" x14ac:dyDescent="0.35"/>
  <cols>
    <col min="1" max="1" width="13.36328125" style="13" customWidth="1"/>
    <col min="2" max="2" width="9.08984375" style="4"/>
    <col min="3" max="3" width="24.54296875" customWidth="1"/>
  </cols>
  <sheetData>
    <row r="1" spans="1:3" ht="20" thickBot="1" x14ac:dyDescent="0.5">
      <c r="A1" s="17" t="s">
        <v>170</v>
      </c>
      <c r="B1" s="17"/>
      <c r="C1" s="17"/>
    </row>
    <row r="2" spans="1:3" ht="15" thickTop="1" x14ac:dyDescent="0.35"/>
    <row r="3" spans="1:3" x14ac:dyDescent="0.35">
      <c r="A3" s="14" t="s">
        <v>155</v>
      </c>
      <c r="B3" s="15" t="s">
        <v>156</v>
      </c>
      <c r="C3" s="16" t="s">
        <v>157</v>
      </c>
    </row>
    <row r="4" spans="1:3" x14ac:dyDescent="0.35">
      <c r="A4" s="13">
        <v>43831</v>
      </c>
      <c r="B4" s="4" t="str">
        <f>TEXT(A4,"ddd")</f>
        <v>Wed</v>
      </c>
      <c r="C4" t="s">
        <v>158</v>
      </c>
    </row>
    <row r="5" spans="1:3" x14ac:dyDescent="0.35">
      <c r="A5" s="13">
        <v>43857</v>
      </c>
      <c r="B5" s="4" t="str">
        <f t="shared" ref="B5:B15" si="0">TEXT(A5,"ddd")</f>
        <v>Mon</v>
      </c>
      <c r="C5" t="s">
        <v>159</v>
      </c>
    </row>
    <row r="6" spans="1:3" x14ac:dyDescent="0.35">
      <c r="A6" s="13">
        <v>43931</v>
      </c>
      <c r="B6" s="4" t="str">
        <f t="shared" si="0"/>
        <v>Fri</v>
      </c>
      <c r="C6" t="s">
        <v>161</v>
      </c>
    </row>
    <row r="7" spans="1:3" x14ac:dyDescent="0.35">
      <c r="A7" s="13">
        <v>43932</v>
      </c>
      <c r="B7" s="4" t="str">
        <f t="shared" si="0"/>
        <v>Sat</v>
      </c>
      <c r="C7" t="s">
        <v>162</v>
      </c>
    </row>
    <row r="8" spans="1:3" x14ac:dyDescent="0.35">
      <c r="A8" s="13">
        <v>43933</v>
      </c>
      <c r="B8" s="4" t="str">
        <f t="shared" si="0"/>
        <v>Sun</v>
      </c>
      <c r="C8" t="s">
        <v>163</v>
      </c>
    </row>
    <row r="9" spans="1:3" x14ac:dyDescent="0.35">
      <c r="A9" s="13">
        <v>43934</v>
      </c>
      <c r="B9" s="4" t="str">
        <f t="shared" si="0"/>
        <v>Mon</v>
      </c>
      <c r="C9" t="s">
        <v>164</v>
      </c>
    </row>
    <row r="10" spans="1:3" x14ac:dyDescent="0.35">
      <c r="A10" s="13">
        <v>43946</v>
      </c>
      <c r="B10" s="4" t="str">
        <f t="shared" si="0"/>
        <v>Sat</v>
      </c>
      <c r="C10" t="s">
        <v>165</v>
      </c>
    </row>
    <row r="11" spans="1:3" x14ac:dyDescent="0.35">
      <c r="A11" s="13">
        <v>43990</v>
      </c>
      <c r="B11" s="4" t="str">
        <f t="shared" si="0"/>
        <v>Mon</v>
      </c>
      <c r="C11" t="s">
        <v>166</v>
      </c>
    </row>
    <row r="12" spans="1:3" x14ac:dyDescent="0.35">
      <c r="A12" s="13">
        <v>44109</v>
      </c>
      <c r="B12" s="4" t="str">
        <f t="shared" si="0"/>
        <v>Mon</v>
      </c>
      <c r="C12" t="s">
        <v>160</v>
      </c>
    </row>
    <row r="13" spans="1:3" x14ac:dyDescent="0.35">
      <c r="A13" s="13">
        <v>44190</v>
      </c>
      <c r="B13" s="4" t="str">
        <f t="shared" si="0"/>
        <v>Fri</v>
      </c>
      <c r="C13" t="s">
        <v>167</v>
      </c>
    </row>
    <row r="14" spans="1:3" x14ac:dyDescent="0.35">
      <c r="A14" s="13">
        <v>44191</v>
      </c>
      <c r="B14" s="4" t="str">
        <f t="shared" si="0"/>
        <v>Sat</v>
      </c>
      <c r="C14" t="s">
        <v>168</v>
      </c>
    </row>
    <row r="15" spans="1:3" x14ac:dyDescent="0.35">
      <c r="A15" s="13">
        <v>44193</v>
      </c>
      <c r="B15" s="4" t="str">
        <f t="shared" si="0"/>
        <v>Mon</v>
      </c>
      <c r="C15" t="s">
        <v>169</v>
      </c>
    </row>
    <row r="19" spans="1:3" x14ac:dyDescent="0.35">
      <c r="A19" t="s">
        <v>186</v>
      </c>
      <c r="B19"/>
    </row>
    <row r="20" spans="1:3" x14ac:dyDescent="0.35">
      <c r="A20" s="16" t="s">
        <v>187</v>
      </c>
      <c r="B20" s="16" t="s">
        <v>188</v>
      </c>
      <c r="C20" s="16"/>
    </row>
    <row r="21" spans="1:3" x14ac:dyDescent="0.35">
      <c r="A21" t="s">
        <v>171</v>
      </c>
      <c r="B21" t="s">
        <v>172</v>
      </c>
    </row>
    <row r="22" spans="1:3" x14ac:dyDescent="0.35">
      <c r="A22">
        <v>2</v>
      </c>
      <c r="B22" t="s">
        <v>173</v>
      </c>
    </row>
    <row r="23" spans="1:3" x14ac:dyDescent="0.35">
      <c r="A23">
        <v>3</v>
      </c>
      <c r="B23" t="s">
        <v>174</v>
      </c>
    </row>
    <row r="24" spans="1:3" x14ac:dyDescent="0.35">
      <c r="A24">
        <v>4</v>
      </c>
      <c r="B24" t="s">
        <v>175</v>
      </c>
    </row>
    <row r="25" spans="1:3" x14ac:dyDescent="0.35">
      <c r="A25">
        <v>5</v>
      </c>
      <c r="B25" t="s">
        <v>176</v>
      </c>
    </row>
    <row r="26" spans="1:3" x14ac:dyDescent="0.35">
      <c r="A26">
        <v>6</v>
      </c>
      <c r="B26" t="s">
        <v>177</v>
      </c>
    </row>
    <row r="27" spans="1:3" x14ac:dyDescent="0.35">
      <c r="A27">
        <v>7</v>
      </c>
      <c r="B27" t="s">
        <v>178</v>
      </c>
    </row>
    <row r="28" spans="1:3" x14ac:dyDescent="0.35">
      <c r="A28">
        <v>11</v>
      </c>
      <c r="B28" t="s">
        <v>179</v>
      </c>
    </row>
    <row r="29" spans="1:3" x14ac:dyDescent="0.35">
      <c r="A29">
        <v>12</v>
      </c>
      <c r="B29" t="s">
        <v>180</v>
      </c>
    </row>
    <row r="30" spans="1:3" x14ac:dyDescent="0.35">
      <c r="A30">
        <v>13</v>
      </c>
      <c r="B30" t="s">
        <v>181</v>
      </c>
    </row>
    <row r="31" spans="1:3" x14ac:dyDescent="0.35">
      <c r="A31">
        <v>14</v>
      </c>
      <c r="B31" t="s">
        <v>182</v>
      </c>
    </row>
    <row r="32" spans="1:3" x14ac:dyDescent="0.35">
      <c r="A32">
        <v>15</v>
      </c>
      <c r="B32" t="s">
        <v>183</v>
      </c>
    </row>
    <row r="33" spans="1:2" x14ac:dyDescent="0.35">
      <c r="A33">
        <v>16</v>
      </c>
      <c r="B33" t="s">
        <v>184</v>
      </c>
    </row>
    <row r="34" spans="1:2" x14ac:dyDescent="0.35">
      <c r="A34">
        <v>17</v>
      </c>
      <c r="B34" t="s">
        <v>185</v>
      </c>
    </row>
    <row r="35" spans="1:2" x14ac:dyDescent="0.35">
      <c r="A35" s="13" t="s">
        <v>189</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4D495-079E-494E-A925-BC5D57BE5C5D}">
  <dimension ref="A1:K19"/>
  <sheetViews>
    <sheetView zoomScale="180" zoomScaleNormal="180" workbookViewId="0">
      <selection activeCell="D9" sqref="A1:K19"/>
    </sheetView>
  </sheetViews>
  <sheetFormatPr defaultRowHeight="14.5" x14ac:dyDescent="0.35"/>
  <sheetData>
    <row r="1" spans="1:11" x14ac:dyDescent="0.35">
      <c r="A1">
        <v>24673</v>
      </c>
      <c r="B1">
        <v>1</v>
      </c>
      <c r="C1" t="s">
        <v>194</v>
      </c>
      <c r="D1" t="s">
        <v>23</v>
      </c>
      <c r="E1" t="s">
        <v>12</v>
      </c>
      <c r="F1" t="s">
        <v>195</v>
      </c>
      <c r="G1" t="s">
        <v>25</v>
      </c>
      <c r="H1">
        <v>1641</v>
      </c>
      <c r="I1">
        <v>7654320</v>
      </c>
      <c r="J1">
        <v>72</v>
      </c>
      <c r="K1" t="s">
        <v>44</v>
      </c>
    </row>
    <row r="2" spans="1:11" x14ac:dyDescent="0.35">
      <c r="A2">
        <v>24673</v>
      </c>
      <c r="B2">
        <v>1</v>
      </c>
      <c r="C2" t="s">
        <v>194</v>
      </c>
      <c r="D2" t="s">
        <v>194</v>
      </c>
      <c r="E2" t="s">
        <v>13</v>
      </c>
      <c r="F2" t="s">
        <v>196</v>
      </c>
      <c r="G2" t="s">
        <v>26</v>
      </c>
      <c r="H2">
        <v>2554</v>
      </c>
      <c r="I2">
        <v>4551221</v>
      </c>
      <c r="J2">
        <v>33</v>
      </c>
      <c r="K2" t="s">
        <v>44</v>
      </c>
    </row>
    <row r="3" spans="1:11" x14ac:dyDescent="0.35">
      <c r="A3">
        <v>24675</v>
      </c>
      <c r="B3">
        <v>1</v>
      </c>
      <c r="C3" t="s">
        <v>194</v>
      </c>
      <c r="D3" t="s">
        <v>23</v>
      </c>
      <c r="E3" t="s">
        <v>12</v>
      </c>
      <c r="F3" t="s">
        <v>197</v>
      </c>
      <c r="G3" t="s">
        <v>27</v>
      </c>
      <c r="H3">
        <v>2554</v>
      </c>
      <c r="I3">
        <v>4551221</v>
      </c>
      <c r="J3">
        <v>33</v>
      </c>
      <c r="K3" t="s">
        <v>49</v>
      </c>
    </row>
    <row r="4" spans="1:11" x14ac:dyDescent="0.35">
      <c r="A4">
        <v>24676</v>
      </c>
      <c r="B4">
        <v>1</v>
      </c>
      <c r="C4" t="s">
        <v>194</v>
      </c>
      <c r="D4" t="s">
        <v>23</v>
      </c>
      <c r="E4" t="s">
        <v>14</v>
      </c>
      <c r="F4" t="s">
        <v>198</v>
      </c>
      <c r="G4" t="s">
        <v>28</v>
      </c>
      <c r="H4">
        <v>2554</v>
      </c>
      <c r="I4">
        <v>4551221</v>
      </c>
      <c r="J4">
        <v>33</v>
      </c>
      <c r="K4" t="s">
        <v>50</v>
      </c>
    </row>
    <row r="5" spans="1:11" x14ac:dyDescent="0.35">
      <c r="A5">
        <v>24677</v>
      </c>
      <c r="B5">
        <v>1</v>
      </c>
      <c r="C5" t="s">
        <v>194</v>
      </c>
      <c r="D5" t="s">
        <v>23</v>
      </c>
      <c r="E5" t="s">
        <v>15</v>
      </c>
      <c r="F5" t="s">
        <v>199</v>
      </c>
      <c r="G5" t="s">
        <v>29</v>
      </c>
      <c r="H5">
        <v>2554</v>
      </c>
      <c r="I5">
        <v>4551221</v>
      </c>
      <c r="J5">
        <v>33</v>
      </c>
      <c r="K5" t="s">
        <v>51</v>
      </c>
    </row>
    <row r="6" spans="1:11" x14ac:dyDescent="0.35">
      <c r="A6">
        <v>24679</v>
      </c>
      <c r="B6">
        <v>1</v>
      </c>
      <c r="C6" t="s">
        <v>194</v>
      </c>
      <c r="D6" t="s">
        <v>194</v>
      </c>
      <c r="E6" t="s">
        <v>13</v>
      </c>
      <c r="F6" t="s">
        <v>200</v>
      </c>
      <c r="G6" t="s">
        <v>30</v>
      </c>
      <c r="H6">
        <v>2554</v>
      </c>
      <c r="I6">
        <v>4551221</v>
      </c>
      <c r="J6">
        <v>33</v>
      </c>
      <c r="K6" t="s">
        <v>52</v>
      </c>
    </row>
    <row r="7" spans="1:11" x14ac:dyDescent="0.35">
      <c r="A7">
        <v>24679</v>
      </c>
      <c r="B7">
        <v>2</v>
      </c>
      <c r="C7" t="s">
        <v>194</v>
      </c>
      <c r="D7" t="s">
        <v>23</v>
      </c>
      <c r="E7" t="s">
        <v>16</v>
      </c>
      <c r="F7" t="s">
        <v>201</v>
      </c>
      <c r="G7" t="s">
        <v>31</v>
      </c>
      <c r="H7">
        <v>2554</v>
      </c>
      <c r="I7">
        <v>4551221</v>
      </c>
      <c r="J7">
        <v>33</v>
      </c>
      <c r="K7" t="s">
        <v>53</v>
      </c>
    </row>
    <row r="8" spans="1:11" x14ac:dyDescent="0.35">
      <c r="A8">
        <v>24680</v>
      </c>
      <c r="B8">
        <v>1</v>
      </c>
      <c r="C8" t="s">
        <v>194</v>
      </c>
      <c r="D8" t="s">
        <v>23</v>
      </c>
      <c r="E8" t="s">
        <v>17</v>
      </c>
      <c r="F8" t="s">
        <v>202</v>
      </c>
      <c r="G8" t="s">
        <v>32</v>
      </c>
      <c r="H8">
        <v>1641</v>
      </c>
      <c r="I8">
        <v>7654320</v>
      </c>
      <c r="J8">
        <v>72</v>
      </c>
      <c r="K8" t="s">
        <v>54</v>
      </c>
    </row>
    <row r="9" spans="1:11" x14ac:dyDescent="0.35">
      <c r="A9">
        <v>24683</v>
      </c>
      <c r="B9">
        <v>1</v>
      </c>
      <c r="C9" t="s">
        <v>194</v>
      </c>
      <c r="D9" t="s">
        <v>23</v>
      </c>
      <c r="E9" t="s">
        <v>13</v>
      </c>
      <c r="F9" t="s">
        <v>203</v>
      </c>
      <c r="G9" t="s">
        <v>33</v>
      </c>
      <c r="H9">
        <v>1641</v>
      </c>
      <c r="I9">
        <v>7654320</v>
      </c>
      <c r="J9">
        <v>72</v>
      </c>
      <c r="K9" t="s">
        <v>55</v>
      </c>
    </row>
    <row r="10" spans="1:11" x14ac:dyDescent="0.35">
      <c r="A10">
        <v>24685</v>
      </c>
      <c r="B10">
        <v>1</v>
      </c>
      <c r="C10" t="s">
        <v>194</v>
      </c>
      <c r="D10" t="s">
        <v>23</v>
      </c>
      <c r="E10" t="s">
        <v>12</v>
      </c>
      <c r="F10" t="s">
        <v>204</v>
      </c>
      <c r="G10" t="s">
        <v>34</v>
      </c>
      <c r="H10">
        <v>1641</v>
      </c>
      <c r="I10">
        <v>7654320</v>
      </c>
      <c r="J10">
        <v>72</v>
      </c>
      <c r="K10" t="s">
        <v>56</v>
      </c>
    </row>
    <row r="11" spans="1:11" x14ac:dyDescent="0.35">
      <c r="A11">
        <v>24690</v>
      </c>
      <c r="B11">
        <v>1</v>
      </c>
      <c r="C11" t="s">
        <v>194</v>
      </c>
      <c r="D11" t="s">
        <v>194</v>
      </c>
      <c r="E11" t="s">
        <v>13</v>
      </c>
      <c r="F11" t="s">
        <v>205</v>
      </c>
      <c r="G11" t="s">
        <v>35</v>
      </c>
      <c r="H11">
        <v>1641</v>
      </c>
      <c r="I11">
        <v>7654320</v>
      </c>
      <c r="J11">
        <v>72</v>
      </c>
      <c r="K11" t="s">
        <v>57</v>
      </c>
    </row>
    <row r="12" spans="1:11" x14ac:dyDescent="0.35">
      <c r="A12">
        <v>24693</v>
      </c>
      <c r="B12">
        <v>1</v>
      </c>
      <c r="C12" t="s">
        <v>194</v>
      </c>
      <c r="D12" t="s">
        <v>24</v>
      </c>
      <c r="E12" t="s">
        <v>18</v>
      </c>
      <c r="F12" t="s">
        <v>206</v>
      </c>
      <c r="G12" t="s">
        <v>36</v>
      </c>
      <c r="H12">
        <v>2554</v>
      </c>
      <c r="I12">
        <v>4551221</v>
      </c>
      <c r="J12">
        <v>33</v>
      </c>
      <c r="K12" t="s">
        <v>58</v>
      </c>
    </row>
    <row r="13" spans="1:11" x14ac:dyDescent="0.35">
      <c r="A13">
        <v>24697</v>
      </c>
      <c r="B13">
        <v>1</v>
      </c>
      <c r="C13" t="s">
        <v>194</v>
      </c>
      <c r="D13" t="s">
        <v>23</v>
      </c>
      <c r="E13" t="s">
        <v>13</v>
      </c>
      <c r="F13" t="s">
        <v>207</v>
      </c>
      <c r="G13" t="s">
        <v>37</v>
      </c>
      <c r="H13">
        <v>2554</v>
      </c>
      <c r="I13">
        <v>4551221</v>
      </c>
      <c r="J13">
        <v>33</v>
      </c>
      <c r="K13" t="s">
        <v>59</v>
      </c>
    </row>
    <row r="14" spans="1:11" x14ac:dyDescent="0.35">
      <c r="A14">
        <v>24698</v>
      </c>
      <c r="B14">
        <v>1</v>
      </c>
      <c r="C14" t="s">
        <v>194</v>
      </c>
      <c r="D14" t="s">
        <v>194</v>
      </c>
      <c r="E14" t="s">
        <v>13</v>
      </c>
      <c r="F14" t="s">
        <v>208</v>
      </c>
      <c r="G14" t="s">
        <v>38</v>
      </c>
      <c r="H14">
        <v>2554</v>
      </c>
      <c r="I14">
        <v>4551221</v>
      </c>
      <c r="J14">
        <v>33</v>
      </c>
      <c r="K14" t="s">
        <v>60</v>
      </c>
    </row>
    <row r="15" spans="1:11" x14ac:dyDescent="0.35">
      <c r="A15">
        <v>24699</v>
      </c>
      <c r="B15">
        <v>1</v>
      </c>
      <c r="C15" t="s">
        <v>194</v>
      </c>
      <c r="D15" t="s">
        <v>23</v>
      </c>
      <c r="E15" t="s">
        <v>13</v>
      </c>
      <c r="F15" t="s">
        <v>209</v>
      </c>
      <c r="G15" t="s">
        <v>39</v>
      </c>
      <c r="H15">
        <v>2554</v>
      </c>
      <c r="I15">
        <v>4551221</v>
      </c>
      <c r="J15">
        <v>33</v>
      </c>
      <c r="K15" t="s">
        <v>61</v>
      </c>
    </row>
    <row r="16" spans="1:11" x14ac:dyDescent="0.35">
      <c r="A16">
        <v>24704</v>
      </c>
      <c r="B16">
        <v>1</v>
      </c>
      <c r="C16" t="s">
        <v>194</v>
      </c>
      <c r="D16" t="s">
        <v>23</v>
      </c>
      <c r="E16" t="s">
        <v>12</v>
      </c>
      <c r="F16" t="s">
        <v>210</v>
      </c>
      <c r="G16" t="s">
        <v>40</v>
      </c>
      <c r="H16">
        <v>2554</v>
      </c>
      <c r="I16">
        <v>4551221</v>
      </c>
      <c r="J16">
        <v>33</v>
      </c>
      <c r="K16" t="s">
        <v>62</v>
      </c>
    </row>
    <row r="17" spans="1:11" x14ac:dyDescent="0.35">
      <c r="A17">
        <v>24707</v>
      </c>
      <c r="B17">
        <v>1</v>
      </c>
      <c r="C17" t="s">
        <v>194</v>
      </c>
      <c r="D17" t="s">
        <v>22</v>
      </c>
      <c r="E17" t="s">
        <v>12</v>
      </c>
      <c r="F17" t="s">
        <v>211</v>
      </c>
      <c r="G17" t="s">
        <v>41</v>
      </c>
      <c r="H17">
        <v>2554</v>
      </c>
      <c r="I17">
        <v>4551221</v>
      </c>
      <c r="J17">
        <v>33</v>
      </c>
      <c r="K17" t="s">
        <v>63</v>
      </c>
    </row>
    <row r="18" spans="1:11" x14ac:dyDescent="0.35">
      <c r="A18">
        <v>24712</v>
      </c>
      <c r="B18">
        <v>1</v>
      </c>
      <c r="C18" t="s">
        <v>194</v>
      </c>
      <c r="D18" t="s">
        <v>23</v>
      </c>
      <c r="E18" t="s">
        <v>12</v>
      </c>
      <c r="F18" t="s">
        <v>212</v>
      </c>
      <c r="G18" t="s">
        <v>42</v>
      </c>
      <c r="H18">
        <v>1641</v>
      </c>
      <c r="I18">
        <v>7654320</v>
      </c>
      <c r="J18">
        <v>72</v>
      </c>
      <c r="K18" t="s">
        <v>64</v>
      </c>
    </row>
    <row r="19" spans="1:11" x14ac:dyDescent="0.35">
      <c r="A19">
        <v>24717</v>
      </c>
      <c r="B19">
        <v>1</v>
      </c>
      <c r="C19" t="s">
        <v>194</v>
      </c>
      <c r="D19" t="s">
        <v>23</v>
      </c>
      <c r="E19" t="s">
        <v>13</v>
      </c>
      <c r="F19" t="s">
        <v>213</v>
      </c>
      <c r="G19" t="s">
        <v>43</v>
      </c>
      <c r="H19">
        <v>1641</v>
      </c>
      <c r="I19">
        <v>7654320</v>
      </c>
      <c r="J19">
        <v>72</v>
      </c>
      <c r="K19"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Supplier Invoice Statement</vt:lpstr>
      <vt:lpstr>MC Invoice Report</vt:lpstr>
      <vt:lpstr>Recon Analysis</vt:lpstr>
      <vt:lpstr>NSW Holidays 2020</vt:lpstr>
      <vt:lpstr>Demo Data</vt:lpstr>
      <vt:lpstr>Amount_Paid</vt:lpstr>
      <vt:lpstr>Bank_Details</vt:lpstr>
      <vt:lpstr>Due_Date</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Mrs Nicky Bull</cp:lastModifiedBy>
  <dcterms:created xsi:type="dcterms:W3CDTF">2019-12-02T06:01:41Z</dcterms:created>
  <dcterms:modified xsi:type="dcterms:W3CDTF">2020-03-26T07:11:58Z</dcterms:modified>
</cp:coreProperties>
</file>