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thiede001\Desktop\Course 3 Final For Coursera\"/>
    </mc:Choice>
  </mc:AlternateContent>
  <bookViews>
    <workbookView xWindow="0" yWindow="0" windowWidth="24000" windowHeight="10020" tabRatio="757"/>
  </bookViews>
  <sheets>
    <sheet name="Cover Page" sheetId="1" r:id="rId1"/>
    <sheet name="Exercises&gt;&gt;&gt;" sheetId="24" r:id="rId2"/>
    <sheet name="ANS Exercise 1 - 6" sheetId="12" r:id="rId3"/>
    <sheet name="Exercise 2 - Scenario Summary" sheetId="26" r:id="rId4"/>
    <sheet name="Section 1 - Student Exercises" sheetId="23" state="hidden" r:id="rId5"/>
    <sheet name="List Data" sheetId="22"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'ANS Exercise 1 - 6'!$C$292:$G$292</definedName>
    <definedName name="solver_adj" localSheetId="4" hidden="1">'Section 1 - Student Exercises'!#REF!</definedName>
    <definedName name="solver_cvg" localSheetId="2" hidden="1">0.0001</definedName>
    <definedName name="solver_cvg" localSheetId="4" hidden="1">0.0001</definedName>
    <definedName name="solver_drv" localSheetId="2" hidden="1">1</definedName>
    <definedName name="solver_drv" localSheetId="4" hidden="1">2</definedName>
    <definedName name="solver_eng" localSheetId="2" hidden="1">2</definedName>
    <definedName name="solver_eng" localSheetId="4" hidden="1">1</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hs1" localSheetId="2" hidden="1">'ANS Exercise 1 - 6'!$C$292:$G$292</definedName>
    <definedName name="solver_lhs1" localSheetId="4" hidden="1">'Section 1 - Student Exercises'!#REF!</definedName>
    <definedName name="solver_lhs2" localSheetId="2" hidden="1">'ANS Exercise 1 - 6'!$I$296</definedName>
    <definedName name="solver_lhs2" localSheetId="4" hidden="1">'Section 1 - Student Exercises'!#REF!</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2</definedName>
    <definedName name="solver_neg" localSheetId="4" hidden="1">1</definedName>
    <definedName name="solver_nod" localSheetId="2" hidden="1">2147483647</definedName>
    <definedName name="solver_nod" localSheetId="4" hidden="1">2147483647</definedName>
    <definedName name="solver_num" localSheetId="2" hidden="1">2</definedName>
    <definedName name="solver_num" localSheetId="4" hidden="1">2</definedName>
    <definedName name="solver_nwt" localSheetId="2" hidden="1">1</definedName>
    <definedName name="solver_nwt" localSheetId="4" hidden="1">1</definedName>
    <definedName name="solver_opt" localSheetId="2" hidden="1">'ANS Exercise 1 - 6'!$I$293</definedName>
    <definedName name="solver_opt" localSheetId="4" hidden="1">'Section 1 - Student Exercises'!#REF!</definedName>
    <definedName name="solver_pre" localSheetId="2" hidden="1">0.000001</definedName>
    <definedName name="solver_pre" localSheetId="4" hidden="1">0.000001</definedName>
    <definedName name="solver_rbv" localSheetId="2" hidden="1">1</definedName>
    <definedName name="solver_rbv" localSheetId="4" hidden="1">2</definedName>
    <definedName name="solver_rel1" localSheetId="2" hidden="1">5</definedName>
    <definedName name="solver_rel1" localSheetId="4" hidden="1">5</definedName>
    <definedName name="solver_rel2" localSheetId="2" hidden="1">1</definedName>
    <definedName name="solver_rel2" localSheetId="4" hidden="1">1</definedName>
    <definedName name="solver_rhs1" localSheetId="2" hidden="1">binary</definedName>
    <definedName name="solver_rhs1" localSheetId="4" hidden="1">binary</definedName>
    <definedName name="solver_rhs2" localSheetId="2" hidden="1">'ANS Exercise 1 - 6'!$K$296</definedName>
    <definedName name="solver_rhs2" localSheetId="4" hidden="1">'Section 1 - Student Exercises'!#REF!</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2</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1</definedName>
    <definedName name="solver_typ" localSheetId="4" hidden="1">1</definedName>
    <definedName name="solver_val" localSheetId="2" hidden="1">0</definedName>
    <definedName name="solver_val" localSheetId="4" hidden="1">0</definedName>
    <definedName name="solver_ver" localSheetId="2" hidden="1">3</definedName>
    <definedName name="solver_ver" localSheetId="4" hidden="1">3</definedName>
    <definedName name="Total_Miles">'ANS Exercise 1 - 6'!$E$174</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3" i="12" l="1"/>
  <c r="I183" i="12"/>
  <c r="H184" i="12"/>
  <c r="I184" i="12"/>
  <c r="H185" i="12"/>
  <c r="I185" i="12"/>
  <c r="H186" i="12"/>
  <c r="I186" i="12"/>
  <c r="H187" i="12"/>
  <c r="I187" i="12"/>
  <c r="H188" i="12"/>
  <c r="I188" i="12"/>
  <c r="H189" i="12"/>
  <c r="I189" i="12"/>
  <c r="H190" i="12"/>
  <c r="I190" i="12"/>
  <c r="H191" i="12"/>
  <c r="I191" i="12"/>
  <c r="H192" i="12"/>
  <c r="I192" i="12"/>
  <c r="H193" i="12"/>
  <c r="I193" i="12"/>
  <c r="H194" i="12"/>
  <c r="I194" i="12"/>
  <c r="H195" i="12"/>
  <c r="I195" i="12"/>
  <c r="H196" i="12"/>
  <c r="I196" i="12"/>
  <c r="H197" i="12"/>
  <c r="I197" i="12"/>
  <c r="H198" i="12"/>
  <c r="I198" i="12"/>
  <c r="H199" i="12"/>
  <c r="I199" i="12"/>
  <c r="H200" i="12"/>
  <c r="I200" i="12"/>
  <c r="H201" i="12"/>
  <c r="I201" i="12"/>
  <c r="H202" i="12"/>
  <c r="I202" i="12"/>
  <c r="H203" i="12"/>
  <c r="I203" i="12"/>
  <c r="H204" i="12"/>
  <c r="I204" i="12"/>
  <c r="H205" i="12"/>
  <c r="I205" i="12"/>
  <c r="H206" i="12"/>
  <c r="I206" i="12"/>
  <c r="H207" i="12"/>
  <c r="I207" i="12"/>
  <c r="H208" i="12"/>
  <c r="I208" i="12"/>
  <c r="H209" i="12"/>
  <c r="I209" i="12"/>
  <c r="H210" i="12"/>
  <c r="I210" i="12"/>
  <c r="H211" i="12"/>
  <c r="I211" i="12"/>
  <c r="H212" i="12"/>
  <c r="I212" i="12"/>
  <c r="H213" i="12"/>
  <c r="I213" i="12"/>
  <c r="H214" i="12"/>
  <c r="I214" i="12"/>
  <c r="H215" i="12"/>
  <c r="I215" i="12"/>
  <c r="H216" i="12"/>
  <c r="I216" i="12"/>
  <c r="H217" i="12"/>
  <c r="I217" i="12"/>
  <c r="H218" i="12"/>
  <c r="I218" i="12"/>
  <c r="H219" i="12"/>
  <c r="I219" i="12"/>
  <c r="H220" i="12"/>
  <c r="I220" i="12"/>
  <c r="H221" i="12"/>
  <c r="I221" i="12"/>
  <c r="H222" i="12"/>
  <c r="I222" i="12"/>
  <c r="H223" i="12"/>
  <c r="I223" i="12"/>
  <c r="H224" i="12"/>
  <c r="I224" i="12"/>
  <c r="H225" i="12"/>
  <c r="I225" i="12"/>
  <c r="H226" i="12"/>
  <c r="I226" i="12"/>
  <c r="H227" i="12"/>
  <c r="I227" i="12"/>
  <c r="H228" i="12"/>
  <c r="I228" i="12"/>
  <c r="H229" i="12"/>
  <c r="I229" i="12"/>
  <c r="H230" i="12"/>
  <c r="I230" i="12"/>
  <c r="H231" i="12"/>
  <c r="I231" i="12"/>
  <c r="H232" i="12"/>
  <c r="I232" i="12"/>
  <c r="H233" i="12"/>
  <c r="I233" i="12"/>
  <c r="H234" i="12"/>
  <c r="I234" i="12"/>
  <c r="H235" i="12"/>
  <c r="I235" i="12"/>
  <c r="H236" i="12"/>
  <c r="I236" i="12"/>
  <c r="H237" i="12"/>
  <c r="I237" i="12"/>
  <c r="H238" i="12"/>
  <c r="I238" i="12"/>
  <c r="H239" i="12"/>
  <c r="I239" i="12"/>
  <c r="H240" i="12"/>
  <c r="I240" i="12"/>
  <c r="H241" i="12"/>
  <c r="I241" i="12"/>
  <c r="H242" i="12"/>
  <c r="I242" i="12"/>
  <c r="H243" i="12"/>
  <c r="I243" i="12"/>
  <c r="H244" i="12"/>
  <c r="I244" i="12"/>
  <c r="H245" i="12"/>
  <c r="I245" i="12"/>
  <c r="H246" i="12"/>
  <c r="I246" i="12"/>
  <c r="H247" i="12"/>
  <c r="I247" i="12"/>
  <c r="H248" i="12"/>
  <c r="I248" i="12"/>
  <c r="H249" i="12"/>
  <c r="I249" i="12"/>
  <c r="H250" i="12"/>
  <c r="I250" i="12"/>
  <c r="H251" i="12"/>
  <c r="I251" i="12"/>
  <c r="H252" i="12"/>
  <c r="I252" i="12"/>
  <c r="H253" i="12"/>
  <c r="I253" i="12"/>
  <c r="H254" i="12"/>
  <c r="I254" i="12"/>
  <c r="H255" i="12"/>
  <c r="I255" i="12"/>
  <c r="H256" i="12"/>
  <c r="I256" i="12"/>
  <c r="H257" i="12"/>
  <c r="I257" i="12"/>
  <c r="H258" i="12"/>
  <c r="I258" i="12"/>
  <c r="H259" i="12"/>
  <c r="I259" i="12"/>
  <c r="H260" i="12"/>
  <c r="I260" i="12"/>
  <c r="H261" i="12"/>
  <c r="I261" i="12"/>
  <c r="H262" i="12"/>
  <c r="I262" i="12"/>
  <c r="H263" i="12"/>
  <c r="I263" i="12"/>
  <c r="H264" i="12"/>
  <c r="I264" i="12"/>
  <c r="H265" i="12"/>
  <c r="I265" i="12"/>
  <c r="H266" i="12"/>
  <c r="I266" i="12"/>
  <c r="H267" i="12"/>
  <c r="I267" i="12"/>
  <c r="H268" i="12"/>
  <c r="I268" i="12"/>
  <c r="H269" i="12"/>
  <c r="I269" i="12"/>
  <c r="H270" i="12"/>
  <c r="I270" i="12"/>
  <c r="H271" i="12"/>
  <c r="I271" i="12"/>
  <c r="I182" i="12"/>
  <c r="H182" i="12"/>
  <c r="J248" i="12" l="1"/>
  <c r="J214" i="12"/>
  <c r="J184" i="12"/>
  <c r="J246" i="12"/>
  <c r="J222" i="12"/>
  <c r="J218" i="12"/>
  <c r="J249" i="12"/>
  <c r="J185" i="12"/>
  <c r="J217" i="12"/>
  <c r="J254" i="12"/>
  <c r="J250" i="12"/>
  <c r="J216" i="12"/>
  <c r="J265" i="12"/>
  <c r="J257" i="12"/>
  <c r="J253" i="12"/>
  <c r="J244" i="12"/>
  <c r="J240" i="12"/>
  <c r="J230" i="12"/>
  <c r="J201" i="12"/>
  <c r="J193" i="12"/>
  <c r="J189" i="12"/>
  <c r="J262" i="12"/>
  <c r="J233" i="12"/>
  <c r="J225" i="12"/>
  <c r="J221" i="12"/>
  <c r="J212" i="12"/>
  <c r="J208" i="12"/>
  <c r="J206" i="12"/>
  <c r="J198" i="12"/>
  <c r="J270" i="12"/>
  <c r="J266" i="12"/>
  <c r="J264" i="12"/>
  <c r="J238" i="12"/>
  <c r="J234" i="12"/>
  <c r="J232" i="12"/>
  <c r="J202" i="12"/>
  <c r="J200" i="12"/>
  <c r="J269" i="12"/>
  <c r="J260" i="12"/>
  <c r="J256" i="12"/>
  <c r="J241" i="12"/>
  <c r="J237" i="12"/>
  <c r="J228" i="12"/>
  <c r="J224" i="12"/>
  <c r="J209" i="12"/>
  <c r="J205" i="12"/>
  <c r="J196" i="12"/>
  <c r="J190" i="12"/>
  <c r="J258" i="12"/>
  <c r="J242" i="12"/>
  <c r="J226" i="12"/>
  <c r="J210" i="12"/>
  <c r="J194" i="12"/>
  <c r="J192" i="12"/>
  <c r="J268" i="12"/>
  <c r="J261" i="12"/>
  <c r="J252" i="12"/>
  <c r="J245" i="12"/>
  <c r="J236" i="12"/>
  <c r="J229" i="12"/>
  <c r="J220" i="12"/>
  <c r="J213" i="12"/>
  <c r="J204" i="12"/>
  <c r="J197" i="12"/>
  <c r="J186" i="12"/>
  <c r="J259" i="12"/>
  <c r="J251" i="12"/>
  <c r="J235" i="12"/>
  <c r="J187" i="12"/>
  <c r="J188" i="12"/>
  <c r="J267" i="12"/>
  <c r="J243" i="12"/>
  <c r="J227" i="12"/>
  <c r="J219" i="12"/>
  <c r="J211" i="12"/>
  <c r="J203" i="12"/>
  <c r="J195" i="12"/>
  <c r="J271" i="12"/>
  <c r="J263" i="12"/>
  <c r="J255" i="12"/>
  <c r="J247" i="12"/>
  <c r="J239" i="12"/>
  <c r="J231" i="12"/>
  <c r="J223" i="12"/>
  <c r="J215" i="12"/>
  <c r="J207" i="12"/>
  <c r="J199" i="12"/>
  <c r="J191" i="12"/>
  <c r="J183" i="12"/>
  <c r="J182" i="12"/>
  <c r="I293" i="12"/>
  <c r="I296" i="12"/>
  <c r="H30" i="12"/>
  <c r="H27" i="12"/>
  <c r="C191" i="12" l="1"/>
  <c r="C190" i="12"/>
  <c r="C148" i="12"/>
  <c r="C147" i="12"/>
  <c r="F65" i="12"/>
  <c r="E65" i="12" s="1"/>
  <c r="D65" i="12" s="1"/>
  <c r="C65" i="12" s="1"/>
  <c r="A3" i="12"/>
  <c r="A2" i="12"/>
  <c r="A1" i="12"/>
  <c r="C149" i="12" l="1"/>
  <c r="F142" i="12" s="1"/>
  <c r="G65" i="12"/>
  <c r="H65" i="12" s="1"/>
  <c r="I65" i="12" s="1"/>
  <c r="J65" i="12" s="1"/>
  <c r="C119" i="12" l="1"/>
  <c r="C118" i="12"/>
  <c r="D183" i="12"/>
  <c r="D184" i="12"/>
  <c r="D185" i="12"/>
  <c r="D182" i="12"/>
  <c r="C120" i="12" l="1"/>
  <c r="G113" i="12" s="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G57" i="23" l="1"/>
  <c r="H57" i="23" s="1"/>
  <c r="I57" i="23" s="1"/>
  <c r="J57" i="23" s="1"/>
  <c r="D62" i="23"/>
  <c r="G65" i="23"/>
  <c r="H65" i="23" s="1"/>
  <c r="I65" i="23" s="1"/>
  <c r="J65" i="23" s="1"/>
  <c r="G54" i="23"/>
  <c r="H54" i="23" s="1"/>
  <c r="I54" i="23" s="1"/>
  <c r="J54" i="23" s="1"/>
  <c r="K52" i="23" s="1"/>
  <c r="I66" i="23"/>
  <c r="J66" i="23" s="1"/>
  <c r="D54" i="23"/>
  <c r="C54" i="23" s="1"/>
  <c r="G56" i="23"/>
  <c r="F61" i="23"/>
  <c r="C67" i="23"/>
  <c r="F58" i="23"/>
  <c r="F59" i="23" s="1"/>
  <c r="F62" i="23" l="1"/>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E174" i="12"/>
  <c r="K57" i="12" l="1"/>
  <c r="F62" i="12"/>
  <c r="G61" i="12"/>
  <c r="G58" i="12"/>
  <c r="G59" i="12" s="1"/>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<sst xmlns="http://schemas.openxmlformats.org/spreadsheetml/2006/main" count="240" uniqueCount="182">
  <si>
    <t>Week 2</t>
  </si>
  <si>
    <t>Data Driven Decision Making - Course 3</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</si>
  <si>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</si>
  <si>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</si>
  <si>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</si>
  <si>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</si>
  <si>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</si>
  <si>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</si>
  <si>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</si>
  <si>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</si>
  <si>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</si>
  <si>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</si>
  <si>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</si>
  <si>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</si>
  <si>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</si>
  <si>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</si>
  <si>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</si>
  <si>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</si>
  <si>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</si>
  <si>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</si>
  <si>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</si>
  <si>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</si>
  <si>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</si>
  <si>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</si>
  <si>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</si>
  <si>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</si>
  <si>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</si>
  <si>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</si>
  <si>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</si>
  <si>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</si>
  <si>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</si>
  <si>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</si>
  <si>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</si>
  <si>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</si>
  <si>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</si>
  <si>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</si>
  <si>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</si>
  <si>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</si>
  <si>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</si>
  <si>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</si>
  <si>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</si>
  <si>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</si>
  <si>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</si>
  <si>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</si>
  <si>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</si>
  <si>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</si>
  <si>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</si>
  <si>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</si>
  <si>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</si>
  <si>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</si>
  <si>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</si>
  <si>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</si>
  <si>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</si>
  <si>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</si>
  <si>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</si>
  <si>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</si>
  <si>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</si>
  <si>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</si>
  <si>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</si>
  <si>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</si>
  <si>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</si>
  <si>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</si>
  <si>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</si>
  <si>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</si>
  <si>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</si>
  <si>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</si>
  <si>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</si>
  <si>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</si>
  <si>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</si>
  <si>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</si>
  <si>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</si>
  <si>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</si>
  <si>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</si>
  <si>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</si>
  <si>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</si>
  <si>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</si>
  <si>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</si>
  <si>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</si>
  <si>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</si>
  <si>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</si>
  <si>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</si>
  <si>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</si>
  <si>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</si>
  <si>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</si>
  <si>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</si>
  <si>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</si>
  <si>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</si>
  <si>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</si>
  <si>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</si>
  <si>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</si>
  <si>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</si>
  <si>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</si>
  <si>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</si>
  <si>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</si>
  <si>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</si>
  <si>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</si>
  <si>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</si>
  <si>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</si>
  <si>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</si>
  <si>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</si>
  <si>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</si>
  <si>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</si>
  <si>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</si>
  <si>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</si>
  <si>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</si>
  <si>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</si>
  <si>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</si>
  <si>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</si>
  <si>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</si>
  <si>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</si>
  <si>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</si>
  <si>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</si>
  <si>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</si>
  <si>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</si>
  <si>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</si>
  <si>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</si>
  <si>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</si>
  <si>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</si>
  <si>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</si>
  <si>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</si>
  <si>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</si>
  <si>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</si>
  <si>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</si>
  <si>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</si>
  <si>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</si>
  <si>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</si>
  <si>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</si>
  <si>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</si>
  <si>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</si>
  <si>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</si>
  <si>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</si>
  <si>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</si>
  <si>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</si>
  <si>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</si>
  <si>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</si>
  <si>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</si>
  <si>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</si>
  <si>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</si>
  <si>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</si>
  <si>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</si>
  <si>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</si>
  <si>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</si>
  <si>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</si>
  <si>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</si>
  <si>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</si>
  <si>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</si>
  <si>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</si>
  <si>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</si>
  <si>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</si>
  <si>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</si>
  <si>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</si>
  <si>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</si>
  <si>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</si>
  <si>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</si>
  <si>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</si>
  <si>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</si>
  <si>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</si>
  <si>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</si>
  <si>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</si>
  <si>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</si>
  <si>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</si>
  <si>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</si>
  <si>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</si>
  <si>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</si>
  <si>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</si>
  <si>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</si>
  <si>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</si>
  <si>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</si>
  <si>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</si>
  <si>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</si>
  <si>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</si>
  <si>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</si>
  <si>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$J$59</t>
  </si>
  <si>
    <t>$J$62</t>
  </si>
  <si>
    <t>Baseline</t>
  </si>
  <si>
    <t>High growth with margin impact</t>
  </si>
  <si>
    <t>Low Growth with margin impact</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</si>
  <si>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</si>
  <si>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</si>
  <si>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 xml:space="preserve">Our employer wants to explore the potential profitability and growth potential of this new route to Atlanta, under different market environments for demand growth. </t>
  </si>
  <si>
    <t>Exercise 1 - Goal Seek</t>
  </si>
  <si>
    <t>Instructor Exercises - ANSWERS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</si>
</sst>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70">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64"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43" fontId="9" fillId="0" borderId="0" applyFon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44" fontId="9" fillId="0" borderId="0" applyFont="0" applyFill="0" applyBorder="0" applyAlignment="0" applyProtection="0"/>
  </cellStyleXfs>
  <cellXfs count="204">
    <xf numFmtId="164"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64" fontId="31" fillId="0" borderId="0" xfId="0" applyFont="1"/>
    <xf numFmtId="164" fontId="30" fillId="0" borderId="0" xfId="0" applyFont="1" applyAlignment="1">
      <alignment horizontal="left" vertical="top"/>
    </xf>
    <xf numFmtId="164" fontId="30" fillId="0" borderId="0" xfId="0" applyFont="1" applyAlignment="1">
      <alignment horizontal="left"/>
    </xf>
    <xf numFmtId="164"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64" fontId="34" fillId="0" borderId="0" xfId="0" applyFont="1"/>
    <xf numFmtId="169" fontId="0" fillId="0" borderId="0" xfId="0" applyNumberFormat="1"/>
    <xf numFmtId="0" fontId="35" fillId="0" borderId="0" xfId="30" applyNumberFormat="1" applyFont="1" applyFill="1" applyBorder="1"/>
    <xf numFmtId="166" fontId="24" fillId="0" borderId="0" xfId="31" applyNumberFormat="1" applyFont="1"/>
    <xf numFmtId="165" fontId="9" fillId="12" borderId="12" xfId="22" applyFont="1" applyFill="1" applyBorder="1"/>
    <xf numFmtId="43" fontId="9" fillId="12" borderId="14" xfId="31" applyNumberFormat="1" applyFont="1" applyFill="1" applyBorder="1"/>
    <xf numFmtId="9" fontId="37" fillId="14" borderId="13" xfId="1" applyFont="1" applyFill="1" applyBorder="1"/>
    <xf numFmtId="0" fontId="24" fillId="0" borderId="0" xfId="30" quotePrefix="1"/>
    <xf numFmtId="164" fontId="36" fillId="13" borderId="16" xfId="0" applyNumberFormat="1" applyFont="1" applyFill="1" applyBorder="1"/>
    <xf numFmtId="164" fontId="0" fillId="15" borderId="15" xfId="0" applyNumberFormat="1" applyFont="1" applyFill="1" applyBorder="1"/>
    <xf numFmtId="164" fontId="39" fillId="11" borderId="0" xfId="0" applyFont="1" applyFill="1" applyAlignment="1">
      <alignment horizontal="left" vertical="top"/>
    </xf>
    <xf numFmtId="164" fontId="39" fillId="11" borderId="0" xfId="0" applyFont="1" applyFill="1" applyAlignment="1">
      <alignment horizontal="right" vertical="top"/>
    </xf>
    <xf numFmtId="164" fontId="39" fillId="11" borderId="0" xfId="0" applyFont="1" applyFill="1" applyAlignment="1" applyProtection="1">
      <alignment horizontal="left" vertical="top"/>
      <protection locked="0"/>
    </xf>
    <xf numFmtId="164" fontId="39" fillId="11" borderId="0" xfId="0" applyFont="1" applyFill="1" applyAlignment="1" applyProtection="1">
      <alignment horizontal="right" vertical="top"/>
      <protection locked="0"/>
    </xf>
    <xf numFmtId="164" fontId="39" fillId="11" borderId="0" xfId="0" quotePrefix="1" applyFont="1" applyFill="1" applyAlignment="1" applyProtection="1">
      <alignment horizontal="left" vertical="top"/>
      <protection locked="0"/>
    </xf>
    <xf numFmtId="164" fontId="40" fillId="11" borderId="0" xfId="0" applyFont="1" applyFill="1" applyAlignment="1" applyProtection="1">
      <alignment horizontal="left" vertical="top"/>
      <protection locked="0"/>
    </xf>
    <xf numFmtId="164" fontId="41" fillId="11" borderId="0" xfId="0" applyFont="1" applyFill="1" applyAlignment="1" applyProtection="1">
      <alignment horizontal="left" vertical="top"/>
      <protection locked="0"/>
    </xf>
    <xf numFmtId="172" fontId="39" fillId="11" borderId="0" xfId="0" applyNumberFormat="1" applyFont="1" applyFill="1" applyBorder="1" applyAlignment="1" applyProtection="1">
      <alignment horizontal="left" vertical="top"/>
      <protection locked="0"/>
    </xf>
    <xf numFmtId="171"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64" fontId="0" fillId="11" borderId="0" xfId="0" applyFont="1" applyFill="1" applyAlignment="1" applyProtection="1">
      <alignment horizontal="left" vertical="top"/>
      <protection locked="0"/>
    </xf>
    <xf numFmtId="164" fontId="8" fillId="16" borderId="17" xfId="0" applyFont="1" applyFill="1" applyBorder="1" applyAlignment="1" applyProtection="1">
      <alignment horizontal="left" vertical="top"/>
      <protection locked="0"/>
    </xf>
    <xf numFmtId="0" fontId="42" fillId="0" borderId="0" xfId="30" applyFont="1"/>
    <xf numFmtId="170" fontId="8" fillId="16" borderId="0" xfId="0" applyNumberFormat="1" applyFont="1" applyFill="1" applyBorder="1" applyAlignment="1" applyProtection="1">
      <alignment horizontal="left" vertical="top"/>
      <protection locked="0"/>
    </xf>
    <xf numFmtId="5" fontId="43" fillId="11" borderId="0" xfId="0" applyNumberFormat="1" applyFont="1" applyFill="1" applyAlignment="1" applyProtection="1">
      <alignment horizontal="left" vertical="top"/>
      <protection locked="0"/>
    </xf>
    <xf numFmtId="5" fontId="43" fillId="11" borderId="0" xfId="0" applyNumberFormat="1" applyFont="1" applyFill="1" applyBorder="1" applyAlignment="1" applyProtection="1">
      <alignment horizontal="left" vertical="top"/>
      <protection locked="0"/>
    </xf>
    <xf numFmtId="5" fontId="43" fillId="11" borderId="19" xfId="0" applyNumberFormat="1" applyFont="1" applyFill="1" applyBorder="1" applyAlignment="1" applyProtection="1">
      <alignment horizontal="left" vertical="top"/>
      <protection locked="0"/>
    </xf>
    <xf numFmtId="5" fontId="37" fillId="11" borderId="0" xfId="0" applyNumberFormat="1" applyFont="1" applyFill="1" applyBorder="1" applyAlignment="1" applyProtection="1">
      <alignment horizontal="left" vertical="top"/>
      <protection locked="0"/>
    </xf>
    <xf numFmtId="5" fontId="37"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4" fillId="11" borderId="0" xfId="0" applyNumberFormat="1" applyFont="1" applyFill="1" applyAlignment="1" applyProtection="1">
      <alignment horizontal="left" vertical="top"/>
      <protection locked="0"/>
    </xf>
    <xf numFmtId="164" fontId="21" fillId="0" borderId="0" xfId="0" applyFont="1" applyAlignment="1">
      <alignment horizontal="left"/>
    </xf>
    <xf numFmtId="0" fontId="42" fillId="0" borderId="0" xfId="30" applyFont="1" applyFill="1" applyBorder="1"/>
    <xf numFmtId="164" fontId="0" fillId="0" borderId="0" xfId="0" applyFont="1"/>
    <xf numFmtId="167" fontId="24" fillId="0" borderId="0" xfId="30" applyNumberFormat="1"/>
    <xf numFmtId="168" fontId="24" fillId="0" borderId="0" xfId="30" applyNumberFormat="1"/>
    <xf numFmtId="167" fontId="0" fillId="0" borderId="0" xfId="0" applyNumberFormat="1" applyFont="1" applyFill="1" applyBorder="1"/>
    <xf numFmtId="0" fontId="45" fillId="0" borderId="0" xfId="30" applyFont="1"/>
    <xf numFmtId="8"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64" fontId="47" fillId="17" borderId="23" xfId="0" applyFont="1" applyFill="1" applyBorder="1" applyAlignment="1">
      <alignment horizontal="left"/>
    </xf>
    <xf numFmtId="164" fontId="48" fillId="17" borderId="23" xfId="0" applyFont="1" applyFill="1" applyBorder="1" applyAlignment="1">
      <alignment horizontal="right"/>
    </xf>
    <xf numFmtId="164" fontId="47" fillId="17" borderId="11" xfId="0" applyFont="1" applyFill="1" applyBorder="1" applyAlignment="1">
      <alignment horizontal="left"/>
    </xf>
    <xf numFmtId="164" fontId="49" fillId="18" borderId="0" xfId="0" applyFont="1" applyFill="1" applyBorder="1" applyAlignment="1">
      <alignment horizontal="left"/>
    </xf>
    <xf numFmtId="164" fontId="0" fillId="0" borderId="0" xfId="0" applyFill="1" applyBorder="1" applyAlignment="1"/>
    <xf numFmtId="164" fontId="20" fillId="0" borderId="0" xfId="0" applyFont="1" applyFill="1" applyBorder="1" applyAlignment="1">
      <alignment vertical="top" wrapText="1"/>
    </xf>
    <xf numFmtId="164" fontId="50" fillId="18" borderId="24" xfId="0" applyFont="1" applyFill="1" applyBorder="1" applyAlignment="1">
      <alignment horizontal="left"/>
    </xf>
    <xf numFmtId="164" fontId="0" fillId="0" borderId="24" xfId="0" applyFill="1" applyBorder="1" applyAlignment="1"/>
    <xf numFmtId="5" fontId="42"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7" fillId="11" borderId="0" xfId="0" applyFont="1" applyFill="1" applyAlignment="1" applyProtection="1">
      <alignment horizontal="right" vertical="top"/>
      <protection locked="0"/>
    </xf>
    <xf numFmtId="5" fontId="0" fillId="0" borderId="0" xfId="0" applyNumberFormat="1" applyFill="1" applyBorder="1" applyAlignment="1"/>
    <xf numFmtId="164" fontId="49"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48" fillId="17" borderId="11" xfId="0" applyFont="1" applyFill="1" applyBorder="1" applyAlignment="1">
      <alignment horizontal="center" vertical="center" wrapText="1"/>
    </xf>
    <xf numFmtId="171" fontId="43" fillId="11" borderId="18" xfId="0" applyNumberFormat="1" applyFont="1" applyFill="1" applyBorder="1" applyAlignment="1" applyProtection="1">
      <alignment horizontal="left" vertical="top"/>
      <protection locked="0"/>
    </xf>
    <xf numFmtId="164" fontId="9" fillId="11" borderId="0" xfId="0" applyFont="1" applyFill="1" applyAlignment="1" applyProtection="1">
      <alignment horizontal="left" vertical="top"/>
      <protection locked="0"/>
    </xf>
    <xf numFmtId="164" fontId="9" fillId="11" borderId="0" xfId="0" applyFont="1" applyFill="1" applyAlignment="1" applyProtection="1">
      <alignment horizontal="right" vertical="top"/>
      <protection locked="0"/>
    </xf>
    <xf numFmtId="164" fontId="9" fillId="11" borderId="0" xfId="0" quotePrefix="1" applyFont="1" applyFill="1" applyAlignment="1" applyProtection="1">
      <alignment horizontal="left" vertical="top"/>
      <protection locked="0"/>
    </xf>
    <xf numFmtId="164" fontId="9" fillId="11" borderId="11" xfId="0" applyFont="1" applyFill="1" applyBorder="1" applyAlignment="1" applyProtection="1">
      <alignment horizontal="left" vertical="top"/>
      <protection locked="0"/>
    </xf>
    <xf numFmtId="164" fontId="9" fillId="11" borderId="0" xfId="0" applyFont="1" applyFill="1" applyBorder="1" applyAlignment="1" applyProtection="1">
      <alignment horizontal="left" vertical="top"/>
      <protection locked="0"/>
    </xf>
    <xf numFmtId="164" fontId="9" fillId="11" borderId="18" xfId="0" applyFont="1" applyFill="1" applyBorder="1" applyAlignment="1" applyProtection="1">
      <alignment horizontal="left" vertical="top"/>
      <protection locked="0"/>
    </xf>
    <xf numFmtId="5" fontId="9" fillId="11" borderId="18" xfId="0" applyNumberFormat="1" applyFont="1" applyFill="1" applyBorder="1" applyAlignment="1" applyProtection="1">
      <alignment horizontal="left" vertical="top"/>
      <protection locked="0"/>
    </xf>
    <xf numFmtId="5" fontId="9" fillId="11" borderId="0" xfId="0" applyNumberFormat="1" applyFont="1" applyFill="1" applyAlignment="1" applyProtection="1">
      <alignment horizontal="left" vertical="top"/>
      <protection locked="0"/>
    </xf>
    <xf numFmtId="171" fontId="9" fillId="11" borderId="0" xfId="0" applyNumberFormat="1" applyFont="1" applyFill="1" applyAlignment="1" applyProtection="1">
      <alignment horizontal="left" vertical="top"/>
      <protection locked="0"/>
    </xf>
    <xf numFmtId="5" fontId="9" fillId="11" borderId="19" xfId="0" applyNumberFormat="1" applyFont="1" applyFill="1" applyBorder="1" applyAlignment="1" applyProtection="1">
      <alignment horizontal="left" vertical="top"/>
      <protection locked="0"/>
    </xf>
    <xf numFmtId="5" fontId="9" fillId="11" borderId="0" xfId="0" applyNumberFormat="1" applyFont="1" applyFill="1" applyBorder="1" applyAlignment="1" applyProtection="1">
      <alignment horizontal="left" vertical="top"/>
      <protection locked="0"/>
    </xf>
    <xf numFmtId="5" fontId="9" fillId="11" borderId="20" xfId="0" applyNumberFormat="1" applyFont="1" applyFill="1" applyBorder="1" applyAlignment="1" applyProtection="1">
      <alignment horizontal="left" vertical="top"/>
      <protection locked="0"/>
    </xf>
    <xf numFmtId="9" fontId="9" fillId="12" borderId="22" xfId="1" applyFont="1" applyFill="1" applyBorder="1"/>
    <xf numFmtId="172" fontId="9" fillId="11" borderId="0" xfId="0" applyNumberFormat="1" applyFont="1" applyFill="1" applyBorder="1" applyAlignment="1" applyProtection="1">
      <alignment horizontal="left" vertical="top"/>
      <protection locked="0"/>
    </xf>
    <xf numFmtId="171" fontId="9" fillId="11" borderId="0" xfId="0" applyNumberFormat="1" applyFont="1" applyFill="1" applyBorder="1" applyAlignment="1" applyProtection="1">
      <alignment horizontal="left" vertical="top"/>
      <protection locked="0"/>
    </xf>
    <xf numFmtId="0" fontId="51"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4" fillId="0" borderId="0" xfId="30" applyNumberFormat="1"/>
    <xf numFmtId="167" fontId="24" fillId="0" borderId="0" xfId="1" applyNumberFormat="1" applyFont="1"/>
    <xf numFmtId="166" fontId="0" fillId="0" borderId="0" xfId="0" applyNumberFormat="1"/>
    <xf numFmtId="0" fontId="52" fillId="0" borderId="0" xfId="30" applyFont="1"/>
    <xf numFmtId="164" fontId="53" fillId="0" borderId="0" xfId="0" applyFont="1"/>
    <xf numFmtId="0" fontId="54" fillId="0" borderId="0" xfId="30" applyNumberFormat="1" applyFont="1" applyFill="1" applyBorder="1"/>
    <xf numFmtId="49" fontId="55" fillId="0" borderId="0" xfId="0" applyNumberFormat="1" applyFont="1" applyAlignment="1">
      <alignment vertical="top"/>
    </xf>
    <xf numFmtId="169" fontId="0" fillId="0" borderId="26" xfId="0" applyNumberFormat="1" applyBorder="1"/>
    <xf numFmtId="164" fontId="0" fillId="0" borderId="26" xfId="0" applyBorder="1"/>
    <xf numFmtId="0" fontId="58" fillId="20" borderId="26" xfId="27" applyNumberFormat="1" applyFont="1" applyFill="1" applyBorder="1" applyAlignment="1">
      <alignment horizontal="center"/>
    </xf>
    <xf numFmtId="164"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64" fontId="1" fillId="0" borderId="0" xfId="0" applyFont="1"/>
    <xf numFmtId="164" fontId="60" fillId="11" borderId="0" xfId="0" applyFont="1" applyFill="1" applyAlignment="1" applyProtection="1">
      <alignment horizontal="left" vertical="top"/>
      <protection locked="0"/>
    </xf>
    <xf numFmtId="164" fontId="60" fillId="11" borderId="0" xfId="0" applyFont="1" applyFill="1" applyAlignment="1" applyProtection="1">
      <alignment horizontal="right" vertical="top"/>
      <protection locked="0"/>
    </xf>
    <xf numFmtId="0" fontId="57" fillId="0" borderId="0" xfId="30" applyFont="1"/>
    <xf numFmtId="164" fontId="1" fillId="11" borderId="0" xfId="0" applyFont="1" applyFill="1" applyAlignment="1" applyProtection="1">
      <alignment horizontal="left" vertical="top"/>
      <protection locked="0"/>
    </xf>
    <xf numFmtId="164" fontId="1" fillId="11" borderId="0" xfId="0" applyFont="1" applyFill="1" applyAlignment="1" applyProtection="1">
      <alignment horizontal="right" vertical="top"/>
      <protection locked="0"/>
    </xf>
    <xf numFmtId="164" fontId="1" fillId="11" borderId="0" xfId="0" quotePrefix="1" applyFont="1" applyFill="1" applyAlignment="1" applyProtection="1">
      <alignment horizontal="center" vertical="top"/>
      <protection locked="0"/>
    </xf>
    <xf numFmtId="170" fontId="61" fillId="20" borderId="26" xfId="0" applyNumberFormat="1" applyFont="1" applyFill="1" applyBorder="1" applyAlignment="1" applyProtection="1">
      <alignment horizontal="center" vertical="top"/>
      <protection locked="0"/>
    </xf>
    <xf numFmtId="164" fontId="1" fillId="11" borderId="0" xfId="0" applyFont="1" applyFill="1" applyBorder="1" applyAlignment="1" applyProtection="1">
      <alignment horizontal="left" vertical="top"/>
      <protection locked="0"/>
    </xf>
    <xf numFmtId="171" fontId="1" fillId="11" borderId="0" xfId="0" applyNumberFormat="1" applyFont="1" applyFill="1" applyAlignment="1" applyProtection="1">
      <alignment horizontal="left" vertical="top"/>
      <protection locked="0"/>
    </xf>
    <xf numFmtId="5" fontId="1" fillId="11" borderId="0" xfId="0" applyNumberFormat="1" applyFont="1" applyFill="1" applyBorder="1" applyAlignment="1" applyProtection="1">
      <alignment horizontal="left" vertical="top"/>
      <protection locked="0"/>
    </xf>
    <xf numFmtId="164" fontId="56" fillId="11" borderId="0" xfId="0" applyFont="1" applyFill="1" applyAlignment="1" applyProtection="1">
      <alignment horizontal="right" vertical="top"/>
      <protection locked="0"/>
    </xf>
    <xf numFmtId="5" fontId="56" fillId="11" borderId="0" xfId="0" applyNumberFormat="1" applyFont="1" applyFill="1" applyBorder="1" applyAlignment="1" applyProtection="1">
      <alignment horizontal="left" vertical="top"/>
      <protection locked="0"/>
    </xf>
    <xf numFmtId="172" fontId="1" fillId="11" borderId="0" xfId="0" applyNumberFormat="1" applyFont="1" applyFill="1" applyBorder="1" applyAlignment="1" applyProtection="1">
      <alignment horizontal="left" vertical="top"/>
      <protection locked="0"/>
    </xf>
    <xf numFmtId="171" fontId="1" fillId="11" borderId="0" xfId="0" applyNumberFormat="1" applyFont="1" applyFill="1" applyBorder="1" applyAlignment="1" applyProtection="1">
      <alignment horizontal="left" vertical="top"/>
      <protection locked="0"/>
    </xf>
    <xf numFmtId="164" fontId="63" fillId="0" borderId="0" xfId="0" applyFont="1" applyAlignment="1">
      <alignment horizontal="left"/>
    </xf>
    <xf numFmtId="0" fontId="57" fillId="0" borderId="0" xfId="30" applyFont="1" applyFill="1" applyBorder="1"/>
    <xf numFmtId="5" fontId="64" fillId="11" borderId="0" xfId="0" applyNumberFormat="1" applyFont="1" applyFill="1" applyBorder="1" applyAlignment="1" applyProtection="1">
      <alignment horizontal="left" vertical="top"/>
      <protection locked="0"/>
    </xf>
    <xf numFmtId="5" fontId="64" fillId="11" borderId="11" xfId="0" applyNumberFormat="1" applyFont="1" applyFill="1" applyBorder="1" applyAlignment="1" applyProtection="1">
      <alignment horizontal="left" vertical="top"/>
      <protection locked="0"/>
    </xf>
    <xf numFmtId="5" fontId="57" fillId="11" borderId="11" xfId="0" applyNumberFormat="1" applyFont="1" applyFill="1" applyBorder="1" applyAlignment="1" applyProtection="1">
      <alignment horizontal="left" vertical="top"/>
      <protection locked="0"/>
    </xf>
    <xf numFmtId="5" fontId="1" fillId="11" borderId="11" xfId="0" applyNumberFormat="1" applyFont="1" applyFill="1" applyBorder="1" applyAlignment="1" applyProtection="1">
      <alignment horizontal="left" vertical="top"/>
      <protection locked="0"/>
    </xf>
    <xf numFmtId="5" fontId="64" fillId="11" borderId="29" xfId="0" applyNumberFormat="1" applyFont="1" applyFill="1" applyBorder="1" applyAlignment="1" applyProtection="1">
      <alignment horizontal="left" vertical="top"/>
      <protection locked="0"/>
    </xf>
    <xf numFmtId="5" fontId="64" fillId="11" borderId="30" xfId="0" applyNumberFormat="1" applyFont="1" applyFill="1" applyBorder="1" applyAlignment="1" applyProtection="1">
      <alignment horizontal="left" vertical="top"/>
      <protection locked="0"/>
    </xf>
    <xf numFmtId="5" fontId="1" fillId="11" borderId="29" xfId="0" applyNumberFormat="1" applyFont="1" applyFill="1" applyBorder="1" applyAlignment="1" applyProtection="1">
      <alignment horizontal="left" vertical="top"/>
      <protection locked="0"/>
    </xf>
    <xf numFmtId="5" fontId="56" fillId="11" borderId="29" xfId="0" applyNumberFormat="1" applyFont="1" applyFill="1" applyBorder="1" applyAlignment="1" applyProtection="1">
      <alignment horizontal="left" vertical="top"/>
      <protection locked="0"/>
    </xf>
    <xf numFmtId="171" fontId="64" fillId="11" borderId="31" xfId="0" applyNumberFormat="1" applyFont="1" applyFill="1" applyBorder="1" applyAlignment="1" applyProtection="1">
      <alignment horizontal="left" vertical="top"/>
      <protection locked="0"/>
    </xf>
    <xf numFmtId="171" fontId="64" fillId="11" borderId="32" xfId="0" applyNumberFormat="1" applyFont="1" applyFill="1" applyBorder="1" applyAlignment="1" applyProtection="1">
      <alignment horizontal="left" vertical="top"/>
      <protection locked="0"/>
    </xf>
    <xf numFmtId="164" fontId="1" fillId="11" borderId="0" xfId="0" quotePrefix="1" applyFont="1" applyFill="1" applyAlignment="1" applyProtection="1">
      <alignment horizontal="center" vertical="center"/>
      <protection locked="0"/>
    </xf>
    <xf numFmtId="164" fontId="1" fillId="11" borderId="0" xfId="0" applyFont="1" applyFill="1" applyBorder="1" applyAlignment="1" applyProtection="1">
      <alignment horizontal="center" vertical="top"/>
      <protection locked="0"/>
    </xf>
    <xf numFmtId="164" fontId="1" fillId="11" borderId="33" xfId="0" applyFont="1" applyFill="1" applyBorder="1" applyAlignment="1" applyProtection="1">
      <alignment horizontal="center" vertical="top"/>
      <protection locked="0"/>
    </xf>
    <xf numFmtId="171" fontId="57" fillId="11" borderId="33" xfId="0" applyNumberFormat="1" applyFont="1" applyFill="1" applyBorder="1" applyAlignment="1" applyProtection="1">
      <alignment horizontal="center" vertical="center" wrapText="1"/>
      <protection locked="0"/>
    </xf>
    <xf numFmtId="171" fontId="65" fillId="11" borderId="0" xfId="0" applyNumberFormat="1" applyFont="1" applyFill="1" applyAlignment="1" applyProtection="1">
      <alignment horizontal="left" vertical="top"/>
      <protection locked="0"/>
    </xf>
    <xf numFmtId="171" fontId="65" fillId="11" borderId="11" xfId="0" applyNumberFormat="1" applyFont="1" applyFill="1" applyBorder="1" applyAlignment="1" applyProtection="1">
      <alignment horizontal="left" vertical="top"/>
      <protection locked="0"/>
    </xf>
    <xf numFmtId="171" fontId="66" fillId="11" borderId="0" xfId="0" applyNumberFormat="1" applyFont="1" applyFill="1" applyBorder="1" applyAlignment="1" applyProtection="1">
      <alignment horizontal="left" vertical="top"/>
      <protection locked="0"/>
    </xf>
    <xf numFmtId="164"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64" fontId="55"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2" fillId="14" borderId="26" xfId="41" applyNumberFormat="1" applyFont="1" applyFill="1" applyBorder="1"/>
    <xf numFmtId="9" fontId="42" fillId="14" borderId="26" xfId="1" applyFont="1" applyFill="1" applyBorder="1"/>
    <xf numFmtId="164" fontId="21" fillId="21" borderId="26" xfId="0" applyFont="1" applyFill="1" applyBorder="1" applyAlignment="1">
      <alignment horizontal="right"/>
    </xf>
    <xf numFmtId="168" fontId="21" fillId="21" borderId="26" xfId="0" applyNumberFormat="1" applyFont="1" applyFill="1" applyBorder="1"/>
    <xf numFmtId="5"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66"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64" fontId="1" fillId="0" borderId="26" xfId="0" applyFont="1" applyBorder="1"/>
    <xf numFmtId="6" fontId="57" fillId="0" borderId="26" xfId="30" applyNumberFormat="1" applyFont="1" applyBorder="1"/>
    <xf numFmtId="9" fontId="61" fillId="20" borderId="26" xfId="1" applyFont="1" applyFill="1" applyBorder="1" applyAlignment="1">
      <alignment horizontal="right"/>
    </xf>
    <xf numFmtId="7"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66"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66" fontId="61" fillId="20" borderId="26" xfId="31" applyNumberFormat="1" applyFont="1" applyFill="1" applyBorder="1" applyAlignment="1">
      <alignment horizontal="center" wrapText="1"/>
    </xf>
    <xf numFmtId="168" fontId="1" fillId="0" borderId="26" xfId="0" applyNumberFormat="1" applyFont="1" applyFill="1" applyBorder="1" applyAlignment="1">
      <alignment vertical="center"/>
    </xf>
    <xf numFmtId="5" fontId="57" fillId="14" borderId="26" xfId="41" applyNumberFormat="1" applyFont="1" applyFill="1" applyBorder="1"/>
    <xf numFmtId="164" fontId="1" fillId="0" borderId="0" xfId="0" applyFont="1" applyAlignment="1">
      <alignment vertical="center"/>
    </xf>
    <xf numFmtId="0" fontId="56" fillId="0" borderId="0" xfId="30" applyFont="1" applyAlignment="1">
      <alignment horizontal="center"/>
    </xf>
    <xf numFmtId="8" fontId="42" fillId="14" borderId="26" xfId="1" applyNumberFormat="1" applyFont="1" applyFill="1" applyBorder="1"/>
    <xf numFmtId="171" fontId="0" fillId="0" borderId="25" xfId="0" applyNumberFormat="1" applyFill="1" applyBorder="1" applyAlignment="1"/>
    <xf numFmtId="164" fontId="48" fillId="17" borderId="11" xfId="0" applyFont="1" applyFill="1" applyBorder="1" applyAlignment="1">
      <alignment horizontal="right"/>
    </xf>
    <xf numFmtId="7" fontId="37" fillId="14" borderId="26" xfId="41" applyNumberFormat="1" applyFont="1" applyFill="1" applyBorder="1"/>
    <xf numFmtId="164" fontId="61" fillId="20" borderId="27" xfId="0" applyFont="1" applyFill="1" applyBorder="1" applyAlignment="1" applyProtection="1">
      <alignment horizontal="center" vertical="top"/>
      <protection locked="0"/>
    </xf>
    <xf numFmtId="164" fontId="61" fillId="20" borderId="24" xfId="0" applyFont="1" applyFill="1" applyBorder="1" applyAlignment="1" applyProtection="1">
      <alignment horizontal="center" vertical="top"/>
      <protection locked="0"/>
    </xf>
    <xf numFmtId="164" fontId="61" fillId="20" borderId="28" xfId="0" applyFont="1" applyFill="1" applyBorder="1" applyAlignment="1" applyProtection="1">
      <alignment horizontal="center" vertical="top"/>
      <protection locked="0"/>
    </xf>
    <xf numFmtId="164" fontId="36"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1" fillId="20" borderId="26" xfId="0" applyFont="1" applyFill="1" applyBorder="1" applyAlignment="1" applyProtection="1">
      <alignment horizontal="center" vertical="top"/>
      <protection locked="0"/>
    </xf>
    <xf numFmtId="164"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xf numFmtId="164" fontId="67" fillId="17" borderId="11" xfId="0" applyFont="1" applyFill="1" applyBorder="1" applyAlignment="1">
      <alignment horizontal="left"/>
    </xf>
    <xf numFmtId="164" fontId="67" fillId="17" borderId="23" xfId="0" applyFont="1" applyFill="1" applyBorder="1" applyAlignment="1">
      <alignment horizontal="left"/>
    </xf>
    <xf numFmtId="164" fontId="68" fillId="18" borderId="0" xfId="0" applyFont="1" applyFill="1" applyBorder="1" applyAlignment="1">
      <alignment horizontal="left"/>
    </xf>
    <xf numFmtId="164" fontId="69" fillId="18" borderId="24" xfId="0" applyFont="1" applyFill="1" applyBorder="1" applyAlignment="1">
      <alignment horizontal="left"/>
    </xf>
    <xf numFmtId="164" fontId="68" fillId="18" borderId="25" xfId="0" applyFont="1" applyFill="1" applyBorder="1" applyAlignment="1">
      <alignment horizontal="left"/>
    </xf>
    <xf numFmtId="164" fontId="20" fillId="0" borderId="0" xfId="0" applyFont="1" applyFill="1" applyBorder="1" applyAlignment="1"/>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($1,986,205) to ($631,945)</c:v>
                </c:pt>
                <c:pt idx="1">
                  <c:v>($631,944) to ($1)</c:v>
                </c:pt>
                <c:pt idx="2">
                  <c:v>$0 to $722,316</c:v>
                </c:pt>
                <c:pt idx="3">
                  <c:v>$722,317 to $2,076,576</c:v>
                </c:pt>
                <c:pt idx="4">
                  <c:v>$2,076,577 to $3,430,837</c:v>
                </c:pt>
                <c:pt idx="5">
                  <c:v>$3,430,838 to $4,785,098</c:v>
                </c:pt>
              </c:strCache>
            </c:strRef>
          </c:cat>
          <c:val>
            <c:numRef>
              <c:f>'List Data'!$B$10:$B$16</c:f>
              <c:numCache>
                <c:formatCode>_(* #,##0_);_(* \(#,##0\);_(* "-"_);@_)</c:formatCode>
                <c:ptCount val="7"/>
                <c:pt idx="0">
                  <c:v>11</c:v>
                </c:pt>
                <c:pt idx="1">
                  <c:v>8</c:v>
                </c:pt>
                <c:pt idx="2">
                  <c:v>3</c:v>
                </c:pt>
                <c:pt idx="3">
                  <c:v>30</c:v>
                </c:pt>
                <c:pt idx="4">
                  <c:v>27</c:v>
                </c:pt>
                <c:pt idx="5">
                  <c:v>11</c:v>
                </c:pt>
              </c:numCache>
            </c:numRef>
          </c:val>
        </c:ser>
        <c:dLbls>
          <c:showLegendKey val="0"/>
          <c:showVal val="0"/>
          <c:showCatName val="0"/>
          <c:showSerName val="0"/>
          <c:showPercent val="0"/>
          <c:showBubbleSize val="0"/>
        </c:dLbls>
        <c:gapWidth val="219"/>
        <c:overlap val="-27"/>
        <c:axId val="426305176"/>
        <c:axId val="675081328"/>
      </c:barChart>
      <c:catAx>
        <c:axId val="42630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675081328"/>
        <c:crosses val="autoZero"/>
        <c:auto val="1"/>
        <c:lblAlgn val="ctr"/>
        <c:lblOffset val="100"/>
        <c:noMultiLvlLbl val="0"/>
      </c:catAx>
      <c:valAx>
        <c:axId val="67508132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6305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ea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
  <sheetViews>
    <sheetView showGridLines="0" tabSelected="1" zoomScale="80" zoomScaleNormal="80" workbookViewId="0"/>
  </sheetViews>
  <sheetFormatPr defaultColWidth="8.85546875" defaultRowHeight="12"/>
  <sheetData>
    <row r="1" spans="1:1" ht="18">
      <c r="A1" s="109" t="s">
        <v>1</v>
      </c>
    </row>
    <row r="2" spans="1:1" ht="18">
      <c r="A2" s="109" t="s">
        <v>0</v>
      </c>
    </row>
    <row r="3" spans="1:1" ht="18">
      <c r="A3" s="109" t="s">
        <v>2</v>
      </c>
    </row>
    <row r="4" spans="1:1" ht="18">
      <c r="A4" s="109" t="s">
        <v>181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workbookViewId="0">
      <selection activeCell="F38" sqref="F38"/>
    </sheetView>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59999389629810485"/>
  </sheetPr>
  <dimension ref="A1:V300"/>
  <sheetViews>
    <sheetView showGridLines="0" zoomScale="80" zoomScaleNormal="80" workbookViewId="0"/>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0" width="17.42578125" style="1" bestFit="1" customWidth="1"/>
    <col min="11"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Data Driven Decision Making - Course 3</v>
      </c>
    </row>
    <row r="2" spans="1:7" ht="18">
      <c r="A2" s="110" t="str">
        <f>'Cover Page'!A2</f>
        <v>Week 2</v>
      </c>
    </row>
    <row r="3" spans="1:7" ht="18">
      <c r="A3" s="110" t="str">
        <f>'Cover Page'!A3</f>
        <v>Scenario Analysis</v>
      </c>
    </row>
    <row r="4" spans="1:7" ht="18">
      <c r="A4" s="110" t="s">
        <v>122</v>
      </c>
    </row>
    <row r="7" spans="1:7" outlineLevel="1">
      <c r="A7" s="14"/>
    </row>
    <row r="8" spans="1:7" ht="15.75" outlineLevel="1">
      <c r="A8" s="14"/>
      <c r="B8" s="111" t="s">
        <v>180</v>
      </c>
    </row>
    <row r="9" spans="1:7" outlineLevel="1">
      <c r="A9" s="14"/>
    </row>
    <row r="10" spans="1:7" ht="14.25" outlineLevel="1">
      <c r="A10" s="14"/>
      <c r="B10" s="112" t="s">
        <v>111</v>
      </c>
      <c r="C10" s="11"/>
    </row>
    <row r="11" spans="1:7" ht="14.25" outlineLevel="1">
      <c r="A11" s="14"/>
      <c r="B11" s="112" t="s">
        <v>112</v>
      </c>
      <c r="C11" s="11"/>
      <c r="E11"/>
      <c r="F11"/>
      <c r="G11"/>
    </row>
    <row r="12" spans="1:7" ht="14.25" outlineLevel="1">
      <c r="A12" s="14"/>
      <c r="B12" s="112" t="s">
        <v>118</v>
      </c>
      <c r="C12" s="11"/>
      <c r="E12"/>
      <c r="F12"/>
      <c r="G12"/>
    </row>
    <row r="13" spans="1:7" outlineLevel="1">
      <c r="A13" s="14"/>
      <c r="C13" s="11"/>
      <c r="E13"/>
      <c r="F13"/>
      <c r="G13"/>
    </row>
    <row r="14" spans="1:7" ht="14.25" outlineLevel="1">
      <c r="A14" s="14"/>
      <c r="B14" s="112" t="s">
        <v>113</v>
      </c>
      <c r="C14" s="11"/>
      <c r="E14"/>
      <c r="F14"/>
      <c r="G14"/>
    </row>
    <row r="15" spans="1:7" ht="14.25" outlineLevel="1">
      <c r="A15" s="14"/>
      <c r="B15" s="112" t="s">
        <v>114</v>
      </c>
      <c r="C15" s="11"/>
      <c r="E15"/>
      <c r="F15"/>
      <c r="G15"/>
    </row>
    <row r="16" spans="1:7" ht="14.25" outlineLevel="1">
      <c r="A16" s="14"/>
      <c r="B16" s="112" t="s">
        <v>115</v>
      </c>
      <c r="C16"/>
      <c r="E16"/>
      <c r="F16"/>
      <c r="G16"/>
    </row>
    <row r="17" spans="1:12" ht="14.25" outlineLevel="1">
      <c r="A17" s="14"/>
      <c r="B17" s="112" t="s">
        <v>116</v>
      </c>
      <c r="C17"/>
      <c r="E17"/>
      <c r="F17"/>
      <c r="G17"/>
    </row>
    <row r="18" spans="1:12" ht="14.25" outlineLevel="1">
      <c r="A18" s="14"/>
      <c r="B18" s="112" t="s">
        <v>117</v>
      </c>
      <c r="C18"/>
      <c r="E18"/>
      <c r="F18"/>
      <c r="G18"/>
    </row>
    <row r="19" spans="1:12" outlineLevel="1">
      <c r="A19" s="14"/>
      <c r="C19"/>
      <c r="E19"/>
      <c r="F19"/>
      <c r="G19"/>
    </row>
    <row r="20" spans="1:12" ht="15.75" outlineLevel="1">
      <c r="A20" s="14"/>
      <c r="B20" s="111" t="s">
        <v>119</v>
      </c>
      <c r="C20"/>
      <c r="E20"/>
      <c r="F20"/>
      <c r="G20"/>
    </row>
    <row r="21" spans="1:12" ht="15.75" outlineLevel="1">
      <c r="A21" s="14"/>
      <c r="B21" s="111" t="s">
        <v>120</v>
      </c>
      <c r="C21"/>
      <c r="E21"/>
      <c r="F21"/>
      <c r="G21"/>
    </row>
    <row r="22" spans="1:12" ht="15.75" outlineLevel="1">
      <c r="A22" s="14"/>
      <c r="B22" s="111" t="s">
        <v>121</v>
      </c>
      <c r="C22"/>
      <c r="E22"/>
      <c r="F22"/>
      <c r="G22"/>
    </row>
    <row r="23" spans="1:12" outlineLevel="1">
      <c r="A23" s="14"/>
      <c r="B23"/>
      <c r="C23"/>
      <c r="E23"/>
      <c r="F23"/>
      <c r="G23"/>
    </row>
    <row r="24" spans="1:12" outlineLevel="1">
      <c r="A24" s="14"/>
      <c r="B24"/>
      <c r="C24"/>
      <c r="E24"/>
      <c r="F24"/>
      <c r="G24"/>
    </row>
    <row r="25" spans="1:12" outlineLevel="1">
      <c r="A25" s="14"/>
      <c r="B25" s="115" t="s">
        <v>9</v>
      </c>
      <c r="C25" s="116" t="s">
        <v>10</v>
      </c>
      <c r="E25"/>
    </row>
    <row r="26" spans="1:12" outlineLevel="1">
      <c r="A26" s="14"/>
      <c r="B26" s="113">
        <v>-250000</v>
      </c>
      <c r="C26" s="114">
        <v>0</v>
      </c>
      <c r="I26" s="5"/>
    </row>
    <row r="27" spans="1:12" outlineLevel="1">
      <c r="A27" s="14"/>
      <c r="B27" s="113">
        <v>100000</v>
      </c>
      <c r="C27" s="114">
        <v>1</v>
      </c>
      <c r="E27"/>
      <c r="F27" s="190" t="s">
        <v>13</v>
      </c>
      <c r="G27" s="190"/>
      <c r="H27" s="183">
        <f>NPV(H28,B26:B31)</f>
        <v>8.7027069639893953E-8</v>
      </c>
      <c r="I27" s="28"/>
    </row>
    <row r="28" spans="1:12" outlineLevel="1">
      <c r="A28" s="14"/>
      <c r="B28" s="113">
        <v>150000</v>
      </c>
      <c r="C28" s="114">
        <v>2</v>
      </c>
      <c r="E28"/>
      <c r="F28" s="190" t="s">
        <v>11</v>
      </c>
      <c r="G28" s="190"/>
      <c r="H28" s="161">
        <v>0.56723033443553295</v>
      </c>
      <c r="I28" s="28"/>
    </row>
    <row r="29" spans="1:12" outlineLevel="1">
      <c r="A29" s="14"/>
      <c r="B29" s="113">
        <v>200000</v>
      </c>
      <c r="C29" s="114">
        <v>3</v>
      </c>
      <c r="E29"/>
    </row>
    <row r="30" spans="1:12" outlineLevel="1">
      <c r="A30" s="14"/>
      <c r="B30" s="113">
        <v>250000</v>
      </c>
      <c r="C30" s="114">
        <v>4</v>
      </c>
      <c r="E30"/>
      <c r="F30" s="191" t="s">
        <v>12</v>
      </c>
      <c r="G30" s="191"/>
      <c r="H30" s="161">
        <f>IRR(B26:B31,0.2)</f>
        <v>0.5672303344358538</v>
      </c>
      <c r="I30" s="28"/>
    </row>
    <row r="31" spans="1:12" outlineLevel="1">
      <c r="A31" s="14"/>
      <c r="B31" s="113">
        <v>300000</v>
      </c>
      <c r="C31" s="114">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1" t="s">
        <v>123</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2" t="s">
        <v>179</v>
      </c>
      <c r="C42" s="31"/>
      <c r="D42" s="31"/>
      <c r="E42" s="32"/>
      <c r="F42" s="31"/>
      <c r="G42" s="31"/>
      <c r="H42" s="31"/>
      <c r="I42" s="31"/>
      <c r="J42" s="31"/>
      <c r="K42" s="31"/>
      <c r="L42" s="31"/>
      <c r="M42" s="31"/>
      <c r="N42" s="31"/>
      <c r="O42" s="31"/>
    </row>
    <row r="43" spans="1:15" ht="14.25" outlineLevel="1">
      <c r="A43" s="14"/>
      <c r="B43" s="112" t="s">
        <v>124</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7" t="s">
        <v>125</v>
      </c>
      <c r="C45" s="31"/>
      <c r="D45" s="31"/>
      <c r="E45" s="32"/>
      <c r="F45" s="31"/>
      <c r="G45" s="31"/>
      <c r="H45" s="31"/>
      <c r="I45" s="31"/>
      <c r="J45" s="31"/>
      <c r="K45" s="31"/>
      <c r="L45" s="31"/>
      <c r="M45" s="31"/>
      <c r="N45" s="31"/>
      <c r="O45" s="31"/>
    </row>
    <row r="46" spans="1:15" ht="14.25" outlineLevel="1">
      <c r="A46" s="14"/>
      <c r="B46" s="117" t="s">
        <v>126</v>
      </c>
      <c r="C46" s="33"/>
      <c r="D46" s="33"/>
      <c r="E46" s="34"/>
      <c r="F46" s="33"/>
      <c r="G46" s="33"/>
      <c r="H46" s="33"/>
      <c r="I46" s="33"/>
      <c r="J46" s="33"/>
      <c r="K46" s="33"/>
      <c r="L46" s="33"/>
      <c r="M46" s="33"/>
      <c r="N46" s="33"/>
    </row>
    <row r="47" spans="1:15" ht="14.25" outlineLevel="1">
      <c r="A47" s="14"/>
      <c r="B47" s="117" t="s">
        <v>127</v>
      </c>
      <c r="C47" s="33"/>
      <c r="D47" s="33"/>
      <c r="E47" s="34"/>
      <c r="F47" s="33"/>
      <c r="G47" s="33"/>
      <c r="H47" s="33"/>
      <c r="I47" s="33"/>
      <c r="J47" s="33"/>
      <c r="K47" s="33"/>
      <c r="L47" s="33"/>
      <c r="M47" s="33"/>
      <c r="N47" s="33"/>
    </row>
    <row r="48" spans="1:15" ht="14.25" outlineLevel="1">
      <c r="A48" s="14"/>
      <c r="B48" s="117"/>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8"/>
      <c r="B51" s="111" t="s">
        <v>137</v>
      </c>
      <c r="C51" s="120"/>
      <c r="D51" s="120"/>
      <c r="E51" s="121"/>
      <c r="F51" s="120"/>
      <c r="G51" s="120"/>
      <c r="H51" s="120"/>
      <c r="I51" s="120"/>
      <c r="J51" s="120"/>
      <c r="K51" s="120"/>
      <c r="L51" s="120"/>
      <c r="M51" s="33"/>
      <c r="N51" s="33"/>
    </row>
    <row r="52" spans="1:15" ht="14.25" outlineLevel="1">
      <c r="A52" s="118"/>
      <c r="B52" s="122"/>
      <c r="C52" s="123"/>
      <c r="D52" s="123"/>
      <c r="E52" s="124"/>
      <c r="F52" s="123"/>
      <c r="G52" s="123"/>
      <c r="H52" s="123"/>
      <c r="I52" s="123"/>
      <c r="J52" s="123"/>
      <c r="K52" s="125"/>
      <c r="L52" s="123"/>
      <c r="M52" s="33"/>
      <c r="N52" s="33"/>
      <c r="O52" s="35"/>
    </row>
    <row r="53" spans="1:15" ht="15" outlineLevel="1">
      <c r="A53" s="118"/>
      <c r="B53" s="124"/>
      <c r="C53" s="187" t="s">
        <v>20</v>
      </c>
      <c r="D53" s="188"/>
      <c r="E53" s="189"/>
      <c r="F53" s="192" t="s">
        <v>21</v>
      </c>
      <c r="G53" s="192"/>
      <c r="H53" s="192"/>
      <c r="I53" s="192"/>
      <c r="J53" s="192"/>
      <c r="K53" s="147" t="s">
        <v>129</v>
      </c>
      <c r="L53" s="122"/>
      <c r="N53" s="33"/>
    </row>
    <row r="54" spans="1:15" ht="15" outlineLevel="1">
      <c r="A54" s="118"/>
      <c r="B54" s="124"/>
      <c r="C54" s="126">
        <f ca="1">D54-1</f>
        <v>2014</v>
      </c>
      <c r="D54" s="126">
        <f ca="1">E54-1</f>
        <v>2015</v>
      </c>
      <c r="E54" s="126">
        <f ca="1">F54-1</f>
        <v>2016</v>
      </c>
      <c r="F54" s="126">
        <f ca="1">YEAR(NOW())</f>
        <v>2017</v>
      </c>
      <c r="G54" s="126">
        <f ca="1">F54+1</f>
        <v>2018</v>
      </c>
      <c r="H54" s="126">
        <f ca="1">G54+1</f>
        <v>2019</v>
      </c>
      <c r="I54" s="126">
        <f ca="1">H54+1</f>
        <v>2020</v>
      </c>
      <c r="J54" s="126">
        <f ca="1">I54+1</f>
        <v>2021</v>
      </c>
      <c r="K54" s="148" t="s">
        <v>130</v>
      </c>
      <c r="L54" s="122"/>
      <c r="N54" s="33"/>
    </row>
    <row r="55" spans="1:15" ht="14.25" outlineLevel="1">
      <c r="A55" s="118"/>
      <c r="B55" s="124"/>
      <c r="C55" s="123"/>
      <c r="D55" s="123"/>
      <c r="E55" s="127"/>
      <c r="F55" s="127"/>
      <c r="G55" s="123"/>
      <c r="H55" s="123"/>
      <c r="I55" s="123"/>
      <c r="J55" s="123"/>
      <c r="K55" s="123"/>
      <c r="L55" s="122"/>
      <c r="N55" s="36"/>
    </row>
    <row r="56" spans="1:15" ht="14.25" outlineLevel="1">
      <c r="A56" s="118"/>
      <c r="B56" s="124" t="s">
        <v>59</v>
      </c>
      <c r="C56" s="136">
        <v>3950500</v>
      </c>
      <c r="D56" s="136">
        <v>4225000</v>
      </c>
      <c r="E56" s="140">
        <v>4575800</v>
      </c>
      <c r="F56" s="129">
        <f>E56*(1+$F$66)</f>
        <v>4804590</v>
      </c>
      <c r="G56" s="129">
        <f>F56*(1+$G$66)</f>
        <v>5140911.3000000007</v>
      </c>
      <c r="H56" s="129">
        <f>G56*(1+$H$66)</f>
        <v>5603593.3170000017</v>
      </c>
      <c r="I56" s="129">
        <f>H56*(1+$I$66)</f>
        <v>6219988.5818700027</v>
      </c>
      <c r="J56" s="129">
        <f>I56*(1+$J$66)</f>
        <v>7028587.097513102</v>
      </c>
      <c r="K56" s="150">
        <f ca="1">RATE($J$54-$E$54,0,-E56,J56)</f>
        <v>8.9632879147129571E-2</v>
      </c>
      <c r="L56" s="122"/>
      <c r="N56" s="36"/>
    </row>
    <row r="57" spans="1:15" ht="14.25" outlineLevel="1">
      <c r="A57" s="118"/>
      <c r="B57" s="124" t="s">
        <v>62</v>
      </c>
      <c r="C57" s="136">
        <v>975000</v>
      </c>
      <c r="D57" s="136">
        <v>1150000</v>
      </c>
      <c r="E57" s="140">
        <v>1280000</v>
      </c>
      <c r="F57" s="129">
        <f>E57*(1+$F$66)</f>
        <v>1344000</v>
      </c>
      <c r="G57" s="129">
        <f>F57*(1+$G$66)</f>
        <v>1438080</v>
      </c>
      <c r="H57" s="129">
        <f>G57*(1+$H$66)</f>
        <v>1567507.2000000002</v>
      </c>
      <c r="I57" s="129">
        <f>H57*(1+$I$66)</f>
        <v>1739932.9920000003</v>
      </c>
      <c r="J57" s="129">
        <f>I57*(1+$J$66)</f>
        <v>1966124.2809600001</v>
      </c>
      <c r="K57" s="150">
        <f t="shared" ref="K57:K58" ca="1" si="0">RATE($J$54-$E$54,0,-E57,J57)</f>
        <v>8.9632879147129432E-2</v>
      </c>
      <c r="L57" s="122"/>
      <c r="N57" s="36"/>
    </row>
    <row r="58" spans="1:15" ht="14.25" outlineLevel="1">
      <c r="A58" s="118"/>
      <c r="B58" s="124" t="s">
        <v>23</v>
      </c>
      <c r="C58" s="137">
        <v>2350000</v>
      </c>
      <c r="D58" s="137">
        <v>2514000</v>
      </c>
      <c r="E58" s="141">
        <v>2745500</v>
      </c>
      <c r="F58" s="138">
        <f>(F56+F57)*(1-F67)</f>
        <v>3689154</v>
      </c>
      <c r="G58" s="139">
        <f t="shared" ref="G58:J58" si="1">(G56+G57)*(1-G67)</f>
        <v>3947394.7800000003</v>
      </c>
      <c r="H58" s="138">
        <f t="shared" si="1"/>
        <v>4302660.3102000011</v>
      </c>
      <c r="I58" s="138">
        <f t="shared" si="1"/>
        <v>4775952.9443220021</v>
      </c>
      <c r="J58" s="138">
        <f t="shared" si="1"/>
        <v>5396826.8270838615</v>
      </c>
      <c r="K58" s="151">
        <f t="shared" ca="1" si="0"/>
        <v>0.14473090246103773</v>
      </c>
      <c r="L58" s="122"/>
      <c r="N58" s="36"/>
    </row>
    <row r="59" spans="1:15" ht="14.25" outlineLevel="1">
      <c r="A59" s="118"/>
      <c r="B59" s="124" t="s">
        <v>24</v>
      </c>
      <c r="C59" s="129">
        <f>C56+C57-C58</f>
        <v>2575500</v>
      </c>
      <c r="D59" s="129">
        <f t="shared" ref="D59:J59" si="2">D56+D57-D58</f>
        <v>2861000</v>
      </c>
      <c r="E59" s="142">
        <f>E56+E57-E58</f>
        <v>3110300</v>
      </c>
      <c r="F59" s="129">
        <f t="shared" si="2"/>
        <v>2459436</v>
      </c>
      <c r="G59" s="129">
        <f t="shared" si="2"/>
        <v>2631596.5200000005</v>
      </c>
      <c r="H59" s="129">
        <f t="shared" si="2"/>
        <v>2868440.2068000007</v>
      </c>
      <c r="I59" s="129">
        <f t="shared" si="2"/>
        <v>3183968.6295480011</v>
      </c>
      <c r="J59" s="129">
        <f t="shared" si="2"/>
        <v>3597884.5513892416</v>
      </c>
      <c r="K59" s="150">
        <f ca="1">RATE(J54-E54,0,-E59,J59)</f>
        <v>2.9553664320646097E-2</v>
      </c>
      <c r="L59" s="122"/>
      <c r="N59" s="36"/>
    </row>
    <row r="60" spans="1:15" ht="14.25" outlineLevel="1">
      <c r="A60" s="118"/>
      <c r="B60" s="124"/>
      <c r="C60" s="129"/>
      <c r="D60" s="129"/>
      <c r="E60" s="129"/>
      <c r="F60" s="129"/>
      <c r="G60" s="129"/>
      <c r="H60" s="129"/>
      <c r="I60" s="129"/>
      <c r="J60" s="129"/>
      <c r="K60" s="128"/>
      <c r="L60" s="122"/>
      <c r="N60" s="36"/>
    </row>
    <row r="61" spans="1:15" ht="14.25" outlineLevel="1">
      <c r="A61" s="118"/>
      <c r="B61" s="124" t="s">
        <v>25</v>
      </c>
      <c r="C61" s="137">
        <v>1042800</v>
      </c>
      <c r="D61" s="137">
        <v>1119700</v>
      </c>
      <c r="E61" s="141">
        <v>1254600</v>
      </c>
      <c r="F61" s="139">
        <f>F56*F68</f>
        <v>1321262.25</v>
      </c>
      <c r="G61" s="139">
        <f>G56*G68</f>
        <v>1413750.6075000004</v>
      </c>
      <c r="H61" s="139">
        <f>H56*H68</f>
        <v>1540988.1621750006</v>
      </c>
      <c r="I61" s="139">
        <f>I56*I68</f>
        <v>1710496.860014251</v>
      </c>
      <c r="J61" s="139">
        <f>J56*J68</f>
        <v>1932861.4518161032</v>
      </c>
      <c r="K61" s="151">
        <f t="shared" ref="K61" ca="1" si="3">RATE($J$54-$E$54,0,-E61,J61)</f>
        <v>9.0282617946725166E-2</v>
      </c>
      <c r="L61" s="122"/>
      <c r="N61" s="36"/>
    </row>
    <row r="62" spans="1:15" ht="15" outlineLevel="1">
      <c r="A62" s="118"/>
      <c r="B62" s="130" t="s">
        <v>26</v>
      </c>
      <c r="C62" s="131">
        <f t="shared" ref="C62:J62" si="4">C59-C61</f>
        <v>1532700</v>
      </c>
      <c r="D62" s="131">
        <f t="shared" si="4"/>
        <v>1741300</v>
      </c>
      <c r="E62" s="143">
        <f t="shared" si="4"/>
        <v>1855700</v>
      </c>
      <c r="F62" s="131">
        <f t="shared" si="4"/>
        <v>1138173.75</v>
      </c>
      <c r="G62" s="131">
        <f t="shared" si="4"/>
        <v>1217845.9125000001</v>
      </c>
      <c r="H62" s="131">
        <f t="shared" si="4"/>
        <v>1327452.0446250001</v>
      </c>
      <c r="I62" s="131">
        <f t="shared" si="4"/>
        <v>1473471.7695337501</v>
      </c>
      <c r="J62" s="131">
        <f t="shared" si="4"/>
        <v>1665023.0995731384</v>
      </c>
      <c r="K62" s="150">
        <f ca="1">RATE(J54-E54,0,-E62,J62)</f>
        <v>-2.1451176658433539E-2</v>
      </c>
      <c r="L62" s="122"/>
      <c r="N62" s="37"/>
    </row>
    <row r="63" spans="1:15" ht="14.25" outlineLevel="1">
      <c r="A63" s="118"/>
      <c r="B63" s="124"/>
      <c r="C63" s="123"/>
      <c r="D63" s="123"/>
      <c r="E63" s="124"/>
      <c r="F63" s="132"/>
      <c r="G63" s="132"/>
      <c r="H63" s="132"/>
      <c r="I63" s="132"/>
      <c r="J63" s="132"/>
      <c r="K63" s="132"/>
      <c r="L63" s="132"/>
      <c r="M63" s="38"/>
      <c r="N63" s="36"/>
      <c r="O63" s="39"/>
    </row>
    <row r="64" spans="1:15" ht="15" outlineLevel="1">
      <c r="A64" s="118"/>
      <c r="B64" s="130" t="s">
        <v>27</v>
      </c>
      <c r="C64" s="187" t="s">
        <v>20</v>
      </c>
      <c r="D64" s="188"/>
      <c r="E64" s="189"/>
      <c r="F64" s="187" t="s">
        <v>21</v>
      </c>
      <c r="G64" s="188"/>
      <c r="H64" s="188"/>
      <c r="I64" s="188"/>
      <c r="J64" s="189"/>
      <c r="K64" s="146" t="s">
        <v>129</v>
      </c>
      <c r="L64" s="122"/>
    </row>
    <row r="65" spans="1:22" ht="15" outlineLevel="1">
      <c r="A65" s="118"/>
      <c r="B65" s="123"/>
      <c r="C65" s="126">
        <f ca="1">D65-1</f>
        <v>2014</v>
      </c>
      <c r="D65" s="126">
        <f ca="1">E65-1</f>
        <v>2015</v>
      </c>
      <c r="E65" s="126">
        <f ca="1">F65-1</f>
        <v>2016</v>
      </c>
      <c r="F65" s="126">
        <f ca="1">YEAR(NOW())</f>
        <v>2017</v>
      </c>
      <c r="G65" s="126">
        <f ca="1">F65+1</f>
        <v>2018</v>
      </c>
      <c r="H65" s="126">
        <f ca="1">G65+1</f>
        <v>2019</v>
      </c>
      <c r="I65" s="126">
        <f ca="1">H65+1</f>
        <v>2020</v>
      </c>
      <c r="J65" s="126">
        <f ca="1">I65+1</f>
        <v>2021</v>
      </c>
      <c r="K65" s="149" t="s">
        <v>128</v>
      </c>
      <c r="L65" s="122"/>
      <c r="M65" s="36"/>
    </row>
    <row r="66" spans="1:22" ht="15" outlineLevel="1">
      <c r="A66" s="118"/>
      <c r="B66" s="153" t="s">
        <v>66</v>
      </c>
      <c r="C66" s="123" t="s">
        <v>6</v>
      </c>
      <c r="D66" s="128">
        <f>(D56+D57)/(C56+C57)-1</f>
        <v>9.1259770581666899E-2</v>
      </c>
      <c r="E66" s="133">
        <f>(E56+E57)/(D56+D57)-1</f>
        <v>8.9451162790697758E-2</v>
      </c>
      <c r="F66" s="144">
        <v>0.05</v>
      </c>
      <c r="G66" s="128">
        <f>F66+$K$66</f>
        <v>7.0000000000000007E-2</v>
      </c>
      <c r="H66" s="128">
        <f t="shared" ref="H66:J66" si="5">G66+$K$66</f>
        <v>9.0000000000000011E-2</v>
      </c>
      <c r="I66" s="128">
        <f t="shared" si="5"/>
        <v>0.11000000000000001</v>
      </c>
      <c r="J66" s="128">
        <f t="shared" si="5"/>
        <v>0.13</v>
      </c>
      <c r="K66" s="152">
        <v>0.02</v>
      </c>
      <c r="L66" s="122"/>
    </row>
    <row r="67" spans="1:22" ht="15" outlineLevel="1">
      <c r="A67" s="118"/>
      <c r="B67" s="153" t="s">
        <v>29</v>
      </c>
      <c r="C67" s="128">
        <f>C59/(C56+C57)</f>
        <v>0.52289107704801541</v>
      </c>
      <c r="D67" s="128">
        <f>D59/(D56+D57)</f>
        <v>0.53227906976744188</v>
      </c>
      <c r="E67" s="128">
        <f>E59/(E56+E57)</f>
        <v>0.5311486048020766</v>
      </c>
      <c r="F67" s="145">
        <v>0.4</v>
      </c>
      <c r="G67" s="128">
        <f>F67+$K$67</f>
        <v>0.4</v>
      </c>
      <c r="H67" s="128">
        <f t="shared" ref="H67:J67" si="6">G67+$K$67</f>
        <v>0.4</v>
      </c>
      <c r="I67" s="128">
        <f t="shared" si="6"/>
        <v>0.4</v>
      </c>
      <c r="J67" s="128">
        <f t="shared" si="6"/>
        <v>0.4</v>
      </c>
      <c r="K67" s="152">
        <v>0</v>
      </c>
      <c r="L67" s="122"/>
    </row>
    <row r="68" spans="1:22" ht="15" outlineLevel="1">
      <c r="A68" s="118"/>
      <c r="B68" s="153" t="s">
        <v>90</v>
      </c>
      <c r="C68" s="128" t="s">
        <v>6</v>
      </c>
      <c r="D68" s="128" t="s">
        <v>6</v>
      </c>
      <c r="E68" s="133" t="s">
        <v>6</v>
      </c>
      <c r="F68" s="145">
        <v>0.27500000000000002</v>
      </c>
      <c r="G68" s="128">
        <f>F68+K68</f>
        <v>0.27500000000000002</v>
      </c>
      <c r="H68" s="128">
        <f t="shared" ref="H68:J68" si="7">G68+L68</f>
        <v>0.27500000000000002</v>
      </c>
      <c r="I68" s="128">
        <f t="shared" si="7"/>
        <v>0.27500000000000002</v>
      </c>
      <c r="J68" s="128">
        <f t="shared" si="7"/>
        <v>0.27500000000000002</v>
      </c>
      <c r="K68" s="152">
        <v>0</v>
      </c>
      <c r="L68" s="122"/>
    </row>
    <row r="69" spans="1:22" ht="15" outlineLevel="1">
      <c r="A69" s="118"/>
      <c r="B69" s="134"/>
      <c r="C69" s="134"/>
      <c r="D69" s="135"/>
      <c r="E69" s="135"/>
      <c r="F69" s="122"/>
      <c r="G69" s="122"/>
      <c r="H69" s="122"/>
      <c r="I69" s="122"/>
      <c r="J69" s="122"/>
      <c r="K69" s="122"/>
      <c r="L69" s="122"/>
    </row>
    <row r="70" spans="1:22" ht="15" outlineLevel="1">
      <c r="A70" s="118"/>
      <c r="B70" s="134"/>
      <c r="C70" s="134"/>
      <c r="D70" s="135"/>
      <c r="E70" s="135"/>
      <c r="F70" s="122"/>
      <c r="G70" s="122"/>
      <c r="H70" s="122"/>
      <c r="I70" s="122"/>
      <c r="J70" s="122"/>
      <c r="K70" s="122"/>
      <c r="L70" s="122"/>
      <c r="P70"/>
      <c r="Q70"/>
      <c r="R70"/>
      <c r="S70"/>
      <c r="T70"/>
      <c r="U70"/>
      <c r="V70"/>
    </row>
    <row r="71" spans="1:22" ht="14.25" outlineLevel="1">
      <c r="A71" s="118"/>
      <c r="B71" s="44"/>
      <c r="C71" s="44"/>
      <c r="D71" s="44"/>
      <c r="E71" s="44"/>
      <c r="F71" s="44"/>
      <c r="G71" s="44"/>
      <c r="H71" s="44"/>
      <c r="I71" s="44"/>
      <c r="J71" s="44"/>
      <c r="K71" s="122"/>
      <c r="L71" s="122"/>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1" t="s">
        <v>131</v>
      </c>
      <c r="C100" s="18"/>
    </row>
    <row r="101" spans="1:22" outlineLevel="1">
      <c r="A101" s="14"/>
      <c r="B101" s="13"/>
      <c r="C101" s="18"/>
    </row>
    <row r="102" spans="1:22" ht="14.25" outlineLevel="1">
      <c r="A102" s="14"/>
      <c r="B102" s="154" t="s">
        <v>132</v>
      </c>
      <c r="C102" s="18"/>
    </row>
    <row r="103" spans="1:22" ht="14.25" outlineLevel="1">
      <c r="A103" s="14"/>
      <c r="B103" s="155" t="s">
        <v>133</v>
      </c>
      <c r="C103" s="18"/>
    </row>
    <row r="104" spans="1:22" ht="14.25" outlineLevel="1">
      <c r="A104" s="14"/>
      <c r="B104" s="112" t="s">
        <v>134</v>
      </c>
      <c r="C104" s="18"/>
    </row>
    <row r="105" spans="1:22" ht="14.25" outlineLevel="1">
      <c r="A105" s="14"/>
      <c r="B105" s="112" t="s">
        <v>135</v>
      </c>
      <c r="C105" s="18"/>
    </row>
    <row r="106" spans="1:22" ht="14.25" outlineLevel="1">
      <c r="A106" s="14"/>
      <c r="B106" s="112" t="s">
        <v>136</v>
      </c>
      <c r="C106" s="18"/>
    </row>
    <row r="107" spans="1:22" ht="14.25" outlineLevel="1">
      <c r="A107" s="14"/>
      <c r="B107" s="112"/>
      <c r="C107" s="18"/>
    </row>
    <row r="108" spans="1:22" ht="14.25" outlineLevel="1">
      <c r="A108" s="14"/>
      <c r="B108" s="156" t="s">
        <v>139</v>
      </c>
      <c r="C108" s="18"/>
    </row>
    <row r="109" spans="1:22" outlineLevel="1">
      <c r="A109" s="14"/>
      <c r="C109" s="18"/>
    </row>
    <row r="110" spans="1:22" outlineLevel="1">
      <c r="A110" s="14"/>
      <c r="C110" s="18"/>
    </row>
    <row r="111" spans="1:22" ht="15.75" outlineLevel="1">
      <c r="A111" s="14"/>
      <c r="B111" s="111" t="s">
        <v>138</v>
      </c>
      <c r="C111" s="18"/>
    </row>
    <row r="112" spans="1:22" outlineLevel="1">
      <c r="A112" s="14"/>
      <c r="B112" s="55"/>
      <c r="C112" s="18"/>
    </row>
    <row r="113" spans="1:8" outlineLevel="1">
      <c r="A113" s="14"/>
      <c r="B113" s="193" t="s">
        <v>98</v>
      </c>
      <c r="C113" s="193"/>
      <c r="E113" s="107"/>
      <c r="F113" s="165" t="s">
        <v>103</v>
      </c>
      <c r="G113" s="160">
        <f>C120</f>
        <v>5100</v>
      </c>
    </row>
    <row r="114" spans="1:8" outlineLevel="1">
      <c r="A114" s="14"/>
      <c r="B114" s="157" t="s">
        <v>97</v>
      </c>
      <c r="C114" s="158">
        <v>170</v>
      </c>
      <c r="F114" s="164">
        <v>30</v>
      </c>
      <c r="G114" s="160">
        <f t="dataTable" ref="G114:G124" dt2D="0" dtr="0" r1="C117"/>
        <v>10200</v>
      </c>
    </row>
    <row r="115" spans="1:8" outlineLevel="1">
      <c r="A115" s="14"/>
      <c r="B115" s="157" t="s">
        <v>31</v>
      </c>
      <c r="C115" s="158">
        <v>510</v>
      </c>
      <c r="F115" s="164">
        <v>32</v>
      </c>
      <c r="G115" s="160">
        <v>9180</v>
      </c>
    </row>
    <row r="116" spans="1:8" outlineLevel="1">
      <c r="A116" s="14"/>
      <c r="B116" s="157" t="s">
        <v>99</v>
      </c>
      <c r="C116" s="159">
        <v>150</v>
      </c>
      <c r="F116" s="164">
        <v>34</v>
      </c>
      <c r="G116" s="160">
        <v>8160</v>
      </c>
    </row>
    <row r="117" spans="1:8" outlineLevel="1">
      <c r="A117" s="14"/>
      <c r="B117" s="157" t="s">
        <v>103</v>
      </c>
      <c r="C117" s="159">
        <v>40</v>
      </c>
      <c r="F117" s="164">
        <v>36</v>
      </c>
      <c r="G117" s="160">
        <v>7140</v>
      </c>
    </row>
    <row r="118" spans="1:8" outlineLevel="1">
      <c r="A118" s="14"/>
      <c r="B118" s="157" t="s">
        <v>33</v>
      </c>
      <c r="C118" s="159">
        <f>C114*C116</f>
        <v>25500</v>
      </c>
      <c r="F118" s="164">
        <v>38</v>
      </c>
      <c r="G118" s="160">
        <v>6120</v>
      </c>
    </row>
    <row r="119" spans="1:8" outlineLevel="1">
      <c r="A119" s="14"/>
      <c r="B119" s="157" t="s">
        <v>34</v>
      </c>
      <c r="C119" s="159">
        <f>C115*C117</f>
        <v>20400</v>
      </c>
      <c r="F119" s="164">
        <v>40</v>
      </c>
      <c r="G119" s="160">
        <v>5100</v>
      </c>
    </row>
    <row r="120" spans="1:8" outlineLevel="1">
      <c r="A120" s="14"/>
      <c r="B120" s="162" t="s">
        <v>32</v>
      </c>
      <c r="C120" s="163">
        <f>C118-C119</f>
        <v>5100</v>
      </c>
      <c r="F120" s="164">
        <v>42</v>
      </c>
      <c r="G120" s="160">
        <v>4080</v>
      </c>
    </row>
    <row r="121" spans="1:8" outlineLevel="1">
      <c r="A121" s="14"/>
      <c r="E121" s="56"/>
      <c r="F121" s="164">
        <v>44</v>
      </c>
      <c r="G121" s="160">
        <v>3060</v>
      </c>
    </row>
    <row r="122" spans="1:8" outlineLevel="1">
      <c r="A122" s="14"/>
      <c r="E122" s="56"/>
      <c r="F122" s="164">
        <v>46</v>
      </c>
      <c r="G122" s="160">
        <v>2040</v>
      </c>
    </row>
    <row r="123" spans="1:8" outlineLevel="1">
      <c r="A123" s="14"/>
      <c r="F123" s="164">
        <v>48</v>
      </c>
      <c r="G123" s="160">
        <v>1020</v>
      </c>
    </row>
    <row r="124" spans="1:8" outlineLevel="1">
      <c r="A124" s="14"/>
      <c r="E124" s="57"/>
      <c r="F124" s="164">
        <v>50</v>
      </c>
      <c r="G124" s="160">
        <v>0</v>
      </c>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1" t="s">
        <v>140</v>
      </c>
    </row>
    <row r="132" spans="1:17" outlineLevel="1"/>
    <row r="133" spans="1:17" ht="14.25" outlineLevel="1">
      <c r="B133" s="154" t="s">
        <v>141</v>
      </c>
    </row>
    <row r="134" spans="1:17" ht="14.25" outlineLevel="1">
      <c r="B134" s="155" t="s">
        <v>142</v>
      </c>
    </row>
    <row r="135" spans="1:17" ht="14.25" outlineLevel="1">
      <c r="B135" s="155" t="s">
        <v>143</v>
      </c>
    </row>
    <row r="136" spans="1:17" outlineLevel="1"/>
    <row r="137" spans="1:17" ht="14.25" outlineLevel="1">
      <c r="B137" s="154" t="s">
        <v>144</v>
      </c>
    </row>
    <row r="138" spans="1:17" outlineLevel="1"/>
    <row r="139" spans="1:17" ht="15.75" outlineLevel="1">
      <c r="B139" s="111" t="s">
        <v>145</v>
      </c>
    </row>
    <row r="140" spans="1:17" outlineLevel="1"/>
    <row r="141" spans="1:17" outlineLevel="1">
      <c r="A141" s="8"/>
      <c r="G141" s="194" t="s">
        <v>97</v>
      </c>
      <c r="H141" s="194"/>
      <c r="I141" s="194"/>
      <c r="J141" s="194"/>
      <c r="K141" s="194"/>
      <c r="L141" s="194"/>
      <c r="Q141" s="6"/>
    </row>
    <row r="142" spans="1:17" outlineLevel="1">
      <c r="A142" s="8"/>
      <c r="B142" s="193" t="s">
        <v>98</v>
      </c>
      <c r="C142" s="193"/>
      <c r="F142" s="160">
        <f>C149</f>
        <v>5100</v>
      </c>
      <c r="G142" s="166">
        <v>150</v>
      </c>
      <c r="H142" s="166">
        <v>160</v>
      </c>
      <c r="I142" s="166">
        <v>170</v>
      </c>
      <c r="J142" s="166">
        <v>180</v>
      </c>
      <c r="K142" s="166">
        <v>190</v>
      </c>
      <c r="L142" s="166">
        <v>200</v>
      </c>
      <c r="Q142" s="6"/>
    </row>
    <row r="143" spans="1:17" outlineLevel="1">
      <c r="A143" s="8"/>
      <c r="B143" s="157" t="s">
        <v>97</v>
      </c>
      <c r="C143" s="158">
        <v>170</v>
      </c>
      <c r="E143" s="195" t="s">
        <v>102</v>
      </c>
      <c r="F143" s="164">
        <v>30</v>
      </c>
      <c r="G143" s="160">
        <f t="dataTable" ref="G143:L153" dt2D="1" dtr="1" r1="C143" r2="C146"/>
        <v>7200</v>
      </c>
      <c r="H143" s="160">
        <v>8700</v>
      </c>
      <c r="I143" s="160">
        <v>10200</v>
      </c>
      <c r="J143" s="160">
        <v>11700</v>
      </c>
      <c r="K143" s="160">
        <v>13200</v>
      </c>
      <c r="L143" s="160">
        <v>14700</v>
      </c>
      <c r="Q143" s="6"/>
    </row>
    <row r="144" spans="1:17" outlineLevel="1">
      <c r="A144" s="8"/>
      <c r="B144" s="157" t="s">
        <v>31</v>
      </c>
      <c r="C144" s="158">
        <v>510</v>
      </c>
      <c r="E144" s="195"/>
      <c r="F144" s="164">
        <v>32</v>
      </c>
      <c r="G144" s="160">
        <v>6180</v>
      </c>
      <c r="H144" s="160">
        <v>7680</v>
      </c>
      <c r="I144" s="160">
        <v>9180</v>
      </c>
      <c r="J144" s="160">
        <v>10680</v>
      </c>
      <c r="K144" s="160">
        <v>12180</v>
      </c>
      <c r="L144" s="160">
        <v>13680</v>
      </c>
      <c r="Q144" s="6"/>
    </row>
    <row r="145" spans="1:17" outlineLevel="1">
      <c r="A145" s="8"/>
      <c r="B145" s="157" t="s">
        <v>99</v>
      </c>
      <c r="C145" s="159">
        <v>150</v>
      </c>
      <c r="E145" s="195"/>
      <c r="F145" s="164">
        <v>34</v>
      </c>
      <c r="G145" s="160">
        <v>5160</v>
      </c>
      <c r="H145" s="160">
        <v>6660</v>
      </c>
      <c r="I145" s="160">
        <v>8160</v>
      </c>
      <c r="J145" s="160">
        <v>9660</v>
      </c>
      <c r="K145" s="160">
        <v>11160</v>
      </c>
      <c r="L145" s="160">
        <v>12660</v>
      </c>
      <c r="Q145" s="6"/>
    </row>
    <row r="146" spans="1:17" outlineLevel="1">
      <c r="A146" s="8"/>
      <c r="B146" s="157" t="s">
        <v>103</v>
      </c>
      <c r="C146" s="159">
        <v>40</v>
      </c>
      <c r="E146" s="195"/>
      <c r="F146" s="164">
        <v>36</v>
      </c>
      <c r="G146" s="160">
        <v>4140</v>
      </c>
      <c r="H146" s="160">
        <v>5640</v>
      </c>
      <c r="I146" s="160">
        <v>7140</v>
      </c>
      <c r="J146" s="160">
        <v>8640</v>
      </c>
      <c r="K146" s="160">
        <v>10140</v>
      </c>
      <c r="L146" s="160">
        <v>11640</v>
      </c>
      <c r="Q146" s="6"/>
    </row>
    <row r="147" spans="1:17" outlineLevel="1">
      <c r="B147" s="157" t="s">
        <v>33</v>
      </c>
      <c r="C147" s="159">
        <f>C143*C145</f>
        <v>25500</v>
      </c>
      <c r="D147" s="56"/>
      <c r="E147" s="195"/>
      <c r="F147" s="164">
        <v>38</v>
      </c>
      <c r="G147" s="160">
        <v>3120</v>
      </c>
      <c r="H147" s="160">
        <v>4620</v>
      </c>
      <c r="I147" s="160">
        <v>6120</v>
      </c>
      <c r="J147" s="160">
        <v>7620</v>
      </c>
      <c r="K147" s="160">
        <v>9120</v>
      </c>
      <c r="L147" s="160">
        <v>10620</v>
      </c>
      <c r="Q147" s="6"/>
    </row>
    <row r="148" spans="1:17" outlineLevel="1">
      <c r="B148" s="157" t="s">
        <v>34</v>
      </c>
      <c r="C148" s="159">
        <f>C144*C146</f>
        <v>20400</v>
      </c>
      <c r="E148" s="195"/>
      <c r="F148" s="164">
        <v>40</v>
      </c>
      <c r="G148" s="160">
        <v>2100</v>
      </c>
      <c r="H148" s="160">
        <v>3600</v>
      </c>
      <c r="I148" s="160">
        <v>5100</v>
      </c>
      <c r="J148" s="160">
        <v>6600</v>
      </c>
      <c r="K148" s="160">
        <v>8100</v>
      </c>
      <c r="L148" s="160">
        <v>9600</v>
      </c>
      <c r="Q148" s="6"/>
    </row>
    <row r="149" spans="1:17" outlineLevel="1">
      <c r="B149" s="162" t="s">
        <v>32</v>
      </c>
      <c r="C149" s="163">
        <f>C147-C148</f>
        <v>5100</v>
      </c>
      <c r="E149" s="195"/>
      <c r="F149" s="164">
        <v>42</v>
      </c>
      <c r="G149" s="160">
        <v>1080</v>
      </c>
      <c r="H149" s="160">
        <v>2580</v>
      </c>
      <c r="I149" s="160">
        <v>4080</v>
      </c>
      <c r="J149" s="160">
        <v>5580</v>
      </c>
      <c r="K149" s="160">
        <v>7080</v>
      </c>
      <c r="L149" s="160">
        <v>8580</v>
      </c>
      <c r="Q149" s="6"/>
    </row>
    <row r="150" spans="1:17" outlineLevel="1">
      <c r="E150" s="195"/>
      <c r="F150" s="164">
        <v>44</v>
      </c>
      <c r="G150" s="160">
        <v>60</v>
      </c>
      <c r="H150" s="160">
        <v>1560</v>
      </c>
      <c r="I150" s="160">
        <v>3060</v>
      </c>
      <c r="J150" s="160">
        <v>4560</v>
      </c>
      <c r="K150" s="160">
        <v>6060</v>
      </c>
      <c r="L150" s="160">
        <v>7560</v>
      </c>
      <c r="Q150" s="6"/>
    </row>
    <row r="151" spans="1:17" outlineLevel="1">
      <c r="E151" s="195"/>
      <c r="F151" s="164">
        <v>46</v>
      </c>
      <c r="G151" s="160">
        <v>-960</v>
      </c>
      <c r="H151" s="160">
        <v>540</v>
      </c>
      <c r="I151" s="160">
        <v>2040</v>
      </c>
      <c r="J151" s="160">
        <v>3540</v>
      </c>
      <c r="K151" s="160">
        <v>5040</v>
      </c>
      <c r="L151" s="160">
        <v>6540</v>
      </c>
      <c r="Q151" s="6"/>
    </row>
    <row r="152" spans="1:17" outlineLevel="1">
      <c r="E152" s="195"/>
      <c r="F152" s="164">
        <v>48</v>
      </c>
      <c r="G152" s="160">
        <v>-1980</v>
      </c>
      <c r="H152" s="160">
        <v>-480</v>
      </c>
      <c r="I152" s="160">
        <v>1020</v>
      </c>
      <c r="J152" s="160">
        <v>2520</v>
      </c>
      <c r="K152" s="160">
        <v>4020</v>
      </c>
      <c r="L152" s="160">
        <v>5520</v>
      </c>
      <c r="Q152" s="6"/>
    </row>
    <row r="153" spans="1:17" outlineLevel="1">
      <c r="E153" s="195"/>
      <c r="F153" s="164">
        <v>50</v>
      </c>
      <c r="G153" s="160">
        <v>-3000</v>
      </c>
      <c r="H153" s="160">
        <v>-1500</v>
      </c>
      <c r="I153" s="160">
        <v>0</v>
      </c>
      <c r="J153" s="160">
        <v>1500</v>
      </c>
      <c r="K153" s="160">
        <v>3000</v>
      </c>
      <c r="L153" s="160">
        <v>4500</v>
      </c>
      <c r="Q153" s="6"/>
    </row>
    <row r="154" spans="1:17" outlineLevel="1">
      <c r="Q154" s="6"/>
    </row>
    <row r="155" spans="1:17" outlineLevel="1">
      <c r="C155" s="16"/>
      <c r="G155" s="58"/>
      <c r="Q155" s="6"/>
    </row>
    <row r="156" spans="1:17" outlineLevel="1">
      <c r="C156" s="16"/>
      <c r="Q156" s="6"/>
    </row>
    <row r="157" spans="1:17" outlineLevel="1"/>
    <row r="158" spans="1:17" ht="14.25" outlineLevel="1">
      <c r="A158" s="154"/>
      <c r="C158" s="14"/>
      <c r="D158" s="14"/>
      <c r="E158" s="14"/>
    </row>
    <row r="159" spans="1:17" ht="14.25" outlineLevel="1">
      <c r="A159" s="154"/>
      <c r="C159" s="18"/>
      <c r="D159" s="14"/>
      <c r="E159" s="14"/>
    </row>
    <row r="160" spans="1:17" ht="14.25" outlineLevel="1">
      <c r="A160" s="154"/>
      <c r="C160" s="18"/>
      <c r="D160" s="14"/>
      <c r="E160" s="14"/>
    </row>
    <row r="161" spans="1:10" ht="14.25" outlineLevel="1">
      <c r="A161" s="154"/>
      <c r="C161" s="18"/>
      <c r="D161" s="14"/>
      <c r="E161" s="14"/>
    </row>
    <row r="162" spans="1:10" ht="14.25" outlineLevel="1">
      <c r="A162" s="154"/>
      <c r="C162" s="18"/>
      <c r="D162" s="14"/>
      <c r="E162" s="14"/>
    </row>
    <row r="163" spans="1:10" ht="14.25">
      <c r="A163" s="154"/>
      <c r="C163" s="18"/>
      <c r="D163" s="14"/>
      <c r="E163" s="14"/>
    </row>
    <row r="164" spans="1:10" ht="15.75" outlineLevel="1">
      <c r="A164" s="154"/>
      <c r="B164" s="111" t="s">
        <v>146</v>
      </c>
      <c r="C164" s="18"/>
      <c r="D164" s="14"/>
      <c r="E164" s="14"/>
    </row>
    <row r="165" spans="1:10" ht="14.25" outlineLevel="1">
      <c r="A165" s="154"/>
      <c r="B165" s="154"/>
      <c r="C165" s="18"/>
      <c r="D165" s="14"/>
      <c r="E165" s="14"/>
    </row>
    <row r="166" spans="1:10" ht="14.25" outlineLevel="1">
      <c r="B166" s="154" t="s">
        <v>147</v>
      </c>
      <c r="C166" s="18"/>
      <c r="D166" s="14"/>
      <c r="E166" s="14"/>
    </row>
    <row r="167" spans="1:10" ht="14.25" outlineLevel="1">
      <c r="B167" s="154" t="s">
        <v>148</v>
      </c>
      <c r="C167" s="18"/>
      <c r="D167" s="14"/>
      <c r="E167" s="14"/>
    </row>
    <row r="168" spans="1:10" ht="14.25" outlineLevel="1">
      <c r="B168" s="154" t="s">
        <v>149</v>
      </c>
      <c r="C168" s="18"/>
      <c r="D168" s="14"/>
      <c r="E168" s="14"/>
    </row>
    <row r="169" spans="1:10" ht="14.25" outlineLevel="1">
      <c r="B169" s="154" t="s">
        <v>150</v>
      </c>
      <c r="C169" s="18"/>
      <c r="D169" s="14"/>
      <c r="E169" s="14"/>
    </row>
    <row r="170" spans="1:10" outlineLevel="1">
      <c r="C170" s="18"/>
      <c r="D170" s="14"/>
      <c r="E170" s="14"/>
    </row>
    <row r="171" spans="1:10" ht="14.25" outlineLevel="1">
      <c r="B171" s="154" t="s">
        <v>151</v>
      </c>
      <c r="C171" s="18"/>
      <c r="D171" s="14"/>
      <c r="E171" s="14"/>
    </row>
    <row r="172" spans="1:10" ht="18" outlineLevel="1">
      <c r="B172" s="19"/>
      <c r="C172" s="18"/>
      <c r="D172" s="14"/>
      <c r="E172" s="14"/>
    </row>
    <row r="173" spans="1:10" ht="30" outlineLevel="1">
      <c r="B173" s="167" t="s">
        <v>44</v>
      </c>
      <c r="C173" s="167" t="s">
        <v>48</v>
      </c>
      <c r="D173" s="167" t="s">
        <v>110</v>
      </c>
      <c r="E173" s="167" t="s">
        <v>45</v>
      </c>
      <c r="F173" s="167" t="s">
        <v>100</v>
      </c>
      <c r="G173" s="167" t="s">
        <v>101</v>
      </c>
      <c r="H173" s="167" t="s">
        <v>96</v>
      </c>
      <c r="I173" s="62"/>
      <c r="J173" s="62"/>
    </row>
    <row r="174" spans="1:10" ht="14.25" outlineLevel="1">
      <c r="B174" s="168" t="s">
        <v>43</v>
      </c>
      <c r="C174" s="169">
        <v>510</v>
      </c>
      <c r="D174" s="169">
        <v>385</v>
      </c>
      <c r="E174" s="169">
        <f>C174*D174</f>
        <v>196350</v>
      </c>
      <c r="F174" s="170">
        <v>30</v>
      </c>
      <c r="G174" s="170">
        <v>50</v>
      </c>
      <c r="H174" s="170">
        <v>150</v>
      </c>
      <c r="I174"/>
      <c r="J174"/>
    </row>
    <row r="175" spans="1:10" outlineLevel="1">
      <c r="B175" s="63"/>
      <c r="C175"/>
      <c r="D175"/>
      <c r="E175"/>
      <c r="F175" s="60"/>
      <c r="G175" s="60"/>
      <c r="H175" s="60"/>
      <c r="I175"/>
      <c r="J175"/>
    </row>
    <row r="176" spans="1:10" ht="15.75" outlineLevel="1">
      <c r="B176" s="111" t="s">
        <v>163</v>
      </c>
      <c r="C176" s="18"/>
      <c r="D176" s="14"/>
      <c r="E176" s="14"/>
    </row>
    <row r="177" spans="2:14" ht="15.75" outlineLevel="1">
      <c r="B177" s="111" t="s">
        <v>164</v>
      </c>
      <c r="C177" s="18"/>
      <c r="D177" s="14"/>
      <c r="E177" s="14"/>
    </row>
    <row r="178" spans="2:14" ht="15.75" outlineLevel="1">
      <c r="B178" s="111" t="s">
        <v>165</v>
      </c>
      <c r="C178" s="18"/>
      <c r="D178" s="14"/>
      <c r="E178" s="14"/>
    </row>
    <row r="179" spans="2:14" ht="15.75" outlineLevel="1">
      <c r="B179" s="111" t="s">
        <v>166</v>
      </c>
    </row>
    <row r="180" spans="2:14" ht="15.75" outlineLevel="1">
      <c r="B180" s="111" t="s">
        <v>166</v>
      </c>
      <c r="G180" s="44"/>
    </row>
    <row r="181" spans="2:14" ht="30" outlineLevel="1">
      <c r="B181" s="167" t="s">
        <v>46</v>
      </c>
      <c r="C181" s="167" t="s">
        <v>95</v>
      </c>
      <c r="D181" s="167" t="s">
        <v>108</v>
      </c>
      <c r="G181" s="167" t="s">
        <v>109</v>
      </c>
      <c r="H181" s="167" t="s">
        <v>107</v>
      </c>
      <c r="I181" s="167" t="s">
        <v>152</v>
      </c>
      <c r="J181" s="167" t="s">
        <v>70</v>
      </c>
    </row>
    <row r="182" spans="2:14" ht="15" outlineLevel="1">
      <c r="B182" s="171">
        <v>0</v>
      </c>
      <c r="C182" s="169">
        <v>150</v>
      </c>
      <c r="D182" s="172">
        <f>C182*Revenue_Per_Passenger*$D$174</f>
        <v>8662500</v>
      </c>
      <c r="E182" s="106"/>
      <c r="G182" s="166">
        <v>1</v>
      </c>
      <c r="H182" s="160">
        <f t="shared" ref="H182:H213" ca="1" si="8">Max_Cost_per_Mile-RAND()*(Max_Cost_per_Mile-Min_Cost_per_Mile)</f>
        <v>30.098130943926382</v>
      </c>
      <c r="I182" s="160">
        <f t="shared" ref="I182:I213" ca="1" si="9">VLOOKUP(RAND(),Likelihood_bins,3,TRUE)</f>
        <v>8662500</v>
      </c>
      <c r="J182" s="186">
        <f t="shared" ref="J182:J213" ca="1" si="10">I182-(Total_Miles*H182)</f>
        <v>2752731.9891600553</v>
      </c>
    </row>
    <row r="183" spans="2:14" ht="15" outlineLevel="1">
      <c r="B183" s="171">
        <v>0.41</v>
      </c>
      <c r="C183" s="169">
        <v>175</v>
      </c>
      <c r="D183" s="172">
        <f>C183*Revenue_Per_Passenger*$D$174</f>
        <v>10106250</v>
      </c>
      <c r="E183" s="106"/>
      <c r="G183" s="166">
        <v>2</v>
      </c>
      <c r="H183" s="160">
        <f t="shared" ca="1" si="8"/>
        <v>47.835377653706381</v>
      </c>
      <c r="I183" s="160">
        <f t="shared" ca="1" si="9"/>
        <v>10683750</v>
      </c>
      <c r="J183" s="186">
        <f t="shared" ca="1" si="10"/>
        <v>1291273.5976947527</v>
      </c>
    </row>
    <row r="184" spans="2:14" ht="15" outlineLevel="1">
      <c r="B184" s="171">
        <v>0.71</v>
      </c>
      <c r="C184" s="169">
        <v>185</v>
      </c>
      <c r="D184" s="172">
        <f>C184*Revenue_Per_Passenger*$D$174</f>
        <v>10683750</v>
      </c>
      <c r="E184" s="106"/>
      <c r="G184" s="166">
        <v>3</v>
      </c>
      <c r="H184" s="160">
        <f t="shared" ca="1" si="8"/>
        <v>35.463662823309008</v>
      </c>
      <c r="I184" s="160">
        <f t="shared" ca="1" si="9"/>
        <v>10106250</v>
      </c>
      <c r="J184" s="186">
        <f t="shared" ca="1" si="10"/>
        <v>3142959.8046432761</v>
      </c>
      <c r="L184"/>
      <c r="M184"/>
      <c r="N184"/>
    </row>
    <row r="185" spans="2:14" ht="15" outlineLevel="1">
      <c r="B185" s="171">
        <v>0.91</v>
      </c>
      <c r="C185" s="169">
        <v>135</v>
      </c>
      <c r="D185" s="172">
        <f>C185*Revenue_Per_Passenger*$D$174</f>
        <v>7796250</v>
      </c>
      <c r="E185" s="106"/>
      <c r="G185" s="166">
        <v>4</v>
      </c>
      <c r="H185" s="160">
        <f t="shared" ca="1" si="8"/>
        <v>43.08359333569355</v>
      </c>
      <c r="I185" s="160">
        <f t="shared" ca="1" si="9"/>
        <v>8662500</v>
      </c>
      <c r="J185" s="186">
        <f t="shared" ca="1" si="10"/>
        <v>203036.44853657112</v>
      </c>
      <c r="L185" s="82"/>
      <c r="M185" s="83"/>
      <c r="N185"/>
    </row>
    <row r="186" spans="2:14" outlineLevel="1">
      <c r="G186" s="166">
        <v>5</v>
      </c>
      <c r="H186" s="160">
        <f t="shared" ca="1" si="8"/>
        <v>30.717552415970406</v>
      </c>
      <c r="I186" s="160">
        <f t="shared" ca="1" si="9"/>
        <v>10683750</v>
      </c>
      <c r="J186" s="186">
        <f t="shared" ca="1" si="10"/>
        <v>4652358.5831242111</v>
      </c>
      <c r="L186" s="82"/>
      <c r="M186" s="83"/>
      <c r="N186"/>
    </row>
    <row r="187" spans="2:14" outlineLevel="1">
      <c r="G187" s="166">
        <v>6</v>
      </c>
      <c r="H187" s="160">
        <f t="shared" ca="1" si="8"/>
        <v>48.286041264740298</v>
      </c>
      <c r="I187" s="160">
        <f t="shared" ca="1" si="9"/>
        <v>10106250</v>
      </c>
      <c r="J187" s="186">
        <f t="shared" ca="1" si="10"/>
        <v>625285.79766824283</v>
      </c>
      <c r="L187" s="82"/>
      <c r="M187" s="83"/>
      <c r="N187"/>
    </row>
    <row r="188" spans="2:14" outlineLevel="1">
      <c r="G188" s="166">
        <v>7</v>
      </c>
      <c r="H188" s="160">
        <f t="shared" ca="1" si="8"/>
        <v>47.533911797048276</v>
      </c>
      <c r="I188" s="160">
        <f t="shared" ca="1" si="9"/>
        <v>8662500</v>
      </c>
      <c r="J188" s="186">
        <f t="shared" ca="1" si="10"/>
        <v>-670783.58135042898</v>
      </c>
      <c r="L188" s="82"/>
      <c r="M188" s="83"/>
      <c r="N188"/>
    </row>
    <row r="189" spans="2:14" ht="15" outlineLevel="1">
      <c r="B189" s="196" t="s">
        <v>154</v>
      </c>
      <c r="C189" s="197"/>
      <c r="G189" s="166">
        <v>8</v>
      </c>
      <c r="H189" s="160">
        <f t="shared" ca="1" si="8"/>
        <v>31.194240466956458</v>
      </c>
      <c r="I189" s="160">
        <f t="shared" ca="1" si="9"/>
        <v>8662500</v>
      </c>
      <c r="J189" s="186">
        <f t="shared" ca="1" si="10"/>
        <v>2537510.8843130991</v>
      </c>
      <c r="L189" s="82"/>
      <c r="M189" s="83"/>
      <c r="N189"/>
    </row>
    <row r="190" spans="2:14" ht="15" outlineLevel="1">
      <c r="B190" s="173" t="s">
        <v>104</v>
      </c>
      <c r="C190" s="170">
        <f ca="1">IFERROR(AVERAGE(J182:J271),0)</f>
        <v>1640688.7146510882</v>
      </c>
      <c r="G190" s="166">
        <v>9</v>
      </c>
      <c r="H190" s="160">
        <f t="shared" ca="1" si="8"/>
        <v>36.827616862788311</v>
      </c>
      <c r="I190" s="160">
        <f t="shared" ca="1" si="9"/>
        <v>10683750</v>
      </c>
      <c r="J190" s="186">
        <f t="shared" ca="1" si="10"/>
        <v>3452647.4289915152</v>
      </c>
      <c r="L190" s="82"/>
      <c r="M190" s="83"/>
      <c r="N190"/>
    </row>
    <row r="191" spans="2:14" ht="15" outlineLevel="1">
      <c r="B191" s="173" t="s">
        <v>153</v>
      </c>
      <c r="C191" s="174">
        <f ca="1">IFERROR(COUNTIFS(J182:J271,"&gt;0")/COUNT(J182:J271),0)</f>
        <v>0.78888888888888886</v>
      </c>
      <c r="G191" s="166">
        <v>10</v>
      </c>
      <c r="H191" s="160">
        <f t="shared" ca="1" si="8"/>
        <v>30.0190404351399</v>
      </c>
      <c r="I191" s="160">
        <f t="shared" ca="1" si="9"/>
        <v>8662500</v>
      </c>
      <c r="J191" s="186">
        <f t="shared" ca="1" si="10"/>
        <v>2768261.410560281</v>
      </c>
      <c r="L191" s="82"/>
      <c r="M191" s="83"/>
      <c r="N191"/>
    </row>
    <row r="192" spans="2:14" ht="15" outlineLevel="1">
      <c r="B192" s="173" t="s">
        <v>105</v>
      </c>
      <c r="C192" s="175">
        <f ca="1">C191*100</f>
        <v>78.888888888888886</v>
      </c>
      <c r="G192" s="166">
        <v>11</v>
      </c>
      <c r="H192" s="160">
        <f t="shared" ca="1" si="8"/>
        <v>40.080349975533096</v>
      </c>
      <c r="I192" s="160">
        <f t="shared" ca="1" si="9"/>
        <v>10106250</v>
      </c>
      <c r="J192" s="186">
        <f t="shared" ca="1" si="10"/>
        <v>2236473.2823040765</v>
      </c>
      <c r="L192"/>
      <c r="M192"/>
      <c r="N192"/>
    </row>
    <row r="193" spans="3:14" outlineLevel="1">
      <c r="G193" s="166">
        <v>12</v>
      </c>
      <c r="H193" s="160">
        <f t="shared" ca="1" si="8"/>
        <v>44.058846871532069</v>
      </c>
      <c r="I193" s="160">
        <f t="shared" ca="1" si="9"/>
        <v>10106250</v>
      </c>
      <c r="J193" s="186">
        <f t="shared" ca="1" si="10"/>
        <v>1455295.416774679</v>
      </c>
      <c r="L193"/>
      <c r="M193"/>
      <c r="N193"/>
    </row>
    <row r="194" spans="3:14" outlineLevel="1">
      <c r="G194" s="166">
        <v>13</v>
      </c>
      <c r="H194" s="160">
        <f t="shared" ca="1" si="8"/>
        <v>49.580913072514512</v>
      </c>
      <c r="I194" s="160">
        <f t="shared" ca="1" si="9"/>
        <v>8662500</v>
      </c>
      <c r="J194" s="186">
        <f t="shared" ca="1" si="10"/>
        <v>-1072712.2817882244</v>
      </c>
      <c r="L194"/>
      <c r="M194"/>
      <c r="N194"/>
    </row>
    <row r="195" spans="3:14" outlineLevel="1">
      <c r="G195" s="166">
        <v>14</v>
      </c>
      <c r="H195" s="160">
        <f t="shared" ca="1" si="8"/>
        <v>39.975283769626238</v>
      </c>
      <c r="I195" s="160">
        <f t="shared" ca="1" si="9"/>
        <v>8662500</v>
      </c>
      <c r="J195" s="186">
        <f t="shared" ca="1" si="10"/>
        <v>813353.03183388803</v>
      </c>
      <c r="L195"/>
      <c r="M195"/>
      <c r="N195"/>
    </row>
    <row r="196" spans="3:14" outlineLevel="1">
      <c r="G196" s="166">
        <v>15</v>
      </c>
      <c r="H196" s="160">
        <f t="shared" ca="1" si="8"/>
        <v>46.310419489626362</v>
      </c>
      <c r="I196" s="160">
        <f t="shared" ca="1" si="9"/>
        <v>8662500</v>
      </c>
      <c r="J196" s="186">
        <f t="shared" ca="1" si="10"/>
        <v>-430550.86678813584</v>
      </c>
      <c r="L196"/>
      <c r="M196"/>
      <c r="N196"/>
    </row>
    <row r="197" spans="3:14" outlineLevel="1">
      <c r="G197" s="166">
        <v>16</v>
      </c>
      <c r="H197" s="160">
        <f t="shared" ca="1" si="8"/>
        <v>49.067371520406375</v>
      </c>
      <c r="I197" s="160">
        <f t="shared" ca="1" si="9"/>
        <v>10683750</v>
      </c>
      <c r="J197" s="186">
        <f t="shared" ca="1" si="10"/>
        <v>1049371.6019682083</v>
      </c>
      <c r="L197"/>
      <c r="M197"/>
      <c r="N197"/>
    </row>
    <row r="198" spans="3:14" outlineLevel="1">
      <c r="G198" s="166">
        <v>17</v>
      </c>
      <c r="H198" s="160">
        <f t="shared" ca="1" si="8"/>
        <v>36.336585098387509</v>
      </c>
      <c r="I198" s="160">
        <f t="shared" ca="1" si="9"/>
        <v>10106250</v>
      </c>
      <c r="J198" s="186">
        <f t="shared" ca="1" si="10"/>
        <v>2971561.5159316128</v>
      </c>
      <c r="L198"/>
      <c r="M198"/>
      <c r="N198"/>
    </row>
    <row r="199" spans="3:14" outlineLevel="1">
      <c r="G199" s="166">
        <v>18</v>
      </c>
      <c r="H199" s="160">
        <f t="shared" ca="1" si="8"/>
        <v>38.90775252808519</v>
      </c>
      <c r="I199" s="160">
        <f t="shared" ca="1" si="9"/>
        <v>10683750</v>
      </c>
      <c r="J199" s="186">
        <f t="shared" ca="1" si="10"/>
        <v>3044212.7911104728</v>
      </c>
      <c r="L199"/>
      <c r="M199"/>
      <c r="N199"/>
    </row>
    <row r="200" spans="3:14" outlineLevel="1">
      <c r="C200" s="61"/>
      <c r="G200" s="166">
        <v>19</v>
      </c>
      <c r="H200" s="160">
        <f t="shared" ca="1" si="8"/>
        <v>35.205589051687554</v>
      </c>
      <c r="I200" s="160">
        <f t="shared" ca="1" si="9"/>
        <v>8662500</v>
      </c>
      <c r="J200" s="186">
        <f t="shared" ca="1" si="10"/>
        <v>1749882.5897011487</v>
      </c>
      <c r="L200"/>
      <c r="M200"/>
      <c r="N200"/>
    </row>
    <row r="201" spans="3:14" outlineLevel="1">
      <c r="C201" s="61"/>
      <c r="G201" s="166">
        <v>20</v>
      </c>
      <c r="H201" s="160">
        <f t="shared" ca="1" si="8"/>
        <v>38.79046781874149</v>
      </c>
      <c r="I201" s="160">
        <f t="shared" ca="1" si="9"/>
        <v>10683750</v>
      </c>
      <c r="J201" s="186">
        <f t="shared" ca="1" si="10"/>
        <v>3067241.6437901082</v>
      </c>
      <c r="L201"/>
      <c r="M201"/>
      <c r="N201"/>
    </row>
    <row r="202" spans="3:14" outlineLevel="1">
      <c r="C202" s="61"/>
      <c r="G202" s="166">
        <v>21</v>
      </c>
      <c r="H202" s="160">
        <f t="shared" ca="1" si="8"/>
        <v>33.154624497944184</v>
      </c>
      <c r="I202" s="160">
        <f t="shared" ca="1" si="9"/>
        <v>8662500</v>
      </c>
      <c r="J202" s="186">
        <f t="shared" ca="1" si="10"/>
        <v>2152589.4798286594</v>
      </c>
      <c r="L202"/>
      <c r="M202"/>
    </row>
    <row r="203" spans="3:14" outlineLevel="1">
      <c r="C203" s="61"/>
      <c r="G203" s="166">
        <v>22</v>
      </c>
      <c r="H203" s="160">
        <f t="shared" ca="1" si="8"/>
        <v>34.730983273922376</v>
      </c>
      <c r="I203" s="160">
        <f t="shared" ca="1" si="9"/>
        <v>10106250</v>
      </c>
      <c r="J203" s="186">
        <f t="shared" ca="1" si="10"/>
        <v>3286821.4341653418</v>
      </c>
      <c r="L203"/>
      <c r="M203"/>
    </row>
    <row r="204" spans="3:14" outlineLevel="1">
      <c r="G204" s="166">
        <v>23</v>
      </c>
      <c r="H204" s="160">
        <f t="shared" ca="1" si="8"/>
        <v>33.208441620077281</v>
      </c>
      <c r="I204" s="160">
        <f t="shared" ca="1" si="9"/>
        <v>10683750</v>
      </c>
      <c r="J204" s="186">
        <f t="shared" ca="1" si="10"/>
        <v>4163272.4878978264</v>
      </c>
      <c r="L204"/>
      <c r="M204"/>
    </row>
    <row r="205" spans="3:14" outlineLevel="1">
      <c r="G205" s="166">
        <v>24</v>
      </c>
      <c r="H205" s="160">
        <f t="shared" ca="1" si="8"/>
        <v>33.86041739026534</v>
      </c>
      <c r="I205" s="160">
        <f t="shared" ca="1" si="9"/>
        <v>10106250</v>
      </c>
      <c r="J205" s="186">
        <f t="shared" ca="1" si="10"/>
        <v>3457757.0454214001</v>
      </c>
      <c r="L205"/>
      <c r="M205"/>
    </row>
    <row r="206" spans="3:14" outlineLevel="1">
      <c r="G206" s="166">
        <v>25</v>
      </c>
      <c r="H206" s="160">
        <f t="shared" ca="1" si="8"/>
        <v>32.43311068184957</v>
      </c>
      <c r="I206" s="160">
        <f t="shared" ca="1" si="9"/>
        <v>10683750</v>
      </c>
      <c r="J206" s="186">
        <f t="shared" ca="1" si="10"/>
        <v>4315508.717618837</v>
      </c>
      <c r="L206"/>
      <c r="M206"/>
    </row>
    <row r="207" spans="3:14" outlineLevel="1">
      <c r="G207" s="166">
        <v>26</v>
      </c>
      <c r="H207" s="160">
        <f t="shared" ca="1" si="8"/>
        <v>33.139495937456886</v>
      </c>
      <c r="I207" s="160">
        <f t="shared" ca="1" si="9"/>
        <v>7796250</v>
      </c>
      <c r="J207" s="186">
        <f t="shared" ca="1" si="10"/>
        <v>1289309.9726803405</v>
      </c>
      <c r="L207"/>
      <c r="M207"/>
    </row>
    <row r="208" spans="3:14" outlineLevel="1">
      <c r="G208" s="166">
        <v>27</v>
      </c>
      <c r="H208" s="160">
        <f t="shared" ca="1" si="8"/>
        <v>40.458118757814617</v>
      </c>
      <c r="I208" s="160">
        <f t="shared" ca="1" si="9"/>
        <v>10106250</v>
      </c>
      <c r="J208" s="186">
        <f t="shared" ca="1" si="10"/>
        <v>2162298.3819030998</v>
      </c>
      <c r="L208"/>
      <c r="M208"/>
    </row>
    <row r="209" spans="7:13" outlineLevel="1">
      <c r="G209" s="166">
        <v>28</v>
      </c>
      <c r="H209" s="160">
        <f t="shared" ca="1" si="8"/>
        <v>35.184639227167423</v>
      </c>
      <c r="I209" s="160">
        <f t="shared" ca="1" si="9"/>
        <v>8662500</v>
      </c>
      <c r="J209" s="186">
        <f t="shared" ca="1" si="10"/>
        <v>1753996.0877456767</v>
      </c>
      <c r="L209"/>
      <c r="M209"/>
    </row>
    <row r="210" spans="7:13" outlineLevel="1">
      <c r="G210" s="166">
        <v>29</v>
      </c>
      <c r="H210" s="160">
        <f t="shared" ca="1" si="8"/>
        <v>46.04281983450327</v>
      </c>
      <c r="I210" s="160">
        <f t="shared" ca="1" si="9"/>
        <v>7796250</v>
      </c>
      <c r="J210" s="186">
        <f t="shared" ca="1" si="10"/>
        <v>-1244257.6745047178</v>
      </c>
      <c r="L210"/>
      <c r="M210"/>
    </row>
    <row r="211" spans="7:13" outlineLevel="1">
      <c r="G211" s="166">
        <v>30</v>
      </c>
      <c r="H211" s="160">
        <f t="shared" ca="1" si="8"/>
        <v>30.579952964129383</v>
      </c>
      <c r="I211" s="160">
        <f t="shared" ca="1" si="9"/>
        <v>7796250</v>
      </c>
      <c r="J211" s="186">
        <f t="shared" ca="1" si="10"/>
        <v>1791876.2354931952</v>
      </c>
      <c r="L211"/>
      <c r="M211"/>
    </row>
    <row r="212" spans="7:13" outlineLevel="1">
      <c r="G212" s="166">
        <v>31</v>
      </c>
      <c r="H212" s="160">
        <f t="shared" ca="1" si="8"/>
        <v>45.837496406951352</v>
      </c>
      <c r="I212" s="160">
        <f t="shared" ca="1" si="9"/>
        <v>7796250</v>
      </c>
      <c r="J212" s="186">
        <f t="shared" ca="1" si="10"/>
        <v>-1203942.4195048977</v>
      </c>
      <c r="L212"/>
      <c r="M212"/>
    </row>
    <row r="213" spans="7:13" outlineLevel="1">
      <c r="G213" s="166">
        <v>32</v>
      </c>
      <c r="H213" s="160">
        <f t="shared" ca="1" si="8"/>
        <v>45.578693250425346</v>
      </c>
      <c r="I213" s="160">
        <f t="shared" ca="1" si="9"/>
        <v>8662500</v>
      </c>
      <c r="J213" s="186">
        <f t="shared" ca="1" si="10"/>
        <v>-286876.41972101666</v>
      </c>
      <c r="L213"/>
      <c r="M213"/>
    </row>
    <row r="214" spans="7:13" outlineLevel="1">
      <c r="G214" s="166">
        <v>33</v>
      </c>
      <c r="H214" s="160">
        <f t="shared" ref="H214:H245" ca="1" si="11">Max_Cost_per_Mile-RAND()*(Max_Cost_per_Mile-Min_Cost_per_Mile)</f>
        <v>31.475424149918773</v>
      </c>
      <c r="I214" s="160">
        <f t="shared" ref="I214:I245" ca="1" si="12">VLOOKUP(RAND(),Likelihood_bins,3,TRUE)</f>
        <v>8662500</v>
      </c>
      <c r="J214" s="186">
        <f t="shared" ref="J214:J245" ca="1" si="13">I214-(Total_Miles*H214)</f>
        <v>2482300.4681634493</v>
      </c>
      <c r="L214"/>
      <c r="M214"/>
    </row>
    <row r="215" spans="7:13" outlineLevel="1">
      <c r="G215" s="166">
        <v>34</v>
      </c>
      <c r="H215" s="160">
        <f t="shared" ca="1" si="11"/>
        <v>31.24599406432495</v>
      </c>
      <c r="I215" s="160">
        <f t="shared" ca="1" si="12"/>
        <v>8662500</v>
      </c>
      <c r="J215" s="186">
        <f t="shared" ca="1" si="13"/>
        <v>2527349.0654697958</v>
      </c>
      <c r="L215"/>
      <c r="M215"/>
    </row>
    <row r="216" spans="7:13" outlineLevel="1">
      <c r="G216" s="166">
        <v>35</v>
      </c>
      <c r="H216" s="160">
        <f t="shared" ca="1" si="11"/>
        <v>36.842781695084362</v>
      </c>
      <c r="I216" s="160">
        <f t="shared" ca="1" si="12"/>
        <v>10106250</v>
      </c>
      <c r="J216" s="186">
        <f t="shared" ca="1" si="13"/>
        <v>2872169.8141701855</v>
      </c>
      <c r="L216"/>
      <c r="M216"/>
    </row>
    <row r="217" spans="7:13" outlineLevel="1">
      <c r="G217" s="166">
        <v>36</v>
      </c>
      <c r="H217" s="160">
        <f t="shared" ca="1" si="11"/>
        <v>39.756724066917052</v>
      </c>
      <c r="I217" s="160">
        <f t="shared" ca="1" si="12"/>
        <v>8662500</v>
      </c>
      <c r="J217" s="186">
        <f t="shared" ca="1" si="13"/>
        <v>856267.22946083732</v>
      </c>
      <c r="L217"/>
      <c r="M217"/>
    </row>
    <row r="218" spans="7:13" outlineLevel="1">
      <c r="G218" s="166">
        <v>37</v>
      </c>
      <c r="H218" s="160">
        <f t="shared" ca="1" si="11"/>
        <v>42.23597407875431</v>
      </c>
      <c r="I218" s="160">
        <f t="shared" ca="1" si="12"/>
        <v>10106250</v>
      </c>
      <c r="J218" s="186">
        <f t="shared" ca="1" si="13"/>
        <v>1813216.4896365907</v>
      </c>
      <c r="L218"/>
      <c r="M218"/>
    </row>
    <row r="219" spans="7:13" outlineLevel="1">
      <c r="G219" s="166">
        <v>38</v>
      </c>
      <c r="H219" s="160">
        <f t="shared" ca="1" si="11"/>
        <v>44.441260932339617</v>
      </c>
      <c r="I219" s="160">
        <f t="shared" ca="1" si="12"/>
        <v>8662500</v>
      </c>
      <c r="J219" s="186">
        <f t="shared" ca="1" si="13"/>
        <v>-63541.584064884111</v>
      </c>
      <c r="L219"/>
      <c r="M219"/>
    </row>
    <row r="220" spans="7:13" outlineLevel="1">
      <c r="G220" s="166">
        <v>39</v>
      </c>
      <c r="H220" s="160">
        <f t="shared" ca="1" si="11"/>
        <v>31.037592298481869</v>
      </c>
      <c r="I220" s="160">
        <f t="shared" ca="1" si="12"/>
        <v>10106250</v>
      </c>
      <c r="J220" s="186">
        <f t="shared" ca="1" si="13"/>
        <v>4012018.7521930849</v>
      </c>
      <c r="L220"/>
      <c r="M220"/>
    </row>
    <row r="221" spans="7:13" outlineLevel="1">
      <c r="G221" s="166">
        <v>40</v>
      </c>
      <c r="H221" s="160">
        <f t="shared" ca="1" si="11"/>
        <v>39.526866548252116</v>
      </c>
      <c r="I221" s="160">
        <f t="shared" ca="1" si="12"/>
        <v>10106250</v>
      </c>
      <c r="J221" s="186">
        <f t="shared" ca="1" si="13"/>
        <v>2345149.7532506967</v>
      </c>
      <c r="L221"/>
      <c r="M221"/>
    </row>
    <row r="222" spans="7:13" outlineLevel="1">
      <c r="G222" s="166">
        <v>41</v>
      </c>
      <c r="H222" s="160">
        <f t="shared" ca="1" si="11"/>
        <v>49.821515423434761</v>
      </c>
      <c r="I222" s="160">
        <f t="shared" ca="1" si="12"/>
        <v>7796250</v>
      </c>
      <c r="J222" s="186">
        <f t="shared" ca="1" si="13"/>
        <v>-1986204.5533914156</v>
      </c>
      <c r="L222"/>
      <c r="M222"/>
    </row>
    <row r="223" spans="7:13" outlineLevel="1">
      <c r="G223" s="166">
        <v>42</v>
      </c>
      <c r="H223" s="160">
        <f t="shared" ca="1" si="11"/>
        <v>42.13890243341843</v>
      </c>
      <c r="I223" s="160">
        <f t="shared" ca="1" si="12"/>
        <v>10106250</v>
      </c>
      <c r="J223" s="186">
        <f t="shared" ca="1" si="13"/>
        <v>1832276.5071982909</v>
      </c>
      <c r="L223"/>
      <c r="M223"/>
    </row>
    <row r="224" spans="7:13" outlineLevel="1">
      <c r="G224" s="166">
        <v>43</v>
      </c>
      <c r="H224" s="160">
        <f t="shared" ca="1" si="11"/>
        <v>35.678775132371136</v>
      </c>
      <c r="I224" s="160">
        <f t="shared" ca="1" si="12"/>
        <v>8662500</v>
      </c>
      <c r="J224" s="186">
        <f t="shared" ca="1" si="13"/>
        <v>1656972.5027589276</v>
      </c>
      <c r="L224"/>
      <c r="M224"/>
    </row>
    <row r="225" spans="7:13" outlineLevel="1">
      <c r="G225" s="166">
        <v>44</v>
      </c>
      <c r="H225" s="160">
        <f t="shared" ca="1" si="11"/>
        <v>35.657805866152287</v>
      </c>
      <c r="I225" s="160">
        <f t="shared" ca="1" si="12"/>
        <v>8662500</v>
      </c>
      <c r="J225" s="186">
        <f t="shared" ca="1" si="13"/>
        <v>1661089.8181809988</v>
      </c>
      <c r="L225"/>
      <c r="M225"/>
    </row>
    <row r="226" spans="7:13" outlineLevel="1">
      <c r="G226" s="166">
        <v>45</v>
      </c>
      <c r="H226" s="160">
        <f t="shared" ca="1" si="11"/>
        <v>41.373684695281199</v>
      </c>
      <c r="I226" s="160">
        <f t="shared" ca="1" si="12"/>
        <v>10106250</v>
      </c>
      <c r="J226" s="186">
        <f t="shared" ca="1" si="13"/>
        <v>1982527.0100815371</v>
      </c>
      <c r="L226"/>
      <c r="M226"/>
    </row>
    <row r="227" spans="7:13" outlineLevel="1">
      <c r="G227" s="166">
        <v>46</v>
      </c>
      <c r="H227" s="160">
        <f t="shared" ca="1" si="11"/>
        <v>33.889525089869842</v>
      </c>
      <c r="I227" s="160">
        <f t="shared" ca="1" si="12"/>
        <v>8662500</v>
      </c>
      <c r="J227" s="186">
        <f t="shared" ca="1" si="13"/>
        <v>2008291.7486040564</v>
      </c>
      <c r="L227"/>
      <c r="M227"/>
    </row>
    <row r="228" spans="7:13" outlineLevel="1">
      <c r="G228" s="166">
        <v>47</v>
      </c>
      <c r="H228" s="160">
        <f t="shared" ca="1" si="11"/>
        <v>39.021952934106729</v>
      </c>
      <c r="I228" s="160">
        <f t="shared" ca="1" si="12"/>
        <v>10683750</v>
      </c>
      <c r="J228" s="186">
        <f t="shared" ca="1" si="13"/>
        <v>3021789.5413881438</v>
      </c>
      <c r="L228"/>
      <c r="M228"/>
    </row>
    <row r="229" spans="7:13" outlineLevel="1">
      <c r="G229" s="166">
        <v>48</v>
      </c>
      <c r="H229" s="160">
        <f t="shared" ca="1" si="11"/>
        <v>31.817365019149651</v>
      </c>
      <c r="I229" s="160">
        <f t="shared" ca="1" si="12"/>
        <v>8662500</v>
      </c>
      <c r="J229" s="186">
        <f t="shared" ca="1" si="13"/>
        <v>2415160.3784899656</v>
      </c>
      <c r="L229"/>
      <c r="M229"/>
    </row>
    <row r="230" spans="7:13" outlineLevel="1">
      <c r="G230" s="166">
        <v>49</v>
      </c>
      <c r="H230" s="160">
        <f t="shared" ca="1" si="11"/>
        <v>45.492169875780597</v>
      </c>
      <c r="I230" s="160">
        <f t="shared" ca="1" si="12"/>
        <v>8662500</v>
      </c>
      <c r="J230" s="186">
        <f t="shared" ca="1" si="13"/>
        <v>-269887.55510951951</v>
      </c>
      <c r="L230"/>
      <c r="M230"/>
    </row>
    <row r="231" spans="7:13" outlineLevel="1">
      <c r="G231" s="166">
        <v>50</v>
      </c>
      <c r="H231" s="160">
        <f t="shared" ca="1" si="11"/>
        <v>40.050946738193957</v>
      </c>
      <c r="I231" s="160">
        <f t="shared" ca="1" si="12"/>
        <v>10106250</v>
      </c>
      <c r="J231" s="186">
        <f t="shared" ca="1" si="13"/>
        <v>2242246.6079556169</v>
      </c>
      <c r="L231"/>
      <c r="M231"/>
    </row>
    <row r="232" spans="7:13" outlineLevel="1">
      <c r="G232" s="166">
        <v>51</v>
      </c>
      <c r="H232" s="160">
        <f t="shared" ca="1" si="11"/>
        <v>44.491761015069116</v>
      </c>
      <c r="I232" s="160">
        <f t="shared" ca="1" si="12"/>
        <v>10106250</v>
      </c>
      <c r="J232" s="186">
        <f t="shared" ca="1" si="13"/>
        <v>1370292.7246911786</v>
      </c>
      <c r="L232"/>
      <c r="M232"/>
    </row>
    <row r="233" spans="7:13" outlineLevel="1">
      <c r="G233" s="166">
        <v>52</v>
      </c>
      <c r="H233" s="160">
        <f t="shared" ca="1" si="11"/>
        <v>46.370455554657568</v>
      </c>
      <c r="I233" s="160">
        <f t="shared" ca="1" si="12"/>
        <v>8662500</v>
      </c>
      <c r="J233" s="186">
        <f t="shared" ca="1" si="13"/>
        <v>-442338.94815701433</v>
      </c>
      <c r="L233"/>
      <c r="M233"/>
    </row>
    <row r="234" spans="7:13" outlineLevel="1">
      <c r="G234" s="166">
        <v>53</v>
      </c>
      <c r="H234" s="160">
        <f t="shared" ca="1" si="11"/>
        <v>37.61451542968841</v>
      </c>
      <c r="I234" s="160">
        <f t="shared" ca="1" si="12"/>
        <v>10683750</v>
      </c>
      <c r="J234" s="186">
        <f t="shared" ca="1" si="13"/>
        <v>3298139.8953806804</v>
      </c>
      <c r="L234"/>
      <c r="M234"/>
    </row>
    <row r="235" spans="7:13" outlineLevel="1">
      <c r="G235" s="166">
        <v>54</v>
      </c>
      <c r="H235" s="160">
        <f t="shared" ca="1" si="11"/>
        <v>37.470862805923858</v>
      </c>
      <c r="I235" s="160">
        <f t="shared" ca="1" si="12"/>
        <v>10106250</v>
      </c>
      <c r="J235" s="186">
        <f t="shared" ca="1" si="13"/>
        <v>2748846.0880568502</v>
      </c>
      <c r="L235"/>
      <c r="M235"/>
    </row>
    <row r="236" spans="7:13" outlineLevel="1">
      <c r="G236" s="166">
        <v>55</v>
      </c>
      <c r="H236" s="160">
        <f t="shared" ca="1" si="11"/>
        <v>44.677558521244279</v>
      </c>
      <c r="I236" s="160">
        <f t="shared" ca="1" si="12"/>
        <v>8662500</v>
      </c>
      <c r="J236" s="186">
        <f t="shared" ca="1" si="13"/>
        <v>-109938.61564631388</v>
      </c>
      <c r="L236"/>
      <c r="M236"/>
    </row>
    <row r="237" spans="7:13" outlineLevel="1">
      <c r="G237" s="166">
        <v>56</v>
      </c>
      <c r="H237" s="160">
        <f t="shared" ca="1" si="11"/>
        <v>48.49302452204595</v>
      </c>
      <c r="I237" s="160">
        <f t="shared" ca="1" si="12"/>
        <v>7796250</v>
      </c>
      <c r="J237" s="186">
        <f t="shared" ca="1" si="13"/>
        <v>-1725355.364903722</v>
      </c>
      <c r="L237"/>
      <c r="M237"/>
    </row>
    <row r="238" spans="7:13" outlineLevel="1">
      <c r="G238" s="166">
        <v>57</v>
      </c>
      <c r="H238" s="160">
        <f t="shared" ca="1" si="11"/>
        <v>43.951515418693958</v>
      </c>
      <c r="I238" s="160">
        <f t="shared" ca="1" si="12"/>
        <v>10106250</v>
      </c>
      <c r="J238" s="186">
        <f t="shared" ca="1" si="13"/>
        <v>1476369.9475394413</v>
      </c>
      <c r="L238"/>
      <c r="M238"/>
    </row>
    <row r="239" spans="7:13" outlineLevel="1">
      <c r="G239" s="166">
        <v>58</v>
      </c>
      <c r="H239" s="160">
        <f t="shared" ca="1" si="11"/>
        <v>49.940846138026288</v>
      </c>
      <c r="I239" s="160">
        <f t="shared" ca="1" si="12"/>
        <v>8662500</v>
      </c>
      <c r="J239" s="186">
        <f t="shared" ca="1" si="13"/>
        <v>-1143385.1392014623</v>
      </c>
      <c r="L239"/>
      <c r="M239"/>
    </row>
    <row r="240" spans="7:13" outlineLevel="1">
      <c r="G240" s="166">
        <v>59</v>
      </c>
      <c r="H240" s="160">
        <f t="shared" ca="1" si="11"/>
        <v>40.348573152202611</v>
      </c>
      <c r="I240" s="160">
        <f t="shared" ca="1" si="12"/>
        <v>8662500</v>
      </c>
      <c r="J240" s="186">
        <f t="shared" ca="1" si="13"/>
        <v>740057.66156501696</v>
      </c>
      <c r="L240"/>
      <c r="M240"/>
    </row>
    <row r="241" spans="7:13" outlineLevel="1">
      <c r="G241" s="166">
        <v>60</v>
      </c>
      <c r="H241" s="160">
        <f t="shared" ca="1" si="11"/>
        <v>48.586398302951373</v>
      </c>
      <c r="I241" s="160">
        <f t="shared" ca="1" si="12"/>
        <v>10106250</v>
      </c>
      <c r="J241" s="186">
        <f t="shared" ca="1" si="13"/>
        <v>566310.6932154987</v>
      </c>
      <c r="L241"/>
      <c r="M241"/>
    </row>
    <row r="242" spans="7:13" outlineLevel="1">
      <c r="G242" s="166">
        <v>61</v>
      </c>
      <c r="H242" s="160">
        <f t="shared" ca="1" si="11"/>
        <v>34.889158700487584</v>
      </c>
      <c r="I242" s="160">
        <f t="shared" ca="1" si="12"/>
        <v>7796250</v>
      </c>
      <c r="J242" s="186">
        <f t="shared" ca="1" si="13"/>
        <v>945763.68915926293</v>
      </c>
      <c r="L242"/>
      <c r="M242"/>
    </row>
    <row r="243" spans="7:13" outlineLevel="1">
      <c r="G243" s="166">
        <v>62</v>
      </c>
      <c r="H243" s="160">
        <f t="shared" ca="1" si="11"/>
        <v>41.549591258607023</v>
      </c>
      <c r="I243" s="160">
        <f t="shared" ca="1" si="12"/>
        <v>10683750</v>
      </c>
      <c r="J243" s="186">
        <f t="shared" ca="1" si="13"/>
        <v>2525487.7563725114</v>
      </c>
      <c r="L243"/>
      <c r="M243"/>
    </row>
    <row r="244" spans="7:13" outlineLevel="1">
      <c r="G244" s="166">
        <v>63</v>
      </c>
      <c r="H244" s="160">
        <f t="shared" ca="1" si="11"/>
        <v>41.001500833627567</v>
      </c>
      <c r="I244" s="160">
        <f t="shared" ca="1" si="12"/>
        <v>10106250</v>
      </c>
      <c r="J244" s="186">
        <f t="shared" ca="1" si="13"/>
        <v>2055605.3113172268</v>
      </c>
      <c r="L244"/>
      <c r="M244"/>
    </row>
    <row r="245" spans="7:13" outlineLevel="1">
      <c r="G245" s="166">
        <v>64</v>
      </c>
      <c r="H245" s="160">
        <f t="shared" ca="1" si="11"/>
        <v>37.699101393970949</v>
      </c>
      <c r="I245" s="160">
        <f t="shared" ca="1" si="12"/>
        <v>10106250</v>
      </c>
      <c r="J245" s="186">
        <f t="shared" ca="1" si="13"/>
        <v>2704031.441293804</v>
      </c>
      <c r="L245"/>
      <c r="M245"/>
    </row>
    <row r="246" spans="7:13" outlineLevel="1">
      <c r="G246" s="166">
        <v>65</v>
      </c>
      <c r="H246" s="160">
        <f t="shared" ref="H246:H271" ca="1" si="14">Max_Cost_per_Mile-RAND()*(Max_Cost_per_Mile-Min_Cost_per_Mile)</f>
        <v>45.060111123928174</v>
      </c>
      <c r="I246" s="160">
        <f t="shared" ref="I246:I271" ca="1" si="15">VLOOKUP(RAND(),Likelihood_bins,3,TRUE)</f>
        <v>8662500</v>
      </c>
      <c r="J246" s="186">
        <f t="shared" ref="J246:J271" ca="1" si="16">I246-(Total_Miles*H246)</f>
        <v>-185052.81918329746</v>
      </c>
      <c r="L246"/>
      <c r="M246"/>
    </row>
    <row r="247" spans="7:13" outlineLevel="1">
      <c r="G247" s="166">
        <v>66</v>
      </c>
      <c r="H247" s="160">
        <f t="shared" ca="1" si="14"/>
        <v>46.849620400653663</v>
      </c>
      <c r="I247" s="160">
        <f t="shared" ca="1" si="15"/>
        <v>10683750</v>
      </c>
      <c r="J247" s="186">
        <f t="shared" ca="1" si="16"/>
        <v>1484827.0343316533</v>
      </c>
      <c r="L247"/>
      <c r="M247"/>
    </row>
    <row r="248" spans="7:13" outlineLevel="1">
      <c r="G248" s="166">
        <v>67</v>
      </c>
      <c r="H248" s="160">
        <f t="shared" ca="1" si="14"/>
        <v>34.177927754867881</v>
      </c>
      <c r="I248" s="160">
        <f t="shared" ca="1" si="15"/>
        <v>10683750</v>
      </c>
      <c r="J248" s="186">
        <f t="shared" ca="1" si="16"/>
        <v>3972913.8853316912</v>
      </c>
      <c r="L248"/>
      <c r="M248"/>
    </row>
    <row r="249" spans="7:13" outlineLevel="1">
      <c r="G249" s="166">
        <v>68</v>
      </c>
      <c r="H249" s="160">
        <f t="shared" ca="1" si="14"/>
        <v>37.607283081189983</v>
      </c>
      <c r="I249" s="160">
        <f t="shared" ca="1" si="15"/>
        <v>10106250</v>
      </c>
      <c r="J249" s="186">
        <f t="shared" ca="1" si="16"/>
        <v>2722059.9670083467</v>
      </c>
      <c r="L249"/>
      <c r="M249"/>
    </row>
    <row r="250" spans="7:13" outlineLevel="1">
      <c r="G250" s="166">
        <v>69</v>
      </c>
      <c r="H250" s="160">
        <f t="shared" ca="1" si="14"/>
        <v>49.607718443029043</v>
      </c>
      <c r="I250" s="160">
        <f t="shared" ca="1" si="15"/>
        <v>8662500</v>
      </c>
      <c r="J250" s="186">
        <f t="shared" ca="1" si="16"/>
        <v>-1077975.5162887517</v>
      </c>
      <c r="L250"/>
      <c r="M250"/>
    </row>
    <row r="251" spans="7:13" outlineLevel="1">
      <c r="G251" s="166">
        <v>70</v>
      </c>
      <c r="H251" s="160">
        <f t="shared" ca="1" si="14"/>
        <v>38.410289291492781</v>
      </c>
      <c r="I251" s="160">
        <f t="shared" ca="1" si="15"/>
        <v>10106250</v>
      </c>
      <c r="J251" s="186">
        <f t="shared" ca="1" si="16"/>
        <v>2564389.6976153925</v>
      </c>
      <c r="L251"/>
      <c r="M251"/>
    </row>
    <row r="252" spans="7:13" outlineLevel="1">
      <c r="G252" s="166">
        <v>71</v>
      </c>
      <c r="H252" s="160">
        <f t="shared" ca="1" si="14"/>
        <v>30.041514502872214</v>
      </c>
      <c r="I252" s="160">
        <f t="shared" ca="1" si="15"/>
        <v>10683750</v>
      </c>
      <c r="J252" s="186">
        <f t="shared" ca="1" si="16"/>
        <v>4785098.6273610406</v>
      </c>
      <c r="L252"/>
      <c r="M252"/>
    </row>
    <row r="253" spans="7:13" outlineLevel="1">
      <c r="G253" s="166">
        <v>72</v>
      </c>
      <c r="H253" s="160">
        <f t="shared" ca="1" si="14"/>
        <v>31.531539256867958</v>
      </c>
      <c r="I253" s="160">
        <f t="shared" ca="1" si="15"/>
        <v>8662500</v>
      </c>
      <c r="J253" s="186">
        <f t="shared" ca="1" si="16"/>
        <v>2471282.2669139765</v>
      </c>
      <c r="L253"/>
      <c r="M253"/>
    </row>
    <row r="254" spans="7:13" outlineLevel="1">
      <c r="G254" s="166">
        <v>73</v>
      </c>
      <c r="H254" s="160">
        <f t="shared" ca="1" si="14"/>
        <v>43.357655491511423</v>
      </c>
      <c r="I254" s="160">
        <f t="shared" ca="1" si="15"/>
        <v>10106250</v>
      </c>
      <c r="J254" s="186">
        <f t="shared" ca="1" si="16"/>
        <v>1592974.3442417327</v>
      </c>
      <c r="L254"/>
      <c r="M254"/>
    </row>
    <row r="255" spans="7:13" outlineLevel="1">
      <c r="G255" s="166">
        <v>74</v>
      </c>
      <c r="H255" s="160">
        <f t="shared" ca="1" si="14"/>
        <v>42.052812124363101</v>
      </c>
      <c r="I255" s="160">
        <f t="shared" ca="1" si="15"/>
        <v>10106250</v>
      </c>
      <c r="J255" s="186">
        <f t="shared" ca="1" si="16"/>
        <v>1849180.3393813055</v>
      </c>
      <c r="L255"/>
      <c r="M255"/>
    </row>
    <row r="256" spans="7:13" outlineLevel="1">
      <c r="G256" s="166">
        <v>75</v>
      </c>
      <c r="H256" s="160">
        <f t="shared" ca="1" si="14"/>
        <v>31.582622475910256</v>
      </c>
      <c r="I256" s="160">
        <f t="shared" ca="1" si="15"/>
        <v>10683750</v>
      </c>
      <c r="J256" s="186">
        <f t="shared" ca="1" si="16"/>
        <v>4482502.0768550215</v>
      </c>
      <c r="L256"/>
      <c r="M256"/>
    </row>
    <row r="257" spans="7:13" outlineLevel="1">
      <c r="G257" s="166">
        <v>76</v>
      </c>
      <c r="H257" s="160">
        <f t="shared" ca="1" si="14"/>
        <v>44.065711683397154</v>
      </c>
      <c r="I257" s="160">
        <f t="shared" ca="1" si="15"/>
        <v>10683750</v>
      </c>
      <c r="J257" s="186">
        <f t="shared" ca="1" si="16"/>
        <v>2031447.5109649692</v>
      </c>
      <c r="L257"/>
      <c r="M257"/>
    </row>
    <row r="258" spans="7:13" outlineLevel="1">
      <c r="G258" s="166">
        <v>77</v>
      </c>
      <c r="H258" s="160">
        <f t="shared" ca="1" si="14"/>
        <v>47.039917290535456</v>
      </c>
      <c r="I258" s="160">
        <f t="shared" ca="1" si="15"/>
        <v>10106250</v>
      </c>
      <c r="J258" s="186">
        <f t="shared" ca="1" si="16"/>
        <v>869962.2400033623</v>
      </c>
      <c r="L258"/>
      <c r="M258"/>
    </row>
    <row r="259" spans="7:13" outlineLevel="1">
      <c r="G259" s="166">
        <v>78</v>
      </c>
      <c r="H259" s="160">
        <f t="shared" ca="1" si="14"/>
        <v>33.590859877563553</v>
      </c>
      <c r="I259" s="160">
        <f t="shared" ca="1" si="15"/>
        <v>8662500</v>
      </c>
      <c r="J259" s="186">
        <f t="shared" ca="1" si="16"/>
        <v>2066934.6630403968</v>
      </c>
      <c r="L259"/>
      <c r="M259"/>
    </row>
    <row r="260" spans="7:13" outlineLevel="1">
      <c r="G260" s="166">
        <v>79</v>
      </c>
      <c r="H260" s="160">
        <f t="shared" ca="1" si="14"/>
        <v>45.287136566183534</v>
      </c>
      <c r="I260" s="160">
        <f t="shared" ca="1" si="15"/>
        <v>7796250</v>
      </c>
      <c r="J260" s="186">
        <f t="shared" ca="1" si="16"/>
        <v>-1095879.2647701371</v>
      </c>
      <c r="L260"/>
      <c r="M260"/>
    </row>
    <row r="261" spans="7:13" outlineLevel="1">
      <c r="G261" s="166">
        <v>80</v>
      </c>
      <c r="H261" s="160">
        <f t="shared" ca="1" si="14"/>
        <v>49.718448498896699</v>
      </c>
      <c r="I261" s="160">
        <f t="shared" ca="1" si="15"/>
        <v>8662500</v>
      </c>
      <c r="J261" s="186">
        <f t="shared" ca="1" si="16"/>
        <v>-1099717.3627583664</v>
      </c>
      <c r="L261"/>
      <c r="M261"/>
    </row>
    <row r="262" spans="7:13" outlineLevel="1">
      <c r="G262" s="166">
        <v>81</v>
      </c>
      <c r="H262" s="160">
        <f t="shared" ca="1" si="14"/>
        <v>34.04073291217329</v>
      </c>
      <c r="I262" s="160">
        <f t="shared" ca="1" si="15"/>
        <v>10683750</v>
      </c>
      <c r="J262" s="186">
        <f t="shared" ca="1" si="16"/>
        <v>3999852.0926947743</v>
      </c>
      <c r="L262"/>
      <c r="M262"/>
    </row>
    <row r="263" spans="7:13" outlineLevel="1">
      <c r="G263" s="166">
        <v>82</v>
      </c>
      <c r="H263" s="160">
        <f t="shared" ca="1" si="14"/>
        <v>39.011280657544347</v>
      </c>
      <c r="I263" s="160">
        <f t="shared" ca="1" si="15"/>
        <v>8662500</v>
      </c>
      <c r="J263" s="186">
        <f t="shared" ca="1" si="16"/>
        <v>1002635.0428911671</v>
      </c>
      <c r="L263"/>
      <c r="M263"/>
    </row>
    <row r="264" spans="7:13" outlineLevel="1">
      <c r="G264" s="166">
        <v>83</v>
      </c>
      <c r="H264" s="160">
        <f t="shared" ca="1" si="14"/>
        <v>30.010328313659073</v>
      </c>
      <c r="I264" s="160">
        <f t="shared" ca="1" si="15"/>
        <v>8662500</v>
      </c>
      <c r="J264" s="186">
        <f t="shared" ca="1" si="16"/>
        <v>2769972.0356130414</v>
      </c>
      <c r="L264"/>
      <c r="M264"/>
    </row>
    <row r="265" spans="7:13" outlineLevel="1">
      <c r="G265" s="166">
        <v>84</v>
      </c>
      <c r="H265" s="160">
        <f t="shared" ca="1" si="14"/>
        <v>46.482880814571779</v>
      </c>
      <c r="I265" s="160">
        <f t="shared" ca="1" si="15"/>
        <v>7796250</v>
      </c>
      <c r="J265" s="186">
        <f t="shared" ca="1" si="16"/>
        <v>-1330663.6479411684</v>
      </c>
      <c r="L265"/>
      <c r="M265"/>
    </row>
    <row r="266" spans="7:13" outlineLevel="1">
      <c r="G266" s="166">
        <v>85</v>
      </c>
      <c r="H266" s="160">
        <f t="shared" ca="1" si="14"/>
        <v>30.110983976624091</v>
      </c>
      <c r="I266" s="160">
        <f t="shared" ca="1" si="15"/>
        <v>10106250</v>
      </c>
      <c r="J266" s="186">
        <f t="shared" ca="1" si="16"/>
        <v>4193958.2961898595</v>
      </c>
      <c r="L266"/>
      <c r="M266"/>
    </row>
    <row r="267" spans="7:13" outlineLevel="1">
      <c r="G267" s="166">
        <v>86</v>
      </c>
      <c r="H267" s="160">
        <f t="shared" ca="1" si="14"/>
        <v>38.294164299306274</v>
      </c>
      <c r="I267" s="160">
        <f t="shared" ca="1" si="15"/>
        <v>8662500</v>
      </c>
      <c r="J267" s="186">
        <f t="shared" ca="1" si="16"/>
        <v>1143440.8398312135</v>
      </c>
      <c r="L267"/>
      <c r="M267"/>
    </row>
    <row r="268" spans="7:13" outlineLevel="1">
      <c r="G268" s="166">
        <v>87</v>
      </c>
      <c r="H268" s="160">
        <f t="shared" ca="1" si="14"/>
        <v>40.596340263761974</v>
      </c>
      <c r="I268" s="160">
        <f t="shared" ca="1" si="15"/>
        <v>10106250</v>
      </c>
      <c r="J268" s="186">
        <f t="shared" ca="1" si="16"/>
        <v>2135158.5892103361</v>
      </c>
      <c r="L268"/>
      <c r="M268"/>
    </row>
    <row r="269" spans="7:13" outlineLevel="1">
      <c r="G269" s="166">
        <v>88</v>
      </c>
      <c r="H269" s="160">
        <f t="shared" ca="1" si="14"/>
        <v>47.290376292233134</v>
      </c>
      <c r="I269" s="160">
        <f t="shared" ca="1" si="15"/>
        <v>8662500</v>
      </c>
      <c r="J269" s="186">
        <f t="shared" ca="1" si="16"/>
        <v>-622965.38497997634</v>
      </c>
      <c r="L269"/>
      <c r="M269"/>
    </row>
    <row r="270" spans="7:13" outlineLevel="1">
      <c r="G270" s="166">
        <v>89</v>
      </c>
      <c r="H270" s="160">
        <f t="shared" ca="1" si="14"/>
        <v>44.249088123062585</v>
      </c>
      <c r="I270" s="160">
        <f t="shared" ca="1" si="15"/>
        <v>10106250</v>
      </c>
      <c r="J270" s="186">
        <f t="shared" ca="1" si="16"/>
        <v>1417941.5470366608</v>
      </c>
      <c r="L270"/>
      <c r="M270"/>
    </row>
    <row r="271" spans="7:13" outlineLevel="1">
      <c r="G271" s="166">
        <v>90</v>
      </c>
      <c r="H271" s="160">
        <f t="shared" ca="1" si="14"/>
        <v>30.432321539693145</v>
      </c>
      <c r="I271" s="160">
        <f t="shared" ca="1" si="15"/>
        <v>7796250</v>
      </c>
      <c r="J271" s="186">
        <f t="shared" ca="1" si="16"/>
        <v>1820863.6656812513</v>
      </c>
      <c r="L271"/>
      <c r="M271"/>
    </row>
    <row r="272" spans="7:13" outlineLevel="1">
      <c r="L272"/>
      <c r="M272"/>
    </row>
    <row r="273" spans="2:13" outlineLevel="1">
      <c r="L273"/>
      <c r="M273"/>
    </row>
    <row r="274" spans="2:13">
      <c r="B274" s="17"/>
      <c r="C274" s="14"/>
      <c r="D274" s="14"/>
      <c r="E274" s="14"/>
      <c r="H274" s="7"/>
    </row>
    <row r="275" spans="2:13" ht="15.75" outlineLevel="1">
      <c r="B275" s="111" t="s">
        <v>155</v>
      </c>
      <c r="D275" s="14"/>
      <c r="E275" s="14"/>
      <c r="H275" s="7"/>
    </row>
    <row r="276" spans="2:13" ht="18" outlineLevel="1">
      <c r="B276" s="3"/>
      <c r="D276" s="14"/>
      <c r="E276" s="14"/>
      <c r="H276" s="7"/>
    </row>
    <row r="277" spans="2:13" ht="14.25" outlineLevel="1">
      <c r="B277" s="154" t="s">
        <v>156</v>
      </c>
      <c r="D277" s="14"/>
      <c r="E277" s="14"/>
      <c r="H277" s="7"/>
    </row>
    <row r="278" spans="2:13" ht="14.25" outlineLevel="1">
      <c r="B278" s="154" t="s">
        <v>157</v>
      </c>
      <c r="D278" s="14"/>
      <c r="E278" s="14"/>
      <c r="H278" s="7"/>
    </row>
    <row r="279" spans="2:13" ht="14.25" outlineLevel="1">
      <c r="B279" s="154" t="s">
        <v>158</v>
      </c>
      <c r="D279" s="14"/>
      <c r="E279" s="14"/>
      <c r="H279" s="7"/>
    </row>
    <row r="280" spans="2:13" outlineLevel="1">
      <c r="D280" s="14"/>
      <c r="E280" s="14"/>
      <c r="H280" s="7"/>
    </row>
    <row r="281" spans="2:13" ht="14.25" outlineLevel="1">
      <c r="B281" s="154" t="s">
        <v>159</v>
      </c>
      <c r="D281" s="14"/>
      <c r="E281" s="14"/>
      <c r="H281" s="7"/>
    </row>
    <row r="282" spans="2:13" ht="14.25" outlineLevel="1">
      <c r="B282" s="154" t="s">
        <v>160</v>
      </c>
      <c r="D282" s="14"/>
      <c r="E282" s="14"/>
      <c r="H282" s="7"/>
    </row>
    <row r="283" spans="2:13" ht="14.25" outlineLevel="1">
      <c r="B283" s="154" t="s">
        <v>161</v>
      </c>
      <c r="D283" s="14"/>
      <c r="E283" s="14"/>
      <c r="H283" s="7"/>
    </row>
    <row r="284" spans="2:13" ht="14.25" outlineLevel="1">
      <c r="B284" s="154" t="s">
        <v>162</v>
      </c>
      <c r="D284" s="14"/>
      <c r="E284" s="14"/>
      <c r="H284" s="7"/>
    </row>
    <row r="285" spans="2:13" ht="18" outlineLevel="1">
      <c r="B285" s="3"/>
    </row>
    <row r="286" spans="2:13" ht="15.75" outlineLevel="1">
      <c r="B286" s="111" t="s">
        <v>171</v>
      </c>
    </row>
    <row r="287" spans="2:13" ht="15.75" outlineLevel="1">
      <c r="B287" s="111" t="s">
        <v>177</v>
      </c>
    </row>
    <row r="288" spans="2:13" ht="15.75" outlineLevel="1">
      <c r="B288" s="111" t="s">
        <v>178</v>
      </c>
    </row>
    <row r="289" spans="2:14" outlineLevel="1"/>
    <row r="290" spans="2:14" outlineLevel="1">
      <c r="D290" s="59"/>
      <c r="E290" s="59"/>
      <c r="F290" s="59"/>
      <c r="G290" s="59"/>
      <c r="H290" s="59"/>
      <c r="I290" s="59"/>
      <c r="J290" s="59"/>
      <c r="K290" s="59"/>
      <c r="L290" s="59"/>
      <c r="M290" s="59"/>
      <c r="N290" s="59"/>
    </row>
    <row r="291" spans="2:14" ht="30" outlineLevel="1">
      <c r="B291" s="176" t="s">
        <v>168</v>
      </c>
      <c r="C291" s="176" t="s">
        <v>167</v>
      </c>
      <c r="D291" s="176" t="s">
        <v>35</v>
      </c>
      <c r="E291" s="176" t="s">
        <v>106</v>
      </c>
      <c r="F291" s="176" t="s">
        <v>36</v>
      </c>
      <c r="G291" s="176" t="s">
        <v>37</v>
      </c>
      <c r="H291" s="122"/>
      <c r="I291" s="122"/>
      <c r="J291" s="122"/>
      <c r="K291" s="122"/>
      <c r="L291" s="59"/>
      <c r="M291" s="59"/>
      <c r="N291" s="59"/>
    </row>
    <row r="292" spans="2:14" ht="15" outlineLevel="1">
      <c r="B292" s="176" t="s">
        <v>169</v>
      </c>
      <c r="C292" s="177">
        <v>0</v>
      </c>
      <c r="D292" s="177">
        <v>0</v>
      </c>
      <c r="E292" s="177">
        <v>1</v>
      </c>
      <c r="F292" s="177">
        <v>1</v>
      </c>
      <c r="G292" s="177">
        <v>1</v>
      </c>
      <c r="H292" s="119"/>
      <c r="I292" s="178" t="s">
        <v>42</v>
      </c>
      <c r="J292" s="119"/>
      <c r="K292" s="119"/>
      <c r="L292" s="59"/>
      <c r="M292" s="59"/>
      <c r="N292" s="59"/>
    </row>
    <row r="293" spans="2:14" ht="15" outlineLevel="1">
      <c r="B293" s="176" t="s">
        <v>38</v>
      </c>
      <c r="C293" s="179">
        <v>275629.97558294423</v>
      </c>
      <c r="D293" s="179">
        <v>2943233.9175000004</v>
      </c>
      <c r="E293" s="179">
        <v>824593.51665512472</v>
      </c>
      <c r="F293" s="179">
        <v>2840044.8680632673</v>
      </c>
      <c r="G293" s="179">
        <v>1224403.6253112501</v>
      </c>
      <c r="H293" s="119"/>
      <c r="I293" s="180">
        <f>SUMPRODUCT(C292:G292,C293:G293)</f>
        <v>4889042.0100296419</v>
      </c>
      <c r="J293" s="119"/>
      <c r="K293" s="119"/>
      <c r="L293" s="59"/>
      <c r="M293" s="59"/>
      <c r="N293" s="59"/>
    </row>
    <row r="294" spans="2:14" ht="14.25" outlineLevel="1">
      <c r="B294" s="181"/>
      <c r="C294" s="181"/>
      <c r="D294" s="181"/>
      <c r="E294" s="181"/>
      <c r="F294" s="181"/>
      <c r="G294" s="181"/>
      <c r="H294" s="119"/>
      <c r="I294" s="155"/>
      <c r="J294" s="119"/>
      <c r="K294" s="119"/>
      <c r="L294" s="59"/>
      <c r="M294" s="59"/>
      <c r="N294" s="59"/>
    </row>
    <row r="295" spans="2:14" ht="30" outlineLevel="1">
      <c r="B295" s="176" t="s">
        <v>41</v>
      </c>
      <c r="C295" s="176" t="s">
        <v>167</v>
      </c>
      <c r="D295" s="176" t="s">
        <v>35</v>
      </c>
      <c r="E295" s="176" t="s">
        <v>106</v>
      </c>
      <c r="F295" s="176" t="s">
        <v>36</v>
      </c>
      <c r="G295" s="176" t="s">
        <v>37</v>
      </c>
      <c r="H295" s="119"/>
      <c r="I295" s="176" t="s">
        <v>39</v>
      </c>
      <c r="J295" s="119"/>
      <c r="K295" s="176" t="s">
        <v>170</v>
      </c>
      <c r="L295" s="59"/>
      <c r="M295" s="59"/>
      <c r="N295" s="59"/>
    </row>
    <row r="296" spans="2:14" ht="15" outlineLevel="1">
      <c r="B296" s="176" t="s">
        <v>39</v>
      </c>
      <c r="C296" s="179">
        <v>10990650.041633211</v>
      </c>
      <c r="D296" s="179">
        <v>21826243.4375</v>
      </c>
      <c r="E296" s="179">
        <v>7075000</v>
      </c>
      <c r="F296" s="179">
        <v>13398817.429543961</v>
      </c>
      <c r="G296" s="179">
        <v>2925000</v>
      </c>
      <c r="H296" s="119"/>
      <c r="I296" s="180">
        <f>SUMPRODUCT(C292:G292,C296:G296)</f>
        <v>23398817.429543961</v>
      </c>
      <c r="J296" s="182" t="s">
        <v>40</v>
      </c>
      <c r="K296" s="180">
        <v>25000000</v>
      </c>
      <c r="L296" s="59"/>
      <c r="M296" s="59"/>
      <c r="N296" s="59"/>
    </row>
    <row r="297" spans="2:14" ht="14.25" outlineLevel="1">
      <c r="B297" s="155"/>
      <c r="C297" s="155"/>
      <c r="D297" s="155"/>
      <c r="E297" s="155"/>
      <c r="F297" s="155"/>
      <c r="G297" s="155"/>
      <c r="H297" s="119"/>
      <c r="L297" s="59"/>
      <c r="M297" s="59"/>
      <c r="N297" s="59"/>
    </row>
    <row r="298" spans="2:14" ht="14.25">
      <c r="B298" s="155"/>
      <c r="C298" s="155"/>
      <c r="D298" s="122"/>
      <c r="E298" s="122"/>
      <c r="F298" s="122"/>
      <c r="G298" s="122"/>
      <c r="H298" s="122"/>
      <c r="I298" s="122"/>
      <c r="J298" s="122"/>
      <c r="K298" s="122"/>
      <c r="L298" s="59"/>
      <c r="M298" s="59"/>
      <c r="N298" s="59"/>
    </row>
    <row r="299" spans="2:14" ht="14.25">
      <c r="B299" s="122"/>
      <c r="C299" s="122"/>
      <c r="D299" s="122"/>
      <c r="E299" s="122"/>
      <c r="F299" s="122"/>
      <c r="G299" s="122"/>
      <c r="H299" s="122"/>
      <c r="I299" s="122"/>
      <c r="J299" s="122"/>
      <c r="K299" s="122"/>
      <c r="L299" s="59"/>
      <c r="M299" s="59"/>
      <c r="N299" s="59"/>
    </row>
    <row r="300" spans="2:14">
      <c r="B300" s="59"/>
      <c r="C300" s="59"/>
    </row>
  </sheetData>
  <scenarios current="2" sqref="J59 J62 K66">
    <scenario name="Baseline" count="3" user="Diego Montes">
      <inputCells r="F66" val="0.05" numFmtId="171"/>
      <inputCells r="F67" val="0.4" numFmtId="171"/>
      <inputCells r="F68" val="0.275" numFmtId="171"/>
    </scenario>
    <scenario name="High growth with margin impact" count="3" user="Diego Montes">
      <inputCells r="F66" val="0.08" numFmtId="171"/>
      <inputCells r="F67" val="0.45" numFmtId="171"/>
      <inputCells r="F68" val="0.3" numFmtId="171"/>
    </scenario>
    <scenario name="Low Growth with margin impact" count="3" user="Diego Montes">
      <inputCells r="F66" val="0.03" numFmtId="171"/>
      <inputCells r="F67" val="0.32" numFmtId="171"/>
      <inputCells r="F68" val="0.3" numFmtId="171"/>
    </scenario>
  </scenarios>
  <sortState ref="D67:D78">
    <sortCondition ref="D67"/>
  </sortState>
  <mergeCells count="12">
    <mergeCell ref="B113:C113"/>
    <mergeCell ref="B142:C142"/>
    <mergeCell ref="G141:L141"/>
    <mergeCell ref="E143:E153"/>
    <mergeCell ref="B189:C189"/>
    <mergeCell ref="C64:E64"/>
    <mergeCell ref="F64:J64"/>
    <mergeCell ref="F27:G27"/>
    <mergeCell ref="F28:G28"/>
    <mergeCell ref="F30:G30"/>
    <mergeCell ref="C53:E53"/>
    <mergeCell ref="F53:J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5"/>
  <sheetViews>
    <sheetView showGridLines="0" workbookViewId="0">
      <selection activeCell="G27" sqref="G27:G28"/>
    </sheetView>
  </sheetViews>
  <sheetFormatPr defaultRowHeight="12" outlineLevelRow="1" outlineLevelCol="1"/>
  <cols>
    <col min="3" max="3" width="6.7109375" customWidth="1"/>
    <col min="4" max="7" width="24.140625" bestFit="1" customWidth="1" outlineLevel="1"/>
  </cols>
  <sheetData>
    <row r="1" spans="2:7" ht="12.75" thickBot="1"/>
    <row r="2" spans="2:7" ht="12.75">
      <c r="B2" s="199" t="s">
        <v>53</v>
      </c>
      <c r="C2" s="199"/>
      <c r="D2" s="66"/>
      <c r="E2" s="66"/>
      <c r="F2" s="66"/>
      <c r="G2" s="66"/>
    </row>
    <row r="3" spans="2:7" ht="12.75" collapsed="1">
      <c r="B3" s="198"/>
      <c r="C3" s="198"/>
      <c r="D3" s="185" t="s">
        <v>54</v>
      </c>
      <c r="E3" s="185" t="s">
        <v>174</v>
      </c>
      <c r="F3" s="185" t="s">
        <v>175</v>
      </c>
      <c r="G3" s="185" t="s">
        <v>176</v>
      </c>
    </row>
    <row r="4" spans="2:7" hidden="1" outlineLevel="1">
      <c r="B4" s="200"/>
      <c r="C4" s="200"/>
      <c r="D4" s="69"/>
      <c r="E4" s="203"/>
      <c r="F4" s="203"/>
      <c r="G4" s="203"/>
    </row>
    <row r="5" spans="2:7">
      <c r="B5" s="201" t="s">
        <v>63</v>
      </c>
      <c r="C5" s="201"/>
      <c r="D5" s="72"/>
      <c r="E5" s="72"/>
      <c r="F5" s="72"/>
      <c r="G5" s="72"/>
    </row>
    <row r="6" spans="2:7" outlineLevel="1">
      <c r="B6" s="200"/>
      <c r="C6" s="200" t="s">
        <v>80</v>
      </c>
      <c r="D6" s="74">
        <v>0.05</v>
      </c>
      <c r="E6" s="75">
        <v>0.05</v>
      </c>
      <c r="F6" s="75">
        <v>0.08</v>
      </c>
      <c r="G6" s="75">
        <v>0.03</v>
      </c>
    </row>
    <row r="7" spans="2:7" outlineLevel="1">
      <c r="B7" s="200"/>
      <c r="C7" s="200" t="s">
        <v>81</v>
      </c>
      <c r="D7" s="74">
        <v>0.4</v>
      </c>
      <c r="E7" s="75">
        <v>0.4</v>
      </c>
      <c r="F7" s="75">
        <v>0.45</v>
      </c>
      <c r="G7" s="75">
        <v>0.32</v>
      </c>
    </row>
    <row r="8" spans="2:7" outlineLevel="1">
      <c r="B8" s="200"/>
      <c r="C8" s="200" t="s">
        <v>82</v>
      </c>
      <c r="D8" s="74">
        <v>0.27500000000000002</v>
      </c>
      <c r="E8" s="75">
        <v>0.27500000000000002</v>
      </c>
      <c r="F8" s="75">
        <v>0.3</v>
      </c>
      <c r="G8" s="75">
        <v>0.3</v>
      </c>
    </row>
    <row r="9" spans="2:7">
      <c r="B9" s="201" t="s">
        <v>64</v>
      </c>
      <c r="C9" s="201"/>
      <c r="D9" s="72"/>
      <c r="E9" s="72"/>
      <c r="F9" s="72"/>
      <c r="G9" s="72"/>
    </row>
    <row r="10" spans="2:7" outlineLevel="1">
      <c r="B10" s="200"/>
      <c r="C10" s="200" t="s">
        <v>172</v>
      </c>
      <c r="D10" s="79">
        <v>3597884.5513892402</v>
      </c>
      <c r="E10" s="79">
        <v>3597884.5513892402</v>
      </c>
      <c r="F10" s="79">
        <v>4636561.8020198401</v>
      </c>
      <c r="G10" s="79">
        <v>2623590.1507475502</v>
      </c>
    </row>
    <row r="11" spans="2:7" outlineLevel="1">
      <c r="B11" s="200"/>
      <c r="C11" s="200" t="s">
        <v>173</v>
      </c>
      <c r="D11" s="79">
        <v>1665023.09957314</v>
      </c>
      <c r="E11" s="79">
        <v>1665023.09957314</v>
      </c>
      <c r="F11" s="79">
        <v>2221181.0975692798</v>
      </c>
      <c r="G11" s="79">
        <v>701613.67894972302</v>
      </c>
    </row>
    <row r="12" spans="2:7" ht="12.75" outlineLevel="1" thickBot="1">
      <c r="B12" s="202"/>
      <c r="C12" s="202" t="s">
        <v>83</v>
      </c>
      <c r="D12" s="184">
        <v>0.02</v>
      </c>
      <c r="E12" s="184">
        <v>0.02</v>
      </c>
      <c r="F12" s="184">
        <v>0.02</v>
      </c>
      <c r="G12" s="184">
        <v>0.02</v>
      </c>
    </row>
    <row r="13" spans="2:7">
      <c r="B13" t="s">
        <v>67</v>
      </c>
    </row>
    <row r="14" spans="2:7">
      <c r="B14" t="s">
        <v>68</v>
      </c>
    </row>
    <row r="15" spans="2:7">
      <c r="B15"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Driven Decision Making - Course 3</v>
      </c>
    </row>
    <row r="2" spans="1:7" ht="13.9" customHeight="1">
      <c r="A2" s="2" t="str">
        <f>'Cover Page'!A2</f>
        <v>Week 2</v>
      </c>
    </row>
    <row r="3" spans="1:7" ht="13.9" customHeight="1">
      <c r="A3" s="2" t="str">
        <f>'Cover Page'!A3</f>
        <v>Scenario Analysis</v>
      </c>
    </row>
    <row r="4" spans="1:7" ht="13.9" customHeight="1">
      <c r="A4" s="2" t="s">
        <v>94</v>
      </c>
    </row>
    <row r="5" spans="1:7" ht="13.9" customHeight="1"/>
    <row r="6" spans="1:7" ht="13.9" customHeight="1"/>
    <row r="7" spans="1:7" ht="13.9" customHeight="1">
      <c r="A7" s="14"/>
      <c r="B7" s="3" t="s">
        <v>7</v>
      </c>
    </row>
    <row r="8" spans="1:7" ht="13.9" customHeight="1" outlineLevel="1">
      <c r="A8" s="14"/>
      <c r="B8" s="3"/>
    </row>
    <row r="9" spans="1:7" ht="13.9" customHeight="1" outlineLevel="1">
      <c r="A9" s="14"/>
      <c r="B9" s="19" t="s">
        <v>4</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3</v>
      </c>
      <c r="C20"/>
      <c r="E20"/>
      <c r="F20"/>
      <c r="G20"/>
    </row>
    <row r="21" spans="1:12" ht="13.9" customHeight="1" outlineLevel="1">
      <c r="A21" s="14"/>
      <c r="B21" t="s">
        <v>17</v>
      </c>
      <c r="C21"/>
      <c r="E21"/>
      <c r="F21"/>
      <c r="G21"/>
    </row>
    <row r="22" spans="1:12" ht="13.9" customHeight="1" outlineLevel="1">
      <c r="A22" s="14"/>
      <c r="B22" t="s">
        <v>19</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9</v>
      </c>
      <c r="C25" s="21" t="s">
        <v>10</v>
      </c>
      <c r="E25"/>
    </row>
    <row r="26" spans="1:12" ht="13.9" customHeight="1" outlineLevel="1">
      <c r="A26" s="14"/>
      <c r="B26" s="22">
        <v>-250000</v>
      </c>
      <c r="C26">
        <v>0</v>
      </c>
      <c r="I26" s="5" t="s">
        <v>16</v>
      </c>
    </row>
    <row r="27" spans="1:12" ht="13.9" customHeight="1" outlineLevel="1" thickBot="1">
      <c r="A27" s="14"/>
      <c r="B27" s="22">
        <v>100000</v>
      </c>
      <c r="C27">
        <v>1</v>
      </c>
      <c r="E27"/>
      <c r="F27" s="29" t="s">
        <v>13</v>
      </c>
      <c r="G27" s="23" t="s">
        <v>47</v>
      </c>
      <c r="H27" s="26">
        <f>NPV(H28,B26:B31)</f>
        <v>429244.32181561884</v>
      </c>
      <c r="I27" s="28" t="s">
        <v>18</v>
      </c>
    </row>
    <row r="28" spans="1:12" ht="13.9" customHeight="1" outlineLevel="1" thickBot="1">
      <c r="A28" s="14"/>
      <c r="B28" s="22">
        <v>150000</v>
      </c>
      <c r="C28">
        <v>2</v>
      </c>
      <c r="E28"/>
      <c r="F28" s="29" t="s">
        <v>11</v>
      </c>
      <c r="G28" s="23" t="s">
        <v>47</v>
      </c>
      <c r="H28" s="27">
        <v>0.1</v>
      </c>
      <c r="I28" s="28" t="s">
        <v>14</v>
      </c>
    </row>
    <row r="29" spans="1:12" ht="13.9" customHeight="1" outlineLevel="1">
      <c r="A29" s="14"/>
      <c r="B29" s="22">
        <v>200000</v>
      </c>
      <c r="C29">
        <v>3</v>
      </c>
      <c r="E29"/>
    </row>
    <row r="30" spans="1:12" ht="13.9" customHeight="1" outlineLevel="1">
      <c r="A30" s="14"/>
      <c r="B30" s="22">
        <v>250000</v>
      </c>
      <c r="C30">
        <v>4</v>
      </c>
      <c r="E30"/>
      <c r="F30" s="30" t="s">
        <v>12</v>
      </c>
      <c r="G30" s="23" t="s">
        <v>47</v>
      </c>
      <c r="H30" s="25">
        <f>IRR(B26:B31)</f>
        <v>0.56723033443581894</v>
      </c>
      <c r="I30" s="28" t="s">
        <v>15</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8</v>
      </c>
      <c r="C34" s="18"/>
      <c r="D34" s="18"/>
      <c r="E34" s="14"/>
    </row>
    <row r="35" spans="1:15" ht="13.9" customHeight="1" outlineLevel="1">
      <c r="A35" s="14"/>
    </row>
    <row r="36" spans="1:15" ht="13.9" customHeight="1" outlineLevel="1">
      <c r="A36" s="14"/>
      <c r="B36" s="19" t="s">
        <v>5</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3</v>
      </c>
      <c r="C47" s="33"/>
      <c r="D47" s="33"/>
      <c r="E47" s="34"/>
      <c r="F47" s="33"/>
      <c r="G47" s="33"/>
      <c r="H47" s="33"/>
      <c r="I47" s="33"/>
      <c r="J47" s="33"/>
      <c r="K47" s="33"/>
      <c r="L47" s="33"/>
      <c r="M47" s="33"/>
      <c r="N47" s="33"/>
    </row>
    <row r="48" spans="1:15" ht="13.9" customHeight="1" outlineLevel="1">
      <c r="A48" s="14"/>
      <c r="B48" t="s">
        <v>30</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20</v>
      </c>
      <c r="D53" s="43"/>
      <c r="E53" s="43"/>
      <c r="F53" s="43" t="s">
        <v>21</v>
      </c>
      <c r="G53" s="43"/>
      <c r="H53" s="43"/>
      <c r="I53" s="43"/>
      <c r="J53" s="43"/>
      <c r="K53" s="90" t="s">
        <v>22</v>
      </c>
      <c r="L53" s="44" t="s">
        <v>51</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91</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92</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23</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24</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25</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26</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27</v>
      </c>
      <c r="C64" s="43" t="s">
        <v>20</v>
      </c>
      <c r="D64" s="43"/>
      <c r="E64" s="43"/>
      <c r="F64" s="43" t="s">
        <v>21</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28</v>
      </c>
      <c r="L65" s="44"/>
      <c r="M65" s="36"/>
    </row>
    <row r="66" spans="1:22" ht="13.9" customHeight="1" outlineLevel="1" thickBot="1">
      <c r="A66" s="14"/>
      <c r="B66" s="29" t="s">
        <v>66</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29</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93</v>
      </c>
      <c r="C68" s="103" t="s">
        <v>6</v>
      </c>
      <c r="D68" s="103" t="s">
        <v>6</v>
      </c>
      <c r="E68" s="104" t="s">
        <v>6</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49</v>
      </c>
      <c r="C74" s="44"/>
      <c r="D74" s="44"/>
      <c r="E74" s="44"/>
      <c r="F74" s="44"/>
      <c r="G74" s="44"/>
      <c r="I74" s="44"/>
      <c r="J74" s="44"/>
      <c r="K74" s="44"/>
      <c r="L74" s="44"/>
      <c r="P74"/>
      <c r="Q74"/>
      <c r="R74"/>
      <c r="S74"/>
      <c r="T74"/>
      <c r="U74"/>
      <c r="V74"/>
    </row>
    <row r="75" spans="1:22" ht="11.25" customHeight="1" outlineLevel="1">
      <c r="A75" s="14"/>
      <c r="B75" s="44" t="s">
        <v>88</v>
      </c>
      <c r="C75" s="44"/>
      <c r="D75" s="44"/>
      <c r="E75" s="44"/>
      <c r="F75" s="44"/>
      <c r="G75" s="44"/>
      <c r="I75" s="44"/>
      <c r="J75" s="44"/>
      <c r="K75" s="44"/>
      <c r="L75" s="44"/>
      <c r="P75"/>
      <c r="Q75"/>
      <c r="R75"/>
      <c r="S75"/>
      <c r="T75"/>
      <c r="U75"/>
      <c r="V75"/>
    </row>
    <row r="76" spans="1:22" ht="11.25" customHeight="1" outlineLevel="1">
      <c r="A76" s="14"/>
      <c r="B76" s="44" t="s">
        <v>50</v>
      </c>
      <c r="C76" s="44"/>
      <c r="D76" s="44"/>
      <c r="E76" s="44"/>
      <c r="F76" s="44"/>
      <c r="G76" s="44"/>
      <c r="I76" s="44"/>
      <c r="J76" s="44"/>
      <c r="K76" s="44"/>
      <c r="L76" s="44"/>
      <c r="P76"/>
      <c r="Q76"/>
      <c r="R76"/>
      <c r="S76"/>
      <c r="T76"/>
      <c r="U76"/>
      <c r="V76"/>
    </row>
    <row r="77" spans="1:22" ht="11.25" customHeight="1" outlineLevel="1">
      <c r="A77" s="14"/>
      <c r="B77" s="44"/>
      <c r="C77" s="44" t="s">
        <v>89</v>
      </c>
      <c r="D77" s="44"/>
      <c r="E77" s="44"/>
      <c r="F77" s="44"/>
      <c r="G77" s="44"/>
      <c r="I77" s="44"/>
      <c r="J77" s="44"/>
      <c r="K77" s="44"/>
      <c r="L77" s="44"/>
      <c r="P77"/>
      <c r="Q77"/>
      <c r="R77"/>
      <c r="S77"/>
      <c r="T77"/>
      <c r="U77"/>
      <c r="V77"/>
    </row>
    <row r="78" spans="1:22" ht="11.25" customHeight="1" outlineLevel="1">
      <c r="A78" s="14"/>
      <c r="B78" s="44"/>
      <c r="C78" s="44" t="s">
        <v>87</v>
      </c>
      <c r="D78" s="44"/>
      <c r="E78" s="44"/>
      <c r="F78" s="44"/>
      <c r="G78" s="44"/>
      <c r="I78" s="44"/>
      <c r="J78" s="44"/>
      <c r="K78" s="44"/>
      <c r="L78" s="44"/>
      <c r="P78"/>
      <c r="Q78"/>
      <c r="R78"/>
      <c r="S78"/>
      <c r="T78"/>
      <c r="U78"/>
      <c r="V78"/>
    </row>
    <row r="79" spans="1:22" ht="11.25" customHeight="1" outlineLevel="1" thickBot="1">
      <c r="A79" s="14"/>
      <c r="B79" s="44" t="s">
        <v>52</v>
      </c>
      <c r="C79" s="44"/>
      <c r="D79" s="44"/>
      <c r="E79" s="44"/>
      <c r="F79" s="44"/>
      <c r="G79" s="44"/>
      <c r="I79" s="44"/>
      <c r="J79" s="44"/>
      <c r="K79" s="44"/>
      <c r="L79" s="44"/>
      <c r="P79"/>
      <c r="Q79"/>
      <c r="R79"/>
      <c r="S79"/>
      <c r="T79"/>
      <c r="U79"/>
      <c r="V79"/>
    </row>
    <row r="80" spans="1:22" ht="11.25" customHeight="1" outlineLevel="1">
      <c r="A80" s="14"/>
      <c r="B80" s="65" t="s">
        <v>53</v>
      </c>
      <c r="C80" s="65"/>
      <c r="D80" s="66"/>
      <c r="E80" s="66"/>
      <c r="F80" s="66"/>
      <c r="G80" s="66"/>
      <c r="H80" s="66"/>
      <c r="I80" s="44"/>
      <c r="J80" s="44"/>
      <c r="K80" s="44"/>
      <c r="L80" s="44"/>
      <c r="P80"/>
      <c r="Q80"/>
      <c r="R80"/>
      <c r="S80"/>
      <c r="T80"/>
      <c r="U80"/>
      <c r="V80"/>
    </row>
    <row r="81" spans="1:22" ht="30.6" customHeight="1" outlineLevel="1">
      <c r="A81" s="14"/>
      <c r="B81" s="67"/>
      <c r="C81" s="67"/>
      <c r="D81" s="85" t="s">
        <v>54</v>
      </c>
      <c r="E81" s="85" t="s">
        <v>55</v>
      </c>
      <c r="F81" s="85" t="s">
        <v>56</v>
      </c>
      <c r="G81" s="85" t="s">
        <v>57</v>
      </c>
      <c r="H81" s="85" t="s">
        <v>58</v>
      </c>
      <c r="I81" s="44"/>
      <c r="J81" s="44"/>
      <c r="K81" s="44"/>
      <c r="L81" s="44"/>
      <c r="P81"/>
      <c r="Q81"/>
      <c r="R81"/>
      <c r="S81"/>
      <c r="T81"/>
      <c r="U81"/>
      <c r="V81"/>
    </row>
    <row r="82" spans="1:22" ht="11.25" customHeight="1" outlineLevel="1">
      <c r="A82" s="14"/>
      <c r="B82" s="68"/>
      <c r="C82" s="68"/>
      <c r="D82" s="69"/>
      <c r="E82" s="70" t="s">
        <v>60</v>
      </c>
      <c r="F82" s="70" t="s">
        <v>61</v>
      </c>
      <c r="G82" s="70" t="s">
        <v>61</v>
      </c>
      <c r="H82" s="70" t="s">
        <v>61</v>
      </c>
      <c r="I82" s="44"/>
      <c r="J82" s="44"/>
      <c r="K82" s="44"/>
      <c r="L82" s="44"/>
      <c r="P82"/>
      <c r="Q82"/>
      <c r="R82"/>
      <c r="S82"/>
      <c r="T82"/>
      <c r="U82"/>
      <c r="V82"/>
    </row>
    <row r="83" spans="1:22" ht="11.25" customHeight="1" outlineLevel="1">
      <c r="A83" s="14"/>
      <c r="B83" s="71" t="s">
        <v>63</v>
      </c>
      <c r="C83" s="71"/>
      <c r="D83" s="72"/>
      <c r="E83" s="72"/>
      <c r="F83" s="72"/>
      <c r="G83" s="72"/>
      <c r="H83" s="72"/>
      <c r="I83" s="44"/>
      <c r="J83" s="44"/>
      <c r="K83" s="44"/>
      <c r="L83" s="44"/>
      <c r="P83"/>
      <c r="Q83"/>
      <c r="R83"/>
      <c r="S83"/>
      <c r="T83"/>
      <c r="U83"/>
      <c r="V83"/>
    </row>
    <row r="84" spans="1:22" ht="11.25" customHeight="1" outlineLevel="1">
      <c r="A84" s="14"/>
      <c r="B84" s="68"/>
      <c r="C84" s="68" t="s">
        <v>80</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81</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82</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83</v>
      </c>
      <c r="D87" s="76">
        <v>0.02</v>
      </c>
      <c r="E87" s="76">
        <v>0.02</v>
      </c>
      <c r="F87" s="76">
        <v>0.02</v>
      </c>
      <c r="G87" s="76">
        <v>0.02</v>
      </c>
      <c r="H87" s="77">
        <v>0.02</v>
      </c>
      <c r="I87" s="44"/>
      <c r="J87" s="44"/>
      <c r="K87" s="44"/>
      <c r="L87" s="44"/>
      <c r="P87"/>
      <c r="Q87"/>
      <c r="R87"/>
      <c r="S87"/>
      <c r="T87"/>
      <c r="U87"/>
      <c r="V87"/>
    </row>
    <row r="88" spans="1:22" ht="11.25" customHeight="1" outlineLevel="1">
      <c r="A88" s="14"/>
      <c r="B88" s="71" t="s">
        <v>64</v>
      </c>
      <c r="C88" s="71"/>
      <c r="D88" s="72"/>
      <c r="E88" s="72"/>
      <c r="F88" s="72"/>
      <c r="G88" s="72"/>
      <c r="H88" s="72"/>
      <c r="I88" s="44"/>
      <c r="J88" s="44"/>
      <c r="K88" s="44"/>
      <c r="L88" s="44"/>
      <c r="P88"/>
      <c r="Q88"/>
      <c r="R88"/>
      <c r="S88"/>
      <c r="T88"/>
      <c r="U88"/>
      <c r="V88"/>
    </row>
    <row r="89" spans="1:22" ht="11.25" customHeight="1" outlineLevel="1">
      <c r="A89" s="14"/>
      <c r="B89" s="68"/>
      <c r="C89" s="68" t="s">
        <v>84</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85</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86</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65</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67</v>
      </c>
      <c r="C93"/>
      <c r="D93"/>
      <c r="E93"/>
      <c r="F93"/>
      <c r="G93"/>
      <c r="H93"/>
      <c r="I93" s="44"/>
      <c r="J93" s="44"/>
      <c r="K93" s="44"/>
      <c r="L93" s="44"/>
      <c r="P93"/>
      <c r="Q93"/>
      <c r="R93"/>
      <c r="S93"/>
      <c r="T93"/>
      <c r="U93"/>
      <c r="V93"/>
    </row>
    <row r="94" spans="1:22" ht="11.25" customHeight="1" outlineLevel="1">
      <c r="A94" s="14"/>
      <c r="B94" t="s">
        <v>68</v>
      </c>
      <c r="C94"/>
      <c r="D94"/>
      <c r="E94"/>
      <c r="F94"/>
      <c r="G94"/>
      <c r="H94"/>
      <c r="I94" s="44"/>
      <c r="J94" s="44"/>
      <c r="K94" s="44"/>
      <c r="L94" s="44"/>
      <c r="P94"/>
      <c r="Q94"/>
      <c r="R94"/>
      <c r="S94"/>
      <c r="T94"/>
      <c r="U94"/>
      <c r="V94"/>
    </row>
    <row r="95" spans="1:22" ht="11.25" customHeight="1" outlineLevel="1">
      <c r="A95" s="14"/>
      <c r="B95" t="s">
        <v>69</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72</v>
      </c>
    </row>
    <row r="2" spans="1:3">
      <c r="A2" t="s">
        <v>78</v>
      </c>
      <c r="B2" t="str">
        <f>'ANS Exercise 1 - 6'!$B$189&amp;" Histogram"</f>
        <v>Summary Information Histogram</v>
      </c>
    </row>
    <row r="3" spans="1:3">
      <c r="A3" t="s">
        <v>73</v>
      </c>
      <c r="B3">
        <f ca="1">MIN('ANS Exercise 1 - 6'!$J$182:$J$271)</f>
        <v>-1986204.5533914156</v>
      </c>
    </row>
    <row r="4" spans="1:3">
      <c r="A4" t="s">
        <v>74</v>
      </c>
      <c r="B4">
        <f ca="1">MAX('ANS Exercise 1 - 6'!$J$182:$J$271)</f>
        <v>4785098.6273610406</v>
      </c>
    </row>
    <row r="5" spans="1:3">
      <c r="A5" t="s">
        <v>75</v>
      </c>
      <c r="B5">
        <v>5</v>
      </c>
    </row>
    <row r="6" spans="1:3">
      <c r="A6" t="s">
        <v>76</v>
      </c>
      <c r="B6" s="108">
        <f ca="1">(B4-B3)/B5</f>
        <v>1354260.6361504912</v>
      </c>
    </row>
    <row r="9" spans="1:3" ht="14.25">
      <c r="A9" s="21" t="s">
        <v>71</v>
      </c>
      <c r="B9" s="21" t="s">
        <v>77</v>
      </c>
      <c r="C9" s="21" t="s">
        <v>79</v>
      </c>
    </row>
    <row r="10" spans="1:3">
      <c r="A10" s="84">
        <f ca="1">B3</f>
        <v>-1986204.5533914156</v>
      </c>
      <c r="B10">
        <f ca="1">COUNTIFS('ANS Exercise 1 - 6'!$J$182:$J$271,"&gt;="&amp;A10,'ANS Exercise 1 - 6'!$J$182:$J$271,"&lt;"&amp;A11)</f>
        <v>11</v>
      </c>
      <c r="C10" s="84" t="str">
        <f ca="1">TEXT(A10, "$#,#;($#,#)")&amp;" to "&amp;TEXT(A11-1,"$#,#;($#,#)")</f>
        <v>($1,986,205) to ($631,945)</v>
      </c>
    </row>
    <row r="11" spans="1:3">
      <c r="A11" s="84">
        <f ca="1">A10+$B$6</f>
        <v>-631943.91724092443</v>
      </c>
      <c r="B11">
        <f ca="1">COUNTIFS('ANS Exercise 1 - 6'!$J$182:$J$271,"&gt;="&amp;A11,'ANS Exercise 1 - 6'!$J$182:$J$271,"&lt;"&amp;A12)</f>
        <v>8</v>
      </c>
      <c r="C11" s="84" t="str">
        <f t="shared" ref="C11:C15" ca="1" si="0">TEXT(A11, "$#,#;($#,#)")&amp;" to "&amp;TEXT(A12-1,"$#,#;($#,#)")</f>
        <v>($631,944) to ($1)</v>
      </c>
    </row>
    <row r="12" spans="1:3">
      <c r="A12" s="84">
        <v>0</v>
      </c>
      <c r="B12">
        <f ca="1">COUNTIFS('ANS Exercise 1 - 6'!$J$182:$J$271,"&gt;="&amp;A12,'ANS Exercise 1 - 6'!$J$182:$J$271,"&lt;"&amp;A13)</f>
        <v>3</v>
      </c>
      <c r="C12" s="84" t="str">
        <f ca="1">"$0"&amp;" to "&amp;TEXT(A13-1,"$#,#;($#,#)")</f>
        <v>$0 to $722,316</v>
      </c>
    </row>
    <row r="13" spans="1:3">
      <c r="A13" s="84">
        <f ca="1">A11+$B$6</f>
        <v>722316.71890956676</v>
      </c>
      <c r="B13">
        <f ca="1">COUNTIFS('ANS Exercise 1 - 6'!$J$182:$J$271,"&gt;="&amp;A13,'ANS Exercise 1 - 6'!$J$182:$J$271,"&lt;"&amp;A14)</f>
        <v>30</v>
      </c>
      <c r="C13" s="84" t="str">
        <f t="shared" ca="1" si="0"/>
        <v>$722,317 to $2,076,576</v>
      </c>
    </row>
    <row r="14" spans="1:3">
      <c r="A14" s="84">
        <f t="shared" ref="A14:A16" ca="1" si="1">A13+$B$6</f>
        <v>2076577.3550600579</v>
      </c>
      <c r="B14">
        <f ca="1">COUNTIFS('ANS Exercise 1 - 6'!$J$182:$J$271,"&gt;="&amp;A14,'ANS Exercise 1 - 6'!$J$182:$J$271,"&lt;"&amp;A15)</f>
        <v>27</v>
      </c>
      <c r="C14" s="84" t="str">
        <f t="shared" ca="1" si="0"/>
        <v>$2,076,577 to $3,430,837</v>
      </c>
    </row>
    <row r="15" spans="1:3">
      <c r="A15" s="84">
        <f t="shared" ca="1" si="1"/>
        <v>3430837.9912105491</v>
      </c>
      <c r="B15">
        <f ca="1">COUNTIFS('ANS Exercise 1 - 6'!$J$182:$J$271,"&gt;="&amp;A15,'ANS Exercise 1 - 6'!$J$182:$J$271,"&lt;="&amp;A16)</f>
        <v>11</v>
      </c>
      <c r="C15" s="84" t="str">
        <f t="shared" ca="1" si="0"/>
        <v>$3,430,838 to $4,785,098</v>
      </c>
    </row>
    <row r="16" spans="1:3">
      <c r="A16" s="84">
        <f t="shared" ca="1" si="1"/>
        <v>4785098.6273610406</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Page</vt:lpstr>
      <vt:lpstr>Exercises&gt;&gt;&gt;</vt:lpstr>
      <vt:lpstr>ANS Exercise 1 - 6</vt:lpstr>
      <vt:lpstr>Exercise 2 - Scenario Summary</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Michele Thiede</cp:lastModifiedBy>
  <dcterms:created xsi:type="dcterms:W3CDTF">2016-06-22T22:01:00Z</dcterms:created>
  <dcterms:modified xsi:type="dcterms:W3CDTF">2017-01-29T21:29:32Z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