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3AA724A5-67FA-43CA-BF8D-9E13836A64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" i="2" l="1"/>
  <c r="AB63" i="2"/>
  <c r="AB85" i="2"/>
  <c r="AB75" i="2"/>
  <c r="AO37" i="2"/>
  <c r="AP38" i="2"/>
  <c r="AO36" i="2"/>
  <c r="AO35" i="2"/>
  <c r="AN34" i="2"/>
  <c r="AO34" i="2"/>
  <c r="AB6" i="2"/>
  <c r="AB35" i="2"/>
  <c r="AB33" i="2"/>
  <c r="X33" i="2"/>
  <c r="V40" i="2"/>
  <c r="U40" i="2"/>
  <c r="K45" i="2"/>
  <c r="O40" i="2"/>
  <c r="AA61" i="2"/>
  <c r="Z61" i="2"/>
  <c r="Y61" i="2"/>
  <c r="X61" i="2"/>
  <c r="W61" i="2"/>
  <c r="Z57" i="2"/>
  <c r="Z53" i="2"/>
  <c r="Y53" i="2"/>
  <c r="Y57" i="2" s="1"/>
  <c r="Y60" i="2" s="1"/>
  <c r="X53" i="2"/>
  <c r="AA60" i="2"/>
  <c r="X57" i="2"/>
  <c r="X60" i="2" s="1"/>
  <c r="AA57" i="2"/>
  <c r="Z60" i="2"/>
  <c r="AA84" i="2"/>
  <c r="AA81" i="2"/>
  <c r="AA85" i="2"/>
  <c r="AA74" i="2"/>
  <c r="AA75" i="2"/>
  <c r="Z75" i="2"/>
  <c r="Y75" i="2"/>
  <c r="X75" i="2"/>
  <c r="AA63" i="2"/>
  <c r="AD48" i="2"/>
  <c r="AC48" i="2"/>
  <c r="AA48" i="2"/>
  <c r="AC38" i="2"/>
  <c r="AD38" i="2" s="1"/>
  <c r="AD37" i="2" s="1"/>
  <c r="AD36" i="2"/>
  <c r="AC36" i="2"/>
  <c r="AD35" i="2"/>
  <c r="AC35" i="2"/>
  <c r="AD34" i="2"/>
  <c r="AC34" i="2"/>
  <c r="AD32" i="2"/>
  <c r="AC32" i="2"/>
  <c r="AD31" i="2"/>
  <c r="AC31" i="2"/>
  <c r="AD30" i="2"/>
  <c r="AC30" i="2"/>
  <c r="AD29" i="2"/>
  <c r="AC29" i="2"/>
  <c r="AD24" i="2"/>
  <c r="AC24" i="2"/>
  <c r="AD25" i="2"/>
  <c r="AC25" i="2"/>
  <c r="AD26" i="2"/>
  <c r="AC26" i="2"/>
  <c r="AB26" i="2"/>
  <c r="AD27" i="2"/>
  <c r="AC27" i="2"/>
  <c r="AB27" i="2"/>
  <c r="AD28" i="2"/>
  <c r="AD45" i="2" s="1"/>
  <c r="AC28" i="2"/>
  <c r="AC45" i="2" s="1"/>
  <c r="AD21" i="2"/>
  <c r="AC21" i="2"/>
  <c r="AB22" i="2"/>
  <c r="AB44" i="2" s="1"/>
  <c r="AD22" i="2"/>
  <c r="AC22" i="2"/>
  <c r="AA22" i="2"/>
  <c r="AD41" i="2"/>
  <c r="AC41" i="2"/>
  <c r="AD44" i="2"/>
  <c r="AC44" i="2"/>
  <c r="AD43" i="2"/>
  <c r="AC43" i="2"/>
  <c r="AB43" i="2"/>
  <c r="AD40" i="2"/>
  <c r="AC40" i="2"/>
  <c r="AD19" i="2"/>
  <c r="AC19" i="2"/>
  <c r="AD18" i="2"/>
  <c r="AC18" i="2"/>
  <c r="AD16" i="2"/>
  <c r="AC16" i="2"/>
  <c r="AD15" i="2"/>
  <c r="AC15" i="2"/>
  <c r="AD14" i="2"/>
  <c r="AC14" i="2"/>
  <c r="AD6" i="2"/>
  <c r="AC6" i="2"/>
  <c r="S6" i="2"/>
  <c r="R6" i="2"/>
  <c r="Q6" i="2"/>
  <c r="P6" i="2"/>
  <c r="O6" i="2"/>
  <c r="N6" i="2"/>
  <c r="M6" i="2"/>
  <c r="L6" i="2"/>
  <c r="K6" i="2"/>
  <c r="J6" i="2"/>
  <c r="I6" i="2"/>
  <c r="H6" i="2"/>
  <c r="G6" i="2"/>
  <c r="Y6" i="2"/>
  <c r="X6" i="2"/>
  <c r="W6" i="2"/>
  <c r="V6" i="2"/>
  <c r="U6" i="2"/>
  <c r="T6" i="2"/>
  <c r="AA6" i="2"/>
  <c r="Z6" i="2"/>
  <c r="AD17" i="2"/>
  <c r="AD20" i="2" s="1"/>
  <c r="AD10" i="2"/>
  <c r="AD4" i="2"/>
  <c r="AC4" i="2"/>
  <c r="AD5" i="2"/>
  <c r="AD3" i="2"/>
  <c r="AC3" i="2"/>
  <c r="AC10" i="2"/>
  <c r="AB10" i="2"/>
  <c r="AB42" i="2" s="1"/>
  <c r="AC5" i="2"/>
  <c r="AB5" i="2"/>
  <c r="AB41" i="2" s="1"/>
  <c r="AQ4" i="2"/>
  <c r="AQ3" i="2"/>
  <c r="AP5" i="2"/>
  <c r="AP4" i="2"/>
  <c r="AP3" i="2"/>
  <c r="AQ10" i="2"/>
  <c r="AP20" i="2"/>
  <c r="AP19" i="2"/>
  <c r="AP18" i="2"/>
  <c r="AP17" i="2"/>
  <c r="AP16" i="2"/>
  <c r="AP15" i="2"/>
  <c r="AP14" i="2"/>
  <c r="AA42" i="2"/>
  <c r="Z42" i="2"/>
  <c r="Y42" i="2"/>
  <c r="X42" i="2"/>
  <c r="AA41" i="2"/>
  <c r="Z41" i="2"/>
  <c r="Y41" i="2"/>
  <c r="X41" i="2"/>
  <c r="AA5" i="2"/>
  <c r="Z5" i="2"/>
  <c r="Y5" i="2"/>
  <c r="X5" i="2"/>
  <c r="AA10" i="2"/>
  <c r="Z10" i="2"/>
  <c r="Y10" i="2"/>
  <c r="X10" i="2"/>
  <c r="AA45" i="2"/>
  <c r="AA44" i="2"/>
  <c r="AA43" i="2"/>
  <c r="AA35" i="2"/>
  <c r="Y35" i="2"/>
  <c r="X35" i="2"/>
  <c r="W35" i="2"/>
  <c r="AA36" i="2"/>
  <c r="AA37" i="2" s="1"/>
  <c r="AA33" i="2"/>
  <c r="AA34" i="2" s="1"/>
  <c r="Z33" i="2"/>
  <c r="Y33" i="2"/>
  <c r="AA32" i="2"/>
  <c r="AA31" i="2"/>
  <c r="AA28" i="2"/>
  <c r="Z28" i="2"/>
  <c r="Y28" i="2"/>
  <c r="X28" i="2"/>
  <c r="AA25" i="2"/>
  <c r="AA40" i="2"/>
  <c r="AA20" i="2"/>
  <c r="AC17" i="2"/>
  <c r="AB17" i="2"/>
  <c r="AA17" i="2"/>
  <c r="AH20" i="2"/>
  <c r="AI40" i="2" s="1"/>
  <c r="AG20" i="2"/>
  <c r="AF20" i="2"/>
  <c r="AG40" i="2" s="1"/>
  <c r="AH40" i="2"/>
  <c r="AK40" i="2"/>
  <c r="AJ40" i="2"/>
  <c r="AO29" i="2"/>
  <c r="W57" i="2"/>
  <c r="W60" i="2" s="1"/>
  <c r="V57" i="2"/>
  <c r="V60" i="2" s="1"/>
  <c r="W84" i="2"/>
  <c r="V85" i="2"/>
  <c r="W81" i="2"/>
  <c r="V75" i="2"/>
  <c r="W64" i="2"/>
  <c r="U49" i="2"/>
  <c r="W33" i="2"/>
  <c r="V33" i="2"/>
  <c r="W31" i="2"/>
  <c r="W22" i="2"/>
  <c r="W44" i="2" s="1"/>
  <c r="W17" i="2"/>
  <c r="W25" i="2" s="1"/>
  <c r="W10" i="2"/>
  <c r="W5" i="2"/>
  <c r="W43" i="2"/>
  <c r="V10" i="2"/>
  <c r="O43" i="2"/>
  <c r="M43" i="2"/>
  <c r="L43" i="2"/>
  <c r="K43" i="2"/>
  <c r="AL19" i="2"/>
  <c r="AL18" i="2"/>
  <c r="AL16" i="2"/>
  <c r="AL15" i="2"/>
  <c r="AL14" i="2"/>
  <c r="AM19" i="2"/>
  <c r="AM18" i="2"/>
  <c r="AM16" i="2"/>
  <c r="AM15" i="2"/>
  <c r="AM9" i="2"/>
  <c r="AM8" i="2"/>
  <c r="AM4" i="2"/>
  <c r="AM3" i="2"/>
  <c r="AL9" i="2"/>
  <c r="AL8" i="2"/>
  <c r="AL4" i="2"/>
  <c r="AL3" i="2"/>
  <c r="AL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N4" i="2"/>
  <c r="AN3" i="2"/>
  <c r="AN18" i="2"/>
  <c r="AN9" i="2"/>
  <c r="AN8" i="2"/>
  <c r="AO9" i="2"/>
  <c r="AO8" i="2"/>
  <c r="AO4" i="2"/>
  <c r="AO3" i="2"/>
  <c r="AO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N19" i="2"/>
  <c r="AN16" i="2"/>
  <c r="AN15" i="2"/>
  <c r="AO26" i="2"/>
  <c r="V19" i="2"/>
  <c r="V18" i="2"/>
  <c r="V16" i="2"/>
  <c r="V15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V30" i="2"/>
  <c r="S43" i="2"/>
  <c r="U5" i="2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AB25" i="2" l="1"/>
  <c r="AB28" i="2" s="1"/>
  <c r="AC37" i="2"/>
  <c r="AB20" i="2"/>
  <c r="AB40" i="2" s="1"/>
  <c r="AC20" i="2"/>
  <c r="AQ5" i="2"/>
  <c r="AP33" i="2"/>
  <c r="K42" i="2"/>
  <c r="W63" i="2"/>
  <c r="AL17" i="2"/>
  <c r="AL20" i="2" s="1"/>
  <c r="AL40" i="2" s="1"/>
  <c r="AP27" i="2"/>
  <c r="V31" i="2"/>
  <c r="W85" i="2"/>
  <c r="AO30" i="2"/>
  <c r="AO31" i="2" s="1"/>
  <c r="T42" i="2"/>
  <c r="W28" i="2"/>
  <c r="W32" i="2" s="1"/>
  <c r="AP24" i="2"/>
  <c r="W75" i="2"/>
  <c r="P42" i="2"/>
  <c r="AN10" i="2"/>
  <c r="AL6" i="2"/>
  <c r="O42" i="2"/>
  <c r="R42" i="2"/>
  <c r="AO10" i="2"/>
  <c r="AM5" i="2"/>
  <c r="AM41" i="2" s="1"/>
  <c r="AM10" i="2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M14" i="2"/>
  <c r="N41" i="2"/>
  <c r="S41" i="2"/>
  <c r="L42" i="2"/>
  <c r="AP41" i="2"/>
  <c r="J20" i="2"/>
  <c r="J45" i="2" s="1"/>
  <c r="P43" i="2"/>
  <c r="AN5" i="2"/>
  <c r="J32" i="2"/>
  <c r="J34" i="2" s="1"/>
  <c r="J36" i="2" s="1"/>
  <c r="J37" i="2" s="1"/>
  <c r="AL10" i="2"/>
  <c r="K32" i="2"/>
  <c r="K34" i="2" s="1"/>
  <c r="K36" i="2" s="1"/>
  <c r="K37" i="2" s="1"/>
  <c r="AQ38" i="2"/>
  <c r="AR38" i="2" s="1"/>
  <c r="AS38" i="2" s="1"/>
  <c r="AT38" i="2" s="1"/>
  <c r="AU38" i="2" s="1"/>
  <c r="AV38" i="2" s="1"/>
  <c r="AW38" i="2" s="1"/>
  <c r="N43" i="2"/>
  <c r="G20" i="2"/>
  <c r="G45" i="2" s="1"/>
  <c r="K20" i="2"/>
  <c r="O41" i="2"/>
  <c r="AO27" i="2"/>
  <c r="T41" i="2"/>
  <c r="W42" i="2"/>
  <c r="V41" i="2"/>
  <c r="U41" i="2"/>
  <c r="W41" i="2"/>
  <c r="G32" i="2"/>
  <c r="G34" i="2" s="1"/>
  <c r="G36" i="2" s="1"/>
  <c r="G37" i="2" s="1"/>
  <c r="AO19" i="2"/>
  <c r="R43" i="2"/>
  <c r="AP26" i="2"/>
  <c r="T43" i="2"/>
  <c r="U43" i="2"/>
  <c r="AN14" i="2"/>
  <c r="X22" i="2"/>
  <c r="X44" i="2" s="1"/>
  <c r="X17" i="2"/>
  <c r="X25" i="2" s="1"/>
  <c r="Y17" i="2"/>
  <c r="Y25" i="2" s="1"/>
  <c r="M25" i="2"/>
  <c r="M28" i="2" s="1"/>
  <c r="M32" i="2" s="1"/>
  <c r="M34" i="2" s="1"/>
  <c r="M36" i="2" s="1"/>
  <c r="W20" i="2"/>
  <c r="W45" i="2" s="1"/>
  <c r="AP30" i="2"/>
  <c r="AQ30" i="2" s="1"/>
  <c r="AR30" i="2" s="1"/>
  <c r="AS30" i="2" s="1"/>
  <c r="AT30" i="2" s="1"/>
  <c r="AO24" i="2"/>
  <c r="V14" i="2"/>
  <c r="AP29" i="2"/>
  <c r="AQ29" i="2" s="1"/>
  <c r="N17" i="2"/>
  <c r="N25" i="2" s="1"/>
  <c r="N28" i="2" s="1"/>
  <c r="N32" i="2" s="1"/>
  <c r="N34" i="2" s="1"/>
  <c r="N36" i="2" s="1"/>
  <c r="X43" i="2"/>
  <c r="Y43" i="2"/>
  <c r="Y22" i="2"/>
  <c r="Y44" i="2" s="1"/>
  <c r="T32" i="2"/>
  <c r="T34" i="2" s="1"/>
  <c r="T36" i="2" s="1"/>
  <c r="Q43" i="2"/>
  <c r="AO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O15" i="2"/>
  <c r="AO16" i="2"/>
  <c r="U75" i="2"/>
  <c r="R61" i="2"/>
  <c r="U85" i="2"/>
  <c r="T60" i="2"/>
  <c r="T61" i="2" s="1"/>
  <c r="U56" i="2"/>
  <c r="U57" i="2" s="1"/>
  <c r="U60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AB45" i="2" l="1"/>
  <c r="AB32" i="2"/>
  <c r="AB34" i="2" s="1"/>
  <c r="AN42" i="2"/>
  <c r="X20" i="2"/>
  <c r="X45" i="2" s="1"/>
  <c r="K40" i="2"/>
  <c r="AM42" i="2"/>
  <c r="AN41" i="2"/>
  <c r="AO42" i="2"/>
  <c r="AP10" i="2"/>
  <c r="AP6" i="2"/>
  <c r="V61" i="2"/>
  <c r="AN17" i="2"/>
  <c r="AN20" i="2" s="1"/>
  <c r="AN45" i="2" s="1"/>
  <c r="AN44" i="2"/>
  <c r="AN6" i="2"/>
  <c r="AR29" i="2"/>
  <c r="AQ31" i="2"/>
  <c r="AM17" i="2"/>
  <c r="AM20" i="2" s="1"/>
  <c r="AM40" i="2" s="1"/>
  <c r="AM6" i="2"/>
  <c r="AM44" i="2"/>
  <c r="AU30" i="2"/>
  <c r="M45" i="2"/>
  <c r="L45" i="2"/>
  <c r="L40" i="2"/>
  <c r="O45" i="2"/>
  <c r="AO41" i="2"/>
  <c r="M40" i="2"/>
  <c r="Y20" i="2"/>
  <c r="Y40" i="2" s="1"/>
  <c r="W34" i="2"/>
  <c r="W36" i="2" s="1"/>
  <c r="W37" i="2" s="1"/>
  <c r="AP31" i="2"/>
  <c r="AO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Q40" i="2"/>
  <c r="R20" i="2"/>
  <c r="M37" i="2"/>
  <c r="M48" i="2"/>
  <c r="U61" i="2"/>
  <c r="T40" i="2"/>
  <c r="S40" i="2"/>
  <c r="T48" i="2"/>
  <c r="T37" i="2"/>
  <c r="N37" i="2"/>
  <c r="N48" i="2"/>
  <c r="O37" i="2"/>
  <c r="O48" i="2"/>
  <c r="S48" i="2"/>
  <c r="S37" i="2"/>
  <c r="AB36" i="2" l="1"/>
  <c r="X32" i="2"/>
  <c r="X34" i="2" s="1"/>
  <c r="X36" i="2" s="1"/>
  <c r="X64" i="2" s="1"/>
  <c r="X63" i="2" s="1"/>
  <c r="X40" i="2"/>
  <c r="Y45" i="2"/>
  <c r="AO6" i="2"/>
  <c r="AO17" i="2"/>
  <c r="AO20" i="2" s="1"/>
  <c r="AV30" i="2"/>
  <c r="AW30" i="2" s="1"/>
  <c r="AP42" i="2"/>
  <c r="AN40" i="2"/>
  <c r="AM45" i="2"/>
  <c r="AR31" i="2"/>
  <c r="AS29" i="2"/>
  <c r="R37" i="2"/>
  <c r="Q37" i="2"/>
  <c r="N45" i="2"/>
  <c r="N40" i="2"/>
  <c r="R40" i="2"/>
  <c r="W48" i="2"/>
  <c r="R45" i="2"/>
  <c r="Z17" i="2"/>
  <c r="Z43" i="2"/>
  <c r="AP21" i="2"/>
  <c r="P48" i="2"/>
  <c r="AO21" i="2"/>
  <c r="V22" i="2"/>
  <c r="V20" i="2"/>
  <c r="V25" i="2"/>
  <c r="U32" i="2"/>
  <c r="U34" i="2" s="1"/>
  <c r="U36" i="2" s="1"/>
  <c r="U45" i="2"/>
  <c r="AB48" i="2" l="1"/>
  <c r="AB37" i="2"/>
  <c r="X48" i="2"/>
  <c r="Y32" i="2"/>
  <c r="Y34" i="2" s="1"/>
  <c r="X37" i="2"/>
  <c r="Z22" i="2"/>
  <c r="AP22" i="2" s="1"/>
  <c r="AP44" i="2" s="1"/>
  <c r="AO40" i="2"/>
  <c r="AO28" i="2"/>
  <c r="AR10" i="2"/>
  <c r="AQ42" i="2"/>
  <c r="AO25" i="2"/>
  <c r="V28" i="2"/>
  <c r="AT29" i="2"/>
  <c r="AS31" i="2"/>
  <c r="AO22" i="2"/>
  <c r="AO44" i="2" s="1"/>
  <c r="V44" i="2"/>
  <c r="Z20" i="2"/>
  <c r="Z25" i="2"/>
  <c r="AP25" i="2" s="1"/>
  <c r="U37" i="2"/>
  <c r="U48" i="2"/>
  <c r="Y36" i="2" l="1"/>
  <c r="Y64" i="2" s="1"/>
  <c r="Y63" i="2" s="1"/>
  <c r="Z44" i="2"/>
  <c r="AQ41" i="2"/>
  <c r="AQ23" i="2"/>
  <c r="AU29" i="2"/>
  <c r="AT31" i="2"/>
  <c r="AR5" i="2"/>
  <c r="AS10" i="2"/>
  <c r="AR42" i="2"/>
  <c r="AO45" i="2"/>
  <c r="AO32" i="2"/>
  <c r="AP40" i="2"/>
  <c r="Z40" i="2"/>
  <c r="V45" i="2"/>
  <c r="V32" i="2"/>
  <c r="V34" i="2" s="1"/>
  <c r="V36" i="2" s="1"/>
  <c r="Y37" i="2"/>
  <c r="Y48" i="2"/>
  <c r="AR41" i="2" l="1"/>
  <c r="AR23" i="2"/>
  <c r="AV29" i="2"/>
  <c r="AU31" i="2"/>
  <c r="AS5" i="2"/>
  <c r="AS42" i="2"/>
  <c r="AT10" i="2"/>
  <c r="V37" i="2"/>
  <c r="V48" i="2"/>
  <c r="Z45" i="2"/>
  <c r="Z32" i="2"/>
  <c r="Z34" i="2" s="1"/>
  <c r="AP28" i="2"/>
  <c r="AS41" i="2" l="1"/>
  <c r="AS23" i="2"/>
  <c r="AP32" i="2"/>
  <c r="AP34" i="2" s="1"/>
  <c r="AP45" i="2"/>
  <c r="AU10" i="2"/>
  <c r="AT42" i="2"/>
  <c r="AT5" i="2"/>
  <c r="AW29" i="2"/>
  <c r="AW31" i="2" s="1"/>
  <c r="AV31" i="2"/>
  <c r="Z36" i="2"/>
  <c r="Z64" i="2" s="1"/>
  <c r="Z63" i="2" s="1"/>
  <c r="AP63" i="2" s="1"/>
  <c r="AQ33" i="2" s="1"/>
  <c r="AP35" i="2"/>
  <c r="AP36" i="2" l="1"/>
  <c r="AP37" i="2" s="1"/>
  <c r="AT41" i="2"/>
  <c r="AT23" i="2"/>
  <c r="AV10" i="2"/>
  <c r="AU5" i="2"/>
  <c r="AU42" i="2"/>
  <c r="Z48" i="2"/>
  <c r="Z37" i="2"/>
  <c r="AU41" i="2" l="1"/>
  <c r="AU23" i="2"/>
  <c r="AV5" i="2"/>
  <c r="AW10" i="2"/>
  <c r="AV42" i="2"/>
  <c r="AV41" i="2" l="1"/>
  <c r="AV23" i="2"/>
  <c r="AW5" i="2"/>
  <c r="AW42" i="2"/>
  <c r="AW41" i="2" l="1"/>
  <c r="AW23" i="2"/>
  <c r="AQ17" i="2" l="1"/>
  <c r="AQ20" i="2" s="1"/>
  <c r="AR6" i="2"/>
  <c r="AS6" i="2" s="1"/>
  <c r="AQ14" i="2"/>
  <c r="AQ44" i="2"/>
  <c r="AS14" i="2" l="1"/>
  <c r="AS17" i="2" s="1"/>
  <c r="AS20" i="2" s="1"/>
  <c r="AT6" i="2"/>
  <c r="AQ25" i="2"/>
  <c r="AQ28" i="2" s="1"/>
  <c r="AQ21" i="2"/>
  <c r="AQ40" i="2"/>
  <c r="AR14" i="2"/>
  <c r="AR17" i="2" s="1"/>
  <c r="AR20" i="2" s="1"/>
  <c r="AQ32" i="2" l="1"/>
  <c r="AQ34" i="2" s="1"/>
  <c r="AQ45" i="2"/>
  <c r="AR21" i="2"/>
  <c r="AR25" i="2" s="1"/>
  <c r="AR28" i="2" s="1"/>
  <c r="AR32" i="2" s="1"/>
  <c r="AR40" i="2"/>
  <c r="AU6" i="2"/>
  <c r="AT14" i="2"/>
  <c r="AT17" i="2" s="1"/>
  <c r="AT20" i="2" s="1"/>
  <c r="AS40" i="2"/>
  <c r="AS21" i="2"/>
  <c r="AS25" i="2" s="1"/>
  <c r="AS28" i="2" s="1"/>
  <c r="AS32" i="2" s="1"/>
  <c r="AT21" i="2" l="1"/>
  <c r="AT25" i="2"/>
  <c r="AT28" i="2" s="1"/>
  <c r="AT32" i="2" s="1"/>
  <c r="AT40" i="2"/>
  <c r="AU14" i="2"/>
  <c r="AU17" i="2" s="1"/>
  <c r="AU20" i="2" s="1"/>
  <c r="AV6" i="2"/>
  <c r="AQ35" i="2"/>
  <c r="AQ36" i="2" s="1"/>
  <c r="AQ37" i="2" l="1"/>
  <c r="AQ63" i="2"/>
  <c r="AU40" i="2"/>
  <c r="AU21" i="2"/>
  <c r="AU25" i="2"/>
  <c r="AU28" i="2" s="1"/>
  <c r="AU32" i="2" s="1"/>
  <c r="AW6" i="2"/>
  <c r="AW14" i="2" s="1"/>
  <c r="AW17" i="2" s="1"/>
  <c r="AW20" i="2" s="1"/>
  <c r="AV14" i="2"/>
  <c r="AV17" i="2" s="1"/>
  <c r="AV20" i="2" s="1"/>
  <c r="AW40" i="2" l="1"/>
  <c r="AW21" i="2"/>
  <c r="AW25" i="2" s="1"/>
  <c r="AW28" i="2" s="1"/>
  <c r="AW32" i="2" s="1"/>
  <c r="AR33" i="2"/>
  <c r="AR34" i="2" s="1"/>
  <c r="AV25" i="2"/>
  <c r="AV28" i="2" s="1"/>
  <c r="AV32" i="2" s="1"/>
  <c r="AV40" i="2"/>
  <c r="AV21" i="2"/>
  <c r="AR35" i="2" l="1"/>
  <c r="AR36" i="2"/>
  <c r="AR37" i="2" l="1"/>
  <c r="AR63" i="2"/>
  <c r="AS33" i="2" l="1"/>
  <c r="AS34" i="2" s="1"/>
  <c r="AS35" i="2" l="1"/>
  <c r="AS36" i="2"/>
  <c r="AS37" i="2" l="1"/>
  <c r="AS63" i="2"/>
  <c r="AT33" i="2" l="1"/>
  <c r="AT34" i="2" s="1"/>
  <c r="AT35" i="2" l="1"/>
  <c r="AT36" i="2"/>
  <c r="AT37" i="2" l="1"/>
  <c r="AT63" i="2"/>
  <c r="AU33" i="2" l="1"/>
  <c r="AU34" i="2" s="1"/>
  <c r="AU35" i="2" l="1"/>
  <c r="AU36" i="2" s="1"/>
  <c r="AU37" i="2" l="1"/>
  <c r="AU63" i="2"/>
  <c r="AV33" i="2" l="1"/>
  <c r="AV34" i="2" s="1"/>
  <c r="AV35" i="2" l="1"/>
  <c r="AV36" i="2" s="1"/>
  <c r="AV37" i="2" l="1"/>
  <c r="AV63" i="2"/>
  <c r="AW33" i="2" l="1"/>
  <c r="AW34" i="2" s="1"/>
  <c r="AW35" i="2" l="1"/>
  <c r="AW36" i="2" s="1"/>
  <c r="AX36" i="2" l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AZ45" i="2" s="1"/>
  <c r="AZ47" i="2" s="1"/>
  <c r="AZ48" i="2" s="1"/>
  <c r="AW37" i="2"/>
  <c r="AW63" i="2"/>
</calcChain>
</file>

<file path=xl/sharedStrings.xml><?xml version="1.0" encoding="utf-8"?>
<sst xmlns="http://schemas.openxmlformats.org/spreadsheetml/2006/main" count="135" uniqueCount="122">
  <si>
    <t>Price</t>
  </si>
  <si>
    <t>Shares</t>
  </si>
  <si>
    <t>MC</t>
  </si>
  <si>
    <t>Cash</t>
  </si>
  <si>
    <t>Debt</t>
  </si>
  <si>
    <t>EV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</si>
  <si>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</si>
  <si>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</si>
  <si>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</si>
  <si>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</si>
  <si>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</si>
  <si>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</si>
  <si>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</si>
  <si>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</si>
  <si>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</si>
  <si>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</si>
  <si>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</si>
  <si>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</si>
  <si>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</si>
  <si>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</si>
  <si>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</si>
  <si>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</si>
  <si>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</si>
  <si>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</si>
  <si>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</si>
  <si>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</si>
  <si>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</si>
  <si>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</si>
  <si>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</si>
  <si>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</si>
  <si>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</si>
  <si>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</si>
  <si>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</si>
  <si>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</si>
  <si>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</si>
  <si>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</si>
  <si>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</si>
  <si>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</si>
  <si>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</si>
  <si>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</si>
  <si>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</si>
  <si>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</si>
  <si>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</si>
  <si>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</si>
  <si>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</si>
  <si>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</si>
  <si>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</si>
  <si>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</si>
  <si>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</si>
  <si>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</si>
  <si>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</si>
  <si>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</si>
  <si>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</si>
  <si>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</si>
  <si>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</si>
  <si>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</si>
  <si>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</si>
  <si>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</si>
  <si>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</si>
  <si>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</si>
  <si>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</si>
  <si>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</si>
  <si>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</si>
  <si>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</si>
  <si>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</si>
  <si>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</si>
  <si>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</si>
  <si>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</si>
  <si>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</si>
  <si>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</si>
  <si>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</si>
  <si>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</si>
  <si>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</si>
  <si>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</si>
  <si>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</si>
  <si>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</si>
  <si>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</si>
  <si>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</si>
  <si>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</si>
  <si>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</si>
  <si>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</si>
  <si>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</si>
  <si>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</si>
  <si>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</si>
  <si>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</si>
  <si>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</si>
  <si>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</si>
  <si>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</si>
  <si>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</si>
  <si>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</si>
  <si>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</si>
  <si>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</si>
  <si>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</si>
  <si>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</si>
  <si>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</si>
  <si>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</si>
  <si>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</si>
  <si>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</si>
  <si>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</si>
  <si>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</si>
  <si>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</si>
  <si>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</si>
  <si>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</si>
  <si>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</si>
  <si>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</si>
  <si>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</si>
  <si>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</si>
  <si>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</si>
  <si>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</si>
  <si>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</si>
  <si>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</si>
  <si>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</si>
  <si>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</si>
  <si>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</si>
  <si>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</si>
  <si>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</si>
  <si>
    <t>Q124</t>
  </si>
  <si>
    <t>Q224</t>
  </si>
  <si>
    <t>Q324</t>
  </si>
  <si>
    <t>Q424</t>
  </si>
  <si>
    <t>24/07/24 Q2 numbers</t>
  </si>
  <si>
    <t>Other LT 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</si>
</sst>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2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1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4" fontId="7" fillId="0" borderId="0" xfId="0" applyNumberFormat="1" applyFont="1"/>
    <xf numFmtId="0" fontId="2" fillId="0" borderId="0" xfId="0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9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7" fillId="0" borderId="0" xfId="0" applyNumberFormat="1" applyFont="1"/>
    <xf numFmtId="10" fontId="7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25067</xdr:colOff>
      <xdr:row>0</xdr:row>
      <xdr:rowOff>0</xdr:rowOff>
    </xdr:from>
    <xdr:to>
      <xdr:col>28</xdr:col>
      <xdr:colOff>36712</xdr:colOff>
      <xdr:row>102</xdr:row>
      <xdr:rowOff>71610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48291" y="0"/>
          <a:ext cx="11645" cy="16530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40237</xdr:colOff>
      <xdr:row>0</xdr:row>
      <xdr:rowOff>0</xdr:rowOff>
    </xdr:from>
    <xdr:to>
      <xdr:col>43</xdr:col>
      <xdr:colOff>40237</xdr:colOff>
      <xdr:row>74</xdr:row>
      <xdr:rowOff>56361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7041931" y="0"/>
          <a:ext cx="0" cy="11997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10" zoomScaleNormal="110" workbookViewId="0">
      <selection activeCell="K2" sqref="K2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217</v>
      </c>
    </row>
    <row r="3" spans="2:12" x14ac:dyDescent="0.2">
      <c r="J3" s="9" t="s">
        <v>1</v>
      </c>
      <c r="K3" s="5">
        <v>3191</v>
      </c>
      <c r="L3" s="28" t="s">
        <v>117</v>
      </c>
    </row>
    <row r="4" spans="2:12" x14ac:dyDescent="0.2">
      <c r="J4" s="9" t="s">
        <v>2</v>
      </c>
      <c r="K4" s="10">
        <f>K2*K3</f>
        <v>692447</v>
      </c>
    </row>
    <row r="5" spans="2:12" x14ac:dyDescent="0.2">
      <c r="J5" s="9" t="s">
        <v>3</v>
      </c>
      <c r="K5" s="10">
        <v>14635</v>
      </c>
      <c r="L5" s="28" t="s">
        <v>117</v>
      </c>
    </row>
    <row r="6" spans="2:12" x14ac:dyDescent="0.2">
      <c r="J6" s="9" t="s">
        <v>4</v>
      </c>
      <c r="K6" s="18">
        <v>5481</v>
      </c>
      <c r="L6" s="28" t="s">
        <v>117</v>
      </c>
    </row>
    <row r="7" spans="2:12" x14ac:dyDescent="0.2">
      <c r="J7" s="9" t="s">
        <v>5</v>
      </c>
      <c r="K7" s="10">
        <f>K4-K5+K6</f>
        <v>683293</v>
      </c>
    </row>
    <row r="10" spans="2:12" x14ac:dyDescent="0.2">
      <c r="B10" s="29" t="s">
        <v>120</v>
      </c>
      <c r="J10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A89"/>
  <sheetViews>
    <sheetView tabSelected="1" zoomScale="88" zoomScaleNormal="110" workbookViewId="0">
      <pane xSplit="2" ySplit="12" topLeftCell="AI36" activePane="bottomRight" state="frozen"/>
      <selection pane="topRight"/>
      <selection pane="bottomLeft"/>
      <selection pane="bottomRight" activeCell="AD4" sqref="AD4"/>
    </sheetView>
  </sheetViews>
  <sheetFormatPr defaultColWidth="9.140625" defaultRowHeight="12.75" x14ac:dyDescent="0.2"/>
  <cols>
    <col min="1" max="1" width="5.140625" style="1" bestFit="1" customWidth="1"/>
    <col min="2" max="2" width="24.140625" style="1" customWidth="1"/>
    <col min="3" max="18" width="9.140625" style="2"/>
    <col min="19" max="19" width="8.7109375" style="2" customWidth="1"/>
    <col min="20" max="27" width="9.140625" style="2"/>
    <col min="28" max="30" width="8.42578125" style="2" customWidth="1"/>
    <col min="31" max="39" width="9.140625" style="1"/>
    <col min="40" max="40" width="9.7109375" style="1" customWidth="1"/>
    <col min="41" max="42" width="10.140625" style="1" bestFit="1" customWidth="1"/>
    <col min="43" max="43" width="10.85546875" style="1" customWidth="1"/>
    <col min="44" max="44" width="10.28515625" style="1" customWidth="1"/>
    <col min="45" max="45" width="10.85546875" style="1" customWidth="1"/>
    <col min="46" max="46" width="11.140625" style="1" customWidth="1"/>
    <col min="47" max="50" width="10.85546875" style="1" customWidth="1"/>
    <col min="51" max="51" width="9.140625" style="1"/>
    <col min="52" max="52" width="12.28515625" style="1" bestFit="1" customWidth="1"/>
    <col min="53" max="16384" width="9.140625" style="1"/>
  </cols>
  <sheetData>
    <row r="1" spans="1:49" x14ac:dyDescent="0.2">
      <c r="A1" s="14" t="s">
        <v>7</v>
      </c>
      <c r="W1" s="23"/>
    </row>
    <row r="2" spans="1:49" s="4" customFormat="1" x14ac:dyDescent="0.2">
      <c r="B2" s="13" t="s">
        <v>82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49" s="4" customFormat="1" x14ac:dyDescent="0.2">
      <c r="B3" s="4" t="s">
        <v>8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v>21551</v>
      </c>
      <c r="AC3" s="5">
        <f>+Y3*1.3</f>
        <v>20780.5</v>
      </c>
      <c r="AD3" s="5">
        <f>+Z3*1.3</f>
        <v>29859.7</v>
      </c>
      <c r="AL3" s="4">
        <f>SUM(G3:J3)</f>
        <v>66771</v>
      </c>
      <c r="AM3" s="4">
        <f>SUM(K3:N3)</f>
        <v>56950</v>
      </c>
      <c r="AN3" s="4">
        <f>SUM(O3:R3)</f>
        <v>24935</v>
      </c>
      <c r="AO3" s="4">
        <f>SUM(S3:V3)</f>
        <v>66705</v>
      </c>
      <c r="AP3" s="4">
        <f>SUM(W3:Z3)</f>
        <v>68874</v>
      </c>
      <c r="AQ3" s="4">
        <f>SUM(AA3:AD3)</f>
        <v>89218.2</v>
      </c>
    </row>
    <row r="4" spans="1:49" s="4" customFormat="1" x14ac:dyDescent="0.2">
      <c r="B4" s="4" t="s">
        <v>9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v>422405</v>
      </c>
      <c r="AC4" s="5">
        <f>+Y4*1.1</f>
        <v>460981.4</v>
      </c>
      <c r="AD4" s="5">
        <f>+Z4*1.1</f>
        <v>507691.80000000005</v>
      </c>
      <c r="AL4" s="4">
        <f>SUM(G4:J4)</f>
        <v>300885</v>
      </c>
      <c r="AM4" s="4">
        <f>SUM(K4:N4)</f>
        <v>442066</v>
      </c>
      <c r="AN4" s="4">
        <f>SUM(O4:R4)</f>
        <v>911015</v>
      </c>
      <c r="AO4" s="4">
        <f>SUM(S4:V4)</f>
        <v>1247146</v>
      </c>
      <c r="AP4" s="4">
        <f>SUM(W4:Z4)</f>
        <v>1739707</v>
      </c>
      <c r="AQ4" s="4">
        <f>SUM(AA4:AD4)</f>
        <v>1760861.2</v>
      </c>
    </row>
    <row r="5" spans="1:49" s="6" customFormat="1" x14ac:dyDescent="0.2">
      <c r="B5" s="6" t="s">
        <v>10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 t="shared" ref="S5:AD5" si="1">S4+S3</f>
        <v>310048</v>
      </c>
      <c r="T5" s="7">
        <f t="shared" si="1"/>
        <v>254695</v>
      </c>
      <c r="U5" s="7">
        <f t="shared" si="1"/>
        <v>343830</v>
      </c>
      <c r="V5" s="7">
        <f t="shared" si="1"/>
        <v>405278</v>
      </c>
      <c r="W5" s="7">
        <f t="shared" si="1"/>
        <v>422875</v>
      </c>
      <c r="X5" s="7">
        <f t="shared" si="1"/>
        <v>466140</v>
      </c>
      <c r="Y5" s="7">
        <f t="shared" si="1"/>
        <v>435059</v>
      </c>
      <c r="Z5" s="7">
        <f t="shared" si="1"/>
        <v>484507</v>
      </c>
      <c r="AA5" s="7">
        <f t="shared" si="1"/>
        <v>386810</v>
      </c>
      <c r="AB5" s="7">
        <f t="shared" si="1"/>
        <v>443956</v>
      </c>
      <c r="AC5" s="7">
        <f t="shared" si="1"/>
        <v>481761.9</v>
      </c>
      <c r="AD5" s="7">
        <f t="shared" si="1"/>
        <v>537551.5</v>
      </c>
      <c r="AL5" s="6">
        <f t="shared" ref="AL5:AQ5" si="2">+AL3+AL4</f>
        <v>367656</v>
      </c>
      <c r="AM5" s="6">
        <f t="shared" si="2"/>
        <v>499016</v>
      </c>
      <c r="AN5" s="6">
        <f t="shared" si="2"/>
        <v>935950</v>
      </c>
      <c r="AO5" s="6">
        <f t="shared" si="2"/>
        <v>1313851</v>
      </c>
      <c r="AP5" s="6">
        <f t="shared" si="2"/>
        <v>1808581</v>
      </c>
      <c r="AQ5" s="6">
        <f t="shared" si="2"/>
        <v>1850079.4</v>
      </c>
      <c r="AR5" s="6">
        <f t="shared" ref="AR5:AU5" si="3">AR10</f>
        <v>3124767.4965000004</v>
      </c>
      <c r="AS5" s="6">
        <f t="shared" si="3"/>
        <v>3905959.3706250004</v>
      </c>
      <c r="AT5" s="6">
        <f t="shared" si="3"/>
        <v>4687151.2447500005</v>
      </c>
      <c r="AU5" s="6">
        <f t="shared" si="3"/>
        <v>5624581.4937000005</v>
      </c>
      <c r="AV5" s="6">
        <f t="shared" ref="AV5:AW5" si="4">AV10</f>
        <v>6468268.7177550001</v>
      </c>
      <c r="AW5" s="6">
        <f t="shared" si="4"/>
        <v>7115095.5895305006</v>
      </c>
    </row>
    <row r="6" spans="1:49" s="4" customFormat="1" x14ac:dyDescent="0.2">
      <c r="B6" s="30" t="s">
        <v>11</v>
      </c>
      <c r="C6" s="5"/>
      <c r="D6" s="5"/>
      <c r="E6" s="5"/>
      <c r="F6" s="5"/>
      <c r="G6" s="5">
        <f t="shared" ref="G6" si="5">G14*1000000/G5</f>
        <v>55681.619828940478</v>
      </c>
      <c r="H6" s="5">
        <f t="shared" ref="H6" si="6">H14*1000000/H5</f>
        <v>54196.904232560089</v>
      </c>
      <c r="I6" s="5">
        <f t="shared" ref="I6" si="7">I14*1000000/I5</f>
        <v>52805.95970613051</v>
      </c>
      <c r="J6" s="5">
        <f t="shared" ref="J6" si="8">J14*1000000/J5</f>
        <v>54801.730674873994</v>
      </c>
      <c r="K6" s="5">
        <f t="shared" ref="K6" si="9">K14*1000000/K5</f>
        <v>55290.634604953899</v>
      </c>
      <c r="L6" s="5">
        <f t="shared" ref="L6" si="10">L14*1000000/L5</f>
        <v>54175.399889685606</v>
      </c>
      <c r="M6" s="5">
        <f t="shared" ref="M6" si="11">M14*1000000/M5</f>
        <v>52735.10409188801</v>
      </c>
      <c r="N6" s="5">
        <f t="shared" ref="N6" si="12">N14*1000000/N5</f>
        <v>47809.713684443705</v>
      </c>
      <c r="O6" s="5">
        <f t="shared" ref="O6" si="13">O14*1000000/O5</f>
        <v>44301.948051948049</v>
      </c>
      <c r="P6" s="5">
        <f t="shared" ref="P6" si="14">P14*1000000/P5</f>
        <v>47304.34782608696</v>
      </c>
      <c r="Q6" s="5">
        <f t="shared" ref="Q6" si="15">Q14*1000000/Q5</f>
        <v>47215.084956485705</v>
      </c>
      <c r="R6" s="5">
        <f t="shared" ref="R6" si="16">R14*1000000/R5</f>
        <v>48687.621516526247</v>
      </c>
      <c r="S6" s="5">
        <f t="shared" ref="S6" si="17">S14*1000000/S5</f>
        <v>50037.413561771078</v>
      </c>
      <c r="T6" s="5">
        <f t="shared" ref="T6:Y6" si="18">T14*1000000/T5</f>
        <v>53672.039105596894</v>
      </c>
      <c r="U6" s="5">
        <f t="shared" si="18"/>
        <v>51726.143733821948</v>
      </c>
      <c r="V6" s="5">
        <f t="shared" si="18"/>
        <v>51902.644604444358</v>
      </c>
      <c r="W6" s="5">
        <f t="shared" si="18"/>
        <v>44642.033697901272</v>
      </c>
      <c r="X6" s="5">
        <f t="shared" si="18"/>
        <v>43804.436435405674</v>
      </c>
      <c r="Y6" s="5">
        <f t="shared" si="18"/>
        <v>42711.448332295156</v>
      </c>
      <c r="Z6" s="5">
        <f>Z14*1000000/Z5</f>
        <v>42579.364178432923</v>
      </c>
      <c r="AA6" s="5">
        <f t="shared" ref="AA6:AB6" si="19">AA14*1000000/AA5</f>
        <v>42553.191489361699</v>
      </c>
      <c r="AB6" s="5">
        <f t="shared" si="19"/>
        <v>41738.370469145593</v>
      </c>
      <c r="AC6" s="5">
        <f>+Y6*1.05</f>
        <v>44847.020748909919</v>
      </c>
      <c r="AD6" s="5">
        <f>+Z6*1.05</f>
        <v>44708.332387354574</v>
      </c>
      <c r="AL6" s="5">
        <f>AL14/AL5*1000000</f>
        <v>54268.120199316756</v>
      </c>
      <c r="AM6" s="5">
        <f>AM14/AM5*1000000</f>
        <v>51667.681998172404</v>
      </c>
      <c r="AN6" s="5">
        <f>AN14/AN5*1000000</f>
        <v>47144.612425877451</v>
      </c>
      <c r="AO6" s="5">
        <f>AO14/AO5*1000000</f>
        <v>51759.293862089384</v>
      </c>
      <c r="AP6" s="5">
        <f>AP14/AP5*1000000</f>
        <v>43409.169951470241</v>
      </c>
      <c r="AQ6" s="4">
        <f>AP6*1.1</f>
        <v>47750.086946617266</v>
      </c>
      <c r="AR6" s="4">
        <f>AQ6*1.03</f>
        <v>49182.589555015787</v>
      </c>
      <c r="AS6" s="4">
        <f>AR6*1.03</f>
        <v>50658.067241666264</v>
      </c>
      <c r="AT6" s="4">
        <f>AS6*1.03</f>
        <v>52177.809258916255</v>
      </c>
      <c r="AU6" s="4">
        <f>AT6*1.03</f>
        <v>53743.143536683747</v>
      </c>
      <c r="AV6" s="4">
        <f t="shared" ref="AV6:AW6" si="20">AU6*1.03</f>
        <v>55355.43784278426</v>
      </c>
      <c r="AW6" s="4">
        <f t="shared" si="20"/>
        <v>57016.100978067792</v>
      </c>
    </row>
    <row r="7" spans="1:49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49" s="4" customFormat="1" x14ac:dyDescent="0.2">
      <c r="B8" s="4" t="s">
        <v>12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>
        <v>24255</v>
      </c>
      <c r="AC8" s="5"/>
      <c r="AD8" s="5"/>
      <c r="AL8" s="4">
        <f>SUM(G8:J8)</f>
        <v>62931</v>
      </c>
      <c r="AM8" s="4">
        <f>SUM(K8:N8)</f>
        <v>54805</v>
      </c>
      <c r="AN8" s="4">
        <f>SUM(O8:R8)</f>
        <v>24390</v>
      </c>
      <c r="AO8" s="4">
        <f>SUM(S8:V8)</f>
        <v>71177</v>
      </c>
    </row>
    <row r="9" spans="1:49" s="4" customFormat="1" x14ac:dyDescent="0.2">
      <c r="B9" s="4" t="s">
        <v>13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>
        <v>386576</v>
      </c>
      <c r="AC9" s="5"/>
      <c r="AD9" s="5"/>
      <c r="AL9" s="4">
        <f>SUM(G9:J9)</f>
        <v>302301</v>
      </c>
      <c r="AM9" s="4">
        <f>SUM(K9:N9)</f>
        <v>454932</v>
      </c>
      <c r="AN9" s="4">
        <f>SUM(O9:R9)</f>
        <v>906032</v>
      </c>
      <c r="AO9" s="4">
        <f>SUM(S9:V9)</f>
        <v>1298434</v>
      </c>
    </row>
    <row r="10" spans="1:49" s="6" customFormat="1" x14ac:dyDescent="0.2">
      <c r="B10" s="6" t="s">
        <v>14</v>
      </c>
      <c r="C10" s="7"/>
      <c r="D10" s="7"/>
      <c r="E10" s="7"/>
      <c r="F10" s="7"/>
      <c r="G10" s="7">
        <f t="shared" ref="G10:R10" si="21">G9+G8</f>
        <v>77138</v>
      </c>
      <c r="H10" s="7">
        <f t="shared" si="21"/>
        <v>87048</v>
      </c>
      <c r="I10" s="7">
        <f t="shared" si="21"/>
        <v>96155</v>
      </c>
      <c r="J10" s="7">
        <f t="shared" si="21"/>
        <v>104891</v>
      </c>
      <c r="K10" s="7">
        <f t="shared" si="21"/>
        <v>102672</v>
      </c>
      <c r="L10" s="7">
        <f t="shared" si="21"/>
        <v>82272</v>
      </c>
      <c r="M10" s="7">
        <f t="shared" si="21"/>
        <v>145036</v>
      </c>
      <c r="N10" s="7">
        <f t="shared" si="21"/>
        <v>179757</v>
      </c>
      <c r="O10" s="7">
        <f t="shared" si="21"/>
        <v>180338</v>
      </c>
      <c r="P10" s="7">
        <f t="shared" si="21"/>
        <v>206421</v>
      </c>
      <c r="Q10" s="7">
        <f t="shared" si="21"/>
        <v>237823</v>
      </c>
      <c r="R10" s="7">
        <f t="shared" si="21"/>
        <v>305840</v>
      </c>
      <c r="S10" s="7">
        <f>S9+S8</f>
        <v>305407</v>
      </c>
      <c r="T10" s="7">
        <f>T9+T8</f>
        <v>258580</v>
      </c>
      <c r="U10" s="7">
        <f t="shared" ref="U10:AD10" si="22">+U8+U9</f>
        <v>365923</v>
      </c>
      <c r="V10" s="7">
        <f t="shared" si="22"/>
        <v>439701</v>
      </c>
      <c r="W10" s="7">
        <f t="shared" si="22"/>
        <v>440808</v>
      </c>
      <c r="X10" s="7">
        <f t="shared" si="22"/>
        <v>479700</v>
      </c>
      <c r="Y10" s="7">
        <f t="shared" si="22"/>
        <v>430488</v>
      </c>
      <c r="Z10" s="7">
        <f t="shared" si="22"/>
        <v>494989</v>
      </c>
      <c r="AA10" s="7">
        <f t="shared" si="22"/>
        <v>433371</v>
      </c>
      <c r="AB10" s="7">
        <f t="shared" si="22"/>
        <v>410831</v>
      </c>
      <c r="AC10" s="7">
        <f t="shared" si="22"/>
        <v>0</v>
      </c>
      <c r="AD10" s="7">
        <f t="shared" si="22"/>
        <v>0</v>
      </c>
      <c r="AL10" s="6">
        <f>+AL8+AL9</f>
        <v>365232</v>
      </c>
      <c r="AM10" s="6">
        <f>+AM8+AM9</f>
        <v>509737</v>
      </c>
      <c r="AN10" s="6">
        <f>+AN8+AN9</f>
        <v>930422</v>
      </c>
      <c r="AO10" s="6">
        <f>+AO8+AO9</f>
        <v>1369611</v>
      </c>
      <c r="AP10" s="6">
        <f>+AO10*1.35</f>
        <v>1848974.85</v>
      </c>
      <c r="AQ10" s="6">
        <f>AP10*1.3</f>
        <v>2403667.3050000002</v>
      </c>
      <c r="AR10" s="6">
        <f>AQ10*1.3</f>
        <v>3124767.4965000004</v>
      </c>
      <c r="AS10" s="6">
        <f>AR10*1.25</f>
        <v>3905959.3706250004</v>
      </c>
      <c r="AT10" s="6">
        <f>AS10*1.2</f>
        <v>4687151.2447500005</v>
      </c>
      <c r="AU10" s="6">
        <f>AT10*1.2</f>
        <v>5624581.4937000005</v>
      </c>
      <c r="AV10" s="6">
        <f>AU10*1.15</f>
        <v>6468268.7177550001</v>
      </c>
      <c r="AW10" s="6">
        <f>AV10*1.1</f>
        <v>7115095.5895305006</v>
      </c>
    </row>
    <row r="11" spans="1:49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P11" s="27"/>
    </row>
    <row r="12" spans="1:49" x14ac:dyDescent="0.2">
      <c r="C12" s="28" t="s">
        <v>92</v>
      </c>
      <c r="D12" s="28" t="s">
        <v>93</v>
      </c>
      <c r="E12" s="28" t="s">
        <v>94</v>
      </c>
      <c r="F12" s="28" t="s">
        <v>95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2" t="s">
        <v>24</v>
      </c>
      <c r="Q12" s="2" t="s">
        <v>25</v>
      </c>
      <c r="R12" s="2" t="s">
        <v>26</v>
      </c>
      <c r="S12" s="2" t="s">
        <v>27</v>
      </c>
      <c r="T12" s="2" t="s">
        <v>28</v>
      </c>
      <c r="U12" s="2" t="s">
        <v>29</v>
      </c>
      <c r="V12" s="2" t="s">
        <v>30</v>
      </c>
      <c r="W12" s="16" t="s">
        <v>83</v>
      </c>
      <c r="X12" s="16" t="s">
        <v>84</v>
      </c>
      <c r="Y12" s="16" t="s">
        <v>85</v>
      </c>
      <c r="Z12" s="16" t="s">
        <v>86</v>
      </c>
      <c r="AA12" s="28" t="s">
        <v>116</v>
      </c>
      <c r="AB12" s="28" t="s">
        <v>117</v>
      </c>
      <c r="AC12" s="28" t="s">
        <v>118</v>
      </c>
      <c r="AD12" s="28" t="s">
        <v>119</v>
      </c>
      <c r="AF12" s="1">
        <v>2013</v>
      </c>
      <c r="AG12" s="1">
        <v>2014</v>
      </c>
      <c r="AH12" s="1">
        <v>2015</v>
      </c>
      <c r="AI12" s="1">
        <v>2016</v>
      </c>
      <c r="AJ12" s="1">
        <v>2017</v>
      </c>
      <c r="AK12" s="1">
        <v>2018</v>
      </c>
      <c r="AL12" s="1">
        <v>2019</v>
      </c>
      <c r="AM12" s="1">
        <v>2020</v>
      </c>
      <c r="AN12" s="1">
        <f>+AM12+1</f>
        <v>2021</v>
      </c>
      <c r="AO12" s="1">
        <f t="shared" ref="AO12:AU12" si="23">+AN12+1</f>
        <v>2022</v>
      </c>
      <c r="AP12" s="1">
        <f t="shared" si="23"/>
        <v>2023</v>
      </c>
      <c r="AQ12" s="1">
        <f t="shared" si="23"/>
        <v>2024</v>
      </c>
      <c r="AR12" s="1">
        <f t="shared" si="23"/>
        <v>2025</v>
      </c>
      <c r="AS12" s="1">
        <f t="shared" si="23"/>
        <v>2026</v>
      </c>
      <c r="AT12" s="1">
        <f t="shared" si="23"/>
        <v>2027</v>
      </c>
      <c r="AU12" s="1">
        <f t="shared" si="23"/>
        <v>2028</v>
      </c>
      <c r="AV12" s="1">
        <f t="shared" ref="AV12" si="24">+AU12+1</f>
        <v>2029</v>
      </c>
      <c r="AW12" s="1">
        <f t="shared" ref="AW12" si="25">+AV12+1</f>
        <v>2030</v>
      </c>
    </row>
    <row r="13" spans="1:49" x14ac:dyDescent="0.2">
      <c r="B13" s="29" t="s">
        <v>114</v>
      </c>
      <c r="C13" s="28"/>
      <c r="D13" s="28"/>
      <c r="E13" s="28"/>
      <c r="F13" s="28"/>
      <c r="W13" s="16"/>
      <c r="X13" s="16"/>
      <c r="Y13" s="16"/>
      <c r="Z13" s="16"/>
      <c r="AA13" s="16"/>
      <c r="AB13" s="16"/>
      <c r="AC13" s="16"/>
      <c r="AD13" s="16"/>
      <c r="AQ13" s="4"/>
      <c r="AR13" s="4"/>
      <c r="AS13" s="4"/>
      <c r="AT13" s="4"/>
      <c r="AU13" s="4"/>
      <c r="AV13" s="4"/>
      <c r="AW13" s="4"/>
    </row>
    <row r="14" spans="1:49" s="4" customFormat="1" x14ac:dyDescent="0.2">
      <c r="B14" s="4" t="s">
        <v>31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v>18530</v>
      </c>
      <c r="AC14" s="5">
        <f>+AC6*AC5/1000000</f>
        <v>21605.585925334268</v>
      </c>
      <c r="AD14" s="5">
        <f>+AD6*AD5/1000000</f>
        <v>24033.031137321035</v>
      </c>
      <c r="AL14" s="4">
        <f t="shared" ref="AL14:AL19" si="26">SUM(G14:J14)</f>
        <v>19952</v>
      </c>
      <c r="AM14" s="4">
        <f>SUM(K14:N14)</f>
        <v>25783</v>
      </c>
      <c r="AN14" s="4">
        <f>SUM(O14:R14)</f>
        <v>44125</v>
      </c>
      <c r="AO14" s="4">
        <f>SUM(S14:V14)</f>
        <v>68004</v>
      </c>
      <c r="AP14" s="4">
        <f>SUM(W14:Z14)</f>
        <v>78509</v>
      </c>
      <c r="AQ14" s="4">
        <f>AQ6*AQ10/1000000</f>
        <v>114775.32280449121</v>
      </c>
      <c r="AR14" s="4">
        <f t="shared" ref="AR14:AW14" si="27">AR6*AR10/1000000</f>
        <v>153684.15723521376</v>
      </c>
      <c r="AS14" s="4">
        <f t="shared" si="27"/>
        <v>197868.35244033771</v>
      </c>
      <c r="AT14" s="4">
        <f t="shared" si="27"/>
        <v>244565.28361625742</v>
      </c>
      <c r="AU14" s="4">
        <f t="shared" si="27"/>
        <v>302282.69054969423</v>
      </c>
      <c r="AV14" s="4">
        <f t="shared" si="27"/>
        <v>358053.84695611271</v>
      </c>
      <c r="AW14" s="4">
        <f t="shared" si="27"/>
        <v>405675.0086012758</v>
      </c>
    </row>
    <row r="15" spans="1:49" s="4" customFormat="1" x14ac:dyDescent="0.2">
      <c r="B15" s="4" t="s">
        <v>32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28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v>890</v>
      </c>
      <c r="AC15" s="5">
        <f t="shared" ref="AB15:AD16" si="29">+Y15</f>
        <v>554</v>
      </c>
      <c r="AD15" s="5">
        <f t="shared" si="29"/>
        <v>433</v>
      </c>
      <c r="AL15" s="4">
        <f t="shared" si="26"/>
        <v>0</v>
      </c>
      <c r="AM15" s="4">
        <f>SUM(K15:N15)</f>
        <v>401</v>
      </c>
      <c r="AN15" s="4">
        <f t="shared" ref="AN15:AN19" si="30">SUM(O15:R15)</f>
        <v>1465</v>
      </c>
      <c r="AO15" s="4">
        <f t="shared" ref="AO15:AO30" si="31">SUM(S15:V15)</f>
        <v>1748.6</v>
      </c>
      <c r="AP15" s="4">
        <f>SUM(W15:Z15)</f>
        <v>1790</v>
      </c>
    </row>
    <row r="16" spans="1:49" s="4" customFormat="1" x14ac:dyDescent="0.2">
      <c r="B16" s="4" t="s">
        <v>33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28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v>458</v>
      </c>
      <c r="AC16" s="5">
        <f t="shared" si="29"/>
        <v>489</v>
      </c>
      <c r="AD16" s="5">
        <f t="shared" si="29"/>
        <v>500</v>
      </c>
      <c r="AL16" s="4">
        <f t="shared" si="26"/>
        <v>869</v>
      </c>
      <c r="AM16" s="4">
        <f>SUM(K16:N16)</f>
        <v>1052</v>
      </c>
      <c r="AN16" s="4">
        <f t="shared" si="30"/>
        <v>1642</v>
      </c>
      <c r="AO16" s="4">
        <f t="shared" si="31"/>
        <v>2756.2</v>
      </c>
      <c r="AP16" s="4">
        <f>SUM(W16:Z16)</f>
        <v>2120</v>
      </c>
    </row>
    <row r="17" spans="2:49" s="6" customFormat="1" x14ac:dyDescent="0.2">
      <c r="B17" s="6" t="s">
        <v>34</v>
      </c>
      <c r="C17" s="7"/>
      <c r="D17" s="7"/>
      <c r="E17" s="7"/>
      <c r="F17" s="7"/>
      <c r="G17" s="7">
        <f t="shared" ref="G17:K17" si="32">SUM(G14:G16)</f>
        <v>3724</v>
      </c>
      <c r="H17" s="7">
        <f t="shared" si="32"/>
        <v>5376</v>
      </c>
      <c r="I17" s="7">
        <f t="shared" si="32"/>
        <v>5353</v>
      </c>
      <c r="J17" s="7">
        <f t="shared" si="32"/>
        <v>6368</v>
      </c>
      <c r="K17" s="7">
        <f t="shared" si="32"/>
        <v>5132</v>
      </c>
      <c r="L17" s="7">
        <f t="shared" ref="L17" si="33">SUM(L14:L16)</f>
        <v>5179</v>
      </c>
      <c r="M17" s="7">
        <f t="shared" ref="M17:R17" si="34">SUM(M14:M16)</f>
        <v>7611</v>
      </c>
      <c r="N17" s="7">
        <f t="shared" si="34"/>
        <v>9314</v>
      </c>
      <c r="O17" s="7">
        <f t="shared" si="34"/>
        <v>9002</v>
      </c>
      <c r="P17" s="7">
        <f t="shared" si="34"/>
        <v>10206</v>
      </c>
      <c r="Q17" s="7">
        <f t="shared" si="34"/>
        <v>12057</v>
      </c>
      <c r="R17" s="7">
        <f t="shared" si="34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35">SUM(V14:V16)</f>
        <v>22353.8</v>
      </c>
      <c r="W17" s="7">
        <f t="shared" si="35"/>
        <v>19963</v>
      </c>
      <c r="X17" s="7">
        <f t="shared" si="35"/>
        <v>21268</v>
      </c>
      <c r="Y17" s="7">
        <f t="shared" si="35"/>
        <v>19625</v>
      </c>
      <c r="Z17" s="7">
        <f t="shared" si="35"/>
        <v>21563</v>
      </c>
      <c r="AA17" s="7">
        <f t="shared" si="35"/>
        <v>17378</v>
      </c>
      <c r="AB17" s="7">
        <f t="shared" si="35"/>
        <v>19878</v>
      </c>
      <c r="AC17" s="7">
        <f t="shared" si="35"/>
        <v>22648.585925334268</v>
      </c>
      <c r="AD17" s="7">
        <f t="shared" si="35"/>
        <v>24966.031137321035</v>
      </c>
      <c r="AL17" s="6">
        <f>SUM(AL14:AL16)</f>
        <v>20821</v>
      </c>
      <c r="AM17" s="6">
        <f>SUM(AM14:AM16)</f>
        <v>27236</v>
      </c>
      <c r="AN17" s="6">
        <f>SUM(AN14:AN16)</f>
        <v>47232</v>
      </c>
      <c r="AO17" s="6">
        <f>SUM(AO14:AO16)</f>
        <v>72508.800000000003</v>
      </c>
      <c r="AP17" s="6">
        <f>SUM(AP14:AP16)</f>
        <v>82419</v>
      </c>
      <c r="AQ17" s="6">
        <f>AQ14+AQ15+AQ16</f>
        <v>114775.32280449121</v>
      </c>
      <c r="AR17" s="6">
        <f>AR14+AR15+AR16</f>
        <v>153684.15723521376</v>
      </c>
      <c r="AS17" s="6">
        <f>AS14+AS15+AS16</f>
        <v>197868.35244033771</v>
      </c>
      <c r="AT17" s="6">
        <f>AT14+AT15+AT16</f>
        <v>244565.28361625742</v>
      </c>
      <c r="AU17" s="6">
        <f>AU14+AU15+AU16</f>
        <v>302282.69054969423</v>
      </c>
      <c r="AV17" s="6">
        <f t="shared" ref="AV17:AW17" si="36">AV14+AV15+AV16</f>
        <v>358053.84695611271</v>
      </c>
      <c r="AW17" s="6">
        <f t="shared" si="36"/>
        <v>405675.0086012758</v>
      </c>
    </row>
    <row r="18" spans="2:49" s="4" customFormat="1" x14ac:dyDescent="0.2">
      <c r="B18" s="4" t="s">
        <v>35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37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v>3014</v>
      </c>
      <c r="AC18" s="5">
        <f t="shared" ref="AB18:AD19" si="38">+Y18</f>
        <v>1559</v>
      </c>
      <c r="AD18" s="5">
        <f t="shared" si="38"/>
        <v>1438</v>
      </c>
      <c r="AF18" s="4">
        <v>1921.877</v>
      </c>
      <c r="AG18" s="4">
        <v>3007.0120000000002</v>
      </c>
      <c r="AH18" s="4">
        <v>3740.973</v>
      </c>
      <c r="AL18" s="4">
        <f t="shared" si="26"/>
        <v>1531</v>
      </c>
      <c r="AM18" s="4">
        <f>SUM(K18:N18)</f>
        <v>1994</v>
      </c>
      <c r="AN18" s="4">
        <f>SUM(O18:R18)</f>
        <v>2789</v>
      </c>
      <c r="AO18" s="4">
        <f t="shared" si="31"/>
        <v>3562.2</v>
      </c>
      <c r="AP18" s="4">
        <f>SUM(W18:Z18)</f>
        <v>6035</v>
      </c>
    </row>
    <row r="19" spans="2:49" s="4" customFormat="1" x14ac:dyDescent="0.2">
      <c r="B19" s="4" t="s">
        <v>36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37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v>2608</v>
      </c>
      <c r="AC19" s="5">
        <f t="shared" si="38"/>
        <v>2166</v>
      </c>
      <c r="AD19" s="5">
        <f t="shared" si="38"/>
        <v>2166</v>
      </c>
      <c r="AF19" s="4">
        <v>91.619</v>
      </c>
      <c r="AG19" s="4">
        <v>191.34399999999999</v>
      </c>
      <c r="AH19" s="4">
        <v>305.05200000000002</v>
      </c>
      <c r="AL19" s="4">
        <f t="shared" si="26"/>
        <v>2226</v>
      </c>
      <c r="AM19" s="4">
        <f>SUM(K19:N19)</f>
        <v>2306</v>
      </c>
      <c r="AN19" s="4">
        <f t="shared" si="30"/>
        <v>3802</v>
      </c>
      <c r="AO19" s="4">
        <f t="shared" si="31"/>
        <v>5879.6</v>
      </c>
      <c r="AP19" s="4">
        <f>SUM(W19:Z19)</f>
        <v>8319</v>
      </c>
    </row>
    <row r="20" spans="2:49" s="6" customFormat="1" x14ac:dyDescent="0.2">
      <c r="B20" s="6" t="s">
        <v>37</v>
      </c>
      <c r="C20" s="7"/>
      <c r="D20" s="7"/>
      <c r="E20" s="7"/>
      <c r="F20" s="7"/>
      <c r="G20" s="7">
        <f t="shared" ref="G20:K20" si="39">SUM(G17:G19)</f>
        <v>4541</v>
      </c>
      <c r="H20" s="7">
        <f t="shared" si="39"/>
        <v>6350</v>
      </c>
      <c r="I20" s="7">
        <f t="shared" si="39"/>
        <v>6303</v>
      </c>
      <c r="J20" s="7">
        <f t="shared" si="39"/>
        <v>7384</v>
      </c>
      <c r="K20" s="7">
        <f t="shared" si="39"/>
        <v>5985</v>
      </c>
      <c r="L20" s="7">
        <f t="shared" ref="L20" si="40">SUM(L17:L19)</f>
        <v>6036</v>
      </c>
      <c r="M20" s="7">
        <f t="shared" ref="M20:R20" si="41">SUM(M17:M19)</f>
        <v>8771</v>
      </c>
      <c r="N20" s="7">
        <f t="shared" si="41"/>
        <v>10744</v>
      </c>
      <c r="O20" s="7">
        <f t="shared" si="41"/>
        <v>10389</v>
      </c>
      <c r="P20" s="7">
        <f t="shared" si="41"/>
        <v>11958</v>
      </c>
      <c r="Q20" s="7">
        <f t="shared" si="41"/>
        <v>13757</v>
      </c>
      <c r="R20" s="7">
        <f t="shared" si="41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D20" si="42">SUM(V17:V19)</f>
        <v>24806.6</v>
      </c>
      <c r="W20" s="7">
        <f t="shared" si="42"/>
        <v>23329</v>
      </c>
      <c r="X20" s="7">
        <f t="shared" si="42"/>
        <v>24927</v>
      </c>
      <c r="Y20" s="7">
        <f t="shared" si="42"/>
        <v>23350</v>
      </c>
      <c r="Z20" s="7">
        <f t="shared" si="42"/>
        <v>25167</v>
      </c>
      <c r="AA20" s="7">
        <f t="shared" si="42"/>
        <v>21301</v>
      </c>
      <c r="AB20" s="7">
        <f t="shared" si="42"/>
        <v>25500</v>
      </c>
      <c r="AC20" s="7">
        <f t="shared" si="42"/>
        <v>26373.585925334268</v>
      </c>
      <c r="AD20" s="7">
        <f t="shared" si="42"/>
        <v>28570.031137321035</v>
      </c>
      <c r="AF20" s="6">
        <f>AF18+AF19</f>
        <v>2013.4959999999999</v>
      </c>
      <c r="AG20" s="6">
        <f>AG18+AG19</f>
        <v>3198.3560000000002</v>
      </c>
      <c r="AH20" s="6">
        <f>AH18+AH19</f>
        <v>4046.0250000000001</v>
      </c>
      <c r="AI20" s="6">
        <v>7000.1319999999996</v>
      </c>
      <c r="AJ20" s="6">
        <v>11758.751</v>
      </c>
      <c r="AK20" s="6">
        <v>21461.268</v>
      </c>
      <c r="AL20" s="6">
        <f t="shared" ref="AL20:AU20" si="43">SUM(AL17:AL19)</f>
        <v>24578</v>
      </c>
      <c r="AM20" s="6">
        <f t="shared" si="43"/>
        <v>31536</v>
      </c>
      <c r="AN20" s="6">
        <f t="shared" si="43"/>
        <v>53823</v>
      </c>
      <c r="AO20" s="6">
        <f t="shared" si="43"/>
        <v>81950.600000000006</v>
      </c>
      <c r="AP20" s="6">
        <f>SUM(AP17:AP19)</f>
        <v>96773</v>
      </c>
      <c r="AQ20" s="6">
        <f t="shared" si="43"/>
        <v>114775.32280449121</v>
      </c>
      <c r="AR20" s="6">
        <f t="shared" si="43"/>
        <v>153684.15723521376</v>
      </c>
      <c r="AS20" s="6">
        <f t="shared" si="43"/>
        <v>197868.35244033771</v>
      </c>
      <c r="AT20" s="6">
        <f t="shared" si="43"/>
        <v>244565.28361625742</v>
      </c>
      <c r="AU20" s="6">
        <f t="shared" si="43"/>
        <v>302282.69054969423</v>
      </c>
      <c r="AV20" s="6">
        <f t="shared" ref="AV20:AW20" si="44">SUM(AV17:AV19)</f>
        <v>358053.84695611271</v>
      </c>
      <c r="AW20" s="6">
        <f t="shared" si="44"/>
        <v>405675.0086012758</v>
      </c>
    </row>
    <row r="21" spans="2:49" s="4" customFormat="1" x14ac:dyDescent="0.2">
      <c r="B21" s="4" t="s">
        <v>38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v>15962</v>
      </c>
      <c r="AC21" s="5">
        <f>+AC14*0.85</f>
        <v>18364.748036534129</v>
      </c>
      <c r="AD21" s="5">
        <f>+AD14*0.85</f>
        <v>20428.07646672288</v>
      </c>
      <c r="AF21" s="4">
        <v>1483.3209999999999</v>
      </c>
      <c r="AO21" s="4">
        <f t="shared" si="31"/>
        <v>49599</v>
      </c>
      <c r="AP21" s="4">
        <f t="shared" ref="AP21:AQ35" si="45">SUM(W21:Z21)</f>
        <v>65121</v>
      </c>
      <c r="AQ21" s="4">
        <f>AQ20*0.81</f>
        <v>92968.011471637888</v>
      </c>
      <c r="AR21" s="4">
        <f>AR20*0.8</f>
        <v>122947.32578817102</v>
      </c>
      <c r="AS21" s="4">
        <f>AS20*0.8</f>
        <v>158294.68195227018</v>
      </c>
      <c r="AT21" s="4">
        <f>AT20*0.8</f>
        <v>195652.22689300595</v>
      </c>
      <c r="AU21" s="4">
        <f>AU20*0.8</f>
        <v>241826.15243975539</v>
      </c>
      <c r="AV21" s="4">
        <f t="shared" ref="AV21:AW21" si="46">AV20*0.8</f>
        <v>286443.07756489021</v>
      </c>
      <c r="AW21" s="4">
        <f t="shared" si="46"/>
        <v>324540.00688102067</v>
      </c>
    </row>
    <row r="22" spans="2:49" s="4" customFormat="1" x14ac:dyDescent="0.2">
      <c r="B22" s="4" t="s">
        <v>39</v>
      </c>
      <c r="C22" s="5"/>
      <c r="D22" s="5"/>
      <c r="E22" s="5"/>
      <c r="F22" s="5"/>
      <c r="G22" s="5">
        <f t="shared" ref="G22:N22" si="47">G14-G21</f>
        <v>653</v>
      </c>
      <c r="H22" s="5">
        <f t="shared" si="47"/>
        <v>914</v>
      </c>
      <c r="I22" s="5">
        <f t="shared" si="47"/>
        <v>1118</v>
      </c>
      <c r="J22" s="5">
        <f t="shared" si="47"/>
        <v>1328</v>
      </c>
      <c r="K22" s="5">
        <f t="shared" si="47"/>
        <v>1194</v>
      </c>
      <c r="L22" s="5">
        <f t="shared" si="47"/>
        <v>1197</v>
      </c>
      <c r="M22" s="5">
        <f t="shared" si="47"/>
        <v>1985</v>
      </c>
      <c r="N22" s="5">
        <f t="shared" si="47"/>
        <v>1711</v>
      </c>
      <c r="O22" s="5">
        <f t="shared" ref="O22:R22" si="48">O14-O21</f>
        <v>1730</v>
      </c>
      <c r="P22" s="5">
        <f t="shared" si="48"/>
        <v>2401</v>
      </c>
      <c r="Q22" s="5">
        <f t="shared" si="48"/>
        <v>3243</v>
      </c>
      <c r="R22" s="5">
        <f t="shared" si="48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49">V14-V21</f>
        <v>5602</v>
      </c>
      <c r="W22" s="5">
        <f>W14-W21</f>
        <v>3456</v>
      </c>
      <c r="X22" s="5">
        <f t="shared" si="49"/>
        <v>3578</v>
      </c>
      <c r="Y22" s="5">
        <f t="shared" si="49"/>
        <v>2926</v>
      </c>
      <c r="Z22" s="5">
        <f t="shared" si="49"/>
        <v>3428</v>
      </c>
      <c r="AA22" s="5">
        <f>AA14-AA21</f>
        <v>2563</v>
      </c>
      <c r="AB22" s="5">
        <f>AB14-AB21</f>
        <v>2568</v>
      </c>
      <c r="AC22" s="5">
        <f>AC14-AC21</f>
        <v>3240.8378888001389</v>
      </c>
      <c r="AD22" s="5">
        <f>AD14-AD21</f>
        <v>3604.9546705981556</v>
      </c>
      <c r="AO22" s="4">
        <f t="shared" si="31"/>
        <v>18405</v>
      </c>
      <c r="AP22" s="4">
        <f t="shared" si="45"/>
        <v>13388</v>
      </c>
    </row>
    <row r="23" spans="2:49" s="4" customFormat="1" x14ac:dyDescent="0.2">
      <c r="B23" s="30" t="s">
        <v>115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Q23" s="4">
        <f>AQ13*0.2</f>
        <v>0</v>
      </c>
      <c r="AR23" s="4">
        <f t="shared" ref="AR23:AW23" si="50">AR13*0.2</f>
        <v>0</v>
      </c>
      <c r="AS23" s="4">
        <f t="shared" si="50"/>
        <v>0</v>
      </c>
      <c r="AT23" s="4">
        <f t="shared" si="50"/>
        <v>0</v>
      </c>
      <c r="AU23" s="4">
        <f t="shared" si="50"/>
        <v>0</v>
      </c>
      <c r="AV23" s="4">
        <f t="shared" si="50"/>
        <v>0</v>
      </c>
      <c r="AW23" s="4">
        <f t="shared" si="50"/>
        <v>0</v>
      </c>
    </row>
    <row r="24" spans="2:49" s="4" customFormat="1" x14ac:dyDescent="0.2">
      <c r="B24" s="4" t="s">
        <v>40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v>245</v>
      </c>
      <c r="AC24" s="5">
        <f>+AC16*0.5</f>
        <v>244.5</v>
      </c>
      <c r="AD24" s="5">
        <f>+AD16*0.5</f>
        <v>250</v>
      </c>
      <c r="AO24" s="4">
        <f t="shared" si="31"/>
        <v>1510</v>
      </c>
      <c r="AP24" s="4">
        <f t="shared" si="45"/>
        <v>1268</v>
      </c>
    </row>
    <row r="25" spans="2:49" s="4" customFormat="1" x14ac:dyDescent="0.2">
      <c r="B25" s="4" t="s">
        <v>41</v>
      </c>
      <c r="C25" s="5"/>
      <c r="D25" s="5"/>
      <c r="E25" s="5"/>
      <c r="F25" s="5"/>
      <c r="G25" s="5">
        <f t="shared" ref="G25:K25" si="51">G17-G24-G21</f>
        <v>751</v>
      </c>
      <c r="H25" s="5">
        <f t="shared" si="51"/>
        <v>1016</v>
      </c>
      <c r="I25" s="5">
        <f t="shared" si="51"/>
        <v>1222</v>
      </c>
      <c r="J25" s="5">
        <f t="shared" si="51"/>
        <v>1434</v>
      </c>
      <c r="K25" s="5">
        <f t="shared" si="51"/>
        <v>1311</v>
      </c>
      <c r="L25" s="5">
        <f t="shared" ref="L25" si="52">L17-L24-L21</f>
        <v>1317</v>
      </c>
      <c r="M25" s="5">
        <f t="shared" ref="M25:N25" si="53">M17-M24-M21</f>
        <v>2105</v>
      </c>
      <c r="N25" s="5">
        <f t="shared" si="53"/>
        <v>2244</v>
      </c>
      <c r="O25" s="5">
        <f>O17-O24-O21</f>
        <v>2385</v>
      </c>
      <c r="P25" s="5">
        <f t="shared" ref="P25:S25" si="54">P17-P24-P21</f>
        <v>2899</v>
      </c>
      <c r="Q25" s="5">
        <f t="shared" si="54"/>
        <v>3673</v>
      </c>
      <c r="R25" s="5">
        <f t="shared" si="54"/>
        <v>4882</v>
      </c>
      <c r="S25" s="5">
        <f t="shared" si="54"/>
        <v>5539</v>
      </c>
      <c r="T25" s="5">
        <f>T17-T24-T21</f>
        <v>4080</v>
      </c>
      <c r="U25" s="5">
        <f>U17-U24-U21</f>
        <v>5212</v>
      </c>
      <c r="V25" s="5">
        <f t="shared" ref="V25:AD25" si="55">V17-V24-V21</f>
        <v>6568.7999999999993</v>
      </c>
      <c r="W25" s="5">
        <f>W17-W24-W21</f>
        <v>4208</v>
      </c>
      <c r="X25" s="5">
        <f t="shared" si="55"/>
        <v>4089</v>
      </c>
      <c r="Y25" s="5">
        <f t="shared" si="55"/>
        <v>3668</v>
      </c>
      <c r="Z25" s="5">
        <f t="shared" si="55"/>
        <v>4065</v>
      </c>
      <c r="AA25" s="5">
        <f t="shared" si="55"/>
        <v>3212</v>
      </c>
      <c r="AB25" s="5">
        <f t="shared" si="55"/>
        <v>3671</v>
      </c>
      <c r="AC25" s="5">
        <f t="shared" si="55"/>
        <v>4039.3378888001389</v>
      </c>
      <c r="AD25" s="5">
        <f t="shared" si="55"/>
        <v>4287.9546705981556</v>
      </c>
      <c r="AO25" s="4">
        <f t="shared" si="31"/>
        <v>21399.8</v>
      </c>
      <c r="AP25" s="4">
        <f>SUM(W25:Z25)</f>
        <v>16030</v>
      </c>
      <c r="AQ25" s="4">
        <f t="shared" ref="AQ25:AW25" si="56">AQ20-AQ21</f>
        <v>21807.311332853322</v>
      </c>
      <c r="AR25" s="4">
        <f t="shared" si="56"/>
        <v>30736.831447042743</v>
      </c>
      <c r="AS25" s="4">
        <f t="shared" si="56"/>
        <v>39573.670488067524</v>
      </c>
      <c r="AT25" s="4">
        <f t="shared" si="56"/>
        <v>48913.056723251473</v>
      </c>
      <c r="AU25" s="4">
        <f t="shared" si="56"/>
        <v>60456.538109938847</v>
      </c>
      <c r="AV25" s="4">
        <f t="shared" si="56"/>
        <v>71610.769391222508</v>
      </c>
      <c r="AW25" s="4">
        <f t="shared" si="56"/>
        <v>81135.001720255124</v>
      </c>
    </row>
    <row r="26" spans="2:49" s="4" customFormat="1" x14ac:dyDescent="0.2">
      <c r="B26" s="4" t="s">
        <v>42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f>+AB18*0.9</f>
        <v>2712.6</v>
      </c>
      <c r="AC26" s="5">
        <f>+AC18*0.9</f>
        <v>1403.1000000000001</v>
      </c>
      <c r="AD26" s="5">
        <f>+AD18*0.9</f>
        <v>1294.2</v>
      </c>
      <c r="AO26" s="4">
        <f t="shared" si="31"/>
        <v>3621</v>
      </c>
      <c r="AP26" s="4">
        <f t="shared" si="45"/>
        <v>4894</v>
      </c>
    </row>
    <row r="27" spans="2:49" s="4" customFormat="1" x14ac:dyDescent="0.2">
      <c r="B27" s="4" t="s">
        <v>43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f>+AB19</f>
        <v>2608</v>
      </c>
      <c r="AC27" s="5">
        <f>+AC19</f>
        <v>2166</v>
      </c>
      <c r="AD27" s="5">
        <f>+AD19</f>
        <v>2166</v>
      </c>
      <c r="AO27" s="4">
        <f t="shared" si="31"/>
        <v>5880</v>
      </c>
      <c r="AP27" s="4">
        <f t="shared" si="45"/>
        <v>7830</v>
      </c>
    </row>
    <row r="28" spans="2:49" s="4" customFormat="1" x14ac:dyDescent="0.2">
      <c r="B28" s="4" t="s">
        <v>44</v>
      </c>
      <c r="C28" s="5"/>
      <c r="D28" s="5"/>
      <c r="E28" s="5"/>
      <c r="F28" s="5"/>
      <c r="G28" s="5">
        <f t="shared" ref="G28:K28" si="57">G25+G18+G19-G26-G27</f>
        <v>566</v>
      </c>
      <c r="H28" s="5">
        <f t="shared" si="57"/>
        <v>921</v>
      </c>
      <c r="I28" s="5">
        <f t="shared" si="57"/>
        <v>1191</v>
      </c>
      <c r="J28" s="5">
        <f t="shared" si="57"/>
        <v>1391</v>
      </c>
      <c r="K28" s="5">
        <f t="shared" si="57"/>
        <v>1234</v>
      </c>
      <c r="L28" s="5">
        <f t="shared" ref="L28" si="58">L25+L18+L19-L26-L27</f>
        <v>1267</v>
      </c>
      <c r="M28" s="5">
        <f t="shared" ref="M28:T28" si="59">M25+M18+M19-M26-M27</f>
        <v>2063</v>
      </c>
      <c r="N28" s="5">
        <f t="shared" si="59"/>
        <v>2066</v>
      </c>
      <c r="O28" s="5">
        <f t="shared" si="59"/>
        <v>2215</v>
      </c>
      <c r="P28" s="5">
        <f t="shared" si="59"/>
        <v>2884</v>
      </c>
      <c r="Q28" s="5">
        <f t="shared" si="59"/>
        <v>3660</v>
      </c>
      <c r="R28" s="5">
        <f t="shared" si="59"/>
        <v>4847</v>
      </c>
      <c r="S28" s="5">
        <f t="shared" si="59"/>
        <v>5460</v>
      </c>
      <c r="T28" s="5">
        <f t="shared" si="59"/>
        <v>4233</v>
      </c>
      <c r="U28" s="5">
        <f t="shared" ref="U28:AD28" si="60">U25+U18+U19-U26-U27</f>
        <v>5382</v>
      </c>
      <c r="V28" s="5">
        <f t="shared" si="60"/>
        <v>6265.5999999999985</v>
      </c>
      <c r="W28" s="5">
        <f t="shared" si="60"/>
        <v>4511</v>
      </c>
      <c r="X28" s="5">
        <f t="shared" si="60"/>
        <v>4533</v>
      </c>
      <c r="Y28" s="5">
        <f t="shared" si="60"/>
        <v>4178</v>
      </c>
      <c r="Z28" s="5">
        <f t="shared" si="60"/>
        <v>4438</v>
      </c>
      <c r="AA28" s="5">
        <f t="shared" si="60"/>
        <v>3696</v>
      </c>
      <c r="AB28" s="5">
        <f t="shared" si="60"/>
        <v>3972.3999999999996</v>
      </c>
      <c r="AC28" s="5">
        <f t="shared" si="60"/>
        <v>4195.2378888001385</v>
      </c>
      <c r="AD28" s="5">
        <f t="shared" si="60"/>
        <v>4431.7546705981558</v>
      </c>
      <c r="AO28" s="5">
        <f t="shared" ref="AO28" si="61">+AO20*0.25</f>
        <v>20487.650000000001</v>
      </c>
      <c r="AP28" s="4">
        <f t="shared" si="45"/>
        <v>17660</v>
      </c>
      <c r="AQ28" s="4">
        <f>AQ25+AQ13-AQ23</f>
        <v>21807.311332853322</v>
      </c>
      <c r="AR28" s="4">
        <f t="shared" ref="AR28:AW28" si="62">AR25+AR13-AR23</f>
        <v>30736.831447042743</v>
      </c>
      <c r="AS28" s="4">
        <f t="shared" si="62"/>
        <v>39573.670488067524</v>
      </c>
      <c r="AT28" s="4">
        <f t="shared" si="62"/>
        <v>48913.056723251473</v>
      </c>
      <c r="AU28" s="4">
        <f t="shared" si="62"/>
        <v>60456.538109938847</v>
      </c>
      <c r="AV28" s="4">
        <f t="shared" si="62"/>
        <v>71610.769391222508</v>
      </c>
      <c r="AW28" s="4">
        <f t="shared" si="62"/>
        <v>81135.001720255124</v>
      </c>
    </row>
    <row r="29" spans="2:49" s="4" customFormat="1" x14ac:dyDescent="0.2">
      <c r="B29" s="4" t="s">
        <v>45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v>1074</v>
      </c>
      <c r="AC29" s="5">
        <f t="shared" ref="AB29:AD30" si="63">+Y29*1.1</f>
        <v>1277.1000000000001</v>
      </c>
      <c r="AD29" s="5">
        <f t="shared" si="63"/>
        <v>1203.4000000000001</v>
      </c>
      <c r="AO29" s="4">
        <f t="shared" si="31"/>
        <v>3075</v>
      </c>
      <c r="AP29" s="4">
        <f>SUM(W29:Z29)</f>
        <v>3969</v>
      </c>
      <c r="AQ29" s="4">
        <f t="shared" ref="AQ29:AU29" si="64">AP29*1.02</f>
        <v>4048.38</v>
      </c>
      <c r="AR29" s="4">
        <f t="shared" si="64"/>
        <v>4129.3476000000001</v>
      </c>
      <c r="AS29" s="4">
        <f t="shared" si="64"/>
        <v>4211.9345519999997</v>
      </c>
      <c r="AT29" s="4">
        <f t="shared" si="64"/>
        <v>4296.1732430399998</v>
      </c>
      <c r="AU29" s="4">
        <f t="shared" si="64"/>
        <v>4382.0967079007996</v>
      </c>
      <c r="AV29" s="4">
        <f t="shared" ref="AV29:AW29" si="65">AU29*1.02</f>
        <v>4469.7386420588155</v>
      </c>
      <c r="AW29" s="4">
        <f t="shared" si="65"/>
        <v>4559.1334148999922</v>
      </c>
    </row>
    <row r="30" spans="2:49" s="4" customFormat="1" x14ac:dyDescent="0.2">
      <c r="B30" s="4" t="s">
        <v>46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v>1277</v>
      </c>
      <c r="AC30" s="5">
        <f t="shared" si="63"/>
        <v>1378.3000000000002</v>
      </c>
      <c r="AD30" s="5">
        <f t="shared" si="63"/>
        <v>1408</v>
      </c>
      <c r="AO30" s="4">
        <f t="shared" si="31"/>
        <v>4706.8</v>
      </c>
      <c r="AP30" s="4">
        <f t="shared" si="45"/>
        <v>4800</v>
      </c>
      <c r="AQ30" s="4">
        <f>AP30*1.02</f>
        <v>4896</v>
      </c>
      <c r="AR30" s="4">
        <f t="shared" ref="AR30:AU30" si="66">AQ30*1.02</f>
        <v>4993.92</v>
      </c>
      <c r="AS30" s="4">
        <f t="shared" si="66"/>
        <v>5093.7984000000006</v>
      </c>
      <c r="AT30" s="4">
        <f t="shared" si="66"/>
        <v>5195.6743680000009</v>
      </c>
      <c r="AU30" s="4">
        <f t="shared" si="66"/>
        <v>5299.5878553600014</v>
      </c>
      <c r="AV30" s="4">
        <f t="shared" ref="AV30:AW30" si="67">AU30*1.02</f>
        <v>5405.5796124672015</v>
      </c>
      <c r="AW30" s="4">
        <f t="shared" si="67"/>
        <v>5513.6912047165461</v>
      </c>
    </row>
    <row r="31" spans="2:49" s="4" customFormat="1" x14ac:dyDescent="0.2">
      <c r="B31" s="4" t="s">
        <v>47</v>
      </c>
      <c r="C31" s="5"/>
      <c r="D31" s="5"/>
      <c r="E31" s="5"/>
      <c r="F31" s="5"/>
      <c r="G31" s="5">
        <f t="shared" ref="G31" si="68">G29+G30</f>
        <v>1044</v>
      </c>
      <c r="H31" s="5">
        <f t="shared" ref="H31:I31" si="69">H29+H30</f>
        <v>971</v>
      </c>
      <c r="I31" s="5">
        <f t="shared" si="69"/>
        <v>930</v>
      </c>
      <c r="J31" s="5">
        <f t="shared" ref="J31:L31" si="70">J29+J30</f>
        <v>1044</v>
      </c>
      <c r="K31" s="5">
        <f t="shared" si="70"/>
        <v>951</v>
      </c>
      <c r="L31" s="5">
        <f t="shared" si="70"/>
        <v>940</v>
      </c>
      <c r="M31" s="5">
        <f t="shared" ref="M31:N31" si="71">M29+M30</f>
        <v>1254</v>
      </c>
      <c r="N31" s="5">
        <f t="shared" si="71"/>
        <v>1491</v>
      </c>
      <c r="O31" s="5">
        <f t="shared" ref="O31:R31" si="72">O29+O30</f>
        <v>1722</v>
      </c>
      <c r="P31" s="5">
        <f t="shared" si="72"/>
        <v>1549</v>
      </c>
      <c r="Q31" s="5">
        <f t="shared" si="72"/>
        <v>1605</v>
      </c>
      <c r="R31" s="5">
        <f t="shared" si="72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73">V29+V30</f>
        <v>2602.8000000000002</v>
      </c>
      <c r="W31" s="5">
        <f>W29+W30</f>
        <v>1847</v>
      </c>
      <c r="X31" s="5">
        <f t="shared" si="73"/>
        <v>2134</v>
      </c>
      <c r="Y31" s="5">
        <f t="shared" si="73"/>
        <v>2414</v>
      </c>
      <c r="Z31" s="5">
        <f t="shared" si="73"/>
        <v>2374</v>
      </c>
      <c r="AA31" s="5">
        <f t="shared" si="73"/>
        <v>2525</v>
      </c>
      <c r="AB31" s="5">
        <v>2973</v>
      </c>
      <c r="AC31" s="5">
        <f t="shared" si="73"/>
        <v>2655.4000000000005</v>
      </c>
      <c r="AD31" s="5">
        <f t="shared" si="73"/>
        <v>2611.4</v>
      </c>
      <c r="AO31" s="4">
        <f t="shared" ref="AO31" si="74">+AO29+AO30</f>
        <v>7781.8</v>
      </c>
      <c r="AP31" s="4">
        <f>+AP29+AP30</f>
        <v>8769</v>
      </c>
      <c r="AQ31" s="4">
        <f t="shared" ref="AQ31:AU31" si="75">+AQ29+AQ30</f>
        <v>8944.380000000001</v>
      </c>
      <c r="AR31" s="4">
        <f t="shared" si="75"/>
        <v>9123.2675999999992</v>
      </c>
      <c r="AS31" s="4">
        <f t="shared" si="75"/>
        <v>9305.7329520000003</v>
      </c>
      <c r="AT31" s="4">
        <f t="shared" si="75"/>
        <v>9491.8476110400006</v>
      </c>
      <c r="AU31" s="4">
        <f t="shared" si="75"/>
        <v>9681.684563260802</v>
      </c>
      <c r="AV31" s="4">
        <f t="shared" ref="AV31" si="76">+AV29+AV30</f>
        <v>9875.318254526017</v>
      </c>
      <c r="AW31" s="4">
        <f t="shared" ref="AW31" si="77">+AW29+AW30</f>
        <v>10072.824619616538</v>
      </c>
    </row>
    <row r="32" spans="2:49" s="4" customFormat="1" x14ac:dyDescent="0.2">
      <c r="B32" s="4" t="s">
        <v>48</v>
      </c>
      <c r="C32" s="5"/>
      <c r="D32" s="5"/>
      <c r="E32" s="5"/>
      <c r="F32" s="5"/>
      <c r="G32" s="5">
        <f t="shared" ref="G32" si="78">G28-G31</f>
        <v>-478</v>
      </c>
      <c r="H32" s="5">
        <f t="shared" ref="H32:I32" si="79">H28-H31</f>
        <v>-50</v>
      </c>
      <c r="I32" s="5">
        <f t="shared" si="79"/>
        <v>261</v>
      </c>
      <c r="J32" s="5">
        <f t="shared" ref="J32:L32" si="80">J28-J31</f>
        <v>347</v>
      </c>
      <c r="K32" s="5">
        <f t="shared" si="80"/>
        <v>283</v>
      </c>
      <c r="L32" s="5">
        <f t="shared" si="80"/>
        <v>327</v>
      </c>
      <c r="M32" s="5">
        <f t="shared" ref="M32:N32" si="81">M28-M31</f>
        <v>809</v>
      </c>
      <c r="N32" s="5">
        <f t="shared" si="81"/>
        <v>575</v>
      </c>
      <c r="O32" s="5">
        <f t="shared" ref="O32:R32" si="82">O28-O31</f>
        <v>493</v>
      </c>
      <c r="P32" s="5">
        <f t="shared" si="82"/>
        <v>1335</v>
      </c>
      <c r="Q32" s="5">
        <f t="shared" si="82"/>
        <v>2055</v>
      </c>
      <c r="R32" s="5">
        <f t="shared" si="82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83">V28-V31</f>
        <v>3662.7999999999984</v>
      </c>
      <c r="W32" s="5">
        <f>W28-W31</f>
        <v>2664</v>
      </c>
      <c r="X32" s="5">
        <f t="shared" si="83"/>
        <v>2399</v>
      </c>
      <c r="Y32" s="5">
        <f t="shared" si="83"/>
        <v>1764</v>
      </c>
      <c r="Z32" s="5">
        <f t="shared" si="83"/>
        <v>2064</v>
      </c>
      <c r="AA32" s="5">
        <f t="shared" si="83"/>
        <v>1171</v>
      </c>
      <c r="AB32" s="5">
        <f t="shared" si="83"/>
        <v>999.39999999999964</v>
      </c>
      <c r="AC32" s="5">
        <f t="shared" si="83"/>
        <v>1539.837888800138</v>
      </c>
      <c r="AD32" s="5">
        <f t="shared" si="83"/>
        <v>1820.3546705981557</v>
      </c>
      <c r="AO32" s="5">
        <f t="shared" ref="AO32:AP32" si="84">AO28-AO31</f>
        <v>12705.850000000002</v>
      </c>
      <c r="AP32" s="5">
        <f t="shared" si="84"/>
        <v>8891</v>
      </c>
      <c r="AQ32" s="5">
        <f t="shared" ref="AQ32:AU32" si="85">AQ28-AQ31</f>
        <v>12862.931332853321</v>
      </c>
      <c r="AR32" s="5">
        <f t="shared" si="85"/>
        <v>21613.563847042744</v>
      </c>
      <c r="AS32" s="5">
        <f t="shared" si="85"/>
        <v>30267.937536067526</v>
      </c>
      <c r="AT32" s="5">
        <f t="shared" si="85"/>
        <v>39421.209112211473</v>
      </c>
      <c r="AU32" s="5">
        <f t="shared" si="85"/>
        <v>50774.853546678045</v>
      </c>
      <c r="AV32" s="5">
        <f t="shared" ref="AV32:AW32" si="86">AV28-AV31</f>
        <v>61735.451136696487</v>
      </c>
      <c r="AW32" s="5">
        <f t="shared" si="86"/>
        <v>71062.177100638582</v>
      </c>
    </row>
    <row r="33" spans="2:105" s="4" customFormat="1" x14ac:dyDescent="0.2">
      <c r="B33" s="4" t="s">
        <v>49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>
        <f>348-86+20</f>
        <v>282</v>
      </c>
      <c r="AC33" s="5"/>
      <c r="AD33" s="5"/>
      <c r="AP33" s="4">
        <f t="shared" si="45"/>
        <v>1082</v>
      </c>
      <c r="AQ33" s="4">
        <f>AP63*$AZ$46</f>
        <v>874.02</v>
      </c>
      <c r="AR33" s="4">
        <f t="shared" ref="AR33:AW33" si="87">AQ63*$AZ$46</f>
        <v>1224.3122589877596</v>
      </c>
      <c r="AS33" s="4">
        <f t="shared" si="87"/>
        <v>1806.6780996915375</v>
      </c>
      <c r="AT33" s="4">
        <f t="shared" si="87"/>
        <v>2624.5807984033931</v>
      </c>
      <c r="AU33" s="4">
        <f t="shared" si="87"/>
        <v>3696.7484411240725</v>
      </c>
      <c r="AV33" s="4">
        <f t="shared" si="87"/>
        <v>5085.7742918130261</v>
      </c>
      <c r="AW33" s="4">
        <f t="shared" si="87"/>
        <v>6789.7155402400185</v>
      </c>
    </row>
    <row r="34" spans="2:105" s="4" customFormat="1" x14ac:dyDescent="0.2">
      <c r="B34" s="4" t="s">
        <v>50</v>
      </c>
      <c r="C34" s="5"/>
      <c r="D34" s="5"/>
      <c r="E34" s="5"/>
      <c r="F34" s="5"/>
      <c r="G34" s="5">
        <f t="shared" ref="G34:N34" si="88">G32+G33</f>
        <v>-601</v>
      </c>
      <c r="H34" s="5">
        <f t="shared" si="88"/>
        <v>-253</v>
      </c>
      <c r="I34" s="5">
        <f t="shared" si="88"/>
        <v>176</v>
      </c>
      <c r="J34" s="5">
        <f t="shared" si="88"/>
        <v>160</v>
      </c>
      <c r="K34" s="5">
        <f t="shared" si="88"/>
        <v>70</v>
      </c>
      <c r="L34" s="5">
        <f t="shared" si="88"/>
        <v>150</v>
      </c>
      <c r="M34" s="5">
        <f t="shared" si="88"/>
        <v>555</v>
      </c>
      <c r="N34" s="5">
        <f t="shared" si="88"/>
        <v>379</v>
      </c>
      <c r="O34" s="5">
        <f t="shared" ref="O34:R34" si="89">O32+O33</f>
        <v>432</v>
      </c>
      <c r="P34" s="5">
        <f t="shared" si="89"/>
        <v>1316</v>
      </c>
      <c r="Q34" s="5">
        <f t="shared" si="89"/>
        <v>1933</v>
      </c>
      <c r="R34" s="5">
        <f t="shared" si="89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90">V32+V33</f>
        <v>3744.7999999999984</v>
      </c>
      <c r="W34" s="5">
        <f t="shared" si="90"/>
        <v>2800</v>
      </c>
      <c r="X34" s="5">
        <f t="shared" si="90"/>
        <v>2937</v>
      </c>
      <c r="Y34" s="5">
        <f t="shared" si="90"/>
        <v>2045</v>
      </c>
      <c r="Z34" s="5">
        <f t="shared" si="90"/>
        <v>2191</v>
      </c>
      <c r="AA34" s="5">
        <f t="shared" si="90"/>
        <v>1553</v>
      </c>
      <c r="AB34" s="5">
        <f t="shared" si="90"/>
        <v>1281.3999999999996</v>
      </c>
      <c r="AC34" s="5">
        <f t="shared" si="90"/>
        <v>1539.837888800138</v>
      </c>
      <c r="AD34" s="5">
        <f t="shared" si="90"/>
        <v>1820.3546705981557</v>
      </c>
      <c r="AN34" s="4">
        <f>SUM(O34:R34)</f>
        <v>6316</v>
      </c>
      <c r="AO34" s="4">
        <f>SUM(S34:V34)</f>
        <v>13569.8</v>
      </c>
      <c r="AP34" s="4">
        <f>+AP32+AP33</f>
        <v>9973</v>
      </c>
      <c r="AQ34" s="4">
        <f t="shared" ref="AQ34:AU34" si="91">+AQ32+AQ33</f>
        <v>13736.951332853321</v>
      </c>
      <c r="AR34" s="4">
        <f t="shared" si="91"/>
        <v>22837.876106030504</v>
      </c>
      <c r="AS34" s="4">
        <f t="shared" si="91"/>
        <v>32074.615635759063</v>
      </c>
      <c r="AT34" s="4">
        <f t="shared" si="91"/>
        <v>42045.789910614869</v>
      </c>
      <c r="AU34" s="4">
        <f t="shared" si="91"/>
        <v>54471.601987802118</v>
      </c>
      <c r="AV34" s="4">
        <f t="shared" ref="AV34" si="92">+AV32+AV33</f>
        <v>66821.225428509511</v>
      </c>
      <c r="AW34" s="4">
        <f t="shared" ref="AW34" si="93">+AW32+AW33</f>
        <v>77851.892640878606</v>
      </c>
    </row>
    <row r="35" spans="2:105" s="4" customFormat="1" x14ac:dyDescent="0.2">
      <c r="B35" s="4" t="s">
        <v>51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393+16</f>
        <v>409</v>
      </c>
      <c r="AC35" s="5">
        <f>+AC34*0.2</f>
        <v>307.96757776002761</v>
      </c>
      <c r="AD35" s="5">
        <f>+AD34*0.2</f>
        <v>364.07093411963115</v>
      </c>
      <c r="AO35" s="4">
        <f>SUM(S35:V35)</f>
        <v>1104</v>
      </c>
      <c r="AP35" s="4">
        <f t="shared" si="45"/>
        <v>728</v>
      </c>
      <c r="AQ35" s="4">
        <f>AQ34*0.15</f>
        <v>2060.542699927998</v>
      </c>
      <c r="AR35" s="4">
        <f t="shared" ref="AR35:AU35" si="94">AR34*0.15</f>
        <v>3425.6814159045757</v>
      </c>
      <c r="AS35" s="4">
        <f t="shared" si="94"/>
        <v>4811.1923453638592</v>
      </c>
      <c r="AT35" s="4">
        <f t="shared" si="94"/>
        <v>6306.8684865922305</v>
      </c>
      <c r="AU35" s="4">
        <f t="shared" si="94"/>
        <v>8170.7402981703171</v>
      </c>
      <c r="AV35" s="4">
        <f t="shared" ref="AV35" si="95">AV34*0.15</f>
        <v>10023.183814276426</v>
      </c>
      <c r="AW35" s="4">
        <f t="shared" ref="AW35" si="96">AW34*0.15</f>
        <v>11677.78389613179</v>
      </c>
    </row>
    <row r="36" spans="2:105" s="4" customFormat="1" x14ac:dyDescent="0.2">
      <c r="B36" s="4" t="s">
        <v>52</v>
      </c>
      <c r="C36" s="5"/>
      <c r="D36" s="5"/>
      <c r="E36" s="5"/>
      <c r="F36" s="5"/>
      <c r="G36" s="5">
        <f t="shared" ref="G36:N36" si="97">G34-G35</f>
        <v>-658</v>
      </c>
      <c r="H36" s="5">
        <f t="shared" si="97"/>
        <v>-291</v>
      </c>
      <c r="I36" s="5">
        <f t="shared" si="97"/>
        <v>143</v>
      </c>
      <c r="J36" s="5">
        <f t="shared" si="97"/>
        <v>91</v>
      </c>
      <c r="K36" s="5">
        <f t="shared" si="97"/>
        <v>16</v>
      </c>
      <c r="L36" s="5">
        <f t="shared" si="97"/>
        <v>104</v>
      </c>
      <c r="M36" s="5">
        <f t="shared" si="97"/>
        <v>300</v>
      </c>
      <c r="N36" s="5">
        <f t="shared" si="97"/>
        <v>270</v>
      </c>
      <c r="O36" s="5">
        <f t="shared" ref="O36:R36" si="98">O34-O35</f>
        <v>337</v>
      </c>
      <c r="P36" s="5">
        <f t="shared" si="98"/>
        <v>1165</v>
      </c>
      <c r="Q36" s="5">
        <f t="shared" si="98"/>
        <v>1669</v>
      </c>
      <c r="R36" s="5">
        <f t="shared" si="98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99">V34-V35</f>
        <v>3468.7999999999984</v>
      </c>
      <c r="W36" s="5">
        <f t="shared" si="99"/>
        <v>2513</v>
      </c>
      <c r="X36" s="5">
        <f t="shared" si="99"/>
        <v>2703</v>
      </c>
      <c r="Y36" s="5">
        <f t="shared" si="99"/>
        <v>1853</v>
      </c>
      <c r="Z36" s="5">
        <f t="shared" si="99"/>
        <v>2176</v>
      </c>
      <c r="AA36" s="5">
        <f t="shared" si="99"/>
        <v>1129</v>
      </c>
      <c r="AB36" s="5">
        <f t="shared" si="99"/>
        <v>872.39999999999964</v>
      </c>
      <c r="AC36" s="5">
        <f t="shared" si="99"/>
        <v>1231.8703110401104</v>
      </c>
      <c r="AD36" s="5">
        <f t="shared" si="99"/>
        <v>1456.2837364785246</v>
      </c>
      <c r="AO36" s="4">
        <f>AO35+AO34</f>
        <v>14673.8</v>
      </c>
      <c r="AP36" s="4">
        <f>+AP34-AP35</f>
        <v>9245</v>
      </c>
      <c r="AQ36" s="4">
        <f t="shared" ref="AQ36:AU36" si="100">+AQ34-AQ35</f>
        <v>11676.408632925322</v>
      </c>
      <c r="AR36" s="4">
        <f t="shared" si="100"/>
        <v>19412.194690125929</v>
      </c>
      <c r="AS36" s="4">
        <f t="shared" si="100"/>
        <v>27263.423290395203</v>
      </c>
      <c r="AT36" s="4">
        <f t="shared" si="100"/>
        <v>35738.921424022636</v>
      </c>
      <c r="AU36" s="4">
        <f t="shared" si="100"/>
        <v>46300.861689631798</v>
      </c>
      <c r="AV36" s="4">
        <f t="shared" ref="AV36" si="101">+AV34-AV35</f>
        <v>56798.041614233087</v>
      </c>
      <c r="AW36" s="4">
        <f t="shared" ref="AW36" si="102">+AW34-AW35</f>
        <v>66174.108744746816</v>
      </c>
      <c r="AX36" s="4">
        <f>AW36*(1+$AZ$43)</f>
        <v>65512.36765729935</v>
      </c>
      <c r="AY36" s="4">
        <f t="shared" ref="AY36:DA36" si="103">AX36*(1+$AZ$43)</f>
        <v>64857.243980726358</v>
      </c>
      <c r="AZ36" s="4">
        <f t="shared" si="103"/>
        <v>64208.671540919095</v>
      </c>
      <c r="BA36" s="4">
        <f t="shared" si="103"/>
        <v>63566.584825509904</v>
      </c>
      <c r="BB36" s="4">
        <f t="shared" si="103"/>
        <v>62930.918977254805</v>
      </c>
      <c r="BC36" s="4">
        <f t="shared" si="103"/>
        <v>62301.609787482259</v>
      </c>
      <c r="BD36" s="4">
        <f t="shared" si="103"/>
        <v>61678.593689607434</v>
      </c>
      <c r="BE36" s="4">
        <f t="shared" si="103"/>
        <v>61061.807752711356</v>
      </c>
      <c r="BF36" s="4">
        <f t="shared" si="103"/>
        <v>60451.189675184243</v>
      </c>
      <c r="BG36" s="4">
        <f t="shared" si="103"/>
        <v>59846.6777784324</v>
      </c>
      <c r="BH36" s="4">
        <f t="shared" si="103"/>
        <v>59248.211000648073</v>
      </c>
      <c r="BI36" s="4">
        <f t="shared" si="103"/>
        <v>58655.728890641592</v>
      </c>
      <c r="BJ36" s="4">
        <f t="shared" si="103"/>
        <v>58069.171601735179</v>
      </c>
      <c r="BK36" s="4">
        <f t="shared" si="103"/>
        <v>57488.479885717825</v>
      </c>
      <c r="BL36" s="4">
        <f t="shared" si="103"/>
        <v>56913.595086860645</v>
      </c>
      <c r="BM36" s="4">
        <f t="shared" si="103"/>
        <v>56344.459135992038</v>
      </c>
      <c r="BN36" s="4">
        <f t="shared" si="103"/>
        <v>55781.014544632118</v>
      </c>
      <c r="BO36" s="4">
        <f t="shared" si="103"/>
        <v>55223.204399185794</v>
      </c>
      <c r="BP36" s="4">
        <f t="shared" si="103"/>
        <v>54670.972355193939</v>
      </c>
      <c r="BQ36" s="4">
        <f t="shared" si="103"/>
        <v>54124.262631641999</v>
      </c>
      <c r="BR36" s="4">
        <f t="shared" si="103"/>
        <v>53583.020005325576</v>
      </c>
      <c r="BS36" s="4">
        <f t="shared" si="103"/>
        <v>53047.189805272319</v>
      </c>
      <c r="BT36" s="4">
        <f t="shared" si="103"/>
        <v>52516.717907219594</v>
      </c>
      <c r="BU36" s="4">
        <f t="shared" si="103"/>
        <v>51991.550728147398</v>
      </c>
      <c r="BV36" s="4">
        <f t="shared" si="103"/>
        <v>51471.635220865923</v>
      </c>
      <c r="BW36" s="4">
        <f t="shared" si="103"/>
        <v>50956.91886865726</v>
      </c>
      <c r="BX36" s="4">
        <f t="shared" si="103"/>
        <v>50447.349679970685</v>
      </c>
      <c r="BY36" s="4">
        <f t="shared" si="103"/>
        <v>49942.876183170978</v>
      </c>
      <c r="BZ36" s="4">
        <f t="shared" si="103"/>
        <v>49443.447421339268</v>
      </c>
      <c r="CA36" s="4">
        <f t="shared" si="103"/>
        <v>48949.012947125877</v>
      </c>
      <c r="CB36" s="4">
        <f t="shared" si="103"/>
        <v>48459.522817654615</v>
      </c>
      <c r="CC36" s="4">
        <f t="shared" si="103"/>
        <v>47974.927589478066</v>
      </c>
      <c r="CD36" s="4">
        <f t="shared" si="103"/>
        <v>47495.178313583281</v>
      </c>
      <c r="CE36" s="4">
        <f t="shared" si="103"/>
        <v>47020.226530447449</v>
      </c>
      <c r="CF36" s="4">
        <f t="shared" si="103"/>
        <v>46550.024265142973</v>
      </c>
      <c r="CG36" s="4">
        <f t="shared" si="103"/>
        <v>46084.52402249154</v>
      </c>
      <c r="CH36" s="4">
        <f t="shared" si="103"/>
        <v>45623.678782266623</v>
      </c>
      <c r="CI36" s="4">
        <f t="shared" si="103"/>
        <v>45167.441994443958</v>
      </c>
      <c r="CJ36" s="4">
        <f t="shared" si="103"/>
        <v>44715.767574499521</v>
      </c>
      <c r="CK36" s="4">
        <f t="shared" si="103"/>
        <v>44268.609898754527</v>
      </c>
      <c r="CL36" s="4">
        <f t="shared" si="103"/>
        <v>43825.923799766984</v>
      </c>
      <c r="CM36" s="4">
        <f t="shared" si="103"/>
        <v>43387.664561769314</v>
      </c>
      <c r="CN36" s="4">
        <f t="shared" si="103"/>
        <v>42953.787916151618</v>
      </c>
      <c r="CO36" s="4">
        <f t="shared" si="103"/>
        <v>42524.250036990103</v>
      </c>
      <c r="CP36" s="4">
        <f t="shared" si="103"/>
        <v>42099.0075366202</v>
      </c>
      <c r="CQ36" s="4">
        <f t="shared" si="103"/>
        <v>41678.017461253999</v>
      </c>
      <c r="CR36" s="4">
        <f t="shared" si="103"/>
        <v>41261.237286641459</v>
      </c>
      <c r="CS36" s="4">
        <f t="shared" si="103"/>
        <v>40848.624913775042</v>
      </c>
      <c r="CT36" s="4">
        <f t="shared" si="103"/>
        <v>40440.138664637292</v>
      </c>
      <c r="CU36" s="4">
        <f t="shared" si="103"/>
        <v>40035.73727799092</v>
      </c>
      <c r="CV36" s="4">
        <f t="shared" si="103"/>
        <v>39635.379905211012</v>
      </c>
      <c r="CW36" s="4">
        <f t="shared" si="103"/>
        <v>39239.026106158904</v>
      </c>
      <c r="CX36" s="4">
        <f t="shared" si="103"/>
        <v>38846.635845097313</v>
      </c>
      <c r="CY36" s="4">
        <f t="shared" si="103"/>
        <v>38458.169486646337</v>
      </c>
      <c r="CZ36" s="4">
        <f t="shared" si="103"/>
        <v>38073.587791779872</v>
      </c>
      <c r="DA36" s="4">
        <f t="shared" si="103"/>
        <v>37692.851913862076</v>
      </c>
    </row>
    <row r="37" spans="2:105" x14ac:dyDescent="0.2">
      <c r="B37" s="1" t="s">
        <v>53</v>
      </c>
      <c r="C37" s="3"/>
      <c r="D37" s="3"/>
      <c r="E37" s="3"/>
      <c r="F37" s="3"/>
      <c r="G37" s="3">
        <f t="shared" ref="G37:K37" si="104">G36/G38</f>
        <v>-0.76069364161849706</v>
      </c>
      <c r="H37" s="3">
        <f t="shared" si="104"/>
        <v>-0.32881355932203388</v>
      </c>
      <c r="I37" s="3">
        <f t="shared" si="104"/>
        <v>0.15509761388286333</v>
      </c>
      <c r="J37" s="3">
        <f t="shared" si="104"/>
        <v>9.8913043478260868E-2</v>
      </c>
      <c r="K37" s="3">
        <f t="shared" si="104"/>
        <v>1.7112299465240642E-2</v>
      </c>
      <c r="L37" s="3">
        <f t="shared" ref="L37" si="105">L36/L38</f>
        <v>0.10048309178743961</v>
      </c>
      <c r="M37" s="3">
        <f t="shared" ref="M37:O37" si="106">M36/M38</f>
        <v>0.27149321266968324</v>
      </c>
      <c r="N37" s="3">
        <f t="shared" si="106"/>
        <v>0.2402135231316726</v>
      </c>
      <c r="O37" s="3">
        <f t="shared" si="106"/>
        <v>0.29744042365401591</v>
      </c>
      <c r="P37" s="3">
        <f t="shared" ref="P37" si="107">P36/P38</f>
        <v>1.0411081322609472</v>
      </c>
      <c r="Q37" s="3">
        <f t="shared" ref="Q37" si="108">Q36/Q38</f>
        <v>1.4861976847729297</v>
      </c>
      <c r="R37" s="3">
        <f t="shared" ref="R37" si="109">R36/R38</f>
        <v>2.044933920704846</v>
      </c>
      <c r="S37" s="3">
        <f t="shared" ref="S37:U37" si="110">S36/S38</f>
        <v>2.867761452031115</v>
      </c>
      <c r="T37" s="3">
        <f t="shared" si="110"/>
        <v>2.032900432900433</v>
      </c>
      <c r="U37" s="3">
        <f t="shared" si="110"/>
        <v>0.96049596309111884</v>
      </c>
      <c r="V37" s="3">
        <f t="shared" ref="V37:AD37" si="111">V36/V38</f>
        <v>0.99936617689426632</v>
      </c>
      <c r="W37" s="3">
        <f t="shared" si="111"/>
        <v>0.7246251441753172</v>
      </c>
      <c r="X37" s="3">
        <f t="shared" si="111"/>
        <v>0.77717078780908566</v>
      </c>
      <c r="Y37" s="3">
        <f t="shared" si="111"/>
        <v>0.53048955052963065</v>
      </c>
      <c r="Z37" s="3">
        <f t="shared" si="111"/>
        <v>0.62313860252004583</v>
      </c>
      <c r="AA37" s="3">
        <f t="shared" si="111"/>
        <v>0.32405281285878301</v>
      </c>
      <c r="AB37" s="3">
        <f t="shared" si="111"/>
        <v>0.27339392040112803</v>
      </c>
      <c r="AC37" s="3">
        <f t="shared" si="111"/>
        <v>0.38604522439364164</v>
      </c>
      <c r="AD37" s="3">
        <f t="shared" si="111"/>
        <v>0.45637221450282811</v>
      </c>
      <c r="AO37" s="20">
        <f>+AO36/AO38</f>
        <v>4.5984957693513007</v>
      </c>
      <c r="AP37" s="20">
        <f>+AP36/AP38</f>
        <v>2.8972109056722029</v>
      </c>
      <c r="AQ37" s="20">
        <f t="shared" ref="AQ37:AU37" si="112">+AQ36/AQ38</f>
        <v>3.6591691109136075</v>
      </c>
      <c r="AR37" s="20">
        <f t="shared" si="112"/>
        <v>6.0834204607100997</v>
      </c>
      <c r="AS37" s="20">
        <f t="shared" si="112"/>
        <v>8.5438493545581959</v>
      </c>
      <c r="AT37" s="20">
        <f t="shared" si="112"/>
        <v>11.199912699474345</v>
      </c>
      <c r="AU37" s="20">
        <f t="shared" si="112"/>
        <v>14.509828169737323</v>
      </c>
      <c r="AV37" s="20">
        <f t="shared" ref="AV37" si="113">+AV36/AV38</f>
        <v>17.799448954632744</v>
      </c>
      <c r="AW37" s="20">
        <f t="shared" ref="AW37" si="114">+AW36/AW38</f>
        <v>20.737733859212415</v>
      </c>
    </row>
    <row r="38" spans="2:105" s="4" customFormat="1" x14ac:dyDescent="0.2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v>3191</v>
      </c>
      <c r="AC38" s="5">
        <f>+AB38</f>
        <v>3191</v>
      </c>
      <c r="AD38" s="5">
        <f>+AC38</f>
        <v>3191</v>
      </c>
      <c r="AO38" s="5">
        <v>3191</v>
      </c>
      <c r="AP38" s="4">
        <f>AB38</f>
        <v>3191</v>
      </c>
      <c r="AQ38" s="4">
        <f>AP38</f>
        <v>3191</v>
      </c>
      <c r="AR38" s="4">
        <f t="shared" ref="AR38:AU38" si="115">AQ38</f>
        <v>3191</v>
      </c>
      <c r="AS38" s="4">
        <f t="shared" si="115"/>
        <v>3191</v>
      </c>
      <c r="AT38" s="4">
        <f t="shared" si="115"/>
        <v>3191</v>
      </c>
      <c r="AU38" s="4">
        <f t="shared" si="115"/>
        <v>3191</v>
      </c>
      <c r="AV38" s="4">
        <f t="shared" ref="AV38:AW38" si="116">AU38</f>
        <v>3191</v>
      </c>
      <c r="AW38" s="4">
        <f t="shared" si="116"/>
        <v>3191</v>
      </c>
    </row>
    <row r="40" spans="2:105" s="24" customFormat="1" x14ac:dyDescent="0.2">
      <c r="B40" s="24" t="s">
        <v>87</v>
      </c>
      <c r="C40" s="25"/>
      <c r="D40" s="25"/>
      <c r="E40" s="25"/>
      <c r="F40" s="25"/>
      <c r="G40" s="25"/>
      <c r="H40" s="25"/>
      <c r="I40" s="25"/>
      <c r="J40" s="25"/>
      <c r="K40" s="22">
        <f>K20/G20-1</f>
        <v>0.31799163179916312</v>
      </c>
      <c r="L40" s="22">
        <f t="shared" ref="L40" si="117">L20/H20-1</f>
        <v>-4.9448818897637747E-2</v>
      </c>
      <c r="M40" s="22">
        <f t="shared" ref="M40" si="118">M20/I20-1</f>
        <v>0.39155957480564818</v>
      </c>
      <c r="N40" s="22">
        <f t="shared" ref="N40" si="119">N20/J20-1</f>
        <v>0.45503791982665232</v>
      </c>
      <c r="O40" s="22">
        <f>O20/K20-1</f>
        <v>0.73583959899749374</v>
      </c>
      <c r="P40" s="22">
        <f t="shared" ref="P40:Q40" si="120">P20/L20-1</f>
        <v>0.98111332007952279</v>
      </c>
      <c r="Q40" s="22">
        <f t="shared" si="120"/>
        <v>0.56846425721126437</v>
      </c>
      <c r="R40" s="22">
        <f t="shared" ref="R40:S40" si="121">R20/N20-1</f>
        <v>0.64919955323901712</v>
      </c>
      <c r="S40" s="22">
        <f t="shared" si="121"/>
        <v>0.80537106555010096</v>
      </c>
      <c r="T40" s="22">
        <f>T20/P20-1</f>
        <v>0.41612309750794441</v>
      </c>
      <c r="U40" s="22">
        <f>U20/Q20-1</f>
        <v>0.55949698335392894</v>
      </c>
      <c r="V40" s="22">
        <f>V20/R20-1</f>
        <v>0.39999999999999991</v>
      </c>
      <c r="W40" s="22">
        <f t="shared" ref="W40:AD40" si="122">W20/S20-1</f>
        <v>0.24381531243335464</v>
      </c>
      <c r="X40" s="22">
        <f t="shared" si="122"/>
        <v>0.47200897602456604</v>
      </c>
      <c r="Y40" s="22">
        <f t="shared" si="122"/>
        <v>8.8375128181224838E-2</v>
      </c>
      <c r="Z40" s="22">
        <f t="shared" si="122"/>
        <v>1.452839163770947E-2</v>
      </c>
      <c r="AA40" s="22">
        <f t="shared" si="122"/>
        <v>-8.6930429936988296E-2</v>
      </c>
      <c r="AB40" s="22">
        <f t="shared" si="122"/>
        <v>2.2987122397400306E-2</v>
      </c>
      <c r="AC40" s="22">
        <f t="shared" si="122"/>
        <v>0.12948976125628553</v>
      </c>
      <c r="AD40" s="22">
        <f t="shared" si="122"/>
        <v>0.13521798932415607</v>
      </c>
      <c r="AG40" s="26">
        <f t="shared" ref="AG40:AI40" si="123">AG20/AF20-1</f>
        <v>0.58845907814070664</v>
      </c>
      <c r="AH40" s="26">
        <f t="shared" si="123"/>
        <v>0.26503272306147285</v>
      </c>
      <c r="AI40" s="26">
        <f t="shared" si="123"/>
        <v>0.73012574069611524</v>
      </c>
      <c r="AJ40" s="26">
        <f>AJ20/AI20-1</f>
        <v>0.67978989539054413</v>
      </c>
      <c r="AK40" s="26">
        <f>AK20/AJ20-1</f>
        <v>0.82513159773516764</v>
      </c>
      <c r="AL40" s="26">
        <f>AL20/AK20-1</f>
        <v>0.14522590184326489</v>
      </c>
      <c r="AM40" s="26">
        <f>+AM20/AL20-1</f>
        <v>0.28309870615998056</v>
      </c>
      <c r="AN40" s="26">
        <f>+AN20/AM20-1</f>
        <v>0.70671613394216126</v>
      </c>
      <c r="AO40" s="26">
        <f>+AO20/AN20-1</f>
        <v>0.52259442989056737</v>
      </c>
      <c r="AP40" s="26">
        <f>+AP20/AO20-1</f>
        <v>0.18086993871917945</v>
      </c>
      <c r="AQ40" s="26">
        <f t="shared" ref="AQ40:AU40" si="124">+AQ20/AP20-1</f>
        <v>0.18602629663740111</v>
      </c>
      <c r="AR40" s="26">
        <f t="shared" si="124"/>
        <v>0.33900000000000019</v>
      </c>
      <c r="AS40" s="26">
        <f t="shared" si="124"/>
        <v>0.28749999999999987</v>
      </c>
      <c r="AT40" s="26">
        <f t="shared" si="124"/>
        <v>0.23599999999999999</v>
      </c>
      <c r="AU40" s="26">
        <f t="shared" si="124"/>
        <v>0.23600000000000021</v>
      </c>
      <c r="AV40" s="26">
        <f t="shared" ref="AV40:AW40" si="125">+AV20/AU20-1</f>
        <v>0.18449999999999966</v>
      </c>
      <c r="AW40" s="26">
        <f t="shared" si="125"/>
        <v>0.13300000000000023</v>
      </c>
    </row>
    <row r="41" spans="2:105" x14ac:dyDescent="0.2">
      <c r="B41" s="21" t="s">
        <v>90</v>
      </c>
      <c r="K41" s="17">
        <f t="shared" ref="K41" si="126">+K5/G5-1</f>
        <v>0.40427490122026688</v>
      </c>
      <c r="L41" s="17">
        <f t="shared" ref="L41" si="127">+L5/H5-1</f>
        <v>-4.9351902344897058E-2</v>
      </c>
      <c r="M41" s="17">
        <f t="shared" ref="M41" si="128">+M5/I5-1</f>
        <v>0.43333401930319182</v>
      </c>
      <c r="N41" s="17">
        <f t="shared" ref="N41" si="129">+N5/J5-1</f>
        <v>0.61086578348722065</v>
      </c>
      <c r="O41" s="17">
        <f t="shared" ref="O41" si="130">+O5/K5-1</f>
        <v>1.088229976496113</v>
      </c>
      <c r="P41" s="17">
        <f t="shared" ref="P41" si="131">+P5/L5-1</f>
        <v>1.2200772200772199</v>
      </c>
      <c r="Q41" s="17">
        <f t="shared" ref="Q41" si="132">+Q5/M5-1</f>
        <v>0.73223259152907394</v>
      </c>
      <c r="R41" s="17">
        <f t="shared" ref="R41:U41" si="133">+R5/N5-1</f>
        <v>0.70903250816857732</v>
      </c>
      <c r="S41" s="17">
        <f t="shared" si="133"/>
        <v>0.67774891774891777</v>
      </c>
      <c r="T41" s="17">
        <f t="shared" si="133"/>
        <v>0.26556521739130434</v>
      </c>
      <c r="U41" s="17">
        <f t="shared" si="133"/>
        <v>0.42490675507666809</v>
      </c>
      <c r="V41" s="17">
        <f>+V5/R5-1</f>
        <v>0.31327932598833441</v>
      </c>
      <c r="W41" s="17">
        <f>+W5/S5-1</f>
        <v>0.36390171844359576</v>
      </c>
      <c r="X41" s="17">
        <f t="shared" ref="X41:AD41" si="134">+X5/T5-1</f>
        <v>0.83018904964761764</v>
      </c>
      <c r="Y41" s="17">
        <f t="shared" si="134"/>
        <v>0.26533170462146982</v>
      </c>
      <c r="Z41" s="17">
        <f t="shared" si="134"/>
        <v>0.19549297025745282</v>
      </c>
      <c r="AA41" s="17">
        <f t="shared" si="134"/>
        <v>-8.5285249778303318E-2</v>
      </c>
      <c r="AB41" s="17">
        <f t="shared" si="134"/>
        <v>-4.7590852533573647E-2</v>
      </c>
      <c r="AC41" s="17">
        <f t="shared" si="134"/>
        <v>0.10734842860393656</v>
      </c>
      <c r="AD41" s="17">
        <f t="shared" si="134"/>
        <v>0.10948139036174909</v>
      </c>
      <c r="AM41" s="27">
        <f>+AM5/AL5-1</f>
        <v>0.35729051069477991</v>
      </c>
      <c r="AN41" s="27">
        <f>+AN5/AM5-1</f>
        <v>0.87559116340959009</v>
      </c>
      <c r="AO41" s="27">
        <f>+AO5/AN5-1</f>
        <v>0.403761953095785</v>
      </c>
      <c r="AP41" s="27">
        <f t="shared" ref="AP41" si="135">+AP5/AO5-1</f>
        <v>0.37654954785588313</v>
      </c>
      <c r="AQ41" s="27">
        <f t="shared" ref="AQ41" si="136">+AQ5/AP5-1</f>
        <v>2.2945281411227869E-2</v>
      </c>
      <c r="AR41" s="27">
        <f t="shared" ref="AR41" si="137">+AR5/AQ5-1</f>
        <v>0.68899102195289585</v>
      </c>
      <c r="AS41" s="27">
        <f t="shared" ref="AS41" si="138">+AS5/AR5-1</f>
        <v>0.25</v>
      </c>
      <c r="AT41" s="27">
        <f t="shared" ref="AT41" si="139">+AT5/AS5-1</f>
        <v>0.19999999999999996</v>
      </c>
      <c r="AU41" s="27">
        <f t="shared" ref="AU41" si="140">+AU5/AT5-1</f>
        <v>0.19999999999999996</v>
      </c>
      <c r="AV41" s="27">
        <f t="shared" ref="AV41" si="141">+AV5/AU5-1</f>
        <v>0.14999999999999991</v>
      </c>
      <c r="AW41" s="27">
        <f t="shared" ref="AW41" si="142">+AW5/AV5-1</f>
        <v>0.10000000000000009</v>
      </c>
    </row>
    <row r="42" spans="2:105" x14ac:dyDescent="0.2">
      <c r="B42" s="21" t="s">
        <v>91</v>
      </c>
      <c r="K42" s="17">
        <f t="shared" ref="K42" si="143">+K10/G10-1</f>
        <v>0.33101713811610356</v>
      </c>
      <c r="L42" s="17">
        <f t="shared" ref="L42" si="144">+L10/H10-1</f>
        <v>-5.4866280672732248E-2</v>
      </c>
      <c r="M42" s="17">
        <f t="shared" ref="M42" si="145">+M10/I10-1</f>
        <v>0.50835629972440333</v>
      </c>
      <c r="N42" s="17">
        <f t="shared" ref="N42" si="146">+N10/J10-1</f>
        <v>0.71375046476818782</v>
      </c>
      <c r="O42" s="17">
        <f t="shared" ref="O42" si="147">+O10/K10-1</f>
        <v>0.75644771700171409</v>
      </c>
      <c r="P42" s="17">
        <f t="shared" ref="P42" si="148">+P10/L10-1</f>
        <v>1.5090067094515751</v>
      </c>
      <c r="Q42" s="17">
        <f t="shared" ref="Q42" si="149">+Q10/M10-1</f>
        <v>0.63975150996993846</v>
      </c>
      <c r="R42" s="17">
        <f t="shared" ref="R42:W42" si="150">+R10/N10-1</f>
        <v>0.7014080119272128</v>
      </c>
      <c r="S42" s="17">
        <f t="shared" si="150"/>
        <v>0.69352549102241356</v>
      </c>
      <c r="T42" s="17">
        <f t="shared" si="150"/>
        <v>0.25268262434539124</v>
      </c>
      <c r="U42" s="17">
        <f t="shared" si="150"/>
        <v>0.53863587626091669</v>
      </c>
      <c r="V42" s="17">
        <f t="shared" si="150"/>
        <v>0.43768310227569973</v>
      </c>
      <c r="W42" s="17">
        <f t="shared" si="150"/>
        <v>0.44334609226376598</v>
      </c>
      <c r="X42" s="17">
        <f t="shared" ref="X42" si="151">+X10/T10-1</f>
        <v>0.85513187408152214</v>
      </c>
      <c r="Y42" s="17">
        <f t="shared" ref="Y42" si="152">+Y10/U10-1</f>
        <v>0.17644422460462983</v>
      </c>
      <c r="Z42" s="17">
        <f t="shared" ref="Z42" si="153">+Z10/V10-1</f>
        <v>0.12573999149421988</v>
      </c>
      <c r="AA42" s="17">
        <f t="shared" ref="AA42:AB42" si="154">+AA10/W10-1</f>
        <v>-1.687129090216144E-2</v>
      </c>
      <c r="AB42" s="17">
        <f t="shared" si="154"/>
        <v>-0.14356681259120285</v>
      </c>
      <c r="AC42" s="17"/>
      <c r="AD42" s="17"/>
      <c r="AM42" s="27">
        <f t="shared" ref="AM42:AN42" si="155">+AM10/AL10-1</f>
        <v>0.39565262627590125</v>
      </c>
      <c r="AN42" s="27">
        <f t="shared" si="155"/>
        <v>0.8252981439448186</v>
      </c>
      <c r="AO42" s="27">
        <f>+AO10/AN10-1</f>
        <v>0.47203204567389845</v>
      </c>
      <c r="AP42" s="27">
        <f>+AP10/AO10-1</f>
        <v>0.35000000000000009</v>
      </c>
      <c r="AQ42" s="27">
        <f t="shared" ref="AQ42" si="156">+AQ10/AP10-1</f>
        <v>0.30000000000000004</v>
      </c>
      <c r="AR42" s="27">
        <f t="shared" ref="AR42" si="157">+AR10/AQ10-1</f>
        <v>0.30000000000000004</v>
      </c>
      <c r="AS42" s="27">
        <f t="shared" ref="AS42" si="158">+AS10/AR10-1</f>
        <v>0.25</v>
      </c>
      <c r="AT42" s="27">
        <f t="shared" ref="AT42" si="159">+AT10/AS10-1</f>
        <v>0.19999999999999996</v>
      </c>
      <c r="AU42" s="27">
        <f t="shared" ref="AU42" si="160">+AU10/AT10-1</f>
        <v>0.19999999999999996</v>
      </c>
      <c r="AV42" s="27">
        <f t="shared" ref="AV42" si="161">+AV10/AU10-1</f>
        <v>0.14999999999999991</v>
      </c>
      <c r="AW42" s="27">
        <f t="shared" ref="AW42" si="162">+AW10/AV10-1</f>
        <v>0.10000000000000009</v>
      </c>
    </row>
    <row r="43" spans="2:105" x14ac:dyDescent="0.2">
      <c r="B43" s="19" t="s">
        <v>89</v>
      </c>
      <c r="K43" s="17">
        <f t="shared" ref="K43:O43" si="163">K14/G14-1</f>
        <v>0.39441436306640076</v>
      </c>
      <c r="L43" s="17">
        <f t="shared" si="163"/>
        <v>-4.9729102167182626E-2</v>
      </c>
      <c r="M43" s="17">
        <f t="shared" si="163"/>
        <v>0.43141075604053003</v>
      </c>
      <c r="N43" s="17">
        <f t="shared" si="163"/>
        <v>0.4053394107113788</v>
      </c>
      <c r="O43" s="17">
        <f t="shared" si="163"/>
        <v>0.67320662170447587</v>
      </c>
      <c r="P43" s="17">
        <f>P14/L14-1</f>
        <v>0.9385053960496843</v>
      </c>
      <c r="Q43" s="17">
        <f t="shared" ref="Q43" si="164">Q14/M14-1</f>
        <v>0.55091206098557044</v>
      </c>
      <c r="R43" s="17">
        <f>R14/N14-1</f>
        <v>0.74041468782578468</v>
      </c>
      <c r="S43" s="17">
        <f t="shared" ref="S43:U43" si="165">S14/O14-1</f>
        <v>0.89495541712470983</v>
      </c>
      <c r="T43" s="17">
        <f t="shared" si="165"/>
        <v>0.43592436974789917</v>
      </c>
      <c r="U43" s="17">
        <f t="shared" si="165"/>
        <v>0.561046256473273</v>
      </c>
      <c r="V43" s="17">
        <f t="shared" ref="V43" si="166">V14/R14-1</f>
        <v>0.39999999999999991</v>
      </c>
      <c r="W43" s="17">
        <f>W14/S14-1</f>
        <v>0.21683640582699493</v>
      </c>
      <c r="X43" s="17">
        <f t="shared" ref="X43" si="167">X14/T14-1</f>
        <v>0.49370885149963417</v>
      </c>
      <c r="Y43" s="17">
        <f t="shared" ref="Y43" si="168">Y14/U14-1</f>
        <v>4.4813044700590332E-2</v>
      </c>
      <c r="Z43" s="17">
        <f t="shared" ref="Z43:AD43" si="169">Z14/V14-1</f>
        <v>-1.9253624910862799E-2</v>
      </c>
      <c r="AA43" s="17">
        <f t="shared" si="169"/>
        <v>-0.12808560228837795</v>
      </c>
      <c r="AB43" s="17">
        <f t="shared" si="169"/>
        <v>-9.2511876193741127E-2</v>
      </c>
      <c r="AC43" s="17">
        <f t="shared" si="169"/>
        <v>0.16271585003413347</v>
      </c>
      <c r="AD43" s="17">
        <f t="shared" si="169"/>
        <v>0.16495545987983684</v>
      </c>
      <c r="AY43" s="29" t="s">
        <v>108</v>
      </c>
      <c r="AZ43" s="27">
        <v>-0.01</v>
      </c>
    </row>
    <row r="44" spans="2:105" x14ac:dyDescent="0.2">
      <c r="B44" s="19" t="s">
        <v>88</v>
      </c>
      <c r="C44" s="17"/>
      <c r="D44" s="17"/>
      <c r="E44" s="17"/>
      <c r="F44" s="17"/>
      <c r="G44" s="17">
        <f t="shared" ref="G44:K44" si="170">G22/G14</f>
        <v>0.18609290396124251</v>
      </c>
      <c r="H44" s="17">
        <f t="shared" si="170"/>
        <v>0.17685758513931887</v>
      </c>
      <c r="I44" s="17">
        <f t="shared" si="170"/>
        <v>0.21784879189399844</v>
      </c>
      <c r="J44" s="17">
        <f t="shared" si="170"/>
        <v>0.21618101904606871</v>
      </c>
      <c r="K44" s="17">
        <f t="shared" si="170"/>
        <v>0.2440220723482526</v>
      </c>
      <c r="L44" s="17">
        <f t="shared" ref="L44" si="171">L22/L14</f>
        <v>0.24373854612095297</v>
      </c>
      <c r="M44" s="17">
        <f t="shared" ref="M44" si="172">M22/M14</f>
        <v>0.27021508303838826</v>
      </c>
      <c r="N44" s="17">
        <f t="shared" ref="N44:U44" si="173">N22/N14</f>
        <v>0.19819298042395458</v>
      </c>
      <c r="O44" s="17">
        <f t="shared" si="173"/>
        <v>0.21131061438866497</v>
      </c>
      <c r="P44" s="17">
        <f t="shared" si="173"/>
        <v>0.25220588235294117</v>
      </c>
      <c r="Q44" s="17">
        <f t="shared" si="173"/>
        <v>0.28464846835776353</v>
      </c>
      <c r="R44" s="17">
        <f t="shared" si="173"/>
        <v>0.28858569051580701</v>
      </c>
      <c r="S44" s="17">
        <f t="shared" si="173"/>
        <v>0.29650638133298957</v>
      </c>
      <c r="T44" s="17">
        <f t="shared" si="173"/>
        <v>0.25727871250914414</v>
      </c>
      <c r="U44" s="17">
        <f t="shared" si="173"/>
        <v>0.26348046106269329</v>
      </c>
      <c r="V44" s="17">
        <f t="shared" ref="V44:AD44" si="174">V22/V14</f>
        <v>0.26631804135963871</v>
      </c>
      <c r="W44" s="17">
        <f>W22/W14</f>
        <v>0.1830702404915775</v>
      </c>
      <c r="X44" s="17">
        <f t="shared" si="174"/>
        <v>0.17522895342573094</v>
      </c>
      <c r="Y44" s="17">
        <f t="shared" si="174"/>
        <v>0.15746421267893659</v>
      </c>
      <c r="Z44" s="17">
        <f t="shared" si="174"/>
        <v>0.16616577799321378</v>
      </c>
      <c r="AA44" s="17">
        <f t="shared" si="174"/>
        <v>0.15571081409477522</v>
      </c>
      <c r="AB44" s="17">
        <f t="shared" si="174"/>
        <v>0.13858607663248787</v>
      </c>
      <c r="AC44" s="17">
        <f t="shared" si="174"/>
        <v>0.14999999999999994</v>
      </c>
      <c r="AD44" s="17">
        <f t="shared" si="174"/>
        <v>0.15000000000000002</v>
      </c>
      <c r="AM44" s="17">
        <f t="shared" ref="AM44:AQ44" si="175">AM22/AM14</f>
        <v>0</v>
      </c>
      <c r="AN44" s="17">
        <f t="shared" si="175"/>
        <v>0</v>
      </c>
      <c r="AO44" s="17">
        <f t="shared" si="175"/>
        <v>0.27064584436209632</v>
      </c>
      <c r="AP44" s="17">
        <f t="shared" si="175"/>
        <v>0.17052821969455731</v>
      </c>
      <c r="AQ44" s="17">
        <f t="shared" si="175"/>
        <v>0</v>
      </c>
      <c r="AY44" s="29" t="s">
        <v>109</v>
      </c>
      <c r="AZ44" s="31">
        <v>0.08</v>
      </c>
    </row>
    <row r="45" spans="2:105" x14ac:dyDescent="0.2">
      <c r="B45" s="19" t="s">
        <v>44</v>
      </c>
      <c r="C45" s="17"/>
      <c r="D45" s="17"/>
      <c r="E45" s="17"/>
      <c r="F45" s="17"/>
      <c r="G45" s="17">
        <f t="shared" ref="G45:K45" si="176">+G28/G20</f>
        <v>0.1246421493063202</v>
      </c>
      <c r="H45" s="17">
        <f t="shared" si="176"/>
        <v>0.14503937007874015</v>
      </c>
      <c r="I45" s="17">
        <f t="shared" si="176"/>
        <v>0.18895763921941933</v>
      </c>
      <c r="J45" s="17">
        <f t="shared" si="176"/>
        <v>0.18838028169014084</v>
      </c>
      <c r="K45" s="32">
        <f>+K28/K20</f>
        <v>0.20618212197159566</v>
      </c>
      <c r="L45" s="17">
        <f t="shared" ref="L45" si="177">+L28/L20</f>
        <v>0.20990722332670642</v>
      </c>
      <c r="M45" s="17">
        <f t="shared" ref="M45" si="178">+M28/M20</f>
        <v>0.23520693193478509</v>
      </c>
      <c r="N45" s="17">
        <f>+N28/N20</f>
        <v>0.19229337304542071</v>
      </c>
      <c r="O45" s="17">
        <f t="shared" ref="O45:AD45" si="179">+O28/O20</f>
        <v>0.21320627586870727</v>
      </c>
      <c r="P45" s="17">
        <f t="shared" si="179"/>
        <v>0.24117745442381669</v>
      </c>
      <c r="Q45" s="17">
        <f t="shared" si="179"/>
        <v>0.26604637639020134</v>
      </c>
      <c r="R45" s="17">
        <f t="shared" si="179"/>
        <v>0.27354816863254133</v>
      </c>
      <c r="S45" s="17">
        <f t="shared" si="179"/>
        <v>0.29110684580934099</v>
      </c>
      <c r="T45" s="17">
        <f t="shared" si="179"/>
        <v>0.24997047360340144</v>
      </c>
      <c r="U45" s="17">
        <f t="shared" si="179"/>
        <v>0.25086231005873033</v>
      </c>
      <c r="V45" s="17">
        <f t="shared" si="179"/>
        <v>0.25257794296679104</v>
      </c>
      <c r="W45" s="17">
        <f t="shared" si="179"/>
        <v>0.19336448197522396</v>
      </c>
      <c r="X45" s="17">
        <f t="shared" si="179"/>
        <v>0.18185100493440848</v>
      </c>
      <c r="Y45" s="17">
        <f t="shared" si="179"/>
        <v>0.17892933618843684</v>
      </c>
      <c r="Z45" s="17">
        <f t="shared" si="179"/>
        <v>0.17634203520483172</v>
      </c>
      <c r="AA45" s="17">
        <f t="shared" si="179"/>
        <v>0.1735129806112389</v>
      </c>
      <c r="AB45" s="17">
        <f t="shared" si="179"/>
        <v>0.15578039215686273</v>
      </c>
      <c r="AC45" s="17">
        <f t="shared" si="179"/>
        <v>0.15906968057651291</v>
      </c>
      <c r="AD45" s="17">
        <f t="shared" si="179"/>
        <v>0.15511900037130005</v>
      </c>
      <c r="AM45" s="17">
        <f t="shared" ref="AM45:AQ45" si="180">+AM28/AM20</f>
        <v>0</v>
      </c>
      <c r="AN45" s="17">
        <f t="shared" si="180"/>
        <v>0</v>
      </c>
      <c r="AO45" s="17">
        <f t="shared" si="180"/>
        <v>0.25</v>
      </c>
      <c r="AP45" s="17">
        <f t="shared" si="180"/>
        <v>0.18248891736331416</v>
      </c>
      <c r="AQ45" s="17">
        <f t="shared" si="180"/>
        <v>0.18999999999999992</v>
      </c>
      <c r="AY45" s="29" t="s">
        <v>110</v>
      </c>
      <c r="AZ45" s="4">
        <f>NPV(AZ44,AQ36:DA36)+Main!K5-Main!K6</f>
        <v>611917.01090449432</v>
      </c>
    </row>
    <row r="46" spans="2:105" x14ac:dyDescent="0.2">
      <c r="B46" s="15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Y46" s="29" t="s">
        <v>112</v>
      </c>
      <c r="AZ46" s="27">
        <v>0.03</v>
      </c>
    </row>
    <row r="47" spans="2:105" x14ac:dyDescent="0.2">
      <c r="AY47" s="29" t="s">
        <v>111</v>
      </c>
      <c r="AZ47" s="20">
        <f>AZ45/Main!K3</f>
        <v>191.76340047148051</v>
      </c>
    </row>
    <row r="48" spans="2:105" s="4" customFormat="1" x14ac:dyDescent="0.2"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81">M36</f>
        <v>300</v>
      </c>
      <c r="N48" s="5">
        <f t="shared" si="181"/>
        <v>270</v>
      </c>
      <c r="O48" s="5">
        <f t="shared" si="181"/>
        <v>337</v>
      </c>
      <c r="P48" s="5">
        <f t="shared" si="181"/>
        <v>1165</v>
      </c>
      <c r="Q48" s="5">
        <f t="shared" si="181"/>
        <v>1669</v>
      </c>
      <c r="R48" s="5">
        <f t="shared" si="181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182">V36</f>
        <v>3468.7999999999984</v>
      </c>
      <c r="W48" s="5">
        <f t="shared" si="182"/>
        <v>2513</v>
      </c>
      <c r="X48" s="5">
        <f t="shared" si="182"/>
        <v>2703</v>
      </c>
      <c r="Y48" s="5">
        <f t="shared" si="182"/>
        <v>1853</v>
      </c>
      <c r="Z48" s="5">
        <f t="shared" si="182"/>
        <v>2176</v>
      </c>
      <c r="AA48" s="5">
        <f t="shared" si="182"/>
        <v>1129</v>
      </c>
      <c r="AB48" s="5">
        <f t="shared" si="182"/>
        <v>872.39999999999964</v>
      </c>
      <c r="AC48" s="5">
        <f t="shared" si="182"/>
        <v>1231.8703110401104</v>
      </c>
      <c r="AD48" s="5">
        <f t="shared" si="182"/>
        <v>1456.2837364785246</v>
      </c>
      <c r="AZ48" s="27">
        <f>AZ47/Main!K2-1</f>
        <v>-0.11629769367981335</v>
      </c>
    </row>
    <row r="49" spans="2:49" s="4" customFormat="1" x14ac:dyDescent="0.2"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</row>
    <row r="50" spans="2:49" s="4" customFormat="1" x14ac:dyDescent="0.2"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</row>
    <row r="51" spans="2:49" s="4" customFormat="1" x14ac:dyDescent="0.2"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</row>
    <row r="52" spans="2:49" s="4" customFormat="1" x14ac:dyDescent="0.2"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</row>
    <row r="53" spans="2:49" s="4" customFormat="1" x14ac:dyDescent="0.2">
      <c r="B53" s="10" t="s">
        <v>78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</row>
    <row r="54" spans="2:49" s="4" customFormat="1" x14ac:dyDescent="0.2">
      <c r="B54" s="4" t="s">
        <v>59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</row>
    <row r="55" spans="2:49" s="4" customFormat="1" x14ac:dyDescent="0.2">
      <c r="B55" s="18" t="s">
        <v>68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</row>
    <row r="56" spans="2:49" s="4" customFormat="1" x14ac:dyDescent="0.2">
      <c r="B56" s="4" t="s">
        <v>60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</row>
    <row r="57" spans="2:49" s="4" customFormat="1" x14ac:dyDescent="0.2">
      <c r="B57" s="4" t="s">
        <v>61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83">SUM(N49:N56)</f>
        <v>3019</v>
      </c>
      <c r="O57" s="5">
        <f t="shared" si="183"/>
        <v>1641</v>
      </c>
      <c r="P57" s="5">
        <f t="shared" si="183"/>
        <v>2124</v>
      </c>
      <c r="Q57" s="5">
        <f t="shared" si="183"/>
        <v>3147</v>
      </c>
      <c r="R57" s="5">
        <f t="shared" si="183"/>
        <v>4585</v>
      </c>
      <c r="S57" s="5">
        <f t="shared" ref="S57:AA57" si="184">SUM(S49:S56)</f>
        <v>3995</v>
      </c>
      <c r="T57" s="5">
        <f t="shared" si="184"/>
        <v>2351</v>
      </c>
      <c r="U57" s="5">
        <f t="shared" si="184"/>
        <v>5100</v>
      </c>
      <c r="V57" s="5">
        <f t="shared" si="184"/>
        <v>3278</v>
      </c>
      <c r="W57" s="5">
        <f t="shared" si="184"/>
        <v>2513</v>
      </c>
      <c r="X57" s="5">
        <f t="shared" si="184"/>
        <v>3065</v>
      </c>
      <c r="Y57" s="5">
        <f t="shared" si="184"/>
        <v>3308</v>
      </c>
      <c r="Z57" s="5">
        <f t="shared" si="184"/>
        <v>4370</v>
      </c>
      <c r="AA57" s="5">
        <f t="shared" si="184"/>
        <v>242</v>
      </c>
      <c r="AB57" s="5"/>
      <c r="AC57" s="5"/>
      <c r="AD57" s="5"/>
    </row>
    <row r="58" spans="2:49" s="4" customFormat="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2:49" s="4" customFormat="1" x14ac:dyDescent="0.2">
      <c r="B59" s="10" t="s">
        <v>79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/>
      <c r="AC59" s="5"/>
      <c r="AD59" s="5"/>
    </row>
    <row r="60" spans="2:49" s="4" customFormat="1" x14ac:dyDescent="0.2">
      <c r="B60" s="10" t="s">
        <v>80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85">O57-O59</f>
        <v>293</v>
      </c>
      <c r="P60" s="5">
        <f t="shared" si="185"/>
        <v>619</v>
      </c>
      <c r="Q60" s="5">
        <f t="shared" si="185"/>
        <v>1328</v>
      </c>
      <c r="R60" s="5">
        <f t="shared" si="185"/>
        <v>2775</v>
      </c>
      <c r="S60" s="5">
        <f t="shared" ref="S60" si="186">S57-S59</f>
        <v>2228</v>
      </c>
      <c r="T60" s="5">
        <f t="shared" ref="T60:AA60" si="187">T57-T59</f>
        <v>621</v>
      </c>
      <c r="U60" s="5">
        <f t="shared" si="187"/>
        <v>3297</v>
      </c>
      <c r="V60" s="5">
        <f t="shared" si="187"/>
        <v>1420</v>
      </c>
      <c r="W60" s="5">
        <f t="shared" si="187"/>
        <v>441</v>
      </c>
      <c r="X60" s="5">
        <f t="shared" si="187"/>
        <v>1005</v>
      </c>
      <c r="Y60" s="5">
        <f t="shared" si="187"/>
        <v>848</v>
      </c>
      <c r="Z60" s="5">
        <f t="shared" si="187"/>
        <v>2064</v>
      </c>
      <c r="AA60" s="5">
        <f t="shared" si="187"/>
        <v>-2531</v>
      </c>
      <c r="AB60" s="5"/>
      <c r="AC60" s="5"/>
      <c r="AD60" s="5"/>
    </row>
    <row r="61" spans="2:49" s="4" customFormat="1" x14ac:dyDescent="0.2">
      <c r="B61" s="10" t="s">
        <v>81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V61" si="188">SUM(N60:Q60)</f>
        <v>4108</v>
      </c>
      <c r="R61" s="5">
        <f t="shared" si="188"/>
        <v>5015</v>
      </c>
      <c r="S61" s="5">
        <f t="shared" si="188"/>
        <v>6950</v>
      </c>
      <c r="T61" s="5">
        <f t="shared" si="188"/>
        <v>6952</v>
      </c>
      <c r="U61" s="5">
        <f t="shared" si="188"/>
        <v>8921</v>
      </c>
      <c r="V61" s="5">
        <f t="shared" si="188"/>
        <v>7566</v>
      </c>
      <c r="W61" s="5">
        <f>SUM(T60:W60)</f>
        <v>5779</v>
      </c>
      <c r="X61" s="5">
        <f>SUM(U60:X60)</f>
        <v>6163</v>
      </c>
      <c r="Y61" s="5">
        <f>SUM(V60:Y60)</f>
        <v>3714</v>
      </c>
      <c r="Z61" s="5">
        <f>SUM(W60:Z60)</f>
        <v>4358</v>
      </c>
      <c r="AA61" s="5">
        <f>SUM(X60:AA60)</f>
        <v>1386</v>
      </c>
      <c r="AB61" s="5"/>
      <c r="AC61" s="5"/>
      <c r="AD61" s="5"/>
    </row>
    <row r="62" spans="2:49" s="4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2:49" s="4" customFormat="1" x14ac:dyDescent="0.2">
      <c r="B63" s="30" t="s">
        <v>113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B63" si="189">X64-X81</f>
        <v>25105</v>
      </c>
      <c r="Y63" s="5">
        <f t="shared" si="189"/>
        <v>26958</v>
      </c>
      <c r="Z63" s="5">
        <f t="shared" si="189"/>
        <v>29134</v>
      </c>
      <c r="AA63" s="5">
        <f t="shared" si="189"/>
        <v>21503</v>
      </c>
      <c r="AB63" s="5">
        <f t="shared" si="189"/>
        <v>9154</v>
      </c>
      <c r="AC63" s="5"/>
      <c r="AD63" s="5"/>
      <c r="AP63" s="4">
        <f>Z63</f>
        <v>29134</v>
      </c>
      <c r="AQ63" s="4">
        <f>AP63+AQ36</f>
        <v>40810.408632925319</v>
      </c>
      <c r="AR63" s="4">
        <f t="shared" ref="AR63:AW63" si="190">AQ63+AR36</f>
        <v>60222.603323051248</v>
      </c>
      <c r="AS63" s="4">
        <f t="shared" si="190"/>
        <v>87486.026613446447</v>
      </c>
      <c r="AT63" s="4">
        <f t="shared" si="190"/>
        <v>123224.94803746909</v>
      </c>
      <c r="AU63" s="4">
        <f t="shared" si="190"/>
        <v>169525.80972710089</v>
      </c>
      <c r="AV63" s="4">
        <f t="shared" si="190"/>
        <v>226323.85134133397</v>
      </c>
      <c r="AW63" s="4">
        <f t="shared" si="190"/>
        <v>292497.96008608077</v>
      </c>
    </row>
    <row r="64" spans="2:49" s="4" customFormat="1" x14ac:dyDescent="0.2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191">X64+Y36</f>
        <v>26958</v>
      </c>
      <c r="Z64" s="5">
        <f t="shared" si="191"/>
        <v>29134</v>
      </c>
      <c r="AA64" s="5">
        <v>26863</v>
      </c>
      <c r="AB64" s="5">
        <v>14635</v>
      </c>
      <c r="AC64" s="5"/>
      <c r="AD64" s="5"/>
    </row>
    <row r="65" spans="2:30" s="4" customFormat="1" x14ac:dyDescent="0.2">
      <c r="B65" s="10" t="s">
        <v>62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>
        <v>3737</v>
      </c>
      <c r="AC65" s="5"/>
      <c r="AD65" s="5"/>
    </row>
    <row r="66" spans="2:30" s="4" customFormat="1" x14ac:dyDescent="0.2">
      <c r="B66" s="10" t="s">
        <v>58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>
        <v>14195</v>
      </c>
      <c r="AC66" s="5"/>
      <c r="AD66" s="5"/>
    </row>
    <row r="67" spans="2:30" s="4" customFormat="1" x14ac:dyDescent="0.2">
      <c r="B67" s="10" t="s">
        <v>63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>
        <v>4325</v>
      </c>
      <c r="AC67" s="5"/>
      <c r="AD67" s="5"/>
    </row>
    <row r="68" spans="2:30" s="4" customFormat="1" x14ac:dyDescent="0.2">
      <c r="B68" s="10" t="s">
        <v>64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>
        <v>5541</v>
      </c>
      <c r="AC68" s="5"/>
      <c r="AD68" s="5"/>
    </row>
    <row r="69" spans="2:30" s="4" customFormat="1" x14ac:dyDescent="0.2">
      <c r="B69" s="10" t="s">
        <v>65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>
        <v>5102</v>
      </c>
      <c r="AC69" s="5"/>
      <c r="AD69" s="5"/>
    </row>
    <row r="70" spans="2:30" s="4" customFormat="1" x14ac:dyDescent="0.2">
      <c r="B70" s="10" t="s">
        <v>66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>
        <v>32902</v>
      </c>
      <c r="AC70" s="5"/>
      <c r="AD70" s="5"/>
    </row>
    <row r="71" spans="2:30" s="4" customFormat="1" x14ac:dyDescent="0.2">
      <c r="B71" s="10" t="s">
        <v>67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>
        <v>4563</v>
      </c>
      <c r="AC71" s="5"/>
      <c r="AD71" s="5"/>
    </row>
    <row r="72" spans="2:30" s="4" customFormat="1" x14ac:dyDescent="0.2">
      <c r="B72" s="10" t="s">
        <v>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>
        <v>184</v>
      </c>
      <c r="AC72" s="5"/>
      <c r="AD72" s="5"/>
    </row>
    <row r="73" spans="2:30" s="4" customFormat="1" x14ac:dyDescent="0.2">
      <c r="B73" s="10" t="s">
        <v>69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>
        <v>249</v>
      </c>
      <c r="AC73" s="5"/>
      <c r="AD73" s="5"/>
    </row>
    <row r="74" spans="2:30" s="4" customFormat="1" x14ac:dyDescent="0.2">
      <c r="B74" s="10" t="s">
        <v>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>
        <v>4458</v>
      </c>
      <c r="AC74" s="5"/>
      <c r="AD74" s="5"/>
    </row>
    <row r="75" spans="2:30" s="4" customFormat="1" x14ac:dyDescent="0.2">
      <c r="B75" s="10" t="s">
        <v>71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192">SUM(T64:T74)</f>
        <v>68513</v>
      </c>
      <c r="U75" s="5">
        <f t="shared" si="192"/>
        <v>74426</v>
      </c>
      <c r="V75" s="5">
        <f t="shared" si="192"/>
        <v>0</v>
      </c>
      <c r="W75" s="5">
        <f t="shared" si="192"/>
        <v>86833</v>
      </c>
      <c r="X75" s="5">
        <f t="shared" si="192"/>
        <v>25105</v>
      </c>
      <c r="Y75" s="5">
        <f t="shared" si="192"/>
        <v>26958</v>
      </c>
      <c r="Z75" s="5">
        <f t="shared" si="192"/>
        <v>29134</v>
      </c>
      <c r="AA75" s="5">
        <f t="shared" si="192"/>
        <v>109226</v>
      </c>
      <c r="AB75" s="5">
        <f>SUM(AB64:AB74)</f>
        <v>89891</v>
      </c>
      <c r="AC75" s="5"/>
      <c r="AD75" s="5"/>
    </row>
    <row r="76" spans="2:30" x14ac:dyDescent="0.2">
      <c r="S76" s="5"/>
      <c r="T76" s="5"/>
      <c r="U76" s="5"/>
    </row>
    <row r="77" spans="2:30" x14ac:dyDescent="0.2">
      <c r="B77" s="9" t="s">
        <v>72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  <c r="AB77" s="5">
        <v>13056</v>
      </c>
    </row>
    <row r="78" spans="2:30" x14ac:dyDescent="0.2">
      <c r="B78" s="9" t="s">
        <v>73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  <c r="AB78" s="5">
        <v>9616</v>
      </c>
    </row>
    <row r="79" spans="2:30" x14ac:dyDescent="0.2">
      <c r="B79" s="9" t="s">
        <v>74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  <c r="AB79" s="5">
        <v>2793</v>
      </c>
    </row>
    <row r="80" spans="2:30" x14ac:dyDescent="0.2">
      <c r="B80" s="9" t="s">
        <v>75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  <c r="AB80" s="5">
        <v>949</v>
      </c>
    </row>
    <row r="81" spans="2:30" x14ac:dyDescent="0.2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>
        <v>5481</v>
      </c>
      <c r="AC81" s="5"/>
      <c r="AD81" s="5"/>
    </row>
    <row r="82" spans="2:30" x14ac:dyDescent="0.2">
      <c r="B82" s="9" t="s">
        <v>74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  <c r="AB82" s="5">
        <v>3357</v>
      </c>
    </row>
    <row r="83" spans="2:30" x14ac:dyDescent="0.2">
      <c r="B83" s="29" t="s">
        <v>121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  <c r="AB83" s="5">
        <v>9002</v>
      </c>
    </row>
    <row r="84" spans="2:30" x14ac:dyDescent="0.2">
      <c r="B84" s="9" t="s">
        <v>76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  <c r="AB84" s="5">
        <v>66468</v>
      </c>
    </row>
    <row r="85" spans="2:30" x14ac:dyDescent="0.2">
      <c r="B85" s="9" t="s">
        <v>77</v>
      </c>
      <c r="S85" s="5">
        <f>SUM(S77:S84)</f>
        <v>62131</v>
      </c>
      <c r="T85" s="5">
        <f t="shared" ref="T85:W85" si="193">SUM(T77:T84)</f>
        <v>68513</v>
      </c>
      <c r="U85" s="5">
        <f t="shared" si="193"/>
        <v>74426</v>
      </c>
      <c r="V85" s="5">
        <f t="shared" si="193"/>
        <v>0</v>
      </c>
      <c r="W85" s="5">
        <f t="shared" si="193"/>
        <v>86833</v>
      </c>
      <c r="AA85" s="5">
        <f t="shared" ref="AA85" si="194">SUM(AA77:AA84)</f>
        <v>109226</v>
      </c>
      <c r="AB85" s="5">
        <f>SUM(AB77:AB84)</f>
        <v>110722</v>
      </c>
    </row>
    <row r="86" spans="2:30" x14ac:dyDescent="0.2">
      <c r="S86" s="5"/>
    </row>
    <row r="87" spans="2:30" x14ac:dyDescent="0.2">
      <c r="S87" s="5"/>
    </row>
    <row r="88" spans="2:30" x14ac:dyDescent="0.2">
      <c r="S88" s="5"/>
    </row>
    <row r="89" spans="2:30" x14ac:dyDescent="0.2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2" sqref="D4:D12"/>
    </sheetView>
  </sheetViews>
  <sheetFormatPr defaultColWidth="9.140625" defaultRowHeight="12.75" x14ac:dyDescent="0.2"/>
  <cols>
    <col min="1" max="1" width="5" style="29" bestFit="1" customWidth="1"/>
    <col min="2" max="2" width="9.140625" style="29"/>
    <col min="3" max="3" width="11.7109375" style="29" customWidth="1"/>
    <col min="4" max="16384" width="9.140625" style="29"/>
  </cols>
  <sheetData>
    <row r="1" spans="1:4" x14ac:dyDescent="0.2">
      <c r="A1" s="29" t="s">
        <v>7</v>
      </c>
    </row>
    <row r="4" spans="1:4" x14ac:dyDescent="0.2">
      <c r="B4" s="29" t="s">
        <v>96</v>
      </c>
      <c r="C4" s="29" t="s">
        <v>97</v>
      </c>
      <c r="D4" s="29">
        <v>100000</v>
      </c>
    </row>
    <row r="5" spans="1:4" x14ac:dyDescent="0.2">
      <c r="C5" s="29" t="s">
        <v>98</v>
      </c>
      <c r="D5" s="29">
        <v>550000</v>
      </c>
    </row>
    <row r="6" spans="1:4" x14ac:dyDescent="0.2">
      <c r="B6" s="29" t="s">
        <v>99</v>
      </c>
      <c r="C6" s="29" t="s">
        <v>98</v>
      </c>
      <c r="D6" s="29">
        <v>750000</v>
      </c>
    </row>
    <row r="7" spans="1:4" x14ac:dyDescent="0.2">
      <c r="B7" s="29" t="s">
        <v>100</v>
      </c>
      <c r="C7" s="29" t="s">
        <v>101</v>
      </c>
      <c r="D7" s="29">
        <v>350000</v>
      </c>
    </row>
    <row r="8" spans="1:4" x14ac:dyDescent="0.2">
      <c r="B8" s="29" t="s">
        <v>102</v>
      </c>
      <c r="C8" s="29" t="s">
        <v>101</v>
      </c>
      <c r="D8" s="29">
        <v>250000</v>
      </c>
    </row>
    <row r="9" spans="1:4" x14ac:dyDescent="0.2">
      <c r="C9" s="29" t="s">
        <v>103</v>
      </c>
      <c r="D9" s="29">
        <v>300000</v>
      </c>
    </row>
    <row r="10" spans="1:4" x14ac:dyDescent="0.2">
      <c r="B10" s="29" t="s">
        <v>104</v>
      </c>
      <c r="C10" s="29" t="s">
        <v>105</v>
      </c>
      <c r="D10" s="29">
        <v>300000</v>
      </c>
    </row>
    <row r="11" spans="1:4" x14ac:dyDescent="0.2">
      <c r="C11" s="29" t="s">
        <v>106</v>
      </c>
      <c r="D11" s="29">
        <v>300000</v>
      </c>
    </row>
    <row r="12" spans="1:4" x14ac:dyDescent="0.2">
      <c r="C12" s="29" t="s">
        <v>107</v>
      </c>
      <c r="D12" s="29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Armando Christensen</cp:lastModifiedBy>
  <cp:revision/>
  <dcterms:created xsi:type="dcterms:W3CDTF">2022-07-01T16:14:29Z</dcterms:created>
  <dcterms:modified xsi:type="dcterms:W3CDTF">2024-07-24T15:36:51Z</dcterms:modified>
  <cp:category/>
  <cp:contentStatus/>
</cp:coreProperties>
</file>